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charts/chart1.xml" ContentType="application/vnd.openxmlformats-officedocument.drawingml.chart+xml"/>
  <Override PartName="/xl/drawings/drawing5.xml" ContentType="application/vnd.openxmlformats-officedocument.drawing+xml"/>
  <Override PartName="/xl/comments6.xml" ContentType="application/vnd.openxmlformats-officedocument.spreadsheetml.comments+xml"/>
  <Override PartName="/xl/charts/chart2.xml" ContentType="application/vnd.openxmlformats-officedocument.drawingml.chart+xml"/>
  <Override PartName="/xl/comments7.xml" ContentType="application/vnd.openxmlformats-officedocument.spreadsheetml.comments+xml"/>
  <Override PartName="/xl/comments8.xml" ContentType="application/vnd.openxmlformats-officedocument.spreadsheetml.comments+xml"/>
  <Override PartName="/xl/drawings/drawing6.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drawings/drawing7.xml" ContentType="application/vnd.openxmlformats-officedocument.drawing+xml"/>
  <Override PartName="/xl/comments12.xml" ContentType="application/vnd.openxmlformats-officedocument.spreadsheetml.comments+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drawings/drawing8.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comments17.xml" ContentType="application/vnd.openxmlformats-officedocument.spreadsheetml.comments+xml"/>
  <Override PartName="/xl/drawings/drawing9.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10.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11.xml" ContentType="application/vnd.openxmlformats-officedocument.drawing+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omments18.xml" ContentType="application/vnd.openxmlformats-officedocument.spreadsheetml.comments+xml"/>
  <Override PartName="/xl/drawings/drawing12.xml" ContentType="application/vnd.openxmlformats-officedocument.drawing+xml"/>
  <Override PartName="/xl/comments19.xml" ContentType="application/vnd.openxmlformats-officedocument.spreadsheetml.comments+xml"/>
  <Override PartName="/xl/charts/chart32.xml" ContentType="application/vnd.openxmlformats-officedocument.drawingml.chart+xml"/>
  <Override PartName="/xl/comments2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Xiao\Desktop\中金-RS基础材料与工程\中国建筑国际\估值模型\"/>
    </mc:Choice>
  </mc:AlternateContent>
  <xr:revisionPtr revIDLastSave="0" documentId="13_ncr:1_{D2D54E4E-8368-4AEF-9D0F-F40383EE9D96}" xr6:coauthVersionLast="47" xr6:coauthVersionMax="47" xr10:uidLastSave="{00000000-0000-0000-0000-000000000000}"/>
  <bookViews>
    <workbookView xWindow="-98" yWindow="-98" windowWidth="21795" windowHeight="12975" tabRatio="776" firstSheet="15" activeTab="17" xr2:uid="{00000000-000D-0000-FFFF-FFFF00000000}"/>
  </bookViews>
  <sheets>
    <sheet name="Header(C)" sheetId="1" r:id="rId1"/>
    <sheet name="Header(E)" sheetId="2" r:id="rId2"/>
    <sheet name="Header(E)-US" sheetId="3" r:id="rId3"/>
    <sheet name="RAWS" sheetId="4" r:id="rId4"/>
    <sheet name="Cover" sheetId="6" r:id="rId5"/>
    <sheet name="DCF" sheetId="5" r:id="rId6"/>
    <sheet name="QoQ" sheetId="7" r:id="rId7"/>
    <sheet name="HoH" sheetId="8" r:id="rId8"/>
    <sheet name="BS" sheetId="9" r:id="rId9"/>
    <sheet name="PL" sheetId="10" r:id="rId10"/>
    <sheet name="CF" sheetId="11" r:id="rId11"/>
    <sheet name="WC" sheetId="12" r:id="rId12"/>
    <sheet name="CAPEX" sheetId="13" r:id="rId13"/>
    <sheet name="Financing" sheetId="14" r:id="rId14"/>
    <sheet name="PL（org）" sheetId="23" r:id="rId15"/>
    <sheet name="BS（org）" sheetId="24" r:id="rId16"/>
    <sheet name="CF（org）" sheetId="15" r:id="rId17"/>
    <sheet name="Summary" sheetId="16" r:id="rId18"/>
    <sheet name="MainLand China" sheetId="17" r:id="rId19"/>
    <sheet name="HK" sheetId="18" r:id="rId20"/>
    <sheet name="Macau" sheetId="19" r:id="rId21"/>
    <sheet name="CSCD" sheetId="20" r:id="rId22"/>
    <sheet name="年报模板" sheetId="21" r:id="rId23"/>
    <sheet name="Overseas" sheetId="22" state="hidden" r:id="rId24"/>
    <sheet name="中报模板" sheetId="25" r:id="rId25"/>
    <sheet name="Adjustment" sheetId="26" r:id="rId26"/>
    <sheet name="Attachment" sheetId="27" state="hidden" r:id="rId27"/>
    <sheet name="PB ROE" sheetId="28" r:id="rId28"/>
    <sheet name="GTR" sheetId="29" state="hidden" r:id="rId29"/>
    <sheet name="已承诺未动用的信贷及其他银行授信额度" sheetId="30" state="hidden" r:id="rId30"/>
    <sheet name="融资产品" sheetId="31" state="hidden" r:id="rId31"/>
    <sheet name="SUM of Parts" sheetId="32" state="hidden" r:id="rId32"/>
    <sheet name="估值（DCF） (中文)" sheetId="33" state="hidden" r:id="rId33"/>
    <sheet name="2012Placement" sheetId="34" state="hidden" r:id="rId34"/>
    <sheet name="P&amp;L (半年)" sheetId="35" state="hidden" r:id="rId35"/>
    <sheet name="segment info" sheetId="36" state="hidden" r:id="rId36"/>
    <sheet name="地区分部(原始）" sheetId="37" state="hidden" r:id="rId37"/>
    <sheet name="业务分部（原始）" sheetId="38" state="hidden" r:id="rId38"/>
    <sheet name="D&amp;A(原始）" sheetId="39" state="hidden" r:id="rId39"/>
    <sheet name="Ratio" sheetId="40" state="hidden" r:id="rId40"/>
    <sheet name="Dadabase" sheetId="41" state="hidden" r:id="rId41"/>
    <sheet name="P&amp;L (2)" sheetId="42" state="hidden" r:id="rId42"/>
    <sheet name="BS (2)" sheetId="43" state="hidden" r:id="rId43"/>
    <sheet name="Cash F (2)" sheetId="44" state="hidden" r:id="rId44"/>
    <sheet name="收购影响" sheetId="45" state="hidden" r:id="rId45"/>
    <sheet name="Policy housing" sheetId="46" state="hidden" r:id="rId46"/>
    <sheet name="BT" sheetId="47" state="hidden" r:id="rId47"/>
    <sheet name="BOT项目" sheetId="48" state="hidden" r:id="rId48"/>
    <sheet name="兼容性报表" sheetId="49" state="hidden" r:id="rId49"/>
  </sheets>
  <definedNames>
    <definedName name="__FDS_HYPERLINK_TOGGLE_STATE__">"ON"</definedName>
    <definedName name="__FDS_UNIQUE_RANGE_ID_GENERATOR_COUNTER">28</definedName>
    <definedName name="__FDS_USED_FOR_REUSING_RANGE_IDS_RECYCLE" localSheetId="5">{16,16,16,16,16,16,16,16,16,16,16}</definedName>
    <definedName name="__FDS_USED_FOR_REUSING_RANGE_IDS_RECYCLE" localSheetId="27">{16,16,16,16,16,16,16,16,16,16,16}</definedName>
    <definedName name="__FDS_USED_FOR_REUSING_RANGE_IDS_RECYCLE" localSheetId="22">{16,16,16,16,16,16,16,16,16,16,16}</definedName>
    <definedName name="__FDS_USED_FOR_REUSING_RANGE_IDS_RECYCLE" localSheetId="24">{16,16,16,16,16,16,16,16,16,16,16}</definedName>
    <definedName name="__FDS_USED_FOR_REUSING_RANGE_IDS_RECYCLE">{16,16,16,16,16,16,16,16,16,16,16}</definedName>
    <definedName name="__FDS_USED_FOR_REUSING_RANGE_IDS_RECYCLE_1">{16,16,16,16,16,16,16,16,16,16,16}</definedName>
    <definedName name="_1__FDSAUDITLINK__" localSheetId="5">{"fdsup://directions/FAT Viewer?action=UPDATE&amp;creator=factset&amp;DYN_ARGS=TRUE&amp;DOC_NAME=FAT:FQL_AUDITING_CLIENT_TEMPLATE.FAT&amp;display_string=Audit&amp;VAR:KEY=BCJCPCFALA&amp;VAR:QUERY=RkZfREVCVF9FUShBTk4sMCk=&amp;WINDOW=FIRST_POPUP&amp;HEIGHT=450&amp;WIDTH=450&amp;START_MAXIMIZED=FALS","E&amp;VAR:CALENDAR=US&amp;VAR:SYMBOL=NFLX&amp;VAR:INDEX=0"}</definedName>
    <definedName name="_1__FDSAUDITLINK__" localSheetId="27">{"fdsup://directions/FAT Viewer?action=UPDATE&amp;creator=factset&amp;DYN_ARGS=TRUE&amp;DOC_NAME=FAT:FQL_AUDITING_CLIENT_TEMPLATE.FAT&amp;display_string=Audit&amp;VAR:KEY=BCJCPCFALA&amp;VAR:QUERY=RkZfREVCVF9FUShBTk4sMCk=&amp;WINDOW=FIRST_POPUP&amp;HEIGHT=450&amp;WIDTH=450&amp;START_MAXIMIZED=FALS","E&amp;VAR:CALENDAR=US&amp;VAR:SYMBOL=NFLX&amp;VAR:INDEX=0"}</definedName>
    <definedName name="_1__FDSAUDITLINK__" localSheetId="22">{"fdsup://directions/FAT Viewer?action=UPDATE&amp;creator=factset&amp;DYN_ARGS=TRUE&amp;DOC_NAME=FAT:FQL_AUDITING_CLIENT_TEMPLATE.FAT&amp;display_string=Audit&amp;VAR:KEY=BCJCPCFALA&amp;VAR:QUERY=RkZfREVCVF9FUShBTk4sMCk=&amp;WINDOW=FIRST_POPUP&amp;HEIGHT=450&amp;WIDTH=450&amp;START_MAXIMIZED=FALS","E&amp;VAR:CALENDAR=US&amp;VAR:SYMBOL=NFLX&amp;VAR:INDEX=0"}</definedName>
    <definedName name="_1__FDSAUDITLINK__" localSheetId="24">{"fdsup://directions/FAT Viewer?action=UPDATE&amp;creator=factset&amp;DYN_ARGS=TRUE&amp;DOC_NAME=FAT:FQL_AUDITING_CLIENT_TEMPLATE.FAT&amp;display_string=Audit&amp;VAR:KEY=BCJCPCFALA&amp;VAR:QUERY=RkZfREVCVF9FUShBTk4sMCk=&amp;WINDOW=FIRST_POPUP&amp;HEIGHT=450&amp;WIDTH=450&amp;START_MAXIMIZED=FALS","E&amp;VAR:CALENDAR=US&amp;VAR:SYMBOL=NFLX&amp;VAR:INDEX=0"}</definedName>
    <definedName name="_1__FDSAUDITLINK__">{"fdsup://directions/FAT Viewer?action=UPDATE&amp;creator=factset&amp;DYN_ARGS=TRUE&amp;DOC_NAME=FAT:FQL_AUDITING_CLIENT_TEMPLATE.FAT&amp;display_string=Audit&amp;VAR:KEY=BCJCPCFALA&amp;VAR:QUERY=RkZfREVCVF9FUShBTk4sMCk=&amp;WINDOW=FIRST_POPUP&amp;HEIGHT=450&amp;WIDTH=450&amp;START_MAXIMIZED=FALS","E&amp;VAR:CALENDAR=US&amp;VAR:SYMBOL=NFLX&amp;VAR:INDEX=0"}</definedName>
    <definedName name="_1__FDSAUDITLINK___1">{"fdsup://directions/FAT Viewer?action=UPDATE&amp;creator=factset&amp;DYN_ARGS=TRUE&amp;DOC_NAME=FAT:FQL_AUDITING_CLIENT_TEMPLATE.FAT&amp;display_string=Audit&amp;VAR:KEY=BCJCPCFALA&amp;VAR:QUERY=RkZfREVCVF9FUShBTk4sMCk=&amp;WINDOW=FIRST_POPUP&amp;HEIGHT=450&amp;WIDTH=450&amp;START_MAXIMIZED=FALS","E&amp;VAR:CALENDAR=US&amp;VAR:SYMBOL=NFLX&amp;VAR:INDEX=0"}</definedName>
    <definedName name="_10__FDSAUDITLINK__" localSheetId="5">{"fdsup://directions/FAT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0__FDSAUDITLINK__" localSheetId="27">{"fdsup://directions/FAT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0__FDSAUDITLINK__" localSheetId="22">{"fdsup://directions/FAT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0__FDSAUDITLINK__" localSheetId="24">{"fdsup://directions/FAT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0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0__FDSAUDITLINK___1">{"fdsup://directions/FAT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00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00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00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00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0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00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01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01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01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01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0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01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02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02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02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02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0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02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03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03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03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03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0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03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04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04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04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04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0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04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05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05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05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05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0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05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06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06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06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06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0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06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07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07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07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07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0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07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08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08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08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08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0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08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09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09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09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09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0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09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0a2_" localSheetId="20">{"Client Name or Project Name"}</definedName>
    <definedName name="_11__FDSAUDITLINK__" localSheetId="5">{"fdsup://directions/FAT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1__FDSAUDITLINK__" localSheetId="27">{"fdsup://directions/FAT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1__FDSAUDITLINK__" localSheetId="22">{"fdsup://directions/FAT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1__FDSAUDITLINK__" localSheetId="24">{"fdsup://directions/FAT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1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1__FDSAUDITLINK___1">{"fdsup://directions/FAT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10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10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10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10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1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10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11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11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11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11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1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11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12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12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12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12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1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12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13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13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13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13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1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13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14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14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14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14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1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14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15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15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15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15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1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15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16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16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16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16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1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16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17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17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17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17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1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17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18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18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18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18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1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18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19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19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19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19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1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19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1a2_" localSheetId="23">{"Client Name or Project Name"}</definedName>
    <definedName name="_12__FDSAUDITLINK__" localSheetId="5">{"fdsup://directions/FAT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2__FDSAUDITLINK__" localSheetId="27">{"fdsup://directions/FAT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2__FDSAUDITLINK__" localSheetId="22">{"fdsup://directions/FAT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2__FDSAUDITLINK__" localSheetId="24">{"fdsup://directions/FAT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2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2__FDSAUDITLINK___1">{"fdsup://directions/FAT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20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20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20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20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2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20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21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21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21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21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2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21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22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22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22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22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2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22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23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23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23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23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2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23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24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24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24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24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2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24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25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25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25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25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2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25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26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26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26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26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2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26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27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27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27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27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2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27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28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28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28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28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2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28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29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29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29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29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2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29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2a2_" localSheetId="5">{"Client Name or Project Name"}</definedName>
    <definedName name="_12a2_" localSheetId="34">{"Client Name or Project Name"}</definedName>
    <definedName name="_12a2_" localSheetId="27">{"Client Name or Project Name"}</definedName>
    <definedName name="_12a2_" localSheetId="24">{"Client Name or Project Name"}</definedName>
    <definedName name="_12a2_">{"Client Name or Project Name"}</definedName>
    <definedName name="_12a2__1">{"Client Name or Project Name"}</definedName>
    <definedName name="_13__FDSAUDITLINK__" localSheetId="5">{"fdsup://directions/FAT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3__FDSAUDITLINK__" localSheetId="27">{"fdsup://directions/FAT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3__FDSAUDITLINK__" localSheetId="22">{"fdsup://directions/FAT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3__FDSAUDITLINK__" localSheetId="24">{"fdsup://directions/FAT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3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3__FDSAUDITLINK___1">{"fdsup://directions/FAT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30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30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30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30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3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30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31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31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31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31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3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31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32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32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32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32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3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32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33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33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33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33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3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33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34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34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34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34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3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34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35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35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35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35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3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35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36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36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36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36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3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36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37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37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37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37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3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37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38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38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38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38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3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38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39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39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39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39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3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39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3a2_" localSheetId="32">{"Client Name or Project Name"}</definedName>
    <definedName name="_14__FDSAUDITLINK__" localSheetId="5">{"fdsup://directions/FAT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4__FDSAUDITLINK__" localSheetId="27">{"fdsup://directions/FAT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4__FDSAUDITLINK__" localSheetId="22">{"fdsup://directions/FAT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4__FDSAUDITLINK__" localSheetId="24">{"fdsup://directions/FAT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4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4__FDSAUDITLINK___1">{"fdsup://directions/FAT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40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40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40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40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4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40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41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41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41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41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4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41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42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42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42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42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4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42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43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43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43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43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4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43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44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44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44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44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4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44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45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45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45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45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4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45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46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46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46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46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4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46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47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47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47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47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4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47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48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48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48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48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4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48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49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49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49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49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4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49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4a2_" localSheetId="27">{"Client Name or Project Name"}</definedName>
    <definedName name="_14a2_">{"Client Name or Project Name"}</definedName>
    <definedName name="_14a2__1">{"Client Name or Project Name"}</definedName>
    <definedName name="_15__FDSAUDITLINK__" localSheetId="5">{"fdsup://directions/FAT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5__FDSAUDITLINK__" localSheetId="27">{"fdsup://directions/FAT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5__FDSAUDITLINK__" localSheetId="22">{"fdsup://directions/FAT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5__FDSAUDITLINK__" localSheetId="24">{"fdsup://directions/FAT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5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5__FDSAUDITLINK___1">{"fdsup://directions/FAT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50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50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50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50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5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50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51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51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51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51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5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51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52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52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52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52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5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52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53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53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53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53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5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53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54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54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54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54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5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54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55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55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55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55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5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55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56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56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56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56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5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56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57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57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57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57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5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57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58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58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58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58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5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58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59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59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59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59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5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59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6__FDSAUDITLINK__" localSheetId="5">{"fdsup://directions/FAT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6__FDSAUDITLINK__" localSheetId="27">{"fdsup://directions/FAT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6__FDSAUDITLINK__" localSheetId="22">{"fdsup://directions/FAT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6__FDSAUDITLINK__" localSheetId="24">{"fdsup://directions/FAT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6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6__FDSAUDITLINK___1">{"fdsup://directions/FAT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60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60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60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60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6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60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61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61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61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61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6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61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62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62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62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62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6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62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63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63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63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63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6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63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64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64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64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64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6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64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65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65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65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65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6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65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66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66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66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66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6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66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67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67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67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67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6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67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68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68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68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68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6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68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69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69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69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69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6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69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7__FDSAUDITLINK__" localSheetId="5">{"fdsup://directions/FAT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7__FDSAUDITLINK__" localSheetId="27">{"fdsup://directions/FAT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7__FDSAUDITLINK__" localSheetId="22">{"fdsup://directions/FAT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7__FDSAUDITLINK__" localSheetId="24">{"fdsup://directions/FAT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7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7__FDSAUDITLINK___1">{"fdsup://directions/FAT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70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70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70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70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7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70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71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71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71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71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7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71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72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72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72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72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7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72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73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73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73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73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7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73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74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74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74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74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7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74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75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75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75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75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7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75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76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76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76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76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7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76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77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77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77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77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7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77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78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78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78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78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7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78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79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79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79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79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7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79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8__FDSAUDITLINK__" localSheetId="5">{"fdsup://directions/FAT Viewer?action=UPDATE&amp;creator=factset&amp;DYN_ARGS=TRUE&amp;DOC_NAME=FAT:FQL_AUDITING_CLIENT_TEMPLATE.FAT&amp;display_string=Audit&amp;VAR:KEY=TAHIFWBKDS&amp;VAR:QUERY=RkZfREVCVF9FUShBTk4sMENRKQ==&amp;WINDOW=FIRST_POPUP&amp;HEIGHT=450&amp;WIDTH=450&amp;START_MAXIMIZED=","FALSE&amp;VAR:CALENDAR=US&amp;VAR:SYMBOL=CAR&amp;VAR:INDEX=0"}</definedName>
    <definedName name="_18__FDSAUDITLINK__" localSheetId="27">{"fdsup://directions/FAT Viewer?action=UPDATE&amp;creator=factset&amp;DYN_ARGS=TRUE&amp;DOC_NAME=FAT:FQL_AUDITING_CLIENT_TEMPLATE.FAT&amp;display_string=Audit&amp;VAR:KEY=TAHIFWBKDS&amp;VAR:QUERY=RkZfREVCVF9FUShBTk4sMENRKQ==&amp;WINDOW=FIRST_POPUP&amp;HEIGHT=450&amp;WIDTH=450&amp;START_MAXIMIZED=","FALSE&amp;VAR:CALENDAR=US&amp;VAR:SYMBOL=CAR&amp;VAR:INDEX=0"}</definedName>
    <definedName name="_18__FDSAUDITLINK__" localSheetId="22">{"fdsup://directions/FAT Viewer?action=UPDATE&amp;creator=factset&amp;DYN_ARGS=TRUE&amp;DOC_NAME=FAT:FQL_AUDITING_CLIENT_TEMPLATE.FAT&amp;display_string=Audit&amp;VAR:KEY=TAHIFWBKDS&amp;VAR:QUERY=RkZfREVCVF9FUShBTk4sMENRKQ==&amp;WINDOW=FIRST_POPUP&amp;HEIGHT=450&amp;WIDTH=450&amp;START_MAXIMIZED=","FALSE&amp;VAR:CALENDAR=US&amp;VAR:SYMBOL=CAR&amp;VAR:INDEX=0"}</definedName>
    <definedName name="_18__FDSAUDITLINK__" localSheetId="24">{"fdsup://directions/FAT Viewer?action=UPDATE&amp;creator=factset&amp;DYN_ARGS=TRUE&amp;DOC_NAME=FAT:FQL_AUDITING_CLIENT_TEMPLATE.FAT&amp;display_string=Audit&amp;VAR:KEY=TAHIFWBKDS&amp;VAR:QUERY=RkZfREVCVF9FUShBTk4sMENRKQ==&amp;WINDOW=FIRST_POPUP&amp;HEIGHT=450&amp;WIDTH=450&amp;START_MAXIMIZED=","FALSE&amp;VAR:CALENDAR=US&amp;VAR:SYMBOL=CAR&amp;VAR:INDEX=0"}</definedName>
    <definedName name="_18__FDSAUDITLINK__">{"fdsup://directions/FAT Viewer?action=UPDATE&amp;creator=factset&amp;DYN_ARGS=TRUE&amp;DOC_NAME=FAT:FQL_AUDITING_CLIENT_TEMPLATE.FAT&amp;display_string=Audit&amp;VAR:KEY=TAHIFWBKDS&amp;VAR:QUERY=RkZfREVCVF9FUShBTk4sMENRKQ==&amp;WINDOW=FIRST_POPUP&amp;HEIGHT=450&amp;WIDTH=450&amp;START_MAXIMIZED=","FALSE&amp;VAR:CALENDAR=US&amp;VAR:SYMBOL=CAR&amp;VAR:INDEX=0"}</definedName>
    <definedName name="_18__FDSAUDITLINK___1">{"fdsup://directions/FAT Viewer?action=UPDATE&amp;creator=factset&amp;DYN_ARGS=TRUE&amp;DOC_NAME=FAT:FQL_AUDITING_CLIENT_TEMPLATE.FAT&amp;display_string=Audit&amp;VAR:KEY=TAHIFWBKDS&amp;VAR:QUERY=RkZfREVCVF9FUShBTk4sMENRKQ==&amp;WINDOW=FIRST_POPUP&amp;HEIGHT=450&amp;WIDTH=450&amp;START_MAXIMIZED=","FALSE&amp;VAR:CALENDAR=US&amp;VAR:SYMBOL=CAR&amp;VAR:INDEX=0"}</definedName>
    <definedName name="_180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80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80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80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8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80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81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81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81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81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8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81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82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82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82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82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8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82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83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83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83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83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8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83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84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84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84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84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8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84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85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85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85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85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8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85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86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86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86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86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8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86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87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87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87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87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8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87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88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88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88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88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8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88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89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89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89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89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8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89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9__FDSAUDITLINK__" localSheetId="5">{"fdsup://directions/FAT Viewer?action=UPDATE&amp;creator=factset&amp;DYN_ARGS=TRUE&amp;DOC_NAME=FAT:FQL_AUDITING_CLIENT_TEMPLATE.FAT&amp;display_string=Audit&amp;VAR:KEY=JAVOFGPCFM&amp;VAR:QUERY=RkZfREVCVF9FUShBTk4sMENRKQ==&amp;WINDOW=FIRST_POPUP&amp;HEIGHT=450&amp;WIDTH=450&amp;START_MAXIMIZED=","FALSE&amp;VAR:CALENDAR=US&amp;VAR:SYMBOL=DTG&amp;VAR:INDEX=0"}</definedName>
    <definedName name="_19__FDSAUDITLINK__" localSheetId="27">{"fdsup://directions/FAT Viewer?action=UPDATE&amp;creator=factset&amp;DYN_ARGS=TRUE&amp;DOC_NAME=FAT:FQL_AUDITING_CLIENT_TEMPLATE.FAT&amp;display_string=Audit&amp;VAR:KEY=JAVOFGPCFM&amp;VAR:QUERY=RkZfREVCVF9FUShBTk4sMENRKQ==&amp;WINDOW=FIRST_POPUP&amp;HEIGHT=450&amp;WIDTH=450&amp;START_MAXIMIZED=","FALSE&amp;VAR:CALENDAR=US&amp;VAR:SYMBOL=DTG&amp;VAR:INDEX=0"}</definedName>
    <definedName name="_19__FDSAUDITLINK__" localSheetId="22">{"fdsup://directions/FAT Viewer?action=UPDATE&amp;creator=factset&amp;DYN_ARGS=TRUE&amp;DOC_NAME=FAT:FQL_AUDITING_CLIENT_TEMPLATE.FAT&amp;display_string=Audit&amp;VAR:KEY=JAVOFGPCFM&amp;VAR:QUERY=RkZfREVCVF9FUShBTk4sMENRKQ==&amp;WINDOW=FIRST_POPUP&amp;HEIGHT=450&amp;WIDTH=450&amp;START_MAXIMIZED=","FALSE&amp;VAR:CALENDAR=US&amp;VAR:SYMBOL=DTG&amp;VAR:INDEX=0"}</definedName>
    <definedName name="_19__FDSAUDITLINK__" localSheetId="24">{"fdsup://directions/FAT Viewer?action=UPDATE&amp;creator=factset&amp;DYN_ARGS=TRUE&amp;DOC_NAME=FAT:FQL_AUDITING_CLIENT_TEMPLATE.FAT&amp;display_string=Audit&amp;VAR:KEY=JAVOFGPCFM&amp;VAR:QUERY=RkZfREVCVF9FUShBTk4sMENRKQ==&amp;WINDOW=FIRST_POPUP&amp;HEIGHT=450&amp;WIDTH=450&amp;START_MAXIMIZED=","FALSE&amp;VAR:CALENDAR=US&amp;VAR:SYMBOL=DTG&amp;VAR:INDEX=0"}</definedName>
    <definedName name="_19__FDSAUDITLINK__">{"fdsup://directions/FAT Viewer?action=UPDATE&amp;creator=factset&amp;DYN_ARGS=TRUE&amp;DOC_NAME=FAT:FQL_AUDITING_CLIENT_TEMPLATE.FAT&amp;display_string=Audit&amp;VAR:KEY=JAVOFGPCFM&amp;VAR:QUERY=RkZfREVCVF9FUShBTk4sMENRKQ==&amp;WINDOW=FIRST_POPUP&amp;HEIGHT=450&amp;WIDTH=450&amp;START_MAXIMIZED=","FALSE&amp;VAR:CALENDAR=US&amp;VAR:SYMBOL=DTG&amp;VAR:INDEX=0"}</definedName>
    <definedName name="_19__FDSAUDITLINK___1">{"fdsup://directions/FAT Viewer?action=UPDATE&amp;creator=factset&amp;DYN_ARGS=TRUE&amp;DOC_NAME=FAT:FQL_AUDITING_CLIENT_TEMPLATE.FAT&amp;display_string=Audit&amp;VAR:KEY=JAVOFGPCFM&amp;VAR:QUERY=RkZfREVCVF9FUShBTk4sMENRKQ==&amp;WINDOW=FIRST_POPUP&amp;HEIGHT=450&amp;WIDTH=450&amp;START_MAXIMIZED=","FALSE&amp;VAR:CALENDAR=US&amp;VAR:SYMBOL=DTG&amp;VAR:INDEX=0"}</definedName>
    <definedName name="_190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90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90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90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9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90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999E">#REF!</definedName>
    <definedName name="_1a1_" localSheetId="5">{"Client Name or Project Name"}</definedName>
    <definedName name="_1a1_" localSheetId="18">{"Client Name or Project Name"}</definedName>
    <definedName name="_1a1_" localSheetId="27">{"Client Name or Project Name"}</definedName>
    <definedName name="_1a1_" localSheetId="24">{"Client Name or Project Name"}</definedName>
    <definedName name="_1a1_">{"Client Name or Project Name"}</definedName>
    <definedName name="_1a1__1">{"Client Name or Project Name"}</definedName>
    <definedName name="_1Q97A">#REF!</definedName>
    <definedName name="_1Q98A">#REF!</definedName>
    <definedName name="_1Q99A">#REF!</definedName>
    <definedName name="_2__FDSAUDITLINK__" localSheetId="5">{"fdsup://directions/FAT Viewer?action=UPDATE&amp;creator=factset&amp;DYN_ARGS=TRUE&amp;DOC_NAME=FAT:FQL_AUDITING_CLIENT_TEMPLATE.FAT&amp;display_string=Audit&amp;VAR:KEY=CFUZKVEVCF&amp;VAR:QUERY=RkZfREVCVF9FUShBTk4sMCk=&amp;WINDOW=FIRST_POPUP&amp;HEIGHT=450&amp;WIDTH=450&amp;START_MAXIMIZED=FALS","E&amp;VAR:CALENDAR=US&amp;VAR:SYMBOL=VPRT&amp;VAR:INDEX=0"}</definedName>
    <definedName name="_2__FDSAUDITLINK__" localSheetId="27">{"fdsup://directions/FAT Viewer?action=UPDATE&amp;creator=factset&amp;DYN_ARGS=TRUE&amp;DOC_NAME=FAT:FQL_AUDITING_CLIENT_TEMPLATE.FAT&amp;display_string=Audit&amp;VAR:KEY=CFUZKVEVCF&amp;VAR:QUERY=RkZfREVCVF9FUShBTk4sMCk=&amp;WINDOW=FIRST_POPUP&amp;HEIGHT=450&amp;WIDTH=450&amp;START_MAXIMIZED=FALS","E&amp;VAR:CALENDAR=US&amp;VAR:SYMBOL=VPRT&amp;VAR:INDEX=0"}</definedName>
    <definedName name="_2__FDSAUDITLINK__" localSheetId="22">{"fdsup://directions/FAT Viewer?action=UPDATE&amp;creator=factset&amp;DYN_ARGS=TRUE&amp;DOC_NAME=FAT:FQL_AUDITING_CLIENT_TEMPLATE.FAT&amp;display_string=Audit&amp;VAR:KEY=CFUZKVEVCF&amp;VAR:QUERY=RkZfREVCVF9FUShBTk4sMCk=&amp;WINDOW=FIRST_POPUP&amp;HEIGHT=450&amp;WIDTH=450&amp;START_MAXIMIZED=FALS","E&amp;VAR:CALENDAR=US&amp;VAR:SYMBOL=VPRT&amp;VAR:INDEX=0"}</definedName>
    <definedName name="_2__FDSAUDITLINK__" localSheetId="24">{"fdsup://directions/FAT Viewer?action=UPDATE&amp;creator=factset&amp;DYN_ARGS=TRUE&amp;DOC_NAME=FAT:FQL_AUDITING_CLIENT_TEMPLATE.FAT&amp;display_string=Audit&amp;VAR:KEY=CFUZKVEVCF&amp;VAR:QUERY=RkZfREVCVF9FUShBTk4sMCk=&amp;WINDOW=FIRST_POPUP&amp;HEIGHT=450&amp;WIDTH=450&amp;START_MAXIMIZED=FALS","E&amp;VAR:CALENDAR=US&amp;VAR:SYMBOL=VPRT&amp;VAR:INDEX=0"}</definedName>
    <definedName name="_2__FDSAUDITLINK__">{"fdsup://directions/FAT Viewer?action=UPDATE&amp;creator=factset&amp;DYN_ARGS=TRUE&amp;DOC_NAME=FAT:FQL_AUDITING_CLIENT_TEMPLATE.FAT&amp;display_string=Audit&amp;VAR:KEY=CFUZKVEVCF&amp;VAR:QUERY=RkZfREVCVF9FUShBTk4sMCk=&amp;WINDOW=FIRST_POPUP&amp;HEIGHT=450&amp;WIDTH=450&amp;START_MAXIMIZED=FALS","E&amp;VAR:CALENDAR=US&amp;VAR:SYMBOL=VPRT&amp;VAR:INDEX=0"}</definedName>
    <definedName name="_2__FDSAUDITLINK___1">{"fdsup://directions/FAT Viewer?action=UPDATE&amp;creator=factset&amp;DYN_ARGS=TRUE&amp;DOC_NAME=FAT:FQL_AUDITING_CLIENT_TEMPLATE.FAT&amp;display_string=Audit&amp;VAR:KEY=CFUZKVEVCF&amp;VAR:QUERY=RkZfREVCVF9FUShBTk4sMCk=&amp;WINDOW=FIRST_POPUP&amp;HEIGHT=450&amp;WIDTH=450&amp;START_MAXIMIZED=FALS","E&amp;VAR:CALENDAR=US&amp;VAR:SYMBOL=VPRT&amp;VAR:INDEX=0"}</definedName>
    <definedName name="_20__FDSAUDITLINK__" localSheetId="5">{"fdsup://directions/FAT Viewer?action=UPDATE&amp;creator=factset&amp;DYN_ARGS=TRUE&amp;DOC_NAME=FAT:FQL_AUDITING_CLIENT_TEMPLATE.FAT&amp;display_string=Audit&amp;VAR:KEY=HQNIZQXEVU&amp;VAR:QUERY=RkZfREVCVF9FUShBTk4sMENRKQ==&amp;WINDOW=FIRST_POPUP&amp;HEIGHT=450&amp;WIDTH=450&amp;START_MAXIMIZED=","FALSE&amp;VAR:CALENDAR=US&amp;VAR:SYMBOL=HTZ&amp;VAR:INDEX=0"}</definedName>
    <definedName name="_20__FDSAUDITLINK__" localSheetId="27">{"fdsup://directions/FAT Viewer?action=UPDATE&amp;creator=factset&amp;DYN_ARGS=TRUE&amp;DOC_NAME=FAT:FQL_AUDITING_CLIENT_TEMPLATE.FAT&amp;display_string=Audit&amp;VAR:KEY=HQNIZQXEVU&amp;VAR:QUERY=RkZfREVCVF9FUShBTk4sMENRKQ==&amp;WINDOW=FIRST_POPUP&amp;HEIGHT=450&amp;WIDTH=450&amp;START_MAXIMIZED=","FALSE&amp;VAR:CALENDAR=US&amp;VAR:SYMBOL=HTZ&amp;VAR:INDEX=0"}</definedName>
    <definedName name="_20__FDSAUDITLINK__" localSheetId="22">{"fdsup://directions/FAT Viewer?action=UPDATE&amp;creator=factset&amp;DYN_ARGS=TRUE&amp;DOC_NAME=FAT:FQL_AUDITING_CLIENT_TEMPLATE.FAT&amp;display_string=Audit&amp;VAR:KEY=HQNIZQXEVU&amp;VAR:QUERY=RkZfREVCVF9FUShBTk4sMENRKQ==&amp;WINDOW=FIRST_POPUP&amp;HEIGHT=450&amp;WIDTH=450&amp;START_MAXIMIZED=","FALSE&amp;VAR:CALENDAR=US&amp;VAR:SYMBOL=HTZ&amp;VAR:INDEX=0"}</definedName>
    <definedName name="_20__FDSAUDITLINK__" localSheetId="24">{"fdsup://directions/FAT Viewer?action=UPDATE&amp;creator=factset&amp;DYN_ARGS=TRUE&amp;DOC_NAME=FAT:FQL_AUDITING_CLIENT_TEMPLATE.FAT&amp;display_string=Audit&amp;VAR:KEY=HQNIZQXEVU&amp;VAR:QUERY=RkZfREVCVF9FUShBTk4sMENRKQ==&amp;WINDOW=FIRST_POPUP&amp;HEIGHT=450&amp;WIDTH=450&amp;START_MAXIMIZED=","FALSE&amp;VAR:CALENDAR=US&amp;VAR:SYMBOL=HTZ&amp;VAR:INDEX=0"}</definedName>
    <definedName name="_20__FDSAUDITLINK__">{"fdsup://directions/FAT Viewer?action=UPDATE&amp;creator=factset&amp;DYN_ARGS=TRUE&amp;DOC_NAME=FAT:FQL_AUDITING_CLIENT_TEMPLATE.FAT&amp;display_string=Audit&amp;VAR:KEY=HQNIZQXEVU&amp;VAR:QUERY=RkZfREVCVF9FUShBTk4sMENRKQ==&amp;WINDOW=FIRST_POPUP&amp;HEIGHT=450&amp;WIDTH=450&amp;START_MAXIMIZED=","FALSE&amp;VAR:CALENDAR=US&amp;VAR:SYMBOL=HTZ&amp;VAR:INDEX=0"}</definedName>
    <definedName name="_20__FDSAUDITLINK___1">{"fdsup://directions/FAT Viewer?action=UPDATE&amp;creator=factset&amp;DYN_ARGS=TRUE&amp;DOC_NAME=FAT:FQL_AUDITING_CLIENT_TEMPLATE.FAT&amp;display_string=Audit&amp;VAR:KEY=HQNIZQXEVU&amp;VAR:QUERY=RkZfREVCVF9FUShBTk4sMENRKQ==&amp;WINDOW=FIRST_POPUP&amp;HEIGHT=450&amp;WIDTH=450&amp;START_MAXIMIZED=","FALSE&amp;VAR:CALENDAR=US&amp;VAR:SYMBOL=HTZ&amp;VAR:INDEX=0"}</definedName>
    <definedName name="_2000E">#REF!</definedName>
    <definedName name="_2001E">#REF!</definedName>
    <definedName name="_2002E">#REF!</definedName>
    <definedName name="_2003E">#REF!</definedName>
    <definedName name="_2004E">#REF!</definedName>
    <definedName name="_2005E">#REF!</definedName>
    <definedName name="_2006E">#REF!</definedName>
    <definedName name="_2007E">#REF!</definedName>
    <definedName name="_2008E">#REF!</definedName>
    <definedName name="_21__FDSAUDITLINK__" localSheetId="5">{"fdsup://directions/FAT Viewer?action=UPDATE&amp;creator=factset&amp;DYN_ARGS=TRUE&amp;DOC_NAME=FAT:FQL_AUDITING_CLIENT_TEMPLATE.FAT&amp;display_string=Audit&amp;VAR:KEY=XUXMTIZCHO&amp;VAR:QUERY=RkZfREVCVF9FUShBTk4sMENRKQ==&amp;WINDOW=FIRST_POPUP&amp;HEIGHT=450&amp;WIDTH=450&amp;START_MAXIMIZED=","FALSE&amp;VAR:CALENDAR=US&amp;VAR:SYMBOL=WFMI&amp;VAR:INDEX=0"}</definedName>
    <definedName name="_21__FDSAUDITLINK__" localSheetId="27">{"fdsup://directions/FAT Viewer?action=UPDATE&amp;creator=factset&amp;DYN_ARGS=TRUE&amp;DOC_NAME=FAT:FQL_AUDITING_CLIENT_TEMPLATE.FAT&amp;display_string=Audit&amp;VAR:KEY=XUXMTIZCHO&amp;VAR:QUERY=RkZfREVCVF9FUShBTk4sMENRKQ==&amp;WINDOW=FIRST_POPUP&amp;HEIGHT=450&amp;WIDTH=450&amp;START_MAXIMIZED=","FALSE&amp;VAR:CALENDAR=US&amp;VAR:SYMBOL=WFMI&amp;VAR:INDEX=0"}</definedName>
    <definedName name="_21__FDSAUDITLINK__" localSheetId="22">{"fdsup://directions/FAT Viewer?action=UPDATE&amp;creator=factset&amp;DYN_ARGS=TRUE&amp;DOC_NAME=FAT:FQL_AUDITING_CLIENT_TEMPLATE.FAT&amp;display_string=Audit&amp;VAR:KEY=XUXMTIZCHO&amp;VAR:QUERY=RkZfREVCVF9FUShBTk4sMENRKQ==&amp;WINDOW=FIRST_POPUP&amp;HEIGHT=450&amp;WIDTH=450&amp;START_MAXIMIZED=","FALSE&amp;VAR:CALENDAR=US&amp;VAR:SYMBOL=WFMI&amp;VAR:INDEX=0"}</definedName>
    <definedName name="_21__FDSAUDITLINK__" localSheetId="24">{"fdsup://directions/FAT Viewer?action=UPDATE&amp;creator=factset&amp;DYN_ARGS=TRUE&amp;DOC_NAME=FAT:FQL_AUDITING_CLIENT_TEMPLATE.FAT&amp;display_string=Audit&amp;VAR:KEY=XUXMTIZCHO&amp;VAR:QUERY=RkZfREVCVF9FUShBTk4sMENRKQ==&amp;WINDOW=FIRST_POPUP&amp;HEIGHT=450&amp;WIDTH=450&amp;START_MAXIMIZED=","FALSE&amp;VAR:CALENDAR=US&amp;VAR:SYMBOL=WFMI&amp;VAR:INDEX=0"}</definedName>
    <definedName name="_21__FDSAUDITLINK__">{"fdsup://directions/FAT Viewer?action=UPDATE&amp;creator=factset&amp;DYN_ARGS=TRUE&amp;DOC_NAME=FAT:FQL_AUDITING_CLIENT_TEMPLATE.FAT&amp;display_string=Audit&amp;VAR:KEY=XUXMTIZCHO&amp;VAR:QUERY=RkZfREVCVF9FUShBTk4sMENRKQ==&amp;WINDOW=FIRST_POPUP&amp;HEIGHT=450&amp;WIDTH=450&amp;START_MAXIMIZED=","FALSE&amp;VAR:CALENDAR=US&amp;VAR:SYMBOL=WFMI&amp;VAR:INDEX=0"}</definedName>
    <definedName name="_21__FDSAUDITLINK___1">{"fdsup://directions/FAT Viewer?action=UPDATE&amp;creator=factset&amp;DYN_ARGS=TRUE&amp;DOC_NAME=FAT:FQL_AUDITING_CLIENT_TEMPLATE.FAT&amp;display_string=Audit&amp;VAR:KEY=XUXMTIZCHO&amp;VAR:QUERY=RkZfREVCVF9FUShBTk4sMENRKQ==&amp;WINDOW=FIRST_POPUP&amp;HEIGHT=450&amp;WIDTH=450&amp;START_MAXIMIZED=","FALSE&amp;VAR:CALENDAR=US&amp;VAR:SYMBOL=WFMI&amp;VAR:INDEX=0"}</definedName>
    <definedName name="_22__FDSAUDITLINK__" localSheetId="5">{"fdsup://directions/FAT Viewer?action=UPDATE&amp;creator=factset&amp;DYN_ARGS=TRUE&amp;DOC_NAME=FAT:FQL_AUDITING_CLIENT_TEMPLATE.FAT&amp;display_string=Audit&amp;VAR:KEY=XOFEVGXWZM&amp;VAR:QUERY=RkZfREVCVF9FUShBTk4sMENRKQ==&amp;WINDOW=FIRST_POPUP&amp;HEIGHT=450&amp;WIDTH=450&amp;START_MAXIMIZED=","FALSE&amp;VAR:CALENDAR=US&amp;VAR:SYMBOL=UA&amp;VAR:INDEX=0"}</definedName>
    <definedName name="_22__FDSAUDITLINK__" localSheetId="27">{"fdsup://directions/FAT Viewer?action=UPDATE&amp;creator=factset&amp;DYN_ARGS=TRUE&amp;DOC_NAME=FAT:FQL_AUDITING_CLIENT_TEMPLATE.FAT&amp;display_string=Audit&amp;VAR:KEY=XOFEVGXWZM&amp;VAR:QUERY=RkZfREVCVF9FUShBTk4sMENRKQ==&amp;WINDOW=FIRST_POPUP&amp;HEIGHT=450&amp;WIDTH=450&amp;START_MAXIMIZED=","FALSE&amp;VAR:CALENDAR=US&amp;VAR:SYMBOL=UA&amp;VAR:INDEX=0"}</definedName>
    <definedName name="_22__FDSAUDITLINK__" localSheetId="22">{"fdsup://directions/FAT Viewer?action=UPDATE&amp;creator=factset&amp;DYN_ARGS=TRUE&amp;DOC_NAME=FAT:FQL_AUDITING_CLIENT_TEMPLATE.FAT&amp;display_string=Audit&amp;VAR:KEY=XOFEVGXWZM&amp;VAR:QUERY=RkZfREVCVF9FUShBTk4sMENRKQ==&amp;WINDOW=FIRST_POPUP&amp;HEIGHT=450&amp;WIDTH=450&amp;START_MAXIMIZED=","FALSE&amp;VAR:CALENDAR=US&amp;VAR:SYMBOL=UA&amp;VAR:INDEX=0"}</definedName>
    <definedName name="_22__FDSAUDITLINK__" localSheetId="24">{"fdsup://directions/FAT Viewer?action=UPDATE&amp;creator=factset&amp;DYN_ARGS=TRUE&amp;DOC_NAME=FAT:FQL_AUDITING_CLIENT_TEMPLATE.FAT&amp;display_string=Audit&amp;VAR:KEY=XOFEVGXWZM&amp;VAR:QUERY=RkZfREVCVF9FUShBTk4sMENRKQ==&amp;WINDOW=FIRST_POPUP&amp;HEIGHT=450&amp;WIDTH=450&amp;START_MAXIMIZED=","FALSE&amp;VAR:CALENDAR=US&amp;VAR:SYMBOL=UA&amp;VAR:INDEX=0"}</definedName>
    <definedName name="_22__FDSAUDITLINK__">{"fdsup://directions/FAT Viewer?action=UPDATE&amp;creator=factset&amp;DYN_ARGS=TRUE&amp;DOC_NAME=FAT:FQL_AUDITING_CLIENT_TEMPLATE.FAT&amp;display_string=Audit&amp;VAR:KEY=XOFEVGXWZM&amp;VAR:QUERY=RkZfREVCVF9FUShBTk4sMENRKQ==&amp;WINDOW=FIRST_POPUP&amp;HEIGHT=450&amp;WIDTH=450&amp;START_MAXIMIZED=","FALSE&amp;VAR:CALENDAR=US&amp;VAR:SYMBOL=UA&amp;VAR:INDEX=0"}</definedName>
    <definedName name="_22__FDSAUDITLINK___1">{"fdsup://directions/FAT Viewer?action=UPDATE&amp;creator=factset&amp;DYN_ARGS=TRUE&amp;DOC_NAME=FAT:FQL_AUDITING_CLIENT_TEMPLATE.FAT&amp;display_string=Audit&amp;VAR:KEY=XOFEVGXWZM&amp;VAR:QUERY=RkZfREVCVF9FUShBTk4sMENRKQ==&amp;WINDOW=FIRST_POPUP&amp;HEIGHT=450&amp;WIDTH=450&amp;START_MAXIMIZED=","FALSE&amp;VAR:CALENDAR=US&amp;VAR:SYMBOL=UA&amp;VAR:INDEX=0"}</definedName>
    <definedName name="_23__FDSAUDITLINK__" localSheetId="5">{"fdsup://directions/FAT Viewer?action=UPDATE&amp;creator=factset&amp;DYN_ARGS=TRUE&amp;DOC_NAME=FAT:FQL_AUDITING_CLIENT_TEMPLATE.FAT&amp;display_string=Audit&amp;VAR:KEY=RSXCNUVSDI&amp;VAR:QUERY=RkZfREVCVF9FUShBTk4sMENRKQ==&amp;WINDOW=FIRST_POPUP&amp;HEIGHT=450&amp;WIDTH=450&amp;START_MAXIMIZED=","FALSE&amp;VAR:CALENDAR=US&amp;VAR:SYMBOL=CMG&amp;VAR:INDEX=0"}</definedName>
    <definedName name="_23__FDSAUDITLINK__" localSheetId="27">{"fdsup://directions/FAT Viewer?action=UPDATE&amp;creator=factset&amp;DYN_ARGS=TRUE&amp;DOC_NAME=FAT:FQL_AUDITING_CLIENT_TEMPLATE.FAT&amp;display_string=Audit&amp;VAR:KEY=RSXCNUVSDI&amp;VAR:QUERY=RkZfREVCVF9FUShBTk4sMENRKQ==&amp;WINDOW=FIRST_POPUP&amp;HEIGHT=450&amp;WIDTH=450&amp;START_MAXIMIZED=","FALSE&amp;VAR:CALENDAR=US&amp;VAR:SYMBOL=CMG&amp;VAR:INDEX=0"}</definedName>
    <definedName name="_23__FDSAUDITLINK__" localSheetId="22">{"fdsup://directions/FAT Viewer?action=UPDATE&amp;creator=factset&amp;DYN_ARGS=TRUE&amp;DOC_NAME=FAT:FQL_AUDITING_CLIENT_TEMPLATE.FAT&amp;display_string=Audit&amp;VAR:KEY=RSXCNUVSDI&amp;VAR:QUERY=RkZfREVCVF9FUShBTk4sMENRKQ==&amp;WINDOW=FIRST_POPUP&amp;HEIGHT=450&amp;WIDTH=450&amp;START_MAXIMIZED=","FALSE&amp;VAR:CALENDAR=US&amp;VAR:SYMBOL=CMG&amp;VAR:INDEX=0"}</definedName>
    <definedName name="_23__FDSAUDITLINK__" localSheetId="24">{"fdsup://directions/FAT Viewer?action=UPDATE&amp;creator=factset&amp;DYN_ARGS=TRUE&amp;DOC_NAME=FAT:FQL_AUDITING_CLIENT_TEMPLATE.FAT&amp;display_string=Audit&amp;VAR:KEY=RSXCNUVSDI&amp;VAR:QUERY=RkZfREVCVF9FUShBTk4sMENRKQ==&amp;WINDOW=FIRST_POPUP&amp;HEIGHT=450&amp;WIDTH=450&amp;START_MAXIMIZED=","FALSE&amp;VAR:CALENDAR=US&amp;VAR:SYMBOL=CMG&amp;VAR:INDEX=0"}</definedName>
    <definedName name="_23__FDSAUDITLINK__">{"fdsup://directions/FAT Viewer?action=UPDATE&amp;creator=factset&amp;DYN_ARGS=TRUE&amp;DOC_NAME=FAT:FQL_AUDITING_CLIENT_TEMPLATE.FAT&amp;display_string=Audit&amp;VAR:KEY=RSXCNUVSDI&amp;VAR:QUERY=RkZfREVCVF9FUShBTk4sMENRKQ==&amp;WINDOW=FIRST_POPUP&amp;HEIGHT=450&amp;WIDTH=450&amp;START_MAXIMIZED=","FALSE&amp;VAR:CALENDAR=US&amp;VAR:SYMBOL=CMG&amp;VAR:INDEX=0"}</definedName>
    <definedName name="_23__FDSAUDITLINK___1">{"fdsup://directions/FAT Viewer?action=UPDATE&amp;creator=factset&amp;DYN_ARGS=TRUE&amp;DOC_NAME=FAT:FQL_AUDITING_CLIENT_TEMPLATE.FAT&amp;display_string=Audit&amp;VAR:KEY=RSXCNUVSDI&amp;VAR:QUERY=RkZfREVCVF9FUShBTk4sMENRKQ==&amp;WINDOW=FIRST_POPUP&amp;HEIGHT=450&amp;WIDTH=450&amp;START_MAXIMIZED=","FALSE&amp;VAR:CALENDAR=US&amp;VAR:SYMBOL=CMG&amp;VAR:INDEX=0"}</definedName>
    <definedName name="_24__FDSAUDITLINK__" localSheetId="5">{"fdsup://directions/FAT Viewer?action=UPDATE&amp;creator=factset&amp;DYN_ARGS=TRUE&amp;DOC_NAME=FAT:FQL_AUDITING_CLIENT_TEMPLATE.FAT&amp;display_string=Audit&amp;VAR:KEY=LUXABSXABY&amp;VAR:QUERY=RkZfREVCVF9FUShBTk4sMENRKQ==&amp;WINDOW=FIRST_POPUP&amp;HEIGHT=450&amp;WIDTH=450&amp;START_MAXIMIZED=","FALSE&amp;VAR:CALENDAR=US&amp;VAR:SYMBOL=LULU&amp;VAR:INDEX=0"}</definedName>
    <definedName name="_24__FDSAUDITLINK__" localSheetId="27">{"fdsup://directions/FAT Viewer?action=UPDATE&amp;creator=factset&amp;DYN_ARGS=TRUE&amp;DOC_NAME=FAT:FQL_AUDITING_CLIENT_TEMPLATE.FAT&amp;display_string=Audit&amp;VAR:KEY=LUXABSXABY&amp;VAR:QUERY=RkZfREVCVF9FUShBTk4sMENRKQ==&amp;WINDOW=FIRST_POPUP&amp;HEIGHT=450&amp;WIDTH=450&amp;START_MAXIMIZED=","FALSE&amp;VAR:CALENDAR=US&amp;VAR:SYMBOL=LULU&amp;VAR:INDEX=0"}</definedName>
    <definedName name="_24__FDSAUDITLINK__" localSheetId="22">{"fdsup://directions/FAT Viewer?action=UPDATE&amp;creator=factset&amp;DYN_ARGS=TRUE&amp;DOC_NAME=FAT:FQL_AUDITING_CLIENT_TEMPLATE.FAT&amp;display_string=Audit&amp;VAR:KEY=LUXABSXABY&amp;VAR:QUERY=RkZfREVCVF9FUShBTk4sMENRKQ==&amp;WINDOW=FIRST_POPUP&amp;HEIGHT=450&amp;WIDTH=450&amp;START_MAXIMIZED=","FALSE&amp;VAR:CALENDAR=US&amp;VAR:SYMBOL=LULU&amp;VAR:INDEX=0"}</definedName>
    <definedName name="_24__FDSAUDITLINK__" localSheetId="24">{"fdsup://directions/FAT Viewer?action=UPDATE&amp;creator=factset&amp;DYN_ARGS=TRUE&amp;DOC_NAME=FAT:FQL_AUDITING_CLIENT_TEMPLATE.FAT&amp;display_string=Audit&amp;VAR:KEY=LUXABSXABY&amp;VAR:QUERY=RkZfREVCVF9FUShBTk4sMENRKQ==&amp;WINDOW=FIRST_POPUP&amp;HEIGHT=450&amp;WIDTH=450&amp;START_MAXIMIZED=","FALSE&amp;VAR:CALENDAR=US&amp;VAR:SYMBOL=LULU&amp;VAR:INDEX=0"}</definedName>
    <definedName name="_24__FDSAUDITLINK__">{"fdsup://directions/FAT Viewer?action=UPDATE&amp;creator=factset&amp;DYN_ARGS=TRUE&amp;DOC_NAME=FAT:FQL_AUDITING_CLIENT_TEMPLATE.FAT&amp;display_string=Audit&amp;VAR:KEY=LUXABSXABY&amp;VAR:QUERY=RkZfREVCVF9FUShBTk4sMENRKQ==&amp;WINDOW=FIRST_POPUP&amp;HEIGHT=450&amp;WIDTH=450&amp;START_MAXIMIZED=","FALSE&amp;VAR:CALENDAR=US&amp;VAR:SYMBOL=LULU&amp;VAR:INDEX=0"}</definedName>
    <definedName name="_24__FDSAUDITLINK___1">{"fdsup://directions/FAT Viewer?action=UPDATE&amp;creator=factset&amp;DYN_ARGS=TRUE&amp;DOC_NAME=FAT:FQL_AUDITING_CLIENT_TEMPLATE.FAT&amp;display_string=Audit&amp;VAR:KEY=LUXABSXABY&amp;VAR:QUERY=RkZfREVCVF9FUShBTk4sMENRKQ==&amp;WINDOW=FIRST_POPUP&amp;HEIGHT=450&amp;WIDTH=450&amp;START_MAXIMIZED=","FALSE&amp;VAR:CALENDAR=US&amp;VAR:SYMBOL=LULU&amp;VAR:INDEX=0"}</definedName>
    <definedName name="_25__FDSAUDITLINK__" localSheetId="5">{"fdsup://directions/FAT Viewer?action=UPDATE&amp;creator=factset&amp;DYN_ARGS=TRUE&amp;DOC_NAME=FAT:FQL_AUDITING_CLIENT_TEMPLATE.FAT&amp;display_string=Audit&amp;VAR:KEY=FIFIJGBAVG&amp;VAR:QUERY=RkZfREVCVF9FUShBTk4sMENRKQ==&amp;WINDOW=FIRST_POPUP&amp;HEIGHT=450&amp;WIDTH=450&amp;START_MAXIMIZED=","FALSE&amp;VAR:CALENDAR=US&amp;VAR:SYMBOL=EXPE&amp;VAR:INDEX=0"}</definedName>
    <definedName name="_25__FDSAUDITLINK__" localSheetId="27">{"fdsup://directions/FAT Viewer?action=UPDATE&amp;creator=factset&amp;DYN_ARGS=TRUE&amp;DOC_NAME=FAT:FQL_AUDITING_CLIENT_TEMPLATE.FAT&amp;display_string=Audit&amp;VAR:KEY=FIFIJGBAVG&amp;VAR:QUERY=RkZfREVCVF9FUShBTk4sMENRKQ==&amp;WINDOW=FIRST_POPUP&amp;HEIGHT=450&amp;WIDTH=450&amp;START_MAXIMIZED=","FALSE&amp;VAR:CALENDAR=US&amp;VAR:SYMBOL=EXPE&amp;VAR:INDEX=0"}</definedName>
    <definedName name="_25__FDSAUDITLINK__" localSheetId="22">{"fdsup://directions/FAT Viewer?action=UPDATE&amp;creator=factset&amp;DYN_ARGS=TRUE&amp;DOC_NAME=FAT:FQL_AUDITING_CLIENT_TEMPLATE.FAT&amp;display_string=Audit&amp;VAR:KEY=FIFIJGBAVG&amp;VAR:QUERY=RkZfREVCVF9FUShBTk4sMENRKQ==&amp;WINDOW=FIRST_POPUP&amp;HEIGHT=450&amp;WIDTH=450&amp;START_MAXIMIZED=","FALSE&amp;VAR:CALENDAR=US&amp;VAR:SYMBOL=EXPE&amp;VAR:INDEX=0"}</definedName>
    <definedName name="_25__FDSAUDITLINK__" localSheetId="24">{"fdsup://directions/FAT Viewer?action=UPDATE&amp;creator=factset&amp;DYN_ARGS=TRUE&amp;DOC_NAME=FAT:FQL_AUDITING_CLIENT_TEMPLATE.FAT&amp;display_string=Audit&amp;VAR:KEY=FIFIJGBAVG&amp;VAR:QUERY=RkZfREVCVF9FUShBTk4sMENRKQ==&amp;WINDOW=FIRST_POPUP&amp;HEIGHT=450&amp;WIDTH=450&amp;START_MAXIMIZED=","FALSE&amp;VAR:CALENDAR=US&amp;VAR:SYMBOL=EXPE&amp;VAR:INDEX=0"}</definedName>
    <definedName name="_25__FDSAUDITLINK__">{"fdsup://directions/FAT Viewer?action=UPDATE&amp;creator=factset&amp;DYN_ARGS=TRUE&amp;DOC_NAME=FAT:FQL_AUDITING_CLIENT_TEMPLATE.FAT&amp;display_string=Audit&amp;VAR:KEY=FIFIJGBAVG&amp;VAR:QUERY=RkZfREVCVF9FUShBTk4sMENRKQ==&amp;WINDOW=FIRST_POPUP&amp;HEIGHT=450&amp;WIDTH=450&amp;START_MAXIMIZED=","FALSE&amp;VAR:CALENDAR=US&amp;VAR:SYMBOL=EXPE&amp;VAR:INDEX=0"}</definedName>
    <definedName name="_25__FDSAUDITLINK___1">{"fdsup://directions/FAT Viewer?action=UPDATE&amp;creator=factset&amp;DYN_ARGS=TRUE&amp;DOC_NAME=FAT:FQL_AUDITING_CLIENT_TEMPLATE.FAT&amp;display_string=Audit&amp;VAR:KEY=FIFIJGBAVG&amp;VAR:QUERY=RkZfREVCVF9FUShBTk4sMENRKQ==&amp;WINDOW=FIRST_POPUP&amp;HEIGHT=450&amp;WIDTH=450&amp;START_MAXIMIZED=","FALSE&amp;VAR:CALENDAR=US&amp;VAR:SYMBOL=EXPE&amp;VAR:INDEX=0"}</definedName>
    <definedName name="_26__FDSAUDITLINK__" localSheetId="5">{"fdsup://directions/FAT Viewer?action=UPDATE&amp;creator=factset&amp;DYN_ARGS=TRUE&amp;DOC_NAME=FAT:FQL_AUDITING_CLIENT_TEMPLATE.FAT&amp;display_string=Audit&amp;VAR:KEY=NWFCHABMLW&amp;VAR:QUERY=RkZfREVCVF9FUShBTk4sMENRKQ==&amp;WINDOW=FIRST_POPUP&amp;HEIGHT=450&amp;WIDTH=450&amp;START_MAXIMIZED=","FALSE&amp;VAR:CALENDAR=US&amp;VAR:SYMBOL=OWW&amp;VAR:INDEX=0"}</definedName>
    <definedName name="_26__FDSAUDITLINK__" localSheetId="27">{"fdsup://directions/FAT Viewer?action=UPDATE&amp;creator=factset&amp;DYN_ARGS=TRUE&amp;DOC_NAME=FAT:FQL_AUDITING_CLIENT_TEMPLATE.FAT&amp;display_string=Audit&amp;VAR:KEY=NWFCHABMLW&amp;VAR:QUERY=RkZfREVCVF9FUShBTk4sMENRKQ==&amp;WINDOW=FIRST_POPUP&amp;HEIGHT=450&amp;WIDTH=450&amp;START_MAXIMIZED=","FALSE&amp;VAR:CALENDAR=US&amp;VAR:SYMBOL=OWW&amp;VAR:INDEX=0"}</definedName>
    <definedName name="_26__FDSAUDITLINK__" localSheetId="22">{"fdsup://directions/FAT Viewer?action=UPDATE&amp;creator=factset&amp;DYN_ARGS=TRUE&amp;DOC_NAME=FAT:FQL_AUDITING_CLIENT_TEMPLATE.FAT&amp;display_string=Audit&amp;VAR:KEY=NWFCHABMLW&amp;VAR:QUERY=RkZfREVCVF9FUShBTk4sMENRKQ==&amp;WINDOW=FIRST_POPUP&amp;HEIGHT=450&amp;WIDTH=450&amp;START_MAXIMIZED=","FALSE&amp;VAR:CALENDAR=US&amp;VAR:SYMBOL=OWW&amp;VAR:INDEX=0"}</definedName>
    <definedName name="_26__FDSAUDITLINK__" localSheetId="24">{"fdsup://directions/FAT Viewer?action=UPDATE&amp;creator=factset&amp;DYN_ARGS=TRUE&amp;DOC_NAME=FAT:FQL_AUDITING_CLIENT_TEMPLATE.FAT&amp;display_string=Audit&amp;VAR:KEY=NWFCHABMLW&amp;VAR:QUERY=RkZfREVCVF9FUShBTk4sMENRKQ==&amp;WINDOW=FIRST_POPUP&amp;HEIGHT=450&amp;WIDTH=450&amp;START_MAXIMIZED=","FALSE&amp;VAR:CALENDAR=US&amp;VAR:SYMBOL=OWW&amp;VAR:INDEX=0"}</definedName>
    <definedName name="_26__FDSAUDITLINK__">{"fdsup://directions/FAT Viewer?action=UPDATE&amp;creator=factset&amp;DYN_ARGS=TRUE&amp;DOC_NAME=FAT:FQL_AUDITING_CLIENT_TEMPLATE.FAT&amp;display_string=Audit&amp;VAR:KEY=NWFCHABMLW&amp;VAR:QUERY=RkZfREVCVF9FUShBTk4sMENRKQ==&amp;WINDOW=FIRST_POPUP&amp;HEIGHT=450&amp;WIDTH=450&amp;START_MAXIMIZED=","FALSE&amp;VAR:CALENDAR=US&amp;VAR:SYMBOL=OWW&amp;VAR:INDEX=0"}</definedName>
    <definedName name="_26__FDSAUDITLINK___1">{"fdsup://directions/FAT Viewer?action=UPDATE&amp;creator=factset&amp;DYN_ARGS=TRUE&amp;DOC_NAME=FAT:FQL_AUDITING_CLIENT_TEMPLATE.FAT&amp;display_string=Audit&amp;VAR:KEY=NWFCHABMLW&amp;VAR:QUERY=RkZfREVCVF9FUShBTk4sMENRKQ==&amp;WINDOW=FIRST_POPUP&amp;HEIGHT=450&amp;WIDTH=450&amp;START_MAXIMIZED=","FALSE&amp;VAR:CALENDAR=US&amp;VAR:SYMBOL=OWW&amp;VAR:INDEX=0"}</definedName>
    <definedName name="_27__FDSAUDITLINK__" localSheetId="5">{"fdsup://directions/FAT Viewer?action=UPDATE&amp;creator=factset&amp;DYN_ARGS=TRUE&amp;DOC_NAME=FAT:FQL_AUDITING_CLIENT_TEMPLATE.FAT&amp;display_string=Audit&amp;VAR:KEY=LEXYXIDKBS&amp;VAR:QUERY=RkZfREVCVF9FUShBTk4sMENRKQ==&amp;WINDOW=FIRST_POPUP&amp;HEIGHT=450&amp;WIDTH=450&amp;START_MAXIMIZED=","FALSE&amp;VAR:CALENDAR=US&amp;VAR:SYMBOL=PCLN&amp;VAR:INDEX=0"}</definedName>
    <definedName name="_27__FDSAUDITLINK__" localSheetId="27">{"fdsup://directions/FAT Viewer?action=UPDATE&amp;creator=factset&amp;DYN_ARGS=TRUE&amp;DOC_NAME=FAT:FQL_AUDITING_CLIENT_TEMPLATE.FAT&amp;display_string=Audit&amp;VAR:KEY=LEXYXIDKBS&amp;VAR:QUERY=RkZfREVCVF9FUShBTk4sMENRKQ==&amp;WINDOW=FIRST_POPUP&amp;HEIGHT=450&amp;WIDTH=450&amp;START_MAXIMIZED=","FALSE&amp;VAR:CALENDAR=US&amp;VAR:SYMBOL=PCLN&amp;VAR:INDEX=0"}</definedName>
    <definedName name="_27__FDSAUDITLINK__" localSheetId="22">{"fdsup://directions/FAT Viewer?action=UPDATE&amp;creator=factset&amp;DYN_ARGS=TRUE&amp;DOC_NAME=FAT:FQL_AUDITING_CLIENT_TEMPLATE.FAT&amp;display_string=Audit&amp;VAR:KEY=LEXYXIDKBS&amp;VAR:QUERY=RkZfREVCVF9FUShBTk4sMENRKQ==&amp;WINDOW=FIRST_POPUP&amp;HEIGHT=450&amp;WIDTH=450&amp;START_MAXIMIZED=","FALSE&amp;VAR:CALENDAR=US&amp;VAR:SYMBOL=PCLN&amp;VAR:INDEX=0"}</definedName>
    <definedName name="_27__FDSAUDITLINK__" localSheetId="24">{"fdsup://directions/FAT Viewer?action=UPDATE&amp;creator=factset&amp;DYN_ARGS=TRUE&amp;DOC_NAME=FAT:FQL_AUDITING_CLIENT_TEMPLATE.FAT&amp;display_string=Audit&amp;VAR:KEY=LEXYXIDKBS&amp;VAR:QUERY=RkZfREVCVF9FUShBTk4sMENRKQ==&amp;WINDOW=FIRST_POPUP&amp;HEIGHT=450&amp;WIDTH=450&amp;START_MAXIMIZED=","FALSE&amp;VAR:CALENDAR=US&amp;VAR:SYMBOL=PCLN&amp;VAR:INDEX=0"}</definedName>
    <definedName name="_27__FDSAUDITLINK__">{"fdsup://directions/FAT Viewer?action=UPDATE&amp;creator=factset&amp;DYN_ARGS=TRUE&amp;DOC_NAME=FAT:FQL_AUDITING_CLIENT_TEMPLATE.FAT&amp;display_string=Audit&amp;VAR:KEY=LEXYXIDKBS&amp;VAR:QUERY=RkZfREVCVF9FUShBTk4sMENRKQ==&amp;WINDOW=FIRST_POPUP&amp;HEIGHT=450&amp;WIDTH=450&amp;START_MAXIMIZED=","FALSE&amp;VAR:CALENDAR=US&amp;VAR:SYMBOL=PCLN&amp;VAR:INDEX=0"}</definedName>
    <definedName name="_27__FDSAUDITLINK___1">{"fdsup://directions/FAT Viewer?action=UPDATE&amp;creator=factset&amp;DYN_ARGS=TRUE&amp;DOC_NAME=FAT:FQL_AUDITING_CLIENT_TEMPLATE.FAT&amp;display_string=Audit&amp;VAR:KEY=LEXYXIDKBS&amp;VAR:QUERY=RkZfREVCVF9FUShBTk4sMENRKQ==&amp;WINDOW=FIRST_POPUP&amp;HEIGHT=450&amp;WIDTH=450&amp;START_MAXIMIZED=","FALSE&amp;VAR:CALENDAR=US&amp;VAR:SYMBOL=PCLN&amp;VAR:INDEX=0"}</definedName>
    <definedName name="_28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28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28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28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2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28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29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29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29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29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2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29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2a1_" localSheetId="5">{"Client Name or Project Name"}</definedName>
    <definedName name="_2a1_" localSheetId="7">{"Client Name or Project Name"}</definedName>
    <definedName name="_2a1_" localSheetId="27">{"Client Name or Project Name"}</definedName>
    <definedName name="_2a1_" localSheetId="24">{"Client Name or Project Name"}</definedName>
    <definedName name="_2a1_">{"Client Name or Project Name"}</definedName>
    <definedName name="_2a1__1">{"Client Name or Project Name"}</definedName>
    <definedName name="_2a2_" localSheetId="5">{"Client Name or Project Name"}</definedName>
    <definedName name="_2a2_" localSheetId="27">{"Client Name or Project Name"}</definedName>
    <definedName name="_2a2_" localSheetId="24">{"Client Name or Project Name"}</definedName>
    <definedName name="_2a2_">{"Client Name or Project Name"}</definedName>
    <definedName name="_2a2__1">{"Client Name or Project Name"}</definedName>
    <definedName name="_2Q97A">#REF!</definedName>
    <definedName name="_2Q98A">#REF!</definedName>
    <definedName name="_2Q99A">#REF!</definedName>
    <definedName name="_3__FDSAUDITLINK__" localSheetId="5">{"fdsup://directions/FAT Viewer?action=UPDATE&amp;creator=factset&amp;DYN_ARGS=TRUE&amp;DOC_NAME=FAT:FQL_AUDITING_CLIENT_TEMPLATE.FAT&amp;display_string=Audit&amp;VAR:KEY=WXUXYPSHKT&amp;VAR:QUERY=RkZfREVCVF9FUShBTk4sMCk=&amp;WINDOW=FIRST_POPUP&amp;HEIGHT=450&amp;WIDTH=450&amp;START_MAXIMIZED=FALS","E&amp;VAR:CALENDAR=US&amp;VAR:SYMBOL=OPEN&amp;VAR:INDEX=0"}</definedName>
    <definedName name="_3__FDSAUDITLINK__" localSheetId="27">{"fdsup://directions/FAT Viewer?action=UPDATE&amp;creator=factset&amp;DYN_ARGS=TRUE&amp;DOC_NAME=FAT:FQL_AUDITING_CLIENT_TEMPLATE.FAT&amp;display_string=Audit&amp;VAR:KEY=WXUXYPSHKT&amp;VAR:QUERY=RkZfREVCVF9FUShBTk4sMCk=&amp;WINDOW=FIRST_POPUP&amp;HEIGHT=450&amp;WIDTH=450&amp;START_MAXIMIZED=FALS","E&amp;VAR:CALENDAR=US&amp;VAR:SYMBOL=OPEN&amp;VAR:INDEX=0"}</definedName>
    <definedName name="_3__FDSAUDITLINK__" localSheetId="22">{"fdsup://directions/FAT Viewer?action=UPDATE&amp;creator=factset&amp;DYN_ARGS=TRUE&amp;DOC_NAME=FAT:FQL_AUDITING_CLIENT_TEMPLATE.FAT&amp;display_string=Audit&amp;VAR:KEY=WXUXYPSHKT&amp;VAR:QUERY=RkZfREVCVF9FUShBTk4sMCk=&amp;WINDOW=FIRST_POPUP&amp;HEIGHT=450&amp;WIDTH=450&amp;START_MAXIMIZED=FALS","E&amp;VAR:CALENDAR=US&amp;VAR:SYMBOL=OPEN&amp;VAR:INDEX=0"}</definedName>
    <definedName name="_3__FDSAUDITLINK__" localSheetId="24">{"fdsup://directions/FAT Viewer?action=UPDATE&amp;creator=factset&amp;DYN_ARGS=TRUE&amp;DOC_NAME=FAT:FQL_AUDITING_CLIENT_TEMPLATE.FAT&amp;display_string=Audit&amp;VAR:KEY=WXUXYPSHKT&amp;VAR:QUERY=RkZfREVCVF9FUShBTk4sMCk=&amp;WINDOW=FIRST_POPUP&amp;HEIGHT=450&amp;WIDTH=450&amp;START_MAXIMIZED=FALS","E&amp;VAR:CALENDAR=US&amp;VAR:SYMBOL=OPEN&amp;VAR:INDEX=0"}</definedName>
    <definedName name="_3__FDSAUDITLINK__">{"fdsup://directions/FAT Viewer?action=UPDATE&amp;creator=factset&amp;DYN_ARGS=TRUE&amp;DOC_NAME=FAT:FQL_AUDITING_CLIENT_TEMPLATE.FAT&amp;display_string=Audit&amp;VAR:KEY=WXUXYPSHKT&amp;VAR:QUERY=RkZfREVCVF9FUShBTk4sMCk=&amp;WINDOW=FIRST_POPUP&amp;HEIGHT=450&amp;WIDTH=450&amp;START_MAXIMIZED=FALS","E&amp;VAR:CALENDAR=US&amp;VAR:SYMBOL=OPEN&amp;VAR:INDEX=0"}</definedName>
    <definedName name="_3__FDSAUDITLINK___1">{"fdsup://directions/FAT Viewer?action=UPDATE&amp;creator=factset&amp;DYN_ARGS=TRUE&amp;DOC_NAME=FAT:FQL_AUDITING_CLIENT_TEMPLATE.FAT&amp;display_string=Audit&amp;VAR:KEY=WXUXYPSHKT&amp;VAR:QUERY=RkZfREVCVF9FUShBTk4sMCk=&amp;WINDOW=FIRST_POPUP&amp;HEIGHT=450&amp;WIDTH=450&amp;START_MAXIMIZED=FALS","E&amp;VAR:CALENDAR=US&amp;VAR:SYMBOL=OPEN&amp;VAR:INDEX=0"}</definedName>
    <definedName name="_30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30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30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30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3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30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31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31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31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31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3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31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32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32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32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32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3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32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33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33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33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33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3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33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34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34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34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34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3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34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35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35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35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35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3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35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36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36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36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36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3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36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37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37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37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37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3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37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38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38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38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38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3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38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39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39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39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39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3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39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3a1_" localSheetId="20">{"Client Name or Project Name"}</definedName>
    <definedName name="_3Q97A">#REF!</definedName>
    <definedName name="_3Q98A">#REF!</definedName>
    <definedName name="_4__FDSAUDITLINK__" localSheetId="5">{"fdsup://directions/FAT Viewer?action=UPDATE&amp;creator=factset&amp;DYN_ARGS=TRUE&amp;DOC_NAME=FAT:FQL_AUDITING_CLIENT_TEMPLATE.FAT&amp;display_string=Audit&amp;VAR:KEY=BGVALOTEDM&amp;VAR:QUERY=RkZfREVCVF9FUShBTk4sMENRKQ==&amp;WINDOW=FIRST_POPUP&amp;HEIGHT=450&amp;WIDTH=450&amp;START_MAXIMIZED=","FALSE&amp;VAR:CALENDAR=US&amp;VAR:SYMBOL=VPRT&amp;VAR:INDEX=0"}</definedName>
    <definedName name="_4__FDSAUDITLINK__" localSheetId="27">{"fdsup://directions/FAT Viewer?action=UPDATE&amp;creator=factset&amp;DYN_ARGS=TRUE&amp;DOC_NAME=FAT:FQL_AUDITING_CLIENT_TEMPLATE.FAT&amp;display_string=Audit&amp;VAR:KEY=BGVALOTEDM&amp;VAR:QUERY=RkZfREVCVF9FUShBTk4sMENRKQ==&amp;WINDOW=FIRST_POPUP&amp;HEIGHT=450&amp;WIDTH=450&amp;START_MAXIMIZED=","FALSE&amp;VAR:CALENDAR=US&amp;VAR:SYMBOL=VPRT&amp;VAR:INDEX=0"}</definedName>
    <definedName name="_4__FDSAUDITLINK__" localSheetId="22">{"fdsup://directions/FAT Viewer?action=UPDATE&amp;creator=factset&amp;DYN_ARGS=TRUE&amp;DOC_NAME=FAT:FQL_AUDITING_CLIENT_TEMPLATE.FAT&amp;display_string=Audit&amp;VAR:KEY=BGVALOTEDM&amp;VAR:QUERY=RkZfREVCVF9FUShBTk4sMENRKQ==&amp;WINDOW=FIRST_POPUP&amp;HEIGHT=450&amp;WIDTH=450&amp;START_MAXIMIZED=","FALSE&amp;VAR:CALENDAR=US&amp;VAR:SYMBOL=VPRT&amp;VAR:INDEX=0"}</definedName>
    <definedName name="_4__FDSAUDITLINK__" localSheetId="24">{"fdsup://directions/FAT Viewer?action=UPDATE&amp;creator=factset&amp;DYN_ARGS=TRUE&amp;DOC_NAME=FAT:FQL_AUDITING_CLIENT_TEMPLATE.FAT&amp;display_string=Audit&amp;VAR:KEY=BGVALOTEDM&amp;VAR:QUERY=RkZfREVCVF9FUShBTk4sMENRKQ==&amp;WINDOW=FIRST_POPUP&amp;HEIGHT=450&amp;WIDTH=450&amp;START_MAXIMIZED=","FALSE&amp;VAR:CALENDAR=US&amp;VAR:SYMBOL=VPRT&amp;VAR:INDEX=0"}</definedName>
    <definedName name="_4__FDSAUDITLINK__">{"fdsup://directions/FAT Viewer?action=UPDATE&amp;creator=factset&amp;DYN_ARGS=TRUE&amp;DOC_NAME=FAT:FQL_AUDITING_CLIENT_TEMPLATE.FAT&amp;display_string=Audit&amp;VAR:KEY=BGVALOTEDM&amp;VAR:QUERY=RkZfREVCVF9FUShBTk4sMENRKQ==&amp;WINDOW=FIRST_POPUP&amp;HEIGHT=450&amp;WIDTH=450&amp;START_MAXIMIZED=","FALSE&amp;VAR:CALENDAR=US&amp;VAR:SYMBOL=VPRT&amp;VAR:INDEX=0"}</definedName>
    <definedName name="_4__FDSAUDITLINK___1">{"fdsup://directions/FAT Viewer?action=UPDATE&amp;creator=factset&amp;DYN_ARGS=TRUE&amp;DOC_NAME=FAT:FQL_AUDITING_CLIENT_TEMPLATE.FAT&amp;display_string=Audit&amp;VAR:KEY=BGVALOTEDM&amp;VAR:QUERY=RkZfREVCVF9FUShBTk4sMENRKQ==&amp;WINDOW=FIRST_POPUP&amp;HEIGHT=450&amp;WIDTH=450&amp;START_MAXIMIZED=","FALSE&amp;VAR:CALENDAR=US&amp;VAR:SYMBOL=VPRT&amp;VAR:INDEX=0"}</definedName>
    <definedName name="_40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40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40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40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4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40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41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41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41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41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4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41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42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42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42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42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4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42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43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43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43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43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4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43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44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44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44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44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4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44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45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45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45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45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4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45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46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46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46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46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4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46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47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47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47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47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4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47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48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48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48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48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4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48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49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49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49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49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4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49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4a1_" localSheetId="5">{"Client Name or Project Name"}</definedName>
    <definedName name="_4a1_" localSheetId="23">{"Client Name or Project Name"}</definedName>
    <definedName name="_4a1_" localSheetId="27">{"Client Name or Project Name"}</definedName>
    <definedName name="_4a1_" localSheetId="24">{"Client Name or Project Name"}</definedName>
    <definedName name="_4a1_">{"Client Name or Project Name"}</definedName>
    <definedName name="_4a1__1">{"Client Name or Project Name"}</definedName>
    <definedName name="_4a2_" localSheetId="5">{"Client Name or Project Name"}</definedName>
    <definedName name="_4a2_" localSheetId="27">{"Client Name or Project Name"}</definedName>
    <definedName name="_4a2_" localSheetId="24">{"Client Name or Project Name"}</definedName>
    <definedName name="_4a2_">{"Client Name or Project Name"}</definedName>
    <definedName name="_4a2__1">{"Client Name or Project Name"}</definedName>
    <definedName name="_4Q97A">#REF!</definedName>
    <definedName name="_4Q98A">#REF!</definedName>
    <definedName name="_4Q99E">#REF!</definedName>
    <definedName name="_5__FDSAUDITLINK__" localSheetId="5">{"fdsup://directions/FAT Viewer?action=UPDATE&amp;creator=factset&amp;DYN_ARGS=TRUE&amp;DOC_NAME=FAT:FQL_AUDITING_CLIENT_TEMPLATE.FAT&amp;display_string=Audit&amp;VAR:KEY=LAXYZYXWPU&amp;VAR:QUERY=RkZfREVCVF9FUShBTk4sMENRKQ==&amp;WINDOW=FIRST_POPUP&amp;HEIGHT=450&amp;WIDTH=450&amp;START_MAXIMIZED=","FALSE&amp;VAR:CALENDAR=US&amp;VAR:SYMBOL=OPEN&amp;VAR:INDEX=0"}</definedName>
    <definedName name="_5__FDSAUDITLINK__" localSheetId="27">{"fdsup://directions/FAT Viewer?action=UPDATE&amp;creator=factset&amp;DYN_ARGS=TRUE&amp;DOC_NAME=FAT:FQL_AUDITING_CLIENT_TEMPLATE.FAT&amp;display_string=Audit&amp;VAR:KEY=LAXYZYXWPU&amp;VAR:QUERY=RkZfREVCVF9FUShBTk4sMENRKQ==&amp;WINDOW=FIRST_POPUP&amp;HEIGHT=450&amp;WIDTH=450&amp;START_MAXIMIZED=","FALSE&amp;VAR:CALENDAR=US&amp;VAR:SYMBOL=OPEN&amp;VAR:INDEX=0"}</definedName>
    <definedName name="_5__FDSAUDITLINK__" localSheetId="22">{"fdsup://directions/FAT Viewer?action=UPDATE&amp;creator=factset&amp;DYN_ARGS=TRUE&amp;DOC_NAME=FAT:FQL_AUDITING_CLIENT_TEMPLATE.FAT&amp;display_string=Audit&amp;VAR:KEY=LAXYZYXWPU&amp;VAR:QUERY=RkZfREVCVF9FUShBTk4sMENRKQ==&amp;WINDOW=FIRST_POPUP&amp;HEIGHT=450&amp;WIDTH=450&amp;START_MAXIMIZED=","FALSE&amp;VAR:CALENDAR=US&amp;VAR:SYMBOL=OPEN&amp;VAR:INDEX=0"}</definedName>
    <definedName name="_5__FDSAUDITLINK__" localSheetId="24">{"fdsup://directions/FAT Viewer?action=UPDATE&amp;creator=factset&amp;DYN_ARGS=TRUE&amp;DOC_NAME=FAT:FQL_AUDITING_CLIENT_TEMPLATE.FAT&amp;display_string=Audit&amp;VAR:KEY=LAXYZYXWPU&amp;VAR:QUERY=RkZfREVCVF9FUShBTk4sMENRKQ==&amp;WINDOW=FIRST_POPUP&amp;HEIGHT=450&amp;WIDTH=450&amp;START_MAXIMIZED=","FALSE&amp;VAR:CALENDAR=US&amp;VAR:SYMBOL=OPEN&amp;VAR:INDEX=0"}</definedName>
    <definedName name="_5__FDSAUDITLINK__">{"fdsup://directions/FAT Viewer?action=UPDATE&amp;creator=factset&amp;DYN_ARGS=TRUE&amp;DOC_NAME=FAT:FQL_AUDITING_CLIENT_TEMPLATE.FAT&amp;display_string=Audit&amp;VAR:KEY=LAXYZYXWPU&amp;VAR:QUERY=RkZfREVCVF9FUShBTk4sMENRKQ==&amp;WINDOW=FIRST_POPUP&amp;HEIGHT=450&amp;WIDTH=450&amp;START_MAXIMIZED=","FALSE&amp;VAR:CALENDAR=US&amp;VAR:SYMBOL=OPEN&amp;VAR:INDEX=0"}</definedName>
    <definedName name="_5__FDSAUDITLINK___1">{"fdsup://directions/FAT Viewer?action=UPDATE&amp;creator=factset&amp;DYN_ARGS=TRUE&amp;DOC_NAME=FAT:FQL_AUDITING_CLIENT_TEMPLATE.FAT&amp;display_string=Audit&amp;VAR:KEY=LAXYZYXWPU&amp;VAR:QUERY=RkZfREVCVF9FUShBTk4sMENRKQ==&amp;WINDOW=FIRST_POPUP&amp;HEIGHT=450&amp;WIDTH=450&amp;START_MAXIMIZED=","FALSE&amp;VAR:CALENDAR=US&amp;VAR:SYMBOL=OPEN&amp;VAR:INDEX=0"}</definedName>
    <definedName name="_50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50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50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50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5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50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51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51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51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51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5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51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52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52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52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52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5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52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53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53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53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53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5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53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54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54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54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54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5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54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55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55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55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55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5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55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56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56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56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56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5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56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57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57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57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57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5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57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58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58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58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58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5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58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59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59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59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59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5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59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5a1_" localSheetId="34">{"Client Name or Project Name"}</definedName>
    <definedName name="_6__FDSAUDITLINK__" localSheetId="5">{"fdsup://directions/FAT Viewer?action=UPDATE&amp;creator=factset&amp;DYN_ARGS=TRUE&amp;DOC_NAME=FAT:FQL_AUDITING_CLIENT_TEMPLATE.FAT&amp;display_string=Audit&amp;VAR:KEY=JKDGDAFKFI&amp;VAR:QUERY=RkZfREVCVF9FUShBTk4sMENRKQ==&amp;WINDOW=FIRST_POPUP&amp;HEIGHT=450&amp;WIDTH=450&amp;START_MAXIMIZED=","FALSE&amp;VAR:CALENDAR=US&amp;VAR:SYMBOL=NFLX&amp;VAR:INDEX=0"}</definedName>
    <definedName name="_6__FDSAUDITLINK__" localSheetId="27">{"fdsup://directions/FAT Viewer?action=UPDATE&amp;creator=factset&amp;DYN_ARGS=TRUE&amp;DOC_NAME=FAT:FQL_AUDITING_CLIENT_TEMPLATE.FAT&amp;display_string=Audit&amp;VAR:KEY=JKDGDAFKFI&amp;VAR:QUERY=RkZfREVCVF9FUShBTk4sMENRKQ==&amp;WINDOW=FIRST_POPUP&amp;HEIGHT=450&amp;WIDTH=450&amp;START_MAXIMIZED=","FALSE&amp;VAR:CALENDAR=US&amp;VAR:SYMBOL=NFLX&amp;VAR:INDEX=0"}</definedName>
    <definedName name="_6__FDSAUDITLINK__" localSheetId="22">{"fdsup://directions/FAT Viewer?action=UPDATE&amp;creator=factset&amp;DYN_ARGS=TRUE&amp;DOC_NAME=FAT:FQL_AUDITING_CLIENT_TEMPLATE.FAT&amp;display_string=Audit&amp;VAR:KEY=JKDGDAFKFI&amp;VAR:QUERY=RkZfREVCVF9FUShBTk4sMENRKQ==&amp;WINDOW=FIRST_POPUP&amp;HEIGHT=450&amp;WIDTH=450&amp;START_MAXIMIZED=","FALSE&amp;VAR:CALENDAR=US&amp;VAR:SYMBOL=NFLX&amp;VAR:INDEX=0"}</definedName>
    <definedName name="_6__FDSAUDITLINK__" localSheetId="24">{"fdsup://directions/FAT Viewer?action=UPDATE&amp;creator=factset&amp;DYN_ARGS=TRUE&amp;DOC_NAME=FAT:FQL_AUDITING_CLIENT_TEMPLATE.FAT&amp;display_string=Audit&amp;VAR:KEY=JKDGDAFKFI&amp;VAR:QUERY=RkZfREVCVF9FUShBTk4sMENRKQ==&amp;WINDOW=FIRST_POPUP&amp;HEIGHT=450&amp;WIDTH=450&amp;START_MAXIMIZED=","FALSE&amp;VAR:CALENDAR=US&amp;VAR:SYMBOL=NFLX&amp;VAR:INDEX=0"}</definedName>
    <definedName name="_6__FDSAUDITLINK__">{"fdsup://directions/FAT Viewer?action=UPDATE&amp;creator=factset&amp;DYN_ARGS=TRUE&amp;DOC_NAME=FAT:FQL_AUDITING_CLIENT_TEMPLATE.FAT&amp;display_string=Audit&amp;VAR:KEY=JKDGDAFKFI&amp;VAR:QUERY=RkZfREVCVF9FUShBTk4sMENRKQ==&amp;WINDOW=FIRST_POPUP&amp;HEIGHT=450&amp;WIDTH=450&amp;START_MAXIMIZED=","FALSE&amp;VAR:CALENDAR=US&amp;VAR:SYMBOL=NFLX&amp;VAR:INDEX=0"}</definedName>
    <definedName name="_6__FDSAUDITLINK___1">{"fdsup://directions/FAT Viewer?action=UPDATE&amp;creator=factset&amp;DYN_ARGS=TRUE&amp;DOC_NAME=FAT:FQL_AUDITING_CLIENT_TEMPLATE.FAT&amp;display_string=Audit&amp;VAR:KEY=JKDGDAFKFI&amp;VAR:QUERY=RkZfREVCVF9FUShBTk4sMENRKQ==&amp;WINDOW=FIRST_POPUP&amp;HEIGHT=450&amp;WIDTH=450&amp;START_MAXIMIZED=","FALSE&amp;VAR:CALENDAR=US&amp;VAR:SYMBOL=NFLX&amp;VAR:INDEX=0"}</definedName>
    <definedName name="_60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60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60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60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6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60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61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61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61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61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6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61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62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62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62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62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6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62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63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63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63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63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6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63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64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64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64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64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6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64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65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65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65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65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6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65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66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66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66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66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6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66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67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67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67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67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6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67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68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68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68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68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6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68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69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69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69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69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6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69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6a1_" localSheetId="5">{"Client Name or Project Name"}</definedName>
    <definedName name="_6a1_" localSheetId="27">{"Client Name or Project Name"}</definedName>
    <definedName name="_6a1_" localSheetId="32">{"Client Name or Project Name"}</definedName>
    <definedName name="_6a1_" localSheetId="24">{"Client Name or Project Name"}</definedName>
    <definedName name="_6a1_">{"Client Name or Project Name"}</definedName>
    <definedName name="_6a1__1">{"Client Name or Project Name"}</definedName>
    <definedName name="_7__FDSAUDITLINK__" localSheetId="5">{"fdsup://directions/FAT Viewer?action=UPDATE&amp;creator=factset&amp;DYN_ARGS=TRUE&amp;DOC_NAME=FAT:FQL_AUDITING_CLIENT_TEMPLATE.FAT&amp;display_string=Audit&amp;VAR:KEY=CZIHQHQFED&amp;VAR:QUERY=RkZfREVCVF9FUShBTk4sMEZRKQ==&amp;WINDOW=FIRST_POPUP&amp;HEIGHT=450&amp;WIDTH=450&amp;START_MAXIMIZED=","FALSE&amp;VAR:CALENDAR=US&amp;VAR:SYMBOL=VPRT&amp;VAR:INDEX=0"}</definedName>
    <definedName name="_7__FDSAUDITLINK__" localSheetId="27">{"fdsup://directions/FAT Viewer?action=UPDATE&amp;creator=factset&amp;DYN_ARGS=TRUE&amp;DOC_NAME=FAT:FQL_AUDITING_CLIENT_TEMPLATE.FAT&amp;display_string=Audit&amp;VAR:KEY=CZIHQHQFED&amp;VAR:QUERY=RkZfREVCVF9FUShBTk4sMEZRKQ==&amp;WINDOW=FIRST_POPUP&amp;HEIGHT=450&amp;WIDTH=450&amp;START_MAXIMIZED=","FALSE&amp;VAR:CALENDAR=US&amp;VAR:SYMBOL=VPRT&amp;VAR:INDEX=0"}</definedName>
    <definedName name="_7__FDSAUDITLINK__" localSheetId="22">{"fdsup://directions/FAT Viewer?action=UPDATE&amp;creator=factset&amp;DYN_ARGS=TRUE&amp;DOC_NAME=FAT:FQL_AUDITING_CLIENT_TEMPLATE.FAT&amp;display_string=Audit&amp;VAR:KEY=CZIHQHQFED&amp;VAR:QUERY=RkZfREVCVF9FUShBTk4sMEZRKQ==&amp;WINDOW=FIRST_POPUP&amp;HEIGHT=450&amp;WIDTH=450&amp;START_MAXIMIZED=","FALSE&amp;VAR:CALENDAR=US&amp;VAR:SYMBOL=VPRT&amp;VAR:INDEX=0"}</definedName>
    <definedName name="_7__FDSAUDITLINK__" localSheetId="24">{"fdsup://directions/FAT Viewer?action=UPDATE&amp;creator=factset&amp;DYN_ARGS=TRUE&amp;DOC_NAME=FAT:FQL_AUDITING_CLIENT_TEMPLATE.FAT&amp;display_string=Audit&amp;VAR:KEY=CZIHQHQFED&amp;VAR:QUERY=RkZfREVCVF9FUShBTk4sMEZRKQ==&amp;WINDOW=FIRST_POPUP&amp;HEIGHT=450&amp;WIDTH=450&amp;START_MAXIMIZED=","FALSE&amp;VAR:CALENDAR=US&amp;VAR:SYMBOL=VPRT&amp;VAR:INDEX=0"}</definedName>
    <definedName name="_7__FDSAUDITLINK__">{"fdsup://directions/FAT Viewer?action=UPDATE&amp;creator=factset&amp;DYN_ARGS=TRUE&amp;DOC_NAME=FAT:FQL_AUDITING_CLIENT_TEMPLATE.FAT&amp;display_string=Audit&amp;VAR:KEY=CZIHQHQFED&amp;VAR:QUERY=RkZfREVCVF9FUShBTk4sMEZRKQ==&amp;WINDOW=FIRST_POPUP&amp;HEIGHT=450&amp;WIDTH=450&amp;START_MAXIMIZED=","FALSE&amp;VAR:CALENDAR=US&amp;VAR:SYMBOL=VPRT&amp;VAR:INDEX=0"}</definedName>
    <definedName name="_7__FDSAUDITLINK___1">{"fdsup://directions/FAT Viewer?action=UPDATE&amp;creator=factset&amp;DYN_ARGS=TRUE&amp;DOC_NAME=FAT:FQL_AUDITING_CLIENT_TEMPLATE.FAT&amp;display_string=Audit&amp;VAR:KEY=CZIHQHQFED&amp;VAR:QUERY=RkZfREVCVF9FUShBTk4sMEZRKQ==&amp;WINDOW=FIRST_POPUP&amp;HEIGHT=450&amp;WIDTH=450&amp;START_MAXIMIZED=","FALSE&amp;VAR:CALENDAR=US&amp;VAR:SYMBOL=VPRT&amp;VAR:INDEX=0"}</definedName>
    <definedName name="_70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70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70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70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7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70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71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71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71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71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7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71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72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72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72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72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7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72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73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73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73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73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7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73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74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74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74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74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7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74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75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75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75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75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7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75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76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76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76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76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7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76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77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77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77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77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7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77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78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78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78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78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7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78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79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79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79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79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7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79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7a1_" localSheetId="27">{"Client Name or Project Name"}</definedName>
    <definedName name="_7a1_">{"Client Name or Project Name"}</definedName>
    <definedName name="_7a1__1">{"Client Name or Project Name"}</definedName>
    <definedName name="_8__FDSAUDITLINK__" localSheetId="5">{"fdsup://directions/FAT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8__FDSAUDITLINK__" localSheetId="27">{"fdsup://directions/FAT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8__FDSAUDITLINK__" localSheetId="22">{"fdsup://directions/FAT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8__FDSAUDITLINK__" localSheetId="24">{"fdsup://directions/FAT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8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8__FDSAUDITLINK___1">{"fdsup://directions/FAT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80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80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80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80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8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80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81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81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81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81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8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81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82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82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82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82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8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82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83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83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83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83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8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83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84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4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4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4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4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5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85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85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85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8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85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86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86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86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86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8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86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87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87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87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87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8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87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88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88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88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88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8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88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89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9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9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9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9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a2_" localSheetId="5">{"Client Name or Project Name"}</definedName>
    <definedName name="_8a2_" localSheetId="18">{"Client Name or Project Name"}</definedName>
    <definedName name="_8a2_" localSheetId="27">{"Client Name or Project Name"}</definedName>
    <definedName name="_8a2_" localSheetId="24">{"Client Name or Project Name"}</definedName>
    <definedName name="_8a2_">{"Client Name or Project Name"}</definedName>
    <definedName name="_8a2__1">{"Client Name or Project Name"}</definedName>
    <definedName name="_9__FDSAUDITLINK__" localSheetId="5">{"fdsup://directions/FAT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9__FDSAUDITLINK__" localSheetId="27">{"fdsup://directions/FAT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9__FDSAUDITLINK__" localSheetId="22">{"fdsup://directions/FAT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9__FDSAUDITLINK__" localSheetId="24">{"fdsup://directions/FAT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9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9__FDSAUDITLINK___1">{"fdsup://directions/FAT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90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90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90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90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9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90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91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91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91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91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9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91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92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92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92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92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9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92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93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93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93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93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9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93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94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94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94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94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9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94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95__FDSAUDITLINK__" localSheetId="5">{"fdsup://directions/FAT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95__FDSAUDITLINK__" localSheetId="27">{"fdsup://directions/FAT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95__FDSAUDITLINK__" localSheetId="22">{"fdsup://directions/FAT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95__FDSAUDITLINK__" localSheetId="24">{"fdsup://directions/FAT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9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95__FDSAUDITLINK___1">{"fdsup://directions/FAT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96__FDSAUDITLINK__" localSheetId="5">{"fdsup://directions/FAT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96__FDSAUDITLINK__" localSheetId="27">{"fdsup://directions/FAT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96__FDSAUDITLINK__" localSheetId="22">{"fdsup://directions/FAT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96__FDSAUDITLINK__" localSheetId="24">{"fdsup://directions/FAT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9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96__FDSAUDITLINK___1">{"fdsup://directions/FAT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97__FDSAUDITLINK__" localSheetId="5">{"fdsup://directions/FAT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97__FDSAUDITLINK__" localSheetId="27">{"fdsup://directions/FAT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97__FDSAUDITLINK__" localSheetId="22">{"fdsup://directions/FAT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97__FDSAUDITLINK__" localSheetId="24">{"fdsup://directions/FAT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9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97__FDSAUDITLINK___1">{"fdsup://directions/FAT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98__FDSAUDITLINK__" localSheetId="5">{"fdsup://directions/FAT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98__FDSAUDITLINK__" localSheetId="27">{"fdsup://directions/FAT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98__FDSAUDITLINK__" localSheetId="22">{"fdsup://directions/FAT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98__FDSAUDITLINK__" localSheetId="24">{"fdsup://directions/FAT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9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98__FDSAUDITLINK___1">{"fdsup://directions/FAT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99__FDSAUDITLINK__" localSheetId="5">{"fdsup://directions/FAT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99__FDSAUDITLINK__" localSheetId="27">{"fdsup://directions/FAT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99__FDSAUDITLINK__" localSheetId="22">{"fdsup://directions/FAT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99__FDSAUDITLINK__" localSheetId="24">{"fdsup://directions/FAT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9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99__FDSAUDITLINK___1">{"fdsup://directions/FAT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9a2_" localSheetId="7">{"Client Name or Project Name"}</definedName>
    <definedName name="_9a2__1" localSheetId="7">{"Client Name or Project Name"}</definedName>
    <definedName name="_ann11" localSheetId="5">#REF!</definedName>
    <definedName name="_ann11">#REF!</definedName>
    <definedName name="_ann12" localSheetId="5">#REF!</definedName>
    <definedName name="_ann12">#REF!</definedName>
    <definedName name="_ann13" localSheetId="5">#REF!</definedName>
    <definedName name="_ann13">#REF!</definedName>
    <definedName name="_ann14" localSheetId="5">#REF!</definedName>
    <definedName name="_ann14">#REF!</definedName>
    <definedName name="_ann16" localSheetId="5">#REF!</definedName>
    <definedName name="_ann16">#REF!</definedName>
    <definedName name="_ann6" localSheetId="5">#REF!</definedName>
    <definedName name="_ann6">#REF!</definedName>
    <definedName name="_ann7" localSheetId="5">#REF!</definedName>
    <definedName name="_ann7">#REF!</definedName>
    <definedName name="_ann8" localSheetId="5">#REF!</definedName>
    <definedName name="_ann8">#REF!</definedName>
    <definedName name="_avg9293" localSheetId="5">#REF!</definedName>
    <definedName name="_avg9293">#REF!</definedName>
    <definedName name="_avg9394" localSheetId="5">#REF!</definedName>
    <definedName name="_avg9394">#REF!</definedName>
    <definedName name="_avg9495" localSheetId="5">#REF!</definedName>
    <definedName name="_avg9495">#REF!</definedName>
    <definedName name="_avg9596" localSheetId="5">#REF!</definedName>
    <definedName name="_avg9596">#REF!</definedName>
    <definedName name="_avg9697" localSheetId="5">#REF!</definedName>
    <definedName name="_avg9697">#REF!</definedName>
    <definedName name="_avg9798" localSheetId="5">#REF!</definedName>
    <definedName name="_avg9798">#REF!</definedName>
    <definedName name="_bdm.0B185E51A026419C8CEA81D25AF4187E.edm" localSheetId="5">#REF!</definedName>
    <definedName name="_bdm.0B185E51A026419C8CEA81D25AF4187E.edm">#REF!</definedName>
    <definedName name="_bdm.2146E1E080234E2AA3383C2E53531D68.edm" localSheetId="5">#REF!</definedName>
    <definedName name="_bdm.2146E1E080234E2AA3383C2E53531D68.edm">#REF!</definedName>
    <definedName name="_bdm.3A1DD13DC7104A31B36B546CE1F0B34D.edm" localSheetId="5">#REF!</definedName>
    <definedName name="_bdm.3A1DD13DC7104A31B36B546CE1F0B34D.edm">#REF!</definedName>
    <definedName name="_bdm.FE8A0DFDBE474647BBB6D8D3DDA6EBB6.edm" localSheetId="5">#REF!</definedName>
    <definedName name="_bdm.FE8A0DFDBE474647BBB6D8D3DDA6EBB6.edm">#REF!</definedName>
    <definedName name="_DAT1" localSheetId="5">#REF!</definedName>
    <definedName name="_DAT1">#REF!</definedName>
    <definedName name="_DAT2" localSheetId="5">#REF!</definedName>
    <definedName name="_DAT2">#REF!</definedName>
    <definedName name="_DAT3" localSheetId="5">#REF!</definedName>
    <definedName name="_DAT3">#REF!</definedName>
    <definedName name="_DAT4" localSheetId="5">#REF!</definedName>
    <definedName name="_DAT4">#REF!</definedName>
    <definedName name="_DAT5" localSheetId="5">#REF!</definedName>
    <definedName name="_DAT5">#REF!</definedName>
    <definedName name="_DAT6" localSheetId="5">#REF!</definedName>
    <definedName name="_DAT6">#REF!</definedName>
    <definedName name="_DAT7" localSheetId="5">#REF!</definedName>
    <definedName name="_DAT7">#REF!</definedName>
    <definedName name="_DAT8" localSheetId="5">#REF!</definedName>
    <definedName name="_DAT8">#REF!</definedName>
    <definedName name="_div98">#REF!</definedName>
    <definedName name="_div99">#REF!</definedName>
    <definedName name="_FYE2" localSheetId="5">#REF!</definedName>
    <definedName name="_FYE2">#REF!</definedName>
    <definedName name="_mi2001">#REF!</definedName>
    <definedName name="_mi98">#REF!</definedName>
    <definedName name="_mi99">#REF!</definedName>
    <definedName name="_Order1">255</definedName>
    <definedName name="_Order1_1">255</definedName>
    <definedName name="_Order2">255</definedName>
    <definedName name="_Regression_Int">1</definedName>
    <definedName name="_T_ASS_NTA_Y00" localSheetId="5">#REF!</definedName>
    <definedName name="_T_ASS_NTA_Y00">#REF!</definedName>
    <definedName name="_T_ASS_NTA_Y01" localSheetId="5">#REF!</definedName>
    <definedName name="_T_ASS_NTA_Y01" localSheetId="24">#REF!</definedName>
    <definedName name="_T_ASS_NTA_Y01">#REF!</definedName>
    <definedName name="_T_ASS_NTA_Y02" localSheetId="5">#REF!</definedName>
    <definedName name="_T_ASS_NTA_Y02" localSheetId="24">#REF!</definedName>
    <definedName name="_T_ASS_NTA_Y02">#REF!</definedName>
    <definedName name="_T_ASS_NTA_Y03" localSheetId="5">#REF!</definedName>
    <definedName name="_T_ASS_NTA_Y03" localSheetId="24">#REF!</definedName>
    <definedName name="_T_ASS_NTA_Y03">#REF!</definedName>
    <definedName name="_T_ASS_NTA_Y90" localSheetId="5">#REF!</definedName>
    <definedName name="_T_ASS_NTA_Y90" localSheetId="24">#REF!</definedName>
    <definedName name="_T_ASS_NTA_Y90">#REF!</definedName>
    <definedName name="_T_ASS_NTA_Y91" localSheetId="5">#REF!</definedName>
    <definedName name="_T_ASS_NTA_Y91" localSheetId="24">#REF!</definedName>
    <definedName name="_T_ASS_NTA_Y91">#REF!</definedName>
    <definedName name="_T_ASS_NTA_Y92" localSheetId="5">#REF!</definedName>
    <definedName name="_T_ASS_NTA_Y92" localSheetId="24">#REF!</definedName>
    <definedName name="_T_ASS_NTA_Y92">#REF!</definedName>
    <definedName name="_T_ASS_NTA_Y93" localSheetId="5">#REF!</definedName>
    <definedName name="_T_ASS_NTA_Y93" localSheetId="24">#REF!</definedName>
    <definedName name="_T_ASS_NTA_Y93">#REF!</definedName>
    <definedName name="_T_ASS_NTA_Y94" localSheetId="5">#REF!</definedName>
    <definedName name="_T_ASS_NTA_Y94" localSheetId="24">#REF!</definedName>
    <definedName name="_T_ASS_NTA_Y94">#REF!</definedName>
    <definedName name="_T_ASS_NTA_Y95" localSheetId="5">#REF!</definedName>
    <definedName name="_T_ASS_NTA_Y95" localSheetId="24">#REF!</definedName>
    <definedName name="_T_ASS_NTA_Y95">#REF!</definedName>
    <definedName name="_T_ASS_NTA_Y96" localSheetId="5">#REF!</definedName>
    <definedName name="_T_ASS_NTA_Y96" localSheetId="24">#REF!</definedName>
    <definedName name="_T_ASS_NTA_Y96">#REF!</definedName>
    <definedName name="_T_ASS_NTA_Y97" localSheetId="5">#REF!</definedName>
    <definedName name="_T_ASS_NTA_Y97" localSheetId="24">#REF!</definedName>
    <definedName name="_T_ASS_NTA_Y97">#REF!</definedName>
    <definedName name="_T_ASS_NTA_Y98" localSheetId="5">#REF!</definedName>
    <definedName name="_T_ASS_NTA_Y98" localSheetId="24">#REF!</definedName>
    <definedName name="_T_ASS_NTA_Y98">#REF!</definedName>
    <definedName name="_T_ASS_NTA_Y99" localSheetId="5">#REF!</definedName>
    <definedName name="_T_ASS_NTA_Y99" localSheetId="24">#REF!</definedName>
    <definedName name="_T_ASS_NTA_Y99">#REF!</definedName>
    <definedName name="_T_ASS_SUM_Y00" localSheetId="5">#REF!</definedName>
    <definedName name="_T_ASS_SUM_Y00" localSheetId="24">#REF!</definedName>
    <definedName name="_T_ASS_SUM_Y00">#REF!</definedName>
    <definedName name="_T_ASS_SUM_Y01" localSheetId="5">#REF!</definedName>
    <definedName name="_T_ASS_SUM_Y01" localSheetId="24">#REF!</definedName>
    <definedName name="_T_ASS_SUM_Y01">#REF!</definedName>
    <definedName name="_T_ASS_SUM_Y02" localSheetId="5">#REF!</definedName>
    <definedName name="_T_ASS_SUM_Y02" localSheetId="24">#REF!</definedName>
    <definedName name="_T_ASS_SUM_Y02">#REF!</definedName>
    <definedName name="_T_ASS_SUM_Y03" localSheetId="5">#REF!</definedName>
    <definedName name="_T_ASS_SUM_Y03" localSheetId="24">#REF!</definedName>
    <definedName name="_T_ASS_SUM_Y03">#REF!</definedName>
    <definedName name="_T_ASS_SUM_Y90" localSheetId="5">#REF!</definedName>
    <definedName name="_T_ASS_SUM_Y90" localSheetId="24">#REF!</definedName>
    <definedName name="_T_ASS_SUM_Y90">#REF!</definedName>
    <definedName name="_T_ASS_SUM_Y91" localSheetId="5">#REF!</definedName>
    <definedName name="_T_ASS_SUM_Y91" localSheetId="24">#REF!</definedName>
    <definedName name="_T_ASS_SUM_Y91">#REF!</definedName>
    <definedName name="_T_ASS_SUM_Y92" localSheetId="5">#REF!</definedName>
    <definedName name="_T_ASS_SUM_Y92" localSheetId="24">#REF!</definedName>
    <definedName name="_T_ASS_SUM_Y92">#REF!</definedName>
    <definedName name="_T_ASS_SUM_Y93" localSheetId="5">#REF!</definedName>
    <definedName name="_T_ASS_SUM_Y93" localSheetId="24">#REF!</definedName>
    <definedName name="_T_ASS_SUM_Y93">#REF!</definedName>
    <definedName name="_T_ASS_SUM_Y94" localSheetId="5">#REF!</definedName>
    <definedName name="_T_ASS_SUM_Y94" localSheetId="24">#REF!</definedName>
    <definedName name="_T_ASS_SUM_Y94">#REF!</definedName>
    <definedName name="_T_ASS_SUM_Y95" localSheetId="5">#REF!</definedName>
    <definedName name="_T_ASS_SUM_Y95" localSheetId="24">#REF!</definedName>
    <definedName name="_T_ASS_SUM_Y95">#REF!</definedName>
    <definedName name="_T_ASS_SUM_Y96" localSheetId="5">#REF!</definedName>
    <definedName name="_T_ASS_SUM_Y96" localSheetId="24">#REF!</definedName>
    <definedName name="_T_ASS_SUM_Y96">#REF!</definedName>
    <definedName name="_T_ASS_SUM_Y97" localSheetId="5">#REF!</definedName>
    <definedName name="_T_ASS_SUM_Y97" localSheetId="24">#REF!</definedName>
    <definedName name="_T_ASS_SUM_Y97">#REF!</definedName>
    <definedName name="_T_ASS_SUM_Y98" localSheetId="5">#REF!</definedName>
    <definedName name="_T_ASS_SUM_Y98" localSheetId="24">#REF!</definedName>
    <definedName name="_T_ASS_SUM_Y98">#REF!</definedName>
    <definedName name="_T_ASS_SUM_Y99" localSheetId="5">#REF!</definedName>
    <definedName name="_T_ASS_SUM_Y99" localSheetId="24">#REF!</definedName>
    <definedName name="_T_ASS_SUM_Y99">#REF!</definedName>
    <definedName name="_T_ASSB_GPB_Y00" localSheetId="5">#REF!</definedName>
    <definedName name="_T_ASSB_GPB_Y00" localSheetId="24">#REF!</definedName>
    <definedName name="_T_ASSB_GPB_Y00">#REF!</definedName>
    <definedName name="_T_ASSB_GPB_Y01" localSheetId="5">#REF!</definedName>
    <definedName name="_T_ASSB_GPB_Y01" localSheetId="24">#REF!</definedName>
    <definedName name="_T_ASSB_GPB_Y01">#REF!</definedName>
    <definedName name="_T_ASSB_GPB_Y02" localSheetId="5">#REF!</definedName>
    <definedName name="_T_ASSB_GPB_Y02" localSheetId="24">#REF!</definedName>
    <definedName name="_T_ASSB_GPB_Y02">#REF!</definedName>
    <definedName name="_T_ASSB_GPB_Y03" localSheetId="5">#REF!</definedName>
    <definedName name="_T_ASSB_GPB_Y03" localSheetId="24">#REF!</definedName>
    <definedName name="_T_ASSB_GPB_Y03">#REF!</definedName>
    <definedName name="_T_ASSB_GPB_Y04" localSheetId="5">#REF!</definedName>
    <definedName name="_T_ASSB_GPB_Y04" localSheetId="24">#REF!</definedName>
    <definedName name="_T_ASSB_GPB_Y04">#REF!</definedName>
    <definedName name="_T_ASSB_GPB_Y05" localSheetId="5">#REF!</definedName>
    <definedName name="_T_ASSB_GPB_Y05" localSheetId="24">#REF!</definedName>
    <definedName name="_T_ASSB_GPB_Y05">#REF!</definedName>
    <definedName name="_T_ASSB_GPB_Y92" localSheetId="5">#REF!</definedName>
    <definedName name="_T_ASSB_GPB_Y92" localSheetId="24">#REF!</definedName>
    <definedName name="_T_ASSB_GPB_Y92">#REF!</definedName>
    <definedName name="_T_ASSB_GPB_Y93" localSheetId="5">#REF!</definedName>
    <definedName name="_T_ASSB_GPB_Y93" localSheetId="24">#REF!</definedName>
    <definedName name="_T_ASSB_GPB_Y93">#REF!</definedName>
    <definedName name="_T_ASSB_GPB_Y94" localSheetId="5">#REF!</definedName>
    <definedName name="_T_ASSB_GPB_Y94" localSheetId="24">#REF!</definedName>
    <definedName name="_T_ASSB_GPB_Y94">#REF!</definedName>
    <definedName name="_T_ASSB_GPB_Y95" localSheetId="5">#REF!</definedName>
    <definedName name="_T_ASSB_GPB_Y95" localSheetId="24">#REF!</definedName>
    <definedName name="_T_ASSB_GPB_Y95">#REF!</definedName>
    <definedName name="_T_ASSB_GPB_Y96" localSheetId="5">#REF!</definedName>
    <definedName name="_T_ASSB_GPB_Y96" localSheetId="24">#REF!</definedName>
    <definedName name="_T_ASSB_GPB_Y96">#REF!</definedName>
    <definedName name="_T_ASSB_GPB_Y97" localSheetId="5">#REF!</definedName>
    <definedName name="_T_ASSB_GPB_Y97" localSheetId="24">#REF!</definedName>
    <definedName name="_T_ASSB_GPB_Y97">#REF!</definedName>
    <definedName name="_T_ASSB_GPB_Y98" localSheetId="5">#REF!</definedName>
    <definedName name="_T_ASSB_GPB_Y98" localSheetId="24">#REF!</definedName>
    <definedName name="_T_ASSB_GPB_Y98">#REF!</definedName>
    <definedName name="_T_ASSB_GPB_Y99" localSheetId="5">#REF!</definedName>
    <definedName name="_T_ASSB_GPB_Y99" localSheetId="24">#REF!</definedName>
    <definedName name="_T_ASSB_GPB_Y99">#REF!</definedName>
    <definedName name="_T_ASSB_IEA_Y00" localSheetId="5">#REF!</definedName>
    <definedName name="_T_ASSB_IEA_Y00" localSheetId="24">#REF!</definedName>
    <definedName name="_T_ASSB_IEA_Y00">#REF!</definedName>
    <definedName name="_T_ASSB_IEA_Y01" localSheetId="5">#REF!</definedName>
    <definedName name="_T_ASSB_IEA_Y01" localSheetId="24">#REF!</definedName>
    <definedName name="_T_ASSB_IEA_Y01">#REF!</definedName>
    <definedName name="_T_ASSB_IEA_Y02" localSheetId="5">#REF!</definedName>
    <definedName name="_T_ASSB_IEA_Y02" localSheetId="24">#REF!</definedName>
    <definedName name="_T_ASSB_IEA_Y02">#REF!</definedName>
    <definedName name="_T_ASSB_IEA_Y03" localSheetId="5">#REF!</definedName>
    <definedName name="_T_ASSB_IEA_Y03" localSheetId="24">#REF!</definedName>
    <definedName name="_T_ASSB_IEA_Y03">#REF!</definedName>
    <definedName name="_T_ASSB_IEA_Y90" localSheetId="5">#REF!</definedName>
    <definedName name="_T_ASSB_IEA_Y90" localSheetId="24">#REF!</definedName>
    <definedName name="_T_ASSB_IEA_Y90">#REF!</definedName>
    <definedName name="_T_ASSB_IEA_Y91" localSheetId="5">#REF!</definedName>
    <definedName name="_T_ASSB_IEA_Y91" localSheetId="24">#REF!</definedName>
    <definedName name="_T_ASSB_IEA_Y91">#REF!</definedName>
    <definedName name="_T_ASSB_IEA_Y92" localSheetId="5">#REF!</definedName>
    <definedName name="_T_ASSB_IEA_Y92" localSheetId="24">#REF!</definedName>
    <definedName name="_T_ASSB_IEA_Y92">#REF!</definedName>
    <definedName name="_T_ASSB_IEA_Y93" localSheetId="5">#REF!</definedName>
    <definedName name="_T_ASSB_IEA_Y93" localSheetId="24">#REF!</definedName>
    <definedName name="_T_ASSB_IEA_Y93">#REF!</definedName>
    <definedName name="_T_ASSB_IEA_Y94" localSheetId="5">#REF!</definedName>
    <definedName name="_T_ASSB_IEA_Y94" localSheetId="24">#REF!</definedName>
    <definedName name="_T_ASSB_IEA_Y94">#REF!</definedName>
    <definedName name="_T_ASSB_IEA_Y95" localSheetId="5">#REF!</definedName>
    <definedName name="_T_ASSB_IEA_Y95" localSheetId="24">#REF!</definedName>
    <definedName name="_T_ASSB_IEA_Y95">#REF!</definedName>
    <definedName name="_T_ASSB_IEA_Y96" localSheetId="5">#REF!</definedName>
    <definedName name="_T_ASSB_IEA_Y96" localSheetId="24">#REF!</definedName>
    <definedName name="_T_ASSB_IEA_Y96">#REF!</definedName>
    <definedName name="_T_ASSB_IEA_Y97" localSheetId="5">#REF!</definedName>
    <definedName name="_T_ASSB_IEA_Y97" localSheetId="24">#REF!</definedName>
    <definedName name="_T_ASSB_IEA_Y97">#REF!</definedName>
    <definedName name="_T_ASSB_IEA_Y98" localSheetId="5">#REF!</definedName>
    <definedName name="_T_ASSB_IEA_Y98" localSheetId="24">#REF!</definedName>
    <definedName name="_T_ASSB_IEA_Y98">#REF!</definedName>
    <definedName name="_T_ASSB_IEA_Y99" localSheetId="5">#REF!</definedName>
    <definedName name="_T_ASSB_IEA_Y99" localSheetId="24">#REF!</definedName>
    <definedName name="_T_ASSB_IEA_Y99">#REF!</definedName>
    <definedName name="_T_ASSB_NONIEA_Y00" localSheetId="5">#REF!</definedName>
    <definedName name="_T_ASSB_NONIEA_Y00" localSheetId="24">#REF!</definedName>
    <definedName name="_T_ASSB_NONIEA_Y00">#REF!</definedName>
    <definedName name="_T_ASSB_NONIEA_Y01" localSheetId="5">#REF!</definedName>
    <definedName name="_T_ASSB_NONIEA_Y01" localSheetId="24">#REF!</definedName>
    <definedName name="_T_ASSB_NONIEA_Y01">#REF!</definedName>
    <definedName name="_T_ASSB_NONIEA_Y02" localSheetId="5">#REF!</definedName>
    <definedName name="_T_ASSB_NONIEA_Y02" localSheetId="24">#REF!</definedName>
    <definedName name="_T_ASSB_NONIEA_Y02">#REF!</definedName>
    <definedName name="_T_ASSB_NONIEA_Y03" localSheetId="5">#REF!</definedName>
    <definedName name="_T_ASSB_NONIEA_Y03" localSheetId="24">#REF!</definedName>
    <definedName name="_T_ASSB_NONIEA_Y03">#REF!</definedName>
    <definedName name="_T_ASSB_NONIEA_Y90" localSheetId="5">#REF!</definedName>
    <definedName name="_T_ASSB_NONIEA_Y90" localSheetId="24">#REF!</definedName>
    <definedName name="_T_ASSB_NONIEA_Y90">#REF!</definedName>
    <definedName name="_T_ASSB_NONIEA_Y91" localSheetId="5">#REF!</definedName>
    <definedName name="_T_ASSB_NONIEA_Y91" localSheetId="24">#REF!</definedName>
    <definedName name="_T_ASSB_NONIEA_Y91">#REF!</definedName>
    <definedName name="_T_ASSB_NONIEA_Y92" localSheetId="5">#REF!</definedName>
    <definedName name="_T_ASSB_NONIEA_Y92" localSheetId="24">#REF!</definedName>
    <definedName name="_T_ASSB_NONIEA_Y92">#REF!</definedName>
    <definedName name="_T_ASSB_NONIEA_Y93" localSheetId="5">#REF!</definedName>
    <definedName name="_T_ASSB_NONIEA_Y93" localSheetId="24">#REF!</definedName>
    <definedName name="_T_ASSB_NONIEA_Y93">#REF!</definedName>
    <definedName name="_T_ASSB_NONIEA_Y94" localSheetId="5">#REF!</definedName>
    <definedName name="_T_ASSB_NONIEA_Y94" localSheetId="24">#REF!</definedName>
    <definedName name="_T_ASSB_NONIEA_Y94">#REF!</definedName>
    <definedName name="_T_ASSB_NONIEA_Y95" localSheetId="5">#REF!</definedName>
    <definedName name="_T_ASSB_NONIEA_Y95" localSheetId="24">#REF!</definedName>
    <definedName name="_T_ASSB_NONIEA_Y95">#REF!</definedName>
    <definedName name="_T_ASSB_NONIEA_Y96" localSheetId="5">#REF!</definedName>
    <definedName name="_T_ASSB_NONIEA_Y96" localSheetId="24">#REF!</definedName>
    <definedName name="_T_ASSB_NONIEA_Y96">#REF!</definedName>
    <definedName name="_T_ASSB_NONIEA_Y97" localSheetId="5">#REF!</definedName>
    <definedName name="_T_ASSB_NONIEA_Y97" localSheetId="24">#REF!</definedName>
    <definedName name="_T_ASSB_NONIEA_Y97">#REF!</definedName>
    <definedName name="_T_ASSB_NONIEA_Y98" localSheetId="5">#REF!</definedName>
    <definedName name="_T_ASSB_NONIEA_Y98" localSheetId="24">#REF!</definedName>
    <definedName name="_T_ASSB_NONIEA_Y98">#REF!</definedName>
    <definedName name="_T_ASSB_NONIEA_Y99" localSheetId="5">#REF!</definedName>
    <definedName name="_T_ASSB_NONIEA_Y99" localSheetId="24">#REF!</definedName>
    <definedName name="_T_ASSB_NONIEA_Y99">#REF!</definedName>
    <definedName name="_T_ASSB_SPB_Y00" localSheetId="5">#REF!</definedName>
    <definedName name="_T_ASSB_SPB_Y00" localSheetId="24">#REF!</definedName>
    <definedName name="_T_ASSB_SPB_Y00">#REF!</definedName>
    <definedName name="_T_ASSB_SPB_Y01" localSheetId="5">#REF!</definedName>
    <definedName name="_T_ASSB_SPB_Y01" localSheetId="24">#REF!</definedName>
    <definedName name="_T_ASSB_SPB_Y01">#REF!</definedName>
    <definedName name="_T_ASSB_SPB_Y02" localSheetId="5">#REF!</definedName>
    <definedName name="_T_ASSB_SPB_Y02" localSheetId="24">#REF!</definedName>
    <definedName name="_T_ASSB_SPB_Y02">#REF!</definedName>
    <definedName name="_T_ASSB_SPB_Y03" localSheetId="5">#REF!</definedName>
    <definedName name="_T_ASSB_SPB_Y03" localSheetId="24">#REF!</definedName>
    <definedName name="_T_ASSB_SPB_Y03">#REF!</definedName>
    <definedName name="_T_ASSB_SPB_Y04" localSheetId="5">#REF!</definedName>
    <definedName name="_T_ASSB_SPB_Y04" localSheetId="24">#REF!</definedName>
    <definedName name="_T_ASSB_SPB_Y04">#REF!</definedName>
    <definedName name="_T_ASSB_SPB_Y05" localSheetId="5">#REF!</definedName>
    <definedName name="_T_ASSB_SPB_Y05" localSheetId="24">#REF!</definedName>
    <definedName name="_T_ASSB_SPB_Y05">#REF!</definedName>
    <definedName name="_T_ASSB_SPB_Y06" localSheetId="5">#REF!</definedName>
    <definedName name="_T_ASSB_SPB_Y06" localSheetId="24">#REF!</definedName>
    <definedName name="_T_ASSB_SPB_Y06">#REF!</definedName>
    <definedName name="_T_ASSB_SPB_Y07" localSheetId="5">#REF!</definedName>
    <definedName name="_T_ASSB_SPB_Y07" localSheetId="24">#REF!</definedName>
    <definedName name="_T_ASSB_SPB_Y07">#REF!</definedName>
    <definedName name="_T_ASSB_SPB_Y08" localSheetId="5">#REF!</definedName>
    <definedName name="_T_ASSB_SPB_Y08" localSheetId="24">#REF!</definedName>
    <definedName name="_T_ASSB_SPB_Y08">#REF!</definedName>
    <definedName name="_T_ASSB_SPB_Y92" localSheetId="5">#REF!</definedName>
    <definedName name="_T_ASSB_SPB_Y92" localSheetId="24">#REF!</definedName>
    <definedName name="_T_ASSB_SPB_Y92">#REF!</definedName>
    <definedName name="_T_ASSB_SPB_Y93" localSheetId="5">#REF!</definedName>
    <definedName name="_T_ASSB_SPB_Y93" localSheetId="24">#REF!</definedName>
    <definedName name="_T_ASSB_SPB_Y93">#REF!</definedName>
    <definedName name="_T_ASSB_SPB_Y94" localSheetId="5">#REF!</definedName>
    <definedName name="_T_ASSB_SPB_Y94" localSheetId="24">#REF!</definedName>
    <definedName name="_T_ASSB_SPB_Y94">#REF!</definedName>
    <definedName name="_T_ASSB_SPB_Y95" localSheetId="5">#REF!</definedName>
    <definedName name="_T_ASSB_SPB_Y95" localSheetId="24">#REF!</definedName>
    <definedName name="_T_ASSB_SPB_Y95">#REF!</definedName>
    <definedName name="_T_ASSB_SPB_Y96" localSheetId="5">#REF!</definedName>
    <definedName name="_T_ASSB_SPB_Y96" localSheetId="24">#REF!</definedName>
    <definedName name="_T_ASSB_SPB_Y96">#REF!</definedName>
    <definedName name="_T_ASSB_SPB_Y97" localSheetId="5">#REF!</definedName>
    <definedName name="_T_ASSB_SPB_Y97" localSheetId="24">#REF!</definedName>
    <definedName name="_T_ASSB_SPB_Y97">#REF!</definedName>
    <definedName name="_T_ASSB_SPB_Y98" localSheetId="5">#REF!</definedName>
    <definedName name="_T_ASSB_SPB_Y98" localSheetId="24">#REF!</definedName>
    <definedName name="_T_ASSB_SPB_Y98">#REF!</definedName>
    <definedName name="_T_ASSB_SPB_Y99" localSheetId="5">#REF!</definedName>
    <definedName name="_T_ASSB_SPB_Y99" localSheetId="24">#REF!</definedName>
    <definedName name="_T_ASSB_SPB_Y99">#REF!</definedName>
    <definedName name="_T_BORROWINGS_Y00" localSheetId="5">#REF!</definedName>
    <definedName name="_T_BORROWINGS_Y00" localSheetId="24">#REF!</definedName>
    <definedName name="_T_BORROWINGS_Y00">#REF!</definedName>
    <definedName name="_T_BORROWINGS_Y01" localSheetId="5">#REF!</definedName>
    <definedName name="_T_BORROWINGS_Y01" localSheetId="24">#REF!</definedName>
    <definedName name="_T_BORROWINGS_Y01">#REF!</definedName>
    <definedName name="_T_BORROWINGS_Y02" localSheetId="5">#REF!</definedName>
    <definedName name="_T_BORROWINGS_Y02" localSheetId="24">#REF!</definedName>
    <definedName name="_T_BORROWINGS_Y02">#REF!</definedName>
    <definedName name="_T_BORROWINGS_Y03" localSheetId="5">#REF!</definedName>
    <definedName name="_T_BORROWINGS_Y03" localSheetId="24">#REF!</definedName>
    <definedName name="_T_BORROWINGS_Y03">#REF!</definedName>
    <definedName name="_T_BORROWINGS_Y90" localSheetId="5">#REF!</definedName>
    <definedName name="_T_BORROWINGS_Y90" localSheetId="24">#REF!</definedName>
    <definedName name="_T_BORROWINGS_Y90">#REF!</definedName>
    <definedName name="_T_BORROWINGS_Y91" localSheetId="5">#REF!</definedName>
    <definedName name="_T_BORROWINGS_Y91" localSheetId="24">#REF!</definedName>
    <definedName name="_T_BORROWINGS_Y91">#REF!</definedName>
    <definedName name="_T_BORROWINGS_Y92" localSheetId="5">#REF!</definedName>
    <definedName name="_T_BORROWINGS_Y92" localSheetId="24">#REF!</definedName>
    <definedName name="_T_BORROWINGS_Y92">#REF!</definedName>
    <definedName name="_T_BORROWINGS_Y93" localSheetId="5">#REF!</definedName>
    <definedName name="_T_BORROWINGS_Y93" localSheetId="24">#REF!</definedName>
    <definedName name="_T_BORROWINGS_Y93">#REF!</definedName>
    <definedName name="_T_BORROWINGS_Y94" localSheetId="5">#REF!</definedName>
    <definedName name="_T_BORROWINGS_Y94" localSheetId="24">#REF!</definedName>
    <definedName name="_T_BORROWINGS_Y94">#REF!</definedName>
    <definedName name="_T_BORROWINGS_Y95" localSheetId="5">#REF!</definedName>
    <definedName name="_T_BORROWINGS_Y95" localSheetId="24">#REF!</definedName>
    <definedName name="_T_BORROWINGS_Y95">#REF!</definedName>
    <definedName name="_T_BORROWINGS_Y96" localSheetId="5">#REF!</definedName>
    <definedName name="_T_BORROWINGS_Y96" localSheetId="24">#REF!</definedName>
    <definedName name="_T_BORROWINGS_Y96">#REF!</definedName>
    <definedName name="_T_BORROWINGS_Y97" localSheetId="5">#REF!</definedName>
    <definedName name="_T_BORROWINGS_Y97" localSheetId="24">#REF!</definedName>
    <definedName name="_T_BORROWINGS_Y97">#REF!</definedName>
    <definedName name="_T_BORROWINGS_Y98" localSheetId="5">#REF!</definedName>
    <definedName name="_T_BORROWINGS_Y98" localSheetId="24">#REF!</definedName>
    <definedName name="_T_BORROWINGS_Y98">#REF!</definedName>
    <definedName name="_T_BORROWINGS_Y99" localSheetId="5">#REF!</definedName>
    <definedName name="_T_BORROWINGS_Y99" localSheetId="24">#REF!</definedName>
    <definedName name="_T_BORROWINGS_Y99">#REF!</definedName>
    <definedName name="_T_BS_EXCHANGE_Y00" localSheetId="5">#REF!</definedName>
    <definedName name="_T_BS_EXCHANGE_Y00" localSheetId="24">#REF!</definedName>
    <definedName name="_T_BS_EXCHANGE_Y00">#REF!</definedName>
    <definedName name="_T_BS_EXCHANGE_Y01" localSheetId="5">#REF!</definedName>
    <definedName name="_T_BS_EXCHANGE_Y01" localSheetId="24">#REF!</definedName>
    <definedName name="_T_BS_EXCHANGE_Y01">#REF!</definedName>
    <definedName name="_T_BS_EXCHANGE_Y02" localSheetId="5">#REF!</definedName>
    <definedName name="_T_BS_EXCHANGE_Y02" localSheetId="24">#REF!</definedName>
    <definedName name="_T_BS_EXCHANGE_Y02">#REF!</definedName>
    <definedName name="_T_BS_EXCHANGE_Y03" localSheetId="5">#REF!</definedName>
    <definedName name="_T_BS_EXCHANGE_Y03" localSheetId="24">#REF!</definedName>
    <definedName name="_T_BS_EXCHANGE_Y03">#REF!</definedName>
    <definedName name="_T_BS_EXCHANGE_Y04" localSheetId="5">#REF!</definedName>
    <definedName name="_T_BS_EXCHANGE_Y04" localSheetId="24">#REF!</definedName>
    <definedName name="_T_BS_EXCHANGE_Y04">#REF!</definedName>
    <definedName name="_T_BS_EXCHANGE_Y05" localSheetId="5">#REF!</definedName>
    <definedName name="_T_BS_EXCHANGE_Y05" localSheetId="24">#REF!</definedName>
    <definedName name="_T_BS_EXCHANGE_Y05">#REF!</definedName>
    <definedName name="_T_BS_EXCHANGE_Y06" localSheetId="5">#REF!</definedName>
    <definedName name="_T_BS_EXCHANGE_Y06" localSheetId="24">#REF!</definedName>
    <definedName name="_T_BS_EXCHANGE_Y06">#REF!</definedName>
    <definedName name="_T_BS_EXCHANGE_Y07" localSheetId="5">#REF!</definedName>
    <definedName name="_T_BS_EXCHANGE_Y07" localSheetId="24">#REF!</definedName>
    <definedName name="_T_BS_EXCHANGE_Y07">#REF!</definedName>
    <definedName name="_T_BS_EXCHANGE_Y09" localSheetId="5">#REF!</definedName>
    <definedName name="_T_BS_EXCHANGE_Y09" localSheetId="24">#REF!</definedName>
    <definedName name="_T_BS_EXCHANGE_Y09">#REF!</definedName>
    <definedName name="_T_BS_EXCHANGE_Y90" localSheetId="5">#REF!</definedName>
    <definedName name="_T_BS_EXCHANGE_Y90" localSheetId="24">#REF!</definedName>
    <definedName name="_T_BS_EXCHANGE_Y90">#REF!</definedName>
    <definedName name="_T_BS_EXCHANGE_Y91" localSheetId="5">#REF!</definedName>
    <definedName name="_T_BS_EXCHANGE_Y91" localSheetId="24">#REF!</definedName>
    <definedName name="_T_BS_EXCHANGE_Y91">#REF!</definedName>
    <definedName name="_T_BS_EXCHANGE_Y92" localSheetId="5">#REF!</definedName>
    <definedName name="_T_BS_EXCHANGE_Y92" localSheetId="24">#REF!</definedName>
    <definedName name="_T_BS_EXCHANGE_Y92">#REF!</definedName>
    <definedName name="_T_BS_EXCHANGE_Y93" localSheetId="5">#REF!</definedName>
    <definedName name="_T_BS_EXCHANGE_Y93" localSheetId="24">#REF!</definedName>
    <definedName name="_T_BS_EXCHANGE_Y93">#REF!</definedName>
    <definedName name="_T_BS_EXCHANGE_Y94" localSheetId="5">#REF!</definedName>
    <definedName name="_T_BS_EXCHANGE_Y94" localSheetId="24">#REF!</definedName>
    <definedName name="_T_BS_EXCHANGE_Y94">#REF!</definedName>
    <definedName name="_T_BS_EXCHANGE_Y95" localSheetId="5">#REF!</definedName>
    <definedName name="_T_BS_EXCHANGE_Y95" localSheetId="24">#REF!</definedName>
    <definedName name="_T_BS_EXCHANGE_Y95">#REF!</definedName>
    <definedName name="_T_BS_EXCHANGE_Y96" localSheetId="5">#REF!</definedName>
    <definedName name="_T_BS_EXCHANGE_Y96" localSheetId="24">#REF!</definedName>
    <definedName name="_T_BS_EXCHANGE_Y96">#REF!</definedName>
    <definedName name="_T_BS_EXCHANGE_Y97" localSheetId="5">#REF!</definedName>
    <definedName name="_T_BS_EXCHANGE_Y97" localSheetId="24">#REF!</definedName>
    <definedName name="_T_BS_EXCHANGE_Y97">#REF!</definedName>
    <definedName name="_T_BS_EXCHANGE_Y98" localSheetId="5">#REF!</definedName>
    <definedName name="_T_BS_EXCHANGE_Y98" localSheetId="24">#REF!</definedName>
    <definedName name="_T_BS_EXCHANGE_Y98">#REF!</definedName>
    <definedName name="_T_BS_EXCHANGE_Y99" localSheetId="5">#REF!</definedName>
    <definedName name="_T_BS_EXCHANGE_Y99" localSheetId="24">#REF!</definedName>
    <definedName name="_T_BS_EXCHANGE_Y99">#REF!</definedName>
    <definedName name="_T_CA_CASH_Y00" localSheetId="5">#REF!</definedName>
    <definedName name="_T_CA_CASH_Y00" localSheetId="24">#REF!</definedName>
    <definedName name="_T_CA_CASH_Y00">#REF!</definedName>
    <definedName name="_T_CA_CASH_Y01" localSheetId="5">#REF!</definedName>
    <definedName name="_T_CA_CASH_Y01" localSheetId="24">#REF!</definedName>
    <definedName name="_T_CA_CASH_Y01">#REF!</definedName>
    <definedName name="_T_CA_CASH_Y02" localSheetId="5">#REF!</definedName>
    <definedName name="_T_CA_CASH_Y02" localSheetId="24">#REF!</definedName>
    <definedName name="_T_CA_CASH_Y02">#REF!</definedName>
    <definedName name="_T_CA_CASH_Y03" localSheetId="5">#REF!</definedName>
    <definedName name="_T_CA_CASH_Y03" localSheetId="24">#REF!</definedName>
    <definedName name="_T_CA_CASH_Y03">#REF!</definedName>
    <definedName name="_T_CA_CASH_Y04" localSheetId="5">#REF!</definedName>
    <definedName name="_T_CA_CASH_Y04" localSheetId="24">#REF!</definedName>
    <definedName name="_T_CA_CASH_Y04">#REF!</definedName>
    <definedName name="_T_CA_CASH_Y05" localSheetId="5">#REF!</definedName>
    <definedName name="_T_CA_CASH_Y05" localSheetId="24">#REF!</definedName>
    <definedName name="_T_CA_CASH_Y05">#REF!</definedName>
    <definedName name="_T_CA_CASH_Y06" localSheetId="5">#REF!</definedName>
    <definedName name="_T_CA_CASH_Y06" localSheetId="24">#REF!</definedName>
    <definedName name="_T_CA_CASH_Y06">#REF!</definedName>
    <definedName name="_T_CA_CASH_Y07" localSheetId="5">#REF!</definedName>
    <definedName name="_T_CA_CASH_Y07" localSheetId="24">#REF!</definedName>
    <definedName name="_T_CA_CASH_Y07">#REF!</definedName>
    <definedName name="_T_CA_CASH_Y08" localSheetId="5">#REF!</definedName>
    <definedName name="_T_CA_CASH_Y08" localSheetId="24">#REF!</definedName>
    <definedName name="_T_CA_CASH_Y08">#REF!</definedName>
    <definedName name="_T_CA_CASH_Y92" localSheetId="5">#REF!</definedName>
    <definedName name="_T_CA_CASH_Y92" localSheetId="24">#REF!</definedName>
    <definedName name="_T_CA_CASH_Y92">#REF!</definedName>
    <definedName name="_T_CA_CASH_Y93" localSheetId="5">#REF!</definedName>
    <definedName name="_T_CA_CASH_Y93" localSheetId="24">#REF!</definedName>
    <definedName name="_T_CA_CASH_Y93">#REF!</definedName>
    <definedName name="_T_CA_CASH_Y94" localSheetId="5">#REF!</definedName>
    <definedName name="_T_CA_CASH_Y94" localSheetId="24">#REF!</definedName>
    <definedName name="_T_CA_CASH_Y94">#REF!</definedName>
    <definedName name="_T_CA_CASH_Y95" localSheetId="5">#REF!</definedName>
    <definedName name="_T_CA_CASH_Y95" localSheetId="24">#REF!</definedName>
    <definedName name="_T_CA_CASH_Y95">#REF!</definedName>
    <definedName name="_T_CA_CASH_Y96" localSheetId="5">#REF!</definedName>
    <definedName name="_T_CA_CASH_Y96" localSheetId="24">#REF!</definedName>
    <definedName name="_T_CA_CASH_Y96">#REF!</definedName>
    <definedName name="_T_CA_CASH_Y97" localSheetId="5">#REF!</definedName>
    <definedName name="_T_CA_CASH_Y97" localSheetId="24">#REF!</definedName>
    <definedName name="_T_CA_CASH_Y97">#REF!</definedName>
    <definedName name="_T_CA_CASH_Y98" localSheetId="5">#REF!</definedName>
    <definedName name="_T_CA_CASH_Y98" localSheetId="24">#REF!</definedName>
    <definedName name="_T_CA_CASH_Y98">#REF!</definedName>
    <definedName name="_T_CA_CASH_Y99" localSheetId="5">#REF!</definedName>
    <definedName name="_T_CA_CASH_Y99" localSheetId="24">#REF!</definedName>
    <definedName name="_T_CA_CASH_Y99">#REF!</definedName>
    <definedName name="_T_CA_FUT_TAX_Y00" localSheetId="5">#REF!</definedName>
    <definedName name="_T_CA_FUT_TAX_Y00" localSheetId="24">#REF!</definedName>
    <definedName name="_T_CA_FUT_TAX_Y00">#REF!</definedName>
    <definedName name="_T_CA_FUT_TAX_Y01" localSheetId="5">#REF!</definedName>
    <definedName name="_T_CA_FUT_TAX_Y01" localSheetId="24">#REF!</definedName>
    <definedName name="_T_CA_FUT_TAX_Y01">#REF!</definedName>
    <definedName name="_T_CA_FUT_TAX_Y02" localSheetId="5">#REF!</definedName>
    <definedName name="_T_CA_FUT_TAX_Y02" localSheetId="24">#REF!</definedName>
    <definedName name="_T_CA_FUT_TAX_Y02">#REF!</definedName>
    <definedName name="_T_CA_FUT_TAX_Y03" localSheetId="5">#REF!</definedName>
    <definedName name="_T_CA_FUT_TAX_Y03" localSheetId="24">#REF!</definedName>
    <definedName name="_T_CA_FUT_TAX_Y03">#REF!</definedName>
    <definedName name="_T_CA_FUT_TAX_Y04" localSheetId="5">#REF!</definedName>
    <definedName name="_T_CA_FUT_TAX_Y04" localSheetId="24">#REF!</definedName>
    <definedName name="_T_CA_FUT_TAX_Y04">#REF!</definedName>
    <definedName name="_T_CA_FUT_TAX_Y05" localSheetId="5">#REF!</definedName>
    <definedName name="_T_CA_FUT_TAX_Y05" localSheetId="24">#REF!</definedName>
    <definedName name="_T_CA_FUT_TAX_Y05">#REF!</definedName>
    <definedName name="_T_CA_FUT_TAX_Y92" localSheetId="5">#REF!</definedName>
    <definedName name="_T_CA_FUT_TAX_Y92" localSheetId="24">#REF!</definedName>
    <definedName name="_T_CA_FUT_TAX_Y92">#REF!</definedName>
    <definedName name="_T_CA_FUT_TAX_Y93" localSheetId="5">#REF!</definedName>
    <definedName name="_T_CA_FUT_TAX_Y93" localSheetId="24">#REF!</definedName>
    <definedName name="_T_CA_FUT_TAX_Y93">#REF!</definedName>
    <definedName name="_T_CA_FUT_TAX_Y94" localSheetId="5">#REF!</definedName>
    <definedName name="_T_CA_FUT_TAX_Y94" localSheetId="24">#REF!</definedName>
    <definedName name="_T_CA_FUT_TAX_Y94">#REF!</definedName>
    <definedName name="_T_CA_FUT_TAX_Y95" localSheetId="5">#REF!</definedName>
    <definedName name="_T_CA_FUT_TAX_Y95" localSheetId="24">#REF!</definedName>
    <definedName name="_T_CA_FUT_TAX_Y95">#REF!</definedName>
    <definedName name="_T_CA_FUT_TAX_Y96" localSheetId="5">#REF!</definedName>
    <definedName name="_T_CA_FUT_TAX_Y96" localSheetId="24">#REF!</definedName>
    <definedName name="_T_CA_FUT_TAX_Y96">#REF!</definedName>
    <definedName name="_T_CA_FUT_TAX_Y97" localSheetId="5">#REF!</definedName>
    <definedName name="_T_CA_FUT_TAX_Y97" localSheetId="24">#REF!</definedName>
    <definedName name="_T_CA_FUT_TAX_Y97">#REF!</definedName>
    <definedName name="_T_CA_FUT_TAX_Y98" localSheetId="5">#REF!</definedName>
    <definedName name="_T_CA_FUT_TAX_Y98" localSheetId="24">#REF!</definedName>
    <definedName name="_T_CA_FUT_TAX_Y98">#REF!</definedName>
    <definedName name="_T_CA_FUT_TAX_Y99" localSheetId="5">#REF!</definedName>
    <definedName name="_T_CA_FUT_TAX_Y99" localSheetId="24">#REF!</definedName>
    <definedName name="_T_CA_FUT_TAX_Y99">#REF!</definedName>
    <definedName name="_T_CA_INV_Y00" localSheetId="5">#REF!</definedName>
    <definedName name="_T_CA_INV_Y00" localSheetId="24">#REF!</definedName>
    <definedName name="_T_CA_INV_Y00">#REF!</definedName>
    <definedName name="_T_CA_INV_Y01" localSheetId="5">#REF!</definedName>
    <definedName name="_T_CA_INV_Y01" localSheetId="24">#REF!</definedName>
    <definedName name="_T_CA_INV_Y01">#REF!</definedName>
    <definedName name="_T_CA_INV_Y02" localSheetId="5">#REF!</definedName>
    <definedName name="_T_CA_INV_Y02" localSheetId="24">#REF!</definedName>
    <definedName name="_T_CA_INV_Y02">#REF!</definedName>
    <definedName name="_T_CA_INV_Y03" localSheetId="5">#REF!</definedName>
    <definedName name="_T_CA_INV_Y03" localSheetId="24">#REF!</definedName>
    <definedName name="_T_CA_INV_Y03">#REF!</definedName>
    <definedName name="_T_CA_INV_Y04" localSheetId="5">#REF!</definedName>
    <definedName name="_T_CA_INV_Y04" localSheetId="24">#REF!</definedName>
    <definedName name="_T_CA_INV_Y04">#REF!</definedName>
    <definedName name="_T_CA_INV_Y05" localSheetId="5">#REF!</definedName>
    <definedName name="_T_CA_INV_Y05" localSheetId="24">#REF!</definedName>
    <definedName name="_T_CA_INV_Y05">#REF!</definedName>
    <definedName name="_T_CA_INV_Y06" localSheetId="5">#REF!</definedName>
    <definedName name="_T_CA_INV_Y06" localSheetId="24">#REF!</definedName>
    <definedName name="_T_CA_INV_Y06">#REF!</definedName>
    <definedName name="_T_CA_INV_Y07" localSheetId="5">#REF!</definedName>
    <definedName name="_T_CA_INV_Y07" localSheetId="24">#REF!</definedName>
    <definedName name="_T_CA_INV_Y07">#REF!</definedName>
    <definedName name="_T_CA_INV_Y08" localSheetId="5">#REF!</definedName>
    <definedName name="_T_CA_INV_Y08" localSheetId="24">#REF!</definedName>
    <definedName name="_T_CA_INV_Y08">#REF!</definedName>
    <definedName name="_T_CA_INV_Y92" localSheetId="5">#REF!</definedName>
    <definedName name="_T_CA_INV_Y92" localSheetId="24">#REF!</definedName>
    <definedName name="_T_CA_INV_Y92">#REF!</definedName>
    <definedName name="_T_CA_INV_Y93" localSheetId="5">#REF!</definedName>
    <definedName name="_T_CA_INV_Y93" localSheetId="24">#REF!</definedName>
    <definedName name="_T_CA_INV_Y93">#REF!</definedName>
    <definedName name="_T_CA_INV_Y94" localSheetId="5">#REF!</definedName>
    <definedName name="_T_CA_INV_Y94" localSheetId="24">#REF!</definedName>
    <definedName name="_T_CA_INV_Y94">#REF!</definedName>
    <definedName name="_T_CA_INV_Y95" localSheetId="5">#REF!</definedName>
    <definedName name="_T_CA_INV_Y95" localSheetId="24">#REF!</definedName>
    <definedName name="_T_CA_INV_Y95">#REF!</definedName>
    <definedName name="_T_CA_INV_Y96" localSheetId="5">#REF!</definedName>
    <definedName name="_T_CA_INV_Y96" localSheetId="24">#REF!</definedName>
    <definedName name="_T_CA_INV_Y96">#REF!</definedName>
    <definedName name="_T_CA_INV_Y97" localSheetId="5">#REF!</definedName>
    <definedName name="_T_CA_INV_Y97" localSheetId="24">#REF!</definedName>
    <definedName name="_T_CA_INV_Y97">#REF!</definedName>
    <definedName name="_T_CA_INV_Y98" localSheetId="5">#REF!</definedName>
    <definedName name="_T_CA_INV_Y98" localSheetId="24">#REF!</definedName>
    <definedName name="_T_CA_INV_Y98">#REF!</definedName>
    <definedName name="_T_CA_INV_Y99" localSheetId="5">#REF!</definedName>
    <definedName name="_T_CA_INV_Y99" localSheetId="24">#REF!</definedName>
    <definedName name="_T_CA_INV_Y99">#REF!</definedName>
    <definedName name="_T_CA_INVEST_Y00" localSheetId="5">#REF!</definedName>
    <definedName name="_T_CA_INVEST_Y00" localSheetId="24">#REF!</definedName>
    <definedName name="_T_CA_INVEST_Y00">#REF!</definedName>
    <definedName name="_T_CA_INVEST_Y01" localSheetId="5">#REF!</definedName>
    <definedName name="_T_CA_INVEST_Y01" localSheetId="24">#REF!</definedName>
    <definedName name="_T_CA_INVEST_Y01">#REF!</definedName>
    <definedName name="_T_CA_INVEST_Y02" localSheetId="5">#REF!</definedName>
    <definedName name="_T_CA_INVEST_Y02" localSheetId="24">#REF!</definedName>
    <definedName name="_T_CA_INVEST_Y02">#REF!</definedName>
    <definedName name="_T_CA_INVEST_Y03" localSheetId="5">#REF!</definedName>
    <definedName name="_T_CA_INVEST_Y03" localSheetId="24">#REF!</definedName>
    <definedName name="_T_CA_INVEST_Y03">#REF!</definedName>
    <definedName name="_T_CA_INVEST_Y04" localSheetId="5">#REF!</definedName>
    <definedName name="_T_CA_INVEST_Y04" localSheetId="24">#REF!</definedName>
    <definedName name="_T_CA_INVEST_Y04">#REF!</definedName>
    <definedName name="_T_CA_INVEST_Y05" localSheetId="5">#REF!</definedName>
    <definedName name="_T_CA_INVEST_Y05" localSheetId="24">#REF!</definedName>
    <definedName name="_T_CA_INVEST_Y05">#REF!</definedName>
    <definedName name="_T_CA_INVEST_Y06" localSheetId="5">#REF!</definedName>
    <definedName name="_T_CA_INVEST_Y06" localSheetId="24">#REF!</definedName>
    <definedName name="_T_CA_INVEST_Y06">#REF!</definedName>
    <definedName name="_T_CA_INVEST_Y07" localSheetId="5">#REF!</definedName>
    <definedName name="_T_CA_INVEST_Y07" localSheetId="24">#REF!</definedName>
    <definedName name="_T_CA_INVEST_Y07">#REF!</definedName>
    <definedName name="_T_CA_INVEST_Y08" localSheetId="5">#REF!</definedName>
    <definedName name="_T_CA_INVEST_Y08" localSheetId="24">#REF!</definedName>
    <definedName name="_T_CA_INVEST_Y08">#REF!</definedName>
    <definedName name="_T_CA_INVEST_Y92" localSheetId="5">#REF!</definedName>
    <definedName name="_T_CA_INVEST_Y92" localSheetId="24">#REF!</definedName>
    <definedName name="_T_CA_INVEST_Y92">#REF!</definedName>
    <definedName name="_T_CA_INVEST_Y93" localSheetId="5">#REF!</definedName>
    <definedName name="_T_CA_INVEST_Y93" localSheetId="24">#REF!</definedName>
    <definedName name="_T_CA_INVEST_Y93">#REF!</definedName>
    <definedName name="_T_CA_INVEST_Y94" localSheetId="5">#REF!</definedName>
    <definedName name="_T_CA_INVEST_Y94" localSheetId="24">#REF!</definedName>
    <definedName name="_T_CA_INVEST_Y94">#REF!</definedName>
    <definedName name="_T_CA_INVEST_Y95" localSheetId="5">#REF!</definedName>
    <definedName name="_T_CA_INVEST_Y95" localSheetId="24">#REF!</definedName>
    <definedName name="_T_CA_INVEST_Y95">#REF!</definedName>
    <definedName name="_T_CA_INVEST_Y96" localSheetId="5">#REF!</definedName>
    <definedName name="_T_CA_INVEST_Y96" localSheetId="24">#REF!</definedName>
    <definedName name="_T_CA_INVEST_Y96">#REF!</definedName>
    <definedName name="_T_CA_INVEST_Y97" localSheetId="5">#REF!</definedName>
    <definedName name="_T_CA_INVEST_Y97" localSheetId="24">#REF!</definedName>
    <definedName name="_T_CA_INVEST_Y97">#REF!</definedName>
    <definedName name="_T_CA_INVEST_Y98" localSheetId="5">#REF!</definedName>
    <definedName name="_T_CA_INVEST_Y98" localSheetId="24">#REF!</definedName>
    <definedName name="_T_CA_INVEST_Y98">#REF!</definedName>
    <definedName name="_T_CA_INVEST_Y99" localSheetId="5">#REF!</definedName>
    <definedName name="_T_CA_INVEST_Y99" localSheetId="24">#REF!</definedName>
    <definedName name="_T_CA_INVEST_Y99">#REF!</definedName>
    <definedName name="_T_CA_LIQUID_Y00" localSheetId="5">#REF!</definedName>
    <definedName name="_T_CA_LIQUID_Y00" localSheetId="24">#REF!</definedName>
    <definedName name="_T_CA_LIQUID_Y00">#REF!</definedName>
    <definedName name="_T_CA_LIQUID_Y01" localSheetId="5">#REF!</definedName>
    <definedName name="_T_CA_LIQUID_Y01" localSheetId="24">#REF!</definedName>
    <definedName name="_T_CA_LIQUID_Y01">#REF!</definedName>
    <definedName name="_T_CA_LIQUID_Y02" localSheetId="5">#REF!</definedName>
    <definedName name="_T_CA_LIQUID_Y02" localSheetId="24">#REF!</definedName>
    <definedName name="_T_CA_LIQUID_Y02">#REF!</definedName>
    <definedName name="_T_CA_LIQUID_Y03" localSheetId="5">#REF!</definedName>
    <definedName name="_T_CA_LIQUID_Y03" localSheetId="24">#REF!</definedName>
    <definedName name="_T_CA_LIQUID_Y03">#REF!</definedName>
    <definedName name="_T_CA_LIQUID_Y90" localSheetId="5">#REF!</definedName>
    <definedName name="_T_CA_LIQUID_Y90" localSheetId="24">#REF!</definedName>
    <definedName name="_T_CA_LIQUID_Y90">#REF!</definedName>
    <definedName name="_T_CA_LIQUID_Y91" localSheetId="5">#REF!</definedName>
    <definedName name="_T_CA_LIQUID_Y91" localSheetId="24">#REF!</definedName>
    <definedName name="_T_CA_LIQUID_Y91">#REF!</definedName>
    <definedName name="_T_CA_LIQUID_Y92" localSheetId="5">#REF!</definedName>
    <definedName name="_T_CA_LIQUID_Y92" localSheetId="24">#REF!</definedName>
    <definedName name="_T_CA_LIQUID_Y92">#REF!</definedName>
    <definedName name="_T_CA_LIQUID_Y93" localSheetId="5">#REF!</definedName>
    <definedName name="_T_CA_LIQUID_Y93" localSheetId="24">#REF!</definedName>
    <definedName name="_T_CA_LIQUID_Y93">#REF!</definedName>
    <definedName name="_T_CA_LIQUID_Y94" localSheetId="5">#REF!</definedName>
    <definedName name="_T_CA_LIQUID_Y94" localSheetId="24">#REF!</definedName>
    <definedName name="_T_CA_LIQUID_Y94">#REF!</definedName>
    <definedName name="_T_CA_LIQUID_Y95" localSheetId="5">#REF!</definedName>
    <definedName name="_T_CA_LIQUID_Y95" localSheetId="24">#REF!</definedName>
    <definedName name="_T_CA_LIQUID_Y95">#REF!</definedName>
    <definedName name="_T_CA_LIQUID_Y96" localSheetId="5">#REF!</definedName>
    <definedName name="_T_CA_LIQUID_Y96" localSheetId="24">#REF!</definedName>
    <definedName name="_T_CA_LIQUID_Y96">#REF!</definedName>
    <definedName name="_T_CA_LIQUID_Y97" localSheetId="5">#REF!</definedName>
    <definedName name="_T_CA_LIQUID_Y97" localSheetId="24">#REF!</definedName>
    <definedName name="_T_CA_LIQUID_Y97">#REF!</definedName>
    <definedName name="_T_CA_LIQUID_Y98" localSheetId="5">#REF!</definedName>
    <definedName name="_T_CA_LIQUID_Y98" localSheetId="24">#REF!</definedName>
    <definedName name="_T_CA_LIQUID_Y98">#REF!</definedName>
    <definedName name="_T_CA_LIQUID_Y99" localSheetId="5">#REF!</definedName>
    <definedName name="_T_CA_LIQUID_Y99" localSheetId="24">#REF!</definedName>
    <definedName name="_T_CA_LIQUID_Y99">#REF!</definedName>
    <definedName name="_T_CA_NETREC_Y00" localSheetId="5">#REF!</definedName>
    <definedName name="_T_CA_NETREC_Y00" localSheetId="24">#REF!</definedName>
    <definedName name="_T_CA_NETREC_Y00">#REF!</definedName>
    <definedName name="_T_CA_NETREC_Y01" localSheetId="5">#REF!</definedName>
    <definedName name="_T_CA_NETREC_Y01" localSheetId="24">#REF!</definedName>
    <definedName name="_T_CA_NETREC_Y01">#REF!</definedName>
    <definedName name="_T_CA_NETREC_Y02" localSheetId="5">#REF!</definedName>
    <definedName name="_T_CA_NETREC_Y02" localSheetId="24">#REF!</definedName>
    <definedName name="_T_CA_NETREC_Y02">#REF!</definedName>
    <definedName name="_T_CA_NETREC_Y03" localSheetId="5">#REF!</definedName>
    <definedName name="_T_CA_NETREC_Y03" localSheetId="24">#REF!</definedName>
    <definedName name="_T_CA_NETREC_Y03">#REF!</definedName>
    <definedName name="_T_CA_NETREC_Y90" localSheetId="5">#REF!</definedName>
    <definedName name="_T_CA_NETREC_Y90" localSheetId="24">#REF!</definedName>
    <definedName name="_T_CA_NETREC_Y90">#REF!</definedName>
    <definedName name="_T_CA_NETREC_Y91" localSheetId="5">#REF!</definedName>
    <definedName name="_T_CA_NETREC_Y91" localSheetId="24">#REF!</definedName>
    <definedName name="_T_CA_NETREC_Y91">#REF!</definedName>
    <definedName name="_T_CA_NETREC_Y92" localSheetId="5">#REF!</definedName>
    <definedName name="_T_CA_NETREC_Y92" localSheetId="24">#REF!</definedName>
    <definedName name="_T_CA_NETREC_Y92">#REF!</definedName>
    <definedName name="_T_CA_NETREC_Y93" localSheetId="5">#REF!</definedName>
    <definedName name="_T_CA_NETREC_Y93" localSheetId="24">#REF!</definedName>
    <definedName name="_T_CA_NETREC_Y93">#REF!</definedName>
    <definedName name="_T_CA_NETREC_Y94" localSheetId="5">#REF!</definedName>
    <definedName name="_T_CA_NETREC_Y94" localSheetId="24">#REF!</definedName>
    <definedName name="_T_CA_NETREC_Y94">#REF!</definedName>
    <definedName name="_T_CA_NETREC_Y95" localSheetId="5">#REF!</definedName>
    <definedName name="_T_CA_NETREC_Y95" localSheetId="24">#REF!</definedName>
    <definedName name="_T_CA_NETREC_Y95">#REF!</definedName>
    <definedName name="_T_CA_NETREC_Y96" localSheetId="5">#REF!</definedName>
    <definedName name="_T_CA_NETREC_Y96" localSheetId="24">#REF!</definedName>
    <definedName name="_T_CA_NETREC_Y96">#REF!</definedName>
    <definedName name="_T_CA_NETREC_Y97" localSheetId="5">#REF!</definedName>
    <definedName name="_T_CA_NETREC_Y97" localSheetId="24">#REF!</definedName>
    <definedName name="_T_CA_NETREC_Y97">#REF!</definedName>
    <definedName name="_T_CA_NETREC_Y98" localSheetId="5">#REF!</definedName>
    <definedName name="_T_CA_NETREC_Y98" localSheetId="24">#REF!</definedName>
    <definedName name="_T_CA_NETREC_Y98">#REF!</definedName>
    <definedName name="_T_CA_NETREC_Y99" localSheetId="5">#REF!</definedName>
    <definedName name="_T_CA_NETREC_Y99" localSheetId="24">#REF!</definedName>
    <definedName name="_T_CA_NETREC_Y99">#REF!</definedName>
    <definedName name="_T_CA_OTHER_Y00" localSheetId="5">#REF!</definedName>
    <definedName name="_T_CA_OTHER_Y00" localSheetId="24">#REF!</definedName>
    <definedName name="_T_CA_OTHER_Y00">#REF!</definedName>
    <definedName name="_T_CA_OTHER_Y01" localSheetId="5">#REF!</definedName>
    <definedName name="_T_CA_OTHER_Y01" localSheetId="24">#REF!</definedName>
    <definedName name="_T_CA_OTHER_Y01">#REF!</definedName>
    <definedName name="_T_CA_OTHER_Y02" localSheetId="5">#REF!</definedName>
    <definedName name="_T_CA_OTHER_Y02" localSheetId="24">#REF!</definedName>
    <definedName name="_T_CA_OTHER_Y02">#REF!</definedName>
    <definedName name="_T_CA_OTHER_Y03" localSheetId="5">#REF!</definedName>
    <definedName name="_T_CA_OTHER_Y03" localSheetId="24">#REF!</definedName>
    <definedName name="_T_CA_OTHER_Y03">#REF!</definedName>
    <definedName name="_T_CA_OTHER_Y04" localSheetId="5">#REF!</definedName>
    <definedName name="_T_CA_OTHER_Y04" localSheetId="24">#REF!</definedName>
    <definedName name="_T_CA_OTHER_Y04">#REF!</definedName>
    <definedName name="_T_CA_OTHER_Y05" localSheetId="5">#REF!</definedName>
    <definedName name="_T_CA_OTHER_Y05" localSheetId="24">#REF!</definedName>
    <definedName name="_T_CA_OTHER_Y05">#REF!</definedName>
    <definedName name="_T_CA_OTHER_Y06" localSheetId="5">#REF!</definedName>
    <definedName name="_T_CA_OTHER_Y06" localSheetId="24">#REF!</definedName>
    <definedName name="_T_CA_OTHER_Y06">#REF!</definedName>
    <definedName name="_T_CA_OTHER_Y07" localSheetId="5">#REF!</definedName>
    <definedName name="_T_CA_OTHER_Y07" localSheetId="24">#REF!</definedName>
    <definedName name="_T_CA_OTHER_Y07">#REF!</definedName>
    <definedName name="_T_CA_OTHER_Y08" localSheetId="5">#REF!</definedName>
    <definedName name="_T_CA_OTHER_Y08" localSheetId="24">#REF!</definedName>
    <definedName name="_T_CA_OTHER_Y08">#REF!</definedName>
    <definedName name="_T_CA_OTHER_Y92" localSheetId="5">#REF!</definedName>
    <definedName name="_T_CA_OTHER_Y92" localSheetId="24">#REF!</definedName>
    <definedName name="_T_CA_OTHER_Y92">#REF!</definedName>
    <definedName name="_T_CA_OTHER_Y93" localSheetId="5">#REF!</definedName>
    <definedName name="_T_CA_OTHER_Y93" localSheetId="24">#REF!</definedName>
    <definedName name="_T_CA_OTHER_Y93">#REF!</definedName>
    <definedName name="_T_CA_OTHER_Y94" localSheetId="5">#REF!</definedName>
    <definedName name="_T_CA_OTHER_Y94" localSheetId="24">#REF!</definedName>
    <definedName name="_T_CA_OTHER_Y94">#REF!</definedName>
    <definedName name="_T_CA_OTHER_Y95" localSheetId="5">#REF!</definedName>
    <definedName name="_T_CA_OTHER_Y95" localSheetId="24">#REF!</definedName>
    <definedName name="_T_CA_OTHER_Y95">#REF!</definedName>
    <definedName name="_T_CA_OTHER_Y96" localSheetId="5">#REF!</definedName>
    <definedName name="_T_CA_OTHER_Y96" localSheetId="24">#REF!</definedName>
    <definedName name="_T_CA_OTHER_Y96">#REF!</definedName>
    <definedName name="_T_CA_OTHER_Y97" localSheetId="5">#REF!</definedName>
    <definedName name="_T_CA_OTHER_Y97" localSheetId="24">#REF!</definedName>
    <definedName name="_T_CA_OTHER_Y97">#REF!</definedName>
    <definedName name="_T_CA_OTHER_Y98" localSheetId="5">#REF!</definedName>
    <definedName name="_T_CA_OTHER_Y98" localSheetId="24">#REF!</definedName>
    <definedName name="_T_CA_OTHER_Y98">#REF!</definedName>
    <definedName name="_T_CA_OTHER_Y99" localSheetId="5">#REF!</definedName>
    <definedName name="_T_CA_OTHER_Y99" localSheetId="24">#REF!</definedName>
    <definedName name="_T_CA_OTHER_Y99">#REF!</definedName>
    <definedName name="_T_CA_PPE_Y00" localSheetId="5">#REF!</definedName>
    <definedName name="_T_CA_PPE_Y00" localSheetId="24">#REF!</definedName>
    <definedName name="_T_CA_PPE_Y00">#REF!</definedName>
    <definedName name="_T_CA_PPE_Y01" localSheetId="5">#REF!</definedName>
    <definedName name="_T_CA_PPE_Y01" localSheetId="24">#REF!</definedName>
    <definedName name="_T_CA_PPE_Y01">#REF!</definedName>
    <definedName name="_T_CA_PPE_Y02" localSheetId="5">#REF!</definedName>
    <definedName name="_T_CA_PPE_Y02" localSheetId="24">#REF!</definedName>
    <definedName name="_T_CA_PPE_Y02">#REF!</definedName>
    <definedName name="_T_CA_PPE_Y03" localSheetId="5">#REF!</definedName>
    <definedName name="_T_CA_PPE_Y03" localSheetId="24">#REF!</definedName>
    <definedName name="_T_CA_PPE_Y03">#REF!</definedName>
    <definedName name="_T_CA_PPE_Y90" localSheetId="5">#REF!</definedName>
    <definedName name="_T_CA_PPE_Y90" localSheetId="24">#REF!</definedName>
    <definedName name="_T_CA_PPE_Y90">#REF!</definedName>
    <definedName name="_T_CA_PPE_Y91" localSheetId="5">#REF!</definedName>
    <definedName name="_T_CA_PPE_Y91" localSheetId="24">#REF!</definedName>
    <definedName name="_T_CA_PPE_Y91">#REF!</definedName>
    <definedName name="_T_CA_PPE_Y92" localSheetId="5">#REF!</definedName>
    <definedName name="_T_CA_PPE_Y92" localSheetId="24">#REF!</definedName>
    <definedName name="_T_CA_PPE_Y92">#REF!</definedName>
    <definedName name="_T_CA_PPE_Y93" localSheetId="5">#REF!</definedName>
    <definedName name="_T_CA_PPE_Y93" localSheetId="24">#REF!</definedName>
    <definedName name="_T_CA_PPE_Y93">#REF!</definedName>
    <definedName name="_T_CA_PPE_Y94" localSheetId="5">#REF!</definedName>
    <definedName name="_T_CA_PPE_Y94" localSheetId="24">#REF!</definedName>
    <definedName name="_T_CA_PPE_Y94">#REF!</definedName>
    <definedName name="_T_CA_PPE_Y95" localSheetId="5">#REF!</definedName>
    <definedName name="_T_CA_PPE_Y95" localSheetId="24">#REF!</definedName>
    <definedName name="_T_CA_PPE_Y95">#REF!</definedName>
    <definedName name="_T_CA_PPE_Y96" localSheetId="5">#REF!</definedName>
    <definedName name="_T_CA_PPE_Y96" localSheetId="24">#REF!</definedName>
    <definedName name="_T_CA_PPE_Y96">#REF!</definedName>
    <definedName name="_T_CA_PPE_Y97" localSheetId="5">#REF!</definedName>
    <definedName name="_T_CA_PPE_Y97" localSheetId="24">#REF!</definedName>
    <definedName name="_T_CA_PPE_Y97">#REF!</definedName>
    <definedName name="_T_CA_PPE_Y98" localSheetId="5">#REF!</definedName>
    <definedName name="_T_CA_PPE_Y98" localSheetId="24">#REF!</definedName>
    <definedName name="_T_CA_PPE_Y98">#REF!</definedName>
    <definedName name="_T_CA_PPE_Y99" localSheetId="5">#REF!</definedName>
    <definedName name="_T_CA_PPE_Y99" localSheetId="24">#REF!</definedName>
    <definedName name="_T_CA_PPE_Y99">#REF!</definedName>
    <definedName name="_T_CA_PROV_DDEBTS_Y00" localSheetId="5">#REF!</definedName>
    <definedName name="_T_CA_PROV_DDEBTS_Y00" localSheetId="24">#REF!</definedName>
    <definedName name="_T_CA_PROV_DDEBTS_Y00">#REF!</definedName>
    <definedName name="_T_CA_PROV_DDEBTS_Y01" localSheetId="5">#REF!</definedName>
    <definedName name="_T_CA_PROV_DDEBTS_Y01" localSheetId="24">#REF!</definedName>
    <definedName name="_T_CA_PROV_DDEBTS_Y01">#REF!</definedName>
    <definedName name="_T_CA_PROV_DDEBTS_Y02" localSheetId="5">#REF!</definedName>
    <definedName name="_T_CA_PROV_DDEBTS_Y02" localSheetId="24">#REF!</definedName>
    <definedName name="_T_CA_PROV_DDEBTS_Y02">#REF!</definedName>
    <definedName name="_T_CA_PROV_DDEBTS_Y03" localSheetId="5">#REF!</definedName>
    <definedName name="_T_CA_PROV_DDEBTS_Y03" localSheetId="24">#REF!</definedName>
    <definedName name="_T_CA_PROV_DDEBTS_Y03">#REF!</definedName>
    <definedName name="_T_CA_PROV_DDEBTS_Y90" localSheetId="5">#REF!</definedName>
    <definedName name="_T_CA_PROV_DDEBTS_Y90" localSheetId="24">#REF!</definedName>
    <definedName name="_T_CA_PROV_DDEBTS_Y90">#REF!</definedName>
    <definedName name="_T_CA_PROV_DDEBTS_Y91" localSheetId="5">#REF!</definedName>
    <definedName name="_T_CA_PROV_DDEBTS_Y91" localSheetId="24">#REF!</definedName>
    <definedName name="_T_CA_PROV_DDEBTS_Y91">#REF!</definedName>
    <definedName name="_T_CA_PROV_DDEBTS_Y92" localSheetId="5">#REF!</definedName>
    <definedName name="_T_CA_PROV_DDEBTS_Y92" localSheetId="24">#REF!</definedName>
    <definedName name="_T_CA_PROV_DDEBTS_Y92">#REF!</definedName>
    <definedName name="_T_CA_PROV_DDEBTS_Y93" localSheetId="5">#REF!</definedName>
    <definedName name="_T_CA_PROV_DDEBTS_Y93" localSheetId="24">#REF!</definedName>
    <definedName name="_T_CA_PROV_DDEBTS_Y93">#REF!</definedName>
    <definedName name="_T_CA_PROV_DDEBTS_Y94" localSheetId="5">#REF!</definedName>
    <definedName name="_T_CA_PROV_DDEBTS_Y94" localSheetId="24">#REF!</definedName>
    <definedName name="_T_CA_PROV_DDEBTS_Y94">#REF!</definedName>
    <definedName name="_T_CA_PROV_DDEBTS_Y95" localSheetId="5">#REF!</definedName>
    <definedName name="_T_CA_PROV_DDEBTS_Y95" localSheetId="24">#REF!</definedName>
    <definedName name="_T_CA_PROV_DDEBTS_Y95">#REF!</definedName>
    <definedName name="_T_CA_PROV_DDEBTS_Y96" localSheetId="5">#REF!</definedName>
    <definedName name="_T_CA_PROV_DDEBTS_Y96" localSheetId="24">#REF!</definedName>
    <definedName name="_T_CA_PROV_DDEBTS_Y96">#REF!</definedName>
    <definedName name="_T_CA_PROV_DDEBTS_Y97" localSheetId="5">#REF!</definedName>
    <definedName name="_T_CA_PROV_DDEBTS_Y97" localSheetId="24">#REF!</definedName>
    <definedName name="_T_CA_PROV_DDEBTS_Y97">#REF!</definedName>
    <definedName name="_T_CA_PROV_DDEBTS_Y98" localSheetId="5">#REF!</definedName>
    <definedName name="_T_CA_PROV_DDEBTS_Y98" localSheetId="24">#REF!</definedName>
    <definedName name="_T_CA_PROV_DDEBTS_Y98">#REF!</definedName>
    <definedName name="_T_CA_PROV_DDEBTS_Y99" localSheetId="5">#REF!</definedName>
    <definedName name="_T_CA_PROV_DDEBTS_Y99" localSheetId="24">#REF!</definedName>
    <definedName name="_T_CA_PROV_DDEBTS_Y99">#REF!</definedName>
    <definedName name="_T_CA_RECEIV_OTHER_Y00" localSheetId="5">#REF!</definedName>
    <definedName name="_T_CA_RECEIV_OTHER_Y00" localSheetId="24">#REF!</definedName>
    <definedName name="_T_CA_RECEIV_OTHER_Y00">#REF!</definedName>
    <definedName name="_T_CA_RECEIV_OTHER_Y01" localSheetId="5">#REF!</definedName>
    <definedName name="_T_CA_RECEIV_OTHER_Y01" localSheetId="24">#REF!</definedName>
    <definedName name="_T_CA_RECEIV_OTHER_Y01">#REF!</definedName>
    <definedName name="_T_CA_RECEIV_OTHER_Y02" localSheetId="5">#REF!</definedName>
    <definedName name="_T_CA_RECEIV_OTHER_Y02" localSheetId="24">#REF!</definedName>
    <definedName name="_T_CA_RECEIV_OTHER_Y02">#REF!</definedName>
    <definedName name="_T_CA_RECEIV_OTHER_Y03" localSheetId="5">#REF!</definedName>
    <definedName name="_T_CA_RECEIV_OTHER_Y03" localSheetId="24">#REF!</definedName>
    <definedName name="_T_CA_RECEIV_OTHER_Y03">#REF!</definedName>
    <definedName name="_T_CA_RECEIV_OTHER_Y04" localSheetId="5">#REF!</definedName>
    <definedName name="_T_CA_RECEIV_OTHER_Y04" localSheetId="24">#REF!</definedName>
    <definedName name="_T_CA_RECEIV_OTHER_Y04">#REF!</definedName>
    <definedName name="_T_CA_RECEIV_OTHER_Y05" localSheetId="5">#REF!</definedName>
    <definedName name="_T_CA_RECEIV_OTHER_Y05" localSheetId="24">#REF!</definedName>
    <definedName name="_T_CA_RECEIV_OTHER_Y05">#REF!</definedName>
    <definedName name="_T_CA_RECEIV_OTHER_Y06" localSheetId="5">#REF!</definedName>
    <definedName name="_T_CA_RECEIV_OTHER_Y06" localSheetId="24">#REF!</definedName>
    <definedName name="_T_CA_RECEIV_OTHER_Y06">#REF!</definedName>
    <definedName name="_T_CA_RECEIV_OTHER_Y07" localSheetId="5">#REF!</definedName>
    <definedName name="_T_CA_RECEIV_OTHER_Y07" localSheetId="24">#REF!</definedName>
    <definedName name="_T_CA_RECEIV_OTHER_Y07">#REF!</definedName>
    <definedName name="_T_CA_RECEIV_OTHER_Y08" localSheetId="5">#REF!</definedName>
    <definedName name="_T_CA_RECEIV_OTHER_Y08" localSheetId="24">#REF!</definedName>
    <definedName name="_T_CA_RECEIV_OTHER_Y08">#REF!</definedName>
    <definedName name="_T_CA_RECEIV_OTHER_Y92" localSheetId="5">#REF!</definedName>
    <definedName name="_T_CA_RECEIV_OTHER_Y92" localSheetId="24">#REF!</definedName>
    <definedName name="_T_CA_RECEIV_OTHER_Y92">#REF!</definedName>
    <definedName name="_T_CA_RECEIV_OTHER_Y93" localSheetId="5">#REF!</definedName>
    <definedName name="_T_CA_RECEIV_OTHER_Y93" localSheetId="24">#REF!</definedName>
    <definedName name="_T_CA_RECEIV_OTHER_Y93">#REF!</definedName>
    <definedName name="_T_CA_RECEIV_OTHER_Y94" localSheetId="5">#REF!</definedName>
    <definedName name="_T_CA_RECEIV_OTHER_Y94" localSheetId="24">#REF!</definedName>
    <definedName name="_T_CA_RECEIV_OTHER_Y94">#REF!</definedName>
    <definedName name="_T_CA_RECEIV_OTHER_Y95" localSheetId="5">#REF!</definedName>
    <definedName name="_T_CA_RECEIV_OTHER_Y95" localSheetId="24">#REF!</definedName>
    <definedName name="_T_CA_RECEIV_OTHER_Y95">#REF!</definedName>
    <definedName name="_T_CA_RECEIV_OTHER_Y96" localSheetId="5">#REF!</definedName>
    <definedName name="_T_CA_RECEIV_OTHER_Y96" localSheetId="24">#REF!</definedName>
    <definedName name="_T_CA_RECEIV_OTHER_Y96">#REF!</definedName>
    <definedName name="_T_CA_RECEIV_OTHER_Y97" localSheetId="5">#REF!</definedName>
    <definedName name="_T_CA_RECEIV_OTHER_Y97" localSheetId="24">#REF!</definedName>
    <definedName name="_T_CA_RECEIV_OTHER_Y97">#REF!</definedName>
    <definedName name="_T_CA_RECEIV_OTHER_Y98" localSheetId="5">#REF!</definedName>
    <definedName name="_T_CA_RECEIV_OTHER_Y98" localSheetId="24">#REF!</definedName>
    <definedName name="_T_CA_RECEIV_OTHER_Y98">#REF!</definedName>
    <definedName name="_T_CA_RECEIV_OTHER_Y99" localSheetId="5">#REF!</definedName>
    <definedName name="_T_CA_RECEIV_OTHER_Y99" localSheetId="24">#REF!</definedName>
    <definedName name="_T_CA_RECEIV_OTHER_Y99">#REF!</definedName>
    <definedName name="_T_CA_RECEIV_TRADE_Y00" localSheetId="5">#REF!</definedName>
    <definedName name="_T_CA_RECEIV_TRADE_Y00" localSheetId="24">#REF!</definedName>
    <definedName name="_T_CA_RECEIV_TRADE_Y00">#REF!</definedName>
    <definedName name="_T_CA_RECEIV_TRADE_Y01" localSheetId="5">#REF!</definedName>
    <definedName name="_T_CA_RECEIV_TRADE_Y01" localSheetId="24">#REF!</definedName>
    <definedName name="_T_CA_RECEIV_TRADE_Y01">#REF!</definedName>
    <definedName name="_T_CA_RECEIV_TRADE_Y02" localSheetId="5">#REF!</definedName>
    <definedName name="_T_CA_RECEIV_TRADE_Y02" localSheetId="24">#REF!</definedName>
    <definedName name="_T_CA_RECEIV_TRADE_Y02">#REF!</definedName>
    <definedName name="_T_CA_RECEIV_TRADE_Y03" localSheetId="5">#REF!</definedName>
    <definedName name="_T_CA_RECEIV_TRADE_Y03" localSheetId="24">#REF!</definedName>
    <definedName name="_T_CA_RECEIV_TRADE_Y03">#REF!</definedName>
    <definedName name="_T_CA_RECEIV_TRADE_Y04" localSheetId="5">#REF!</definedName>
    <definedName name="_T_CA_RECEIV_TRADE_Y04" localSheetId="24">#REF!</definedName>
    <definedName name="_T_CA_RECEIV_TRADE_Y04">#REF!</definedName>
    <definedName name="_T_CA_RECEIV_TRADE_Y05" localSheetId="5">#REF!</definedName>
    <definedName name="_T_CA_RECEIV_TRADE_Y05" localSheetId="24">#REF!</definedName>
    <definedName name="_T_CA_RECEIV_TRADE_Y05">#REF!</definedName>
    <definedName name="_T_CA_RECEIV_TRADE_Y06" localSheetId="5">#REF!</definedName>
    <definedName name="_T_CA_RECEIV_TRADE_Y06" localSheetId="24">#REF!</definedName>
    <definedName name="_T_CA_RECEIV_TRADE_Y06">#REF!</definedName>
    <definedName name="_T_CA_RECEIV_TRADE_Y07" localSheetId="5">#REF!</definedName>
    <definedName name="_T_CA_RECEIV_TRADE_Y07" localSheetId="24">#REF!</definedName>
    <definedName name="_T_CA_RECEIV_TRADE_Y07">#REF!</definedName>
    <definedName name="_T_CA_RECEIV_TRADE_Y08" localSheetId="5">#REF!</definedName>
    <definedName name="_T_CA_RECEIV_TRADE_Y08" localSheetId="24">#REF!</definedName>
    <definedName name="_T_CA_RECEIV_TRADE_Y08">#REF!</definedName>
    <definedName name="_T_CA_RECEIV_TRADE_Y92" localSheetId="5">#REF!</definedName>
    <definedName name="_T_CA_RECEIV_TRADE_Y92" localSheetId="24">#REF!</definedName>
    <definedName name="_T_CA_RECEIV_TRADE_Y92">#REF!</definedName>
    <definedName name="_T_CA_RECEIV_TRADE_Y93" localSheetId="5">#REF!</definedName>
    <definedName name="_T_CA_RECEIV_TRADE_Y93" localSheetId="24">#REF!</definedName>
    <definedName name="_T_CA_RECEIV_TRADE_Y93">#REF!</definedName>
    <definedName name="_T_CA_RECEIV_TRADE_Y94" localSheetId="5">#REF!</definedName>
    <definedName name="_T_CA_RECEIV_TRADE_Y94" localSheetId="24">#REF!</definedName>
    <definedName name="_T_CA_RECEIV_TRADE_Y94">#REF!</definedName>
    <definedName name="_T_CA_RECEIV_TRADE_Y95" localSheetId="5">#REF!</definedName>
    <definedName name="_T_CA_RECEIV_TRADE_Y95" localSheetId="24">#REF!</definedName>
    <definedName name="_T_CA_RECEIV_TRADE_Y95">#REF!</definedName>
    <definedName name="_T_CA_RECEIV_TRADE_Y96" localSheetId="5">#REF!</definedName>
    <definedName name="_T_CA_RECEIV_TRADE_Y96" localSheetId="24">#REF!</definedName>
    <definedName name="_T_CA_RECEIV_TRADE_Y96">#REF!</definedName>
    <definedName name="_T_CA_RECEIV_TRADE_Y97" localSheetId="5">#REF!</definedName>
    <definedName name="_T_CA_RECEIV_TRADE_Y97" localSheetId="24">#REF!</definedName>
    <definedName name="_T_CA_RECEIV_TRADE_Y97">#REF!</definedName>
    <definedName name="_T_CA_RECEIV_TRADE_Y98" localSheetId="5">#REF!</definedName>
    <definedName name="_T_CA_RECEIV_TRADE_Y98" localSheetId="24">#REF!</definedName>
    <definedName name="_T_CA_RECEIV_TRADE_Y98">#REF!</definedName>
    <definedName name="_T_CA_RECEIV_TRADE_Y99" localSheetId="5">#REF!</definedName>
    <definedName name="_T_CA_RECEIV_TRADE_Y99" localSheetId="24">#REF!</definedName>
    <definedName name="_T_CA_RECEIV_TRADE_Y99">#REF!</definedName>
    <definedName name="_T_CA_RECEIV_Y00" localSheetId="5">#REF!</definedName>
    <definedName name="_T_CA_RECEIV_Y00" localSheetId="24">#REF!</definedName>
    <definedName name="_T_CA_RECEIV_Y00">#REF!</definedName>
    <definedName name="_T_CA_RECEIV_Y01" localSheetId="5">#REF!</definedName>
    <definedName name="_T_CA_RECEIV_Y01" localSheetId="24">#REF!</definedName>
    <definedName name="_T_CA_RECEIV_Y01">#REF!</definedName>
    <definedName name="_T_CA_RECEIV_Y02" localSheetId="5">#REF!</definedName>
    <definedName name="_T_CA_RECEIV_Y02" localSheetId="24">#REF!</definedName>
    <definedName name="_T_CA_RECEIV_Y02">#REF!</definedName>
    <definedName name="_T_CA_RECEIV_Y03" localSheetId="5">#REF!</definedName>
    <definedName name="_T_CA_RECEIV_Y03" localSheetId="24">#REF!</definedName>
    <definedName name="_T_CA_RECEIV_Y03">#REF!</definedName>
    <definedName name="_T_CA_RECEIV_Y90" localSheetId="5">#REF!</definedName>
    <definedName name="_T_CA_RECEIV_Y90" localSheetId="24">#REF!</definedName>
    <definedName name="_T_CA_RECEIV_Y90">#REF!</definedName>
    <definedName name="_T_CA_RECEIV_Y91" localSheetId="5">#REF!</definedName>
    <definedName name="_T_CA_RECEIV_Y91" localSheetId="24">#REF!</definedName>
    <definedName name="_T_CA_RECEIV_Y91">#REF!</definedName>
    <definedName name="_T_CA_RECEIV_Y92" localSheetId="5">#REF!</definedName>
    <definedName name="_T_CA_RECEIV_Y92" localSheetId="24">#REF!</definedName>
    <definedName name="_T_CA_RECEIV_Y92">#REF!</definedName>
    <definedName name="_T_CA_RECEIV_Y93" localSheetId="5">#REF!</definedName>
    <definedName name="_T_CA_RECEIV_Y93" localSheetId="24">#REF!</definedName>
    <definedName name="_T_CA_RECEIV_Y93">#REF!</definedName>
    <definedName name="_T_CA_RECEIV_Y94" localSheetId="5">#REF!</definedName>
    <definedName name="_T_CA_RECEIV_Y94" localSheetId="24">#REF!</definedName>
    <definedName name="_T_CA_RECEIV_Y94">#REF!</definedName>
    <definedName name="_T_CA_RECEIV_Y95" localSheetId="5">#REF!</definedName>
    <definedName name="_T_CA_RECEIV_Y95" localSheetId="24">#REF!</definedName>
    <definedName name="_T_CA_RECEIV_Y95">#REF!</definedName>
    <definedName name="_T_CA_RECEIV_Y96" localSheetId="5">#REF!</definedName>
    <definedName name="_T_CA_RECEIV_Y96" localSheetId="24">#REF!</definedName>
    <definedName name="_T_CA_RECEIV_Y96">#REF!</definedName>
    <definedName name="_T_CA_RECEIV_Y97" localSheetId="5">#REF!</definedName>
    <definedName name="_T_CA_RECEIV_Y97" localSheetId="24">#REF!</definedName>
    <definedName name="_T_CA_RECEIV_Y97">#REF!</definedName>
    <definedName name="_T_CA_RECEIV_Y98" localSheetId="5">#REF!</definedName>
    <definedName name="_T_CA_RECEIV_Y98" localSheetId="24">#REF!</definedName>
    <definedName name="_T_CA_RECEIV_Y98">#REF!</definedName>
    <definedName name="_T_CA_RECEIV_Y99" localSheetId="5">#REF!</definedName>
    <definedName name="_T_CA_RECEIV_Y99" localSheetId="24">#REF!</definedName>
    <definedName name="_T_CA_RECEIV_Y99">#REF!</definedName>
    <definedName name="_T_CA_ST_DEP_Y00" localSheetId="5">#REF!</definedName>
    <definedName name="_T_CA_ST_DEP_Y00" localSheetId="24">#REF!</definedName>
    <definedName name="_T_CA_ST_DEP_Y00">#REF!</definedName>
    <definedName name="_T_CA_ST_DEP_Y01" localSheetId="5">#REF!</definedName>
    <definedName name="_T_CA_ST_DEP_Y01" localSheetId="24">#REF!</definedName>
    <definedName name="_T_CA_ST_DEP_Y01">#REF!</definedName>
    <definedName name="_T_CA_ST_DEP_Y02" localSheetId="5">#REF!</definedName>
    <definedName name="_T_CA_ST_DEP_Y02" localSheetId="24">#REF!</definedName>
    <definedName name="_T_CA_ST_DEP_Y02">#REF!</definedName>
    <definedName name="_T_CA_ST_DEP_Y03" localSheetId="5">#REF!</definedName>
    <definedName name="_T_CA_ST_DEP_Y03" localSheetId="24">#REF!</definedName>
    <definedName name="_T_CA_ST_DEP_Y03">#REF!</definedName>
    <definedName name="_T_CA_ST_DEP_Y90" localSheetId="5">#REF!</definedName>
    <definedName name="_T_CA_ST_DEP_Y90" localSheetId="24">#REF!</definedName>
    <definedName name="_T_CA_ST_DEP_Y90">#REF!</definedName>
    <definedName name="_T_CA_ST_DEP_Y91" localSheetId="5">#REF!</definedName>
    <definedName name="_T_CA_ST_DEP_Y91" localSheetId="24">#REF!</definedName>
    <definedName name="_T_CA_ST_DEP_Y91">#REF!</definedName>
    <definedName name="_T_CA_ST_DEP_Y92" localSheetId="5">#REF!</definedName>
    <definedName name="_T_CA_ST_DEP_Y92" localSheetId="24">#REF!</definedName>
    <definedName name="_T_CA_ST_DEP_Y92">#REF!</definedName>
    <definedName name="_T_CA_ST_DEP_Y93" localSheetId="5">#REF!</definedName>
    <definedName name="_T_CA_ST_DEP_Y93" localSheetId="24">#REF!</definedName>
    <definedName name="_T_CA_ST_DEP_Y93">#REF!</definedName>
    <definedName name="_T_CA_ST_DEP_Y94" localSheetId="5">#REF!</definedName>
    <definedName name="_T_CA_ST_DEP_Y94" localSheetId="24">#REF!</definedName>
    <definedName name="_T_CA_ST_DEP_Y94">#REF!</definedName>
    <definedName name="_T_CA_ST_DEP_Y95" localSheetId="5">#REF!</definedName>
    <definedName name="_T_CA_ST_DEP_Y95" localSheetId="24">#REF!</definedName>
    <definedName name="_T_CA_ST_DEP_Y95">#REF!</definedName>
    <definedName name="_T_CA_ST_DEP_Y96" localSheetId="5">#REF!</definedName>
    <definedName name="_T_CA_ST_DEP_Y96" localSheetId="24">#REF!</definedName>
    <definedName name="_T_CA_ST_DEP_Y96">#REF!</definedName>
    <definedName name="_T_CA_ST_DEP_Y97" localSheetId="5">#REF!</definedName>
    <definedName name="_T_CA_ST_DEP_Y97" localSheetId="24">#REF!</definedName>
    <definedName name="_T_CA_ST_DEP_Y97">#REF!</definedName>
    <definedName name="_T_CA_ST_DEP_Y98" localSheetId="5">#REF!</definedName>
    <definedName name="_T_CA_ST_DEP_Y98" localSheetId="24">#REF!</definedName>
    <definedName name="_T_CA_ST_DEP_Y98">#REF!</definedName>
    <definedName name="_T_CA_ST_DEP_Y99" localSheetId="5">#REF!</definedName>
    <definedName name="_T_CA_ST_DEP_Y99" localSheetId="24">#REF!</definedName>
    <definedName name="_T_CA_ST_DEP_Y99">#REF!</definedName>
    <definedName name="_T_CA_SUM_Y00" localSheetId="5">#REF!</definedName>
    <definedName name="_T_CA_SUM_Y00" localSheetId="24">#REF!</definedName>
    <definedName name="_T_CA_SUM_Y00">#REF!</definedName>
    <definedName name="_T_CA_SUM_Y01" localSheetId="5">#REF!</definedName>
    <definedName name="_T_CA_SUM_Y01" localSheetId="24">#REF!</definedName>
    <definedName name="_T_CA_SUM_Y01">#REF!</definedName>
    <definedName name="_T_CA_SUM_Y02" localSheetId="5">#REF!</definedName>
    <definedName name="_T_CA_SUM_Y02" localSheetId="24">#REF!</definedName>
    <definedName name="_T_CA_SUM_Y02">#REF!</definedName>
    <definedName name="_T_CA_SUM_Y03" localSheetId="5">#REF!</definedName>
    <definedName name="_T_CA_SUM_Y03" localSheetId="24">#REF!</definedName>
    <definedName name="_T_CA_SUM_Y03">#REF!</definedName>
    <definedName name="_T_CA_SUM_Y90" localSheetId="5">#REF!</definedName>
    <definedName name="_T_CA_SUM_Y90" localSheetId="24">#REF!</definedName>
    <definedName name="_T_CA_SUM_Y90">#REF!</definedName>
    <definedName name="_T_CA_SUM_Y91" localSheetId="5">#REF!</definedName>
    <definedName name="_T_CA_SUM_Y91" localSheetId="24">#REF!</definedName>
    <definedName name="_T_CA_SUM_Y91">#REF!</definedName>
    <definedName name="_T_CA_SUM_Y92" localSheetId="5">#REF!</definedName>
    <definedName name="_T_CA_SUM_Y92" localSheetId="24">#REF!</definedName>
    <definedName name="_T_CA_SUM_Y92">#REF!</definedName>
    <definedName name="_T_CA_SUM_Y93" localSheetId="5">#REF!</definedName>
    <definedName name="_T_CA_SUM_Y93" localSheetId="24">#REF!</definedName>
    <definedName name="_T_CA_SUM_Y93">#REF!</definedName>
    <definedName name="_T_CA_SUM_Y94" localSheetId="5">#REF!</definedName>
    <definedName name="_T_CA_SUM_Y94" localSheetId="24">#REF!</definedName>
    <definedName name="_T_CA_SUM_Y94">#REF!</definedName>
    <definedName name="_T_CA_SUM_Y95" localSheetId="5">#REF!</definedName>
    <definedName name="_T_CA_SUM_Y95" localSheetId="24">#REF!</definedName>
    <definedName name="_T_CA_SUM_Y95">#REF!</definedName>
    <definedName name="_T_CA_SUM_Y96" localSheetId="5">#REF!</definedName>
    <definedName name="_T_CA_SUM_Y96" localSheetId="24">#REF!</definedName>
    <definedName name="_T_CA_SUM_Y96">#REF!</definedName>
    <definedName name="_T_CA_SUM_Y97" localSheetId="5">#REF!</definedName>
    <definedName name="_T_CA_SUM_Y97" localSheetId="24">#REF!</definedName>
    <definedName name="_T_CA_SUM_Y97">#REF!</definedName>
    <definedName name="_T_CA_SUM_Y98" localSheetId="5">#REF!</definedName>
    <definedName name="_T_CA_SUM_Y98" localSheetId="24">#REF!</definedName>
    <definedName name="_T_CA_SUM_Y98">#REF!</definedName>
    <definedName name="_T_CA_SUM_Y99" localSheetId="5">#REF!</definedName>
    <definedName name="_T_CA_SUM_Y99" localSheetId="24">#REF!</definedName>
    <definedName name="_T_CA_SUM_Y99">#REF!</definedName>
    <definedName name="_T_CF_BALANCE_Y00" localSheetId="5">#REF!</definedName>
    <definedName name="_T_CF_BALANCE_Y00" localSheetId="24">#REF!</definedName>
    <definedName name="_T_CF_BALANCE_Y00">#REF!</definedName>
    <definedName name="_T_CF_BALANCE_Y01" localSheetId="5">#REF!</definedName>
    <definedName name="_T_CF_BALANCE_Y01" localSheetId="24">#REF!</definedName>
    <definedName name="_T_CF_BALANCE_Y01">#REF!</definedName>
    <definedName name="_T_CF_BALANCE_Y02" localSheetId="5">#REF!</definedName>
    <definedName name="_T_CF_BALANCE_Y02" localSheetId="24">#REF!</definedName>
    <definedName name="_T_CF_BALANCE_Y02">#REF!</definedName>
    <definedName name="_T_CF_BALANCE_Y03" localSheetId="5">#REF!</definedName>
    <definedName name="_T_CF_BALANCE_Y03" localSheetId="24">#REF!</definedName>
    <definedName name="_T_CF_BALANCE_Y03">#REF!</definedName>
    <definedName name="_T_CF_BALANCE_Y90" localSheetId="5">#REF!</definedName>
    <definedName name="_T_CF_BALANCE_Y90" localSheetId="24">#REF!</definedName>
    <definedName name="_T_CF_BALANCE_Y90">#REF!</definedName>
    <definedName name="_T_CF_BALANCE_Y91" localSheetId="5">#REF!</definedName>
    <definedName name="_T_CF_BALANCE_Y91" localSheetId="24">#REF!</definedName>
    <definedName name="_T_CF_BALANCE_Y91">#REF!</definedName>
    <definedName name="_T_CF_BALANCE_Y92" localSheetId="5">#REF!</definedName>
    <definedName name="_T_CF_BALANCE_Y92" localSheetId="24">#REF!</definedName>
    <definedName name="_T_CF_BALANCE_Y92">#REF!</definedName>
    <definedName name="_T_CF_BALANCE_Y93" localSheetId="5">#REF!</definedName>
    <definedName name="_T_CF_BALANCE_Y93" localSheetId="24">#REF!</definedName>
    <definedName name="_T_CF_BALANCE_Y93">#REF!</definedName>
    <definedName name="_T_CF_BALANCE_Y94" localSheetId="5">#REF!</definedName>
    <definedName name="_T_CF_BALANCE_Y94" localSheetId="24">#REF!</definedName>
    <definedName name="_T_CF_BALANCE_Y94">#REF!</definedName>
    <definedName name="_T_CF_BALANCE_Y95" localSheetId="5">#REF!</definedName>
    <definedName name="_T_CF_BALANCE_Y95" localSheetId="24">#REF!</definedName>
    <definedName name="_T_CF_BALANCE_Y95">#REF!</definedName>
    <definedName name="_T_CF_BALANCE_Y96" localSheetId="5">#REF!</definedName>
    <definedName name="_T_CF_BALANCE_Y96" localSheetId="24">#REF!</definedName>
    <definedName name="_T_CF_BALANCE_Y96">#REF!</definedName>
    <definedName name="_T_CF_BALANCE_Y97" localSheetId="5">#REF!</definedName>
    <definedName name="_T_CF_BALANCE_Y97" localSheetId="24">#REF!</definedName>
    <definedName name="_T_CF_BALANCE_Y97">#REF!</definedName>
    <definedName name="_T_CF_BALANCE_Y98" localSheetId="5">#REF!</definedName>
    <definedName name="_T_CF_BALANCE_Y98" localSheetId="24">#REF!</definedName>
    <definedName name="_T_CF_BALANCE_Y98">#REF!</definedName>
    <definedName name="_T_CF_BALANCE_Y99" localSheetId="5">#REF!</definedName>
    <definedName name="_T_CF_BALANCE_Y99" localSheetId="24">#REF!</definedName>
    <definedName name="_T_CF_BALANCE_Y99">#REF!</definedName>
    <definedName name="_T_CF_FX_EFFECT_Y00" localSheetId="5">#REF!</definedName>
    <definedName name="_T_CF_FX_EFFECT_Y00" localSheetId="24">#REF!</definedName>
    <definedName name="_T_CF_FX_EFFECT_Y00">#REF!</definedName>
    <definedName name="_T_CF_FX_EFFECT_Y01" localSheetId="5">#REF!</definedName>
    <definedName name="_T_CF_FX_EFFECT_Y01" localSheetId="24">#REF!</definedName>
    <definedName name="_T_CF_FX_EFFECT_Y01">#REF!</definedName>
    <definedName name="_T_CF_FX_EFFECT_Y02" localSheetId="5">#REF!</definedName>
    <definedName name="_T_CF_FX_EFFECT_Y02" localSheetId="24">#REF!</definedName>
    <definedName name="_T_CF_FX_EFFECT_Y02">#REF!</definedName>
    <definedName name="_T_CF_FX_EFFECT_Y03" localSheetId="5">#REF!</definedName>
    <definedName name="_T_CF_FX_EFFECT_Y03" localSheetId="24">#REF!</definedName>
    <definedName name="_T_CF_FX_EFFECT_Y03">#REF!</definedName>
    <definedName name="_T_CF_FX_EFFECT_Y04" localSheetId="5">#REF!</definedName>
    <definedName name="_T_CF_FX_EFFECT_Y04" localSheetId="24">#REF!</definedName>
    <definedName name="_T_CF_FX_EFFECT_Y04">#REF!</definedName>
    <definedName name="_T_CF_FX_EFFECT_Y05" localSheetId="5">#REF!</definedName>
    <definedName name="_T_CF_FX_EFFECT_Y05" localSheetId="24">#REF!</definedName>
    <definedName name="_T_CF_FX_EFFECT_Y05">#REF!</definedName>
    <definedName name="_T_CF_FX_EFFECT_Y06" localSheetId="5">#REF!</definedName>
    <definedName name="_T_CF_FX_EFFECT_Y06" localSheetId="24">#REF!</definedName>
    <definedName name="_T_CF_FX_EFFECT_Y06">#REF!</definedName>
    <definedName name="_T_CF_FX_EFFECT_Y07" localSheetId="5">#REF!</definedName>
    <definedName name="_T_CF_FX_EFFECT_Y07" localSheetId="24">#REF!</definedName>
    <definedName name="_T_CF_FX_EFFECT_Y07">#REF!</definedName>
    <definedName name="_T_CF_FX_EFFECT_Y08" localSheetId="5">#REF!</definedName>
    <definedName name="_T_CF_FX_EFFECT_Y08" localSheetId="24">#REF!</definedName>
    <definedName name="_T_CF_FX_EFFECT_Y08">#REF!</definedName>
    <definedName name="_T_CF_FX_EFFECT_Y92" localSheetId="5">#REF!</definedName>
    <definedName name="_T_CF_FX_EFFECT_Y92" localSheetId="24">#REF!</definedName>
    <definedName name="_T_CF_FX_EFFECT_Y92">#REF!</definedName>
    <definedName name="_T_CF_FX_EFFECT_Y93" localSheetId="5">#REF!</definedName>
    <definedName name="_T_CF_FX_EFFECT_Y93" localSheetId="24">#REF!</definedName>
    <definedName name="_T_CF_FX_EFFECT_Y93">#REF!</definedName>
    <definedName name="_T_CF_FX_EFFECT_Y94" localSheetId="5">#REF!</definedName>
    <definedName name="_T_CF_FX_EFFECT_Y94" localSheetId="24">#REF!</definedName>
    <definedName name="_T_CF_FX_EFFECT_Y94">#REF!</definedName>
    <definedName name="_T_CF_FX_EFFECT_Y95" localSheetId="5">#REF!</definedName>
    <definedName name="_T_CF_FX_EFFECT_Y95" localSheetId="24">#REF!</definedName>
    <definedName name="_T_CF_FX_EFFECT_Y95">#REF!</definedName>
    <definedName name="_T_CF_FX_EFFECT_Y96" localSheetId="5">#REF!</definedName>
    <definedName name="_T_CF_FX_EFFECT_Y96" localSheetId="24">#REF!</definedName>
    <definedName name="_T_CF_FX_EFFECT_Y96">#REF!</definedName>
    <definedName name="_T_CF_FX_EFFECT_Y97" localSheetId="5">#REF!</definedName>
    <definedName name="_T_CF_FX_EFFECT_Y97" localSheetId="24">#REF!</definedName>
    <definedName name="_T_CF_FX_EFFECT_Y97">#REF!</definedName>
    <definedName name="_T_CF_FX_EFFECT_Y98" localSheetId="5">#REF!</definedName>
    <definedName name="_T_CF_FX_EFFECT_Y98" localSheetId="24">#REF!</definedName>
    <definedName name="_T_CF_FX_EFFECT_Y98">#REF!</definedName>
    <definedName name="_T_CF_FX_EFFECT_Y99" localSheetId="5">#REF!</definedName>
    <definedName name="_T_CF_FX_EFFECT_Y99" localSheetId="24">#REF!</definedName>
    <definedName name="_T_CF_FX_EFFECT_Y99">#REF!</definedName>
    <definedName name="_T_CF_OPEN_Y00" localSheetId="5">#REF!</definedName>
    <definedName name="_T_CF_OPEN_Y00" localSheetId="24">#REF!</definedName>
    <definedName name="_T_CF_OPEN_Y00">#REF!</definedName>
    <definedName name="_T_CF_OPEN_Y01" localSheetId="5">#REF!</definedName>
    <definedName name="_T_CF_OPEN_Y01" localSheetId="24">#REF!</definedName>
    <definedName name="_T_CF_OPEN_Y01">#REF!</definedName>
    <definedName name="_T_CF_OPEN_Y02" localSheetId="5">#REF!</definedName>
    <definedName name="_T_CF_OPEN_Y02" localSheetId="24">#REF!</definedName>
    <definedName name="_T_CF_OPEN_Y02">#REF!</definedName>
    <definedName name="_T_CF_OPEN_Y03" localSheetId="5">#REF!</definedName>
    <definedName name="_T_CF_OPEN_Y03" localSheetId="24">#REF!</definedName>
    <definedName name="_T_CF_OPEN_Y03">#REF!</definedName>
    <definedName name="_T_CF_OPEN_Y04" localSheetId="5">#REF!</definedName>
    <definedName name="_T_CF_OPEN_Y04" localSheetId="24">#REF!</definedName>
    <definedName name="_T_CF_OPEN_Y04">#REF!</definedName>
    <definedName name="_T_CF_OPEN_Y05" localSheetId="5">#REF!</definedName>
    <definedName name="_T_CF_OPEN_Y05" localSheetId="24">#REF!</definedName>
    <definedName name="_T_CF_OPEN_Y05">#REF!</definedName>
    <definedName name="_T_CF_OPEN_Y06" localSheetId="5">#REF!</definedName>
    <definedName name="_T_CF_OPEN_Y06" localSheetId="24">#REF!</definedName>
    <definedName name="_T_CF_OPEN_Y06">#REF!</definedName>
    <definedName name="_T_CF_OPEN_Y07" localSheetId="5">#REF!</definedName>
    <definedName name="_T_CF_OPEN_Y07" localSheetId="24">#REF!</definedName>
    <definedName name="_T_CF_OPEN_Y07">#REF!</definedName>
    <definedName name="_T_CF_OPEN_Y08" localSheetId="5">#REF!</definedName>
    <definedName name="_T_CF_OPEN_Y08" localSheetId="24">#REF!</definedName>
    <definedName name="_T_CF_OPEN_Y08">#REF!</definedName>
    <definedName name="_T_CF_OPEN_Y92" localSheetId="5">#REF!</definedName>
    <definedName name="_T_CF_OPEN_Y92" localSheetId="24">#REF!</definedName>
    <definedName name="_T_CF_OPEN_Y92">#REF!</definedName>
    <definedName name="_T_CF_OPEN_Y93" localSheetId="5">#REF!</definedName>
    <definedName name="_T_CF_OPEN_Y93" localSheetId="24">#REF!</definedName>
    <definedName name="_T_CF_OPEN_Y93">#REF!</definedName>
    <definedName name="_T_CF_OPEN_Y94" localSheetId="5">#REF!</definedName>
    <definedName name="_T_CF_OPEN_Y94" localSheetId="24">#REF!</definedName>
    <definedName name="_T_CF_OPEN_Y94">#REF!</definedName>
    <definedName name="_T_CF_OPEN_Y95" localSheetId="5">#REF!</definedName>
    <definedName name="_T_CF_OPEN_Y95" localSheetId="24">#REF!</definedName>
    <definedName name="_T_CF_OPEN_Y95">#REF!</definedName>
    <definedName name="_T_CF_OPEN_Y96" localSheetId="5">#REF!</definedName>
    <definedName name="_T_CF_OPEN_Y96" localSheetId="24">#REF!</definedName>
    <definedName name="_T_CF_OPEN_Y96">#REF!</definedName>
    <definedName name="_T_CF_OPEN_Y97" localSheetId="5">#REF!</definedName>
    <definedName name="_T_CF_OPEN_Y97" localSheetId="24">#REF!</definedName>
    <definedName name="_T_CF_OPEN_Y97">#REF!</definedName>
    <definedName name="_T_CF_OPEN_Y98" localSheetId="5">#REF!</definedName>
    <definedName name="_T_CF_OPEN_Y98" localSheetId="24">#REF!</definedName>
    <definedName name="_T_CF_OPEN_Y98">#REF!</definedName>
    <definedName name="_T_CF_OPEN_Y99" localSheetId="5">#REF!</definedName>
    <definedName name="_T_CF_OPEN_Y99" localSheetId="24">#REF!</definedName>
    <definedName name="_T_CF_OPEN_Y99">#REF!</definedName>
    <definedName name="_T_CF_TOTAL_Y00" localSheetId="5">#REF!</definedName>
    <definedName name="_T_CF_TOTAL_Y00" localSheetId="24">#REF!</definedName>
    <definedName name="_T_CF_TOTAL_Y00">#REF!</definedName>
    <definedName name="_T_CF_TOTAL_Y01" localSheetId="5">#REF!</definedName>
    <definedName name="_T_CF_TOTAL_Y01" localSheetId="24">#REF!</definedName>
    <definedName name="_T_CF_TOTAL_Y01">#REF!</definedName>
    <definedName name="_T_CF_TOTAL_Y02" localSheetId="5">#REF!</definedName>
    <definedName name="_T_CF_TOTAL_Y02" localSheetId="24">#REF!</definedName>
    <definedName name="_T_CF_TOTAL_Y02">#REF!</definedName>
    <definedName name="_T_CF_TOTAL_Y03" localSheetId="5">#REF!</definedName>
    <definedName name="_T_CF_TOTAL_Y03" localSheetId="24">#REF!</definedName>
    <definedName name="_T_CF_TOTAL_Y03">#REF!</definedName>
    <definedName name="_T_CF_TOTAL_Y90" localSheetId="5">#REF!</definedName>
    <definedName name="_T_CF_TOTAL_Y90" localSheetId="24">#REF!</definedName>
    <definedName name="_T_CF_TOTAL_Y90">#REF!</definedName>
    <definedName name="_T_CF_TOTAL_Y91" localSheetId="5">#REF!</definedName>
    <definedName name="_T_CF_TOTAL_Y91" localSheetId="24">#REF!</definedName>
    <definedName name="_T_CF_TOTAL_Y91">#REF!</definedName>
    <definedName name="_T_CF_TOTAL_Y92" localSheetId="5">#REF!</definedName>
    <definedName name="_T_CF_TOTAL_Y92" localSheetId="24">#REF!</definedName>
    <definedName name="_T_CF_TOTAL_Y92">#REF!</definedName>
    <definedName name="_T_CF_TOTAL_Y93" localSheetId="5">#REF!</definedName>
    <definedName name="_T_CF_TOTAL_Y93" localSheetId="24">#REF!</definedName>
    <definedName name="_T_CF_TOTAL_Y93">#REF!</definedName>
    <definedName name="_T_CF_TOTAL_Y94" localSheetId="5">#REF!</definedName>
    <definedName name="_T_CF_TOTAL_Y94" localSheetId="24">#REF!</definedName>
    <definedName name="_T_CF_TOTAL_Y94">#REF!</definedName>
    <definedName name="_T_CF_TOTAL_Y95" localSheetId="5">#REF!</definedName>
    <definedName name="_T_CF_TOTAL_Y95" localSheetId="24">#REF!</definedName>
    <definedName name="_T_CF_TOTAL_Y95">#REF!</definedName>
    <definedName name="_T_CF_TOTAL_Y96" localSheetId="5">#REF!</definedName>
    <definedName name="_T_CF_TOTAL_Y96" localSheetId="24">#REF!</definedName>
    <definedName name="_T_CF_TOTAL_Y96">#REF!</definedName>
    <definedName name="_T_CF_TOTAL_Y97" localSheetId="5">#REF!</definedName>
    <definedName name="_T_CF_TOTAL_Y97" localSheetId="24">#REF!</definedName>
    <definedName name="_T_CF_TOTAL_Y97">#REF!</definedName>
    <definedName name="_T_CF_TOTAL_Y98" localSheetId="5">#REF!</definedName>
    <definedName name="_T_CF_TOTAL_Y98" localSheetId="24">#REF!</definedName>
    <definedName name="_T_CF_TOTAL_Y98">#REF!</definedName>
    <definedName name="_T_CF_TOTAL_Y99" localSheetId="5">#REF!</definedName>
    <definedName name="_T_CF_TOTAL_Y99" localSheetId="24">#REF!</definedName>
    <definedName name="_T_CF_TOTAL_Y99">#REF!</definedName>
    <definedName name="_T_CL_BORR_Y00" localSheetId="5">#REF!</definedName>
    <definedName name="_T_CL_BORR_Y00" localSheetId="24">#REF!</definedName>
    <definedName name="_T_CL_BORR_Y00">#REF!</definedName>
    <definedName name="_T_CL_BORR_Y01" localSheetId="5">#REF!</definedName>
    <definedName name="_T_CL_BORR_Y01" localSheetId="24">#REF!</definedName>
    <definedName name="_T_CL_BORR_Y01">#REF!</definedName>
    <definedName name="_T_CL_BORR_Y02" localSheetId="5">#REF!</definedName>
    <definedName name="_T_CL_BORR_Y02" localSheetId="24">#REF!</definedName>
    <definedName name="_T_CL_BORR_Y02">#REF!</definedName>
    <definedName name="_T_CL_BORR_Y03" localSheetId="5">#REF!</definedName>
    <definedName name="_T_CL_BORR_Y03" localSheetId="24">#REF!</definedName>
    <definedName name="_T_CL_BORR_Y03">#REF!</definedName>
    <definedName name="_T_CL_BORR_Y04" localSheetId="5">#REF!</definedName>
    <definedName name="_T_CL_BORR_Y04" localSheetId="24">#REF!</definedName>
    <definedName name="_T_CL_BORR_Y04">#REF!</definedName>
    <definedName name="_T_CL_BORR_Y05" localSheetId="5">#REF!</definedName>
    <definedName name="_T_CL_BORR_Y05" localSheetId="24">#REF!</definedName>
    <definedName name="_T_CL_BORR_Y05">#REF!</definedName>
    <definedName name="_T_CL_BORR_Y06" localSheetId="5">#REF!</definedName>
    <definedName name="_T_CL_BORR_Y06" localSheetId="24">#REF!</definedName>
    <definedName name="_T_CL_BORR_Y06">#REF!</definedName>
    <definedName name="_T_CL_BORR_Y07" localSheetId="5">#REF!</definedName>
    <definedName name="_T_CL_BORR_Y07" localSheetId="24">#REF!</definedName>
    <definedName name="_T_CL_BORR_Y07">#REF!</definedName>
    <definedName name="_T_CL_BORR_Y08" localSheetId="5">#REF!</definedName>
    <definedName name="_T_CL_BORR_Y08" localSheetId="24">#REF!</definedName>
    <definedName name="_T_CL_BORR_Y08">#REF!</definedName>
    <definedName name="_T_CL_BORR_Y92" localSheetId="5">#REF!</definedName>
    <definedName name="_T_CL_BORR_Y92" localSheetId="24">#REF!</definedName>
    <definedName name="_T_CL_BORR_Y92">#REF!</definedName>
    <definedName name="_T_CL_BORR_Y93" localSheetId="5">#REF!</definedName>
    <definedName name="_T_CL_BORR_Y93" localSheetId="24">#REF!</definedName>
    <definedName name="_T_CL_BORR_Y93">#REF!</definedName>
    <definedName name="_T_CL_BORR_Y94" localSheetId="5">#REF!</definedName>
    <definedName name="_T_CL_BORR_Y94" localSheetId="24">#REF!</definedName>
    <definedName name="_T_CL_BORR_Y94">#REF!</definedName>
    <definedName name="_T_CL_BORR_Y95" localSheetId="5">#REF!</definedName>
    <definedName name="_T_CL_BORR_Y95" localSheetId="24">#REF!</definedName>
    <definedName name="_T_CL_BORR_Y95">#REF!</definedName>
    <definedName name="_T_CL_BORR_Y96" localSheetId="5">#REF!</definedName>
    <definedName name="_T_CL_BORR_Y96" localSheetId="24">#REF!</definedName>
    <definedName name="_T_CL_BORR_Y96">#REF!</definedName>
    <definedName name="_T_CL_BORR_Y97" localSheetId="5">#REF!</definedName>
    <definedName name="_T_CL_BORR_Y97" localSheetId="24">#REF!</definedName>
    <definedName name="_T_CL_BORR_Y97">#REF!</definedName>
    <definedName name="_T_CL_BORR_Y98" localSheetId="5">#REF!</definedName>
    <definedName name="_T_CL_BORR_Y98" localSheetId="24">#REF!</definedName>
    <definedName name="_T_CL_BORR_Y98">#REF!</definedName>
    <definedName name="_T_CL_BORR_Y99" localSheetId="5">#REF!</definedName>
    <definedName name="_T_CL_BORR_Y99" localSheetId="24">#REF!</definedName>
    <definedName name="_T_CL_BORR_Y99">#REF!</definedName>
    <definedName name="_T_CL_CREDIT_OTHER_Y00" localSheetId="5">#REF!</definedName>
    <definedName name="_T_CL_CREDIT_OTHER_Y00" localSheetId="24">#REF!</definedName>
    <definedName name="_T_CL_CREDIT_OTHER_Y00">#REF!</definedName>
    <definedName name="_T_CL_CREDIT_OTHER_Y01" localSheetId="5">#REF!</definedName>
    <definedName name="_T_CL_CREDIT_OTHER_Y01" localSheetId="24">#REF!</definedName>
    <definedName name="_T_CL_CREDIT_OTHER_Y01">#REF!</definedName>
    <definedName name="_T_CL_CREDIT_OTHER_Y02" localSheetId="5">#REF!</definedName>
    <definedName name="_T_CL_CREDIT_OTHER_Y02" localSheetId="24">#REF!</definedName>
    <definedName name="_T_CL_CREDIT_OTHER_Y02">#REF!</definedName>
    <definedName name="_T_CL_CREDIT_OTHER_Y03" localSheetId="5">#REF!</definedName>
    <definedName name="_T_CL_CREDIT_OTHER_Y03" localSheetId="24">#REF!</definedName>
    <definedName name="_T_CL_CREDIT_OTHER_Y03">#REF!</definedName>
    <definedName name="_T_CL_CREDIT_OTHER_Y04" localSheetId="5">#REF!</definedName>
    <definedName name="_T_CL_CREDIT_OTHER_Y04" localSheetId="24">#REF!</definedName>
    <definedName name="_T_CL_CREDIT_OTHER_Y04">#REF!</definedName>
    <definedName name="_T_CL_CREDIT_OTHER_Y05" localSheetId="5">#REF!</definedName>
    <definedName name="_T_CL_CREDIT_OTHER_Y05" localSheetId="24">#REF!</definedName>
    <definedName name="_T_CL_CREDIT_OTHER_Y05">#REF!</definedName>
    <definedName name="_T_CL_CREDIT_OTHER_Y06" localSheetId="5">#REF!</definedName>
    <definedName name="_T_CL_CREDIT_OTHER_Y06" localSheetId="24">#REF!</definedName>
    <definedName name="_T_CL_CREDIT_OTHER_Y06">#REF!</definedName>
    <definedName name="_T_CL_CREDIT_OTHER_Y07" localSheetId="5">#REF!</definedName>
    <definedName name="_T_CL_CREDIT_OTHER_Y07" localSheetId="24">#REF!</definedName>
    <definedName name="_T_CL_CREDIT_OTHER_Y07">#REF!</definedName>
    <definedName name="_T_CL_CREDIT_OTHER_Y08" localSheetId="5">#REF!</definedName>
    <definedName name="_T_CL_CREDIT_OTHER_Y08" localSheetId="24">#REF!</definedName>
    <definedName name="_T_CL_CREDIT_OTHER_Y08">#REF!</definedName>
    <definedName name="_T_CL_CREDIT_OTHER_Y92" localSheetId="5">#REF!</definedName>
    <definedName name="_T_CL_CREDIT_OTHER_Y92" localSheetId="24">#REF!</definedName>
    <definedName name="_T_CL_CREDIT_OTHER_Y92">#REF!</definedName>
    <definedName name="_T_CL_CREDIT_OTHER_Y93" localSheetId="5">#REF!</definedName>
    <definedName name="_T_CL_CREDIT_OTHER_Y93" localSheetId="24">#REF!</definedName>
    <definedName name="_T_CL_CREDIT_OTHER_Y93">#REF!</definedName>
    <definedName name="_T_CL_CREDIT_OTHER_Y94" localSheetId="5">#REF!</definedName>
    <definedName name="_T_CL_CREDIT_OTHER_Y94" localSheetId="24">#REF!</definedName>
    <definedName name="_T_CL_CREDIT_OTHER_Y94">#REF!</definedName>
    <definedName name="_T_CL_CREDIT_OTHER_Y95" localSheetId="5">#REF!</definedName>
    <definedName name="_T_CL_CREDIT_OTHER_Y95" localSheetId="24">#REF!</definedName>
    <definedName name="_T_CL_CREDIT_OTHER_Y95">#REF!</definedName>
    <definedName name="_T_CL_CREDIT_OTHER_Y96" localSheetId="5">#REF!</definedName>
    <definedName name="_T_CL_CREDIT_OTHER_Y96" localSheetId="24">#REF!</definedName>
    <definedName name="_T_CL_CREDIT_OTHER_Y96">#REF!</definedName>
    <definedName name="_T_CL_CREDIT_OTHER_Y97" localSheetId="5">#REF!</definedName>
    <definedName name="_T_CL_CREDIT_OTHER_Y97" localSheetId="24">#REF!</definedName>
    <definedName name="_T_CL_CREDIT_OTHER_Y97">#REF!</definedName>
    <definedName name="_T_CL_CREDIT_OTHER_Y98" localSheetId="5">#REF!</definedName>
    <definedName name="_T_CL_CREDIT_OTHER_Y98" localSheetId="24">#REF!</definedName>
    <definedName name="_T_CL_CREDIT_OTHER_Y98">#REF!</definedName>
    <definedName name="_T_CL_CREDIT_OTHER_Y99" localSheetId="5">#REF!</definedName>
    <definedName name="_T_CL_CREDIT_OTHER_Y99" localSheetId="24">#REF!</definedName>
    <definedName name="_T_CL_CREDIT_OTHER_Y99">#REF!</definedName>
    <definedName name="_T_CL_CREDIT_Y00" localSheetId="5">#REF!</definedName>
    <definedName name="_T_CL_CREDIT_Y00" localSheetId="24">#REF!</definedName>
    <definedName name="_T_CL_CREDIT_Y00">#REF!</definedName>
    <definedName name="_T_CL_CREDIT_Y01" localSheetId="5">#REF!</definedName>
    <definedName name="_T_CL_CREDIT_Y01" localSheetId="24">#REF!</definedName>
    <definedName name="_T_CL_CREDIT_Y01">#REF!</definedName>
    <definedName name="_T_CL_CREDIT_Y02" localSheetId="5">#REF!</definedName>
    <definedName name="_T_CL_CREDIT_Y02" localSheetId="24">#REF!</definedName>
    <definedName name="_T_CL_CREDIT_Y02">#REF!</definedName>
    <definedName name="_T_CL_CREDIT_Y03" localSheetId="5">#REF!</definedName>
    <definedName name="_T_CL_CREDIT_Y03" localSheetId="24">#REF!</definedName>
    <definedName name="_T_CL_CREDIT_Y03">#REF!</definedName>
    <definedName name="_T_CL_CREDIT_Y04" localSheetId="5">#REF!</definedName>
    <definedName name="_T_CL_CREDIT_Y04" localSheetId="24">#REF!</definedName>
    <definedName name="_T_CL_CREDIT_Y04">#REF!</definedName>
    <definedName name="_T_CL_CREDIT_Y05" localSheetId="5">#REF!</definedName>
    <definedName name="_T_CL_CREDIT_Y05" localSheetId="24">#REF!</definedName>
    <definedName name="_T_CL_CREDIT_Y05">#REF!</definedName>
    <definedName name="_T_CL_CREDIT_Y06" localSheetId="5">#REF!</definedName>
    <definedName name="_T_CL_CREDIT_Y06" localSheetId="24">#REF!</definedName>
    <definedName name="_T_CL_CREDIT_Y06">#REF!</definedName>
    <definedName name="_T_CL_CREDIT_Y07" localSheetId="5">#REF!</definedName>
    <definedName name="_T_CL_CREDIT_Y07" localSheetId="24">#REF!</definedName>
    <definedName name="_T_CL_CREDIT_Y07">#REF!</definedName>
    <definedName name="_T_CL_CREDIT_Y08" localSheetId="5">#REF!</definedName>
    <definedName name="_T_CL_CREDIT_Y08" localSheetId="24">#REF!</definedName>
    <definedName name="_T_CL_CREDIT_Y08">#REF!</definedName>
    <definedName name="_T_CL_CREDIT_Y92" localSheetId="5">#REF!</definedName>
    <definedName name="_T_CL_CREDIT_Y92" localSheetId="24">#REF!</definedName>
    <definedName name="_T_CL_CREDIT_Y92">#REF!</definedName>
    <definedName name="_T_CL_CREDIT_Y93" localSheetId="5">#REF!</definedName>
    <definedName name="_T_CL_CREDIT_Y93" localSheetId="24">#REF!</definedName>
    <definedName name="_T_CL_CREDIT_Y93">#REF!</definedName>
    <definedName name="_T_CL_CREDIT_Y94" localSheetId="5">#REF!</definedName>
    <definedName name="_T_CL_CREDIT_Y94" localSheetId="24">#REF!</definedName>
    <definedName name="_T_CL_CREDIT_Y94">#REF!</definedName>
    <definedName name="_T_CL_CREDIT_Y95" localSheetId="5">#REF!</definedName>
    <definedName name="_T_CL_CREDIT_Y95" localSheetId="24">#REF!</definedName>
    <definedName name="_T_CL_CREDIT_Y95">#REF!</definedName>
    <definedName name="_T_CL_CREDIT_Y96" localSheetId="5">#REF!</definedName>
    <definedName name="_T_CL_CREDIT_Y96" localSheetId="24">#REF!</definedName>
    <definedName name="_T_CL_CREDIT_Y96">#REF!</definedName>
    <definedName name="_T_CL_CREDIT_Y97" localSheetId="5">#REF!</definedName>
    <definedName name="_T_CL_CREDIT_Y97" localSheetId="24">#REF!</definedName>
    <definedName name="_T_CL_CREDIT_Y97">#REF!</definedName>
    <definedName name="_T_CL_CREDIT_Y98" localSheetId="5">#REF!</definedName>
    <definedName name="_T_CL_CREDIT_Y98" localSheetId="24">#REF!</definedName>
    <definedName name="_T_CL_CREDIT_Y98">#REF!</definedName>
    <definedName name="_T_CL_CREDIT_Y99" localSheetId="5">#REF!</definedName>
    <definedName name="_T_CL_CREDIT_Y99" localSheetId="24">#REF!</definedName>
    <definedName name="_T_CL_CREDIT_Y99">#REF!</definedName>
    <definedName name="_T_CL_CUST_DEP_Y00" localSheetId="5">#REF!</definedName>
    <definedName name="_T_CL_CUST_DEP_Y00" localSheetId="24">#REF!</definedName>
    <definedName name="_T_CL_CUST_DEP_Y00">#REF!</definedName>
    <definedName name="_T_CL_CUST_DEP_Y01" localSheetId="5">#REF!</definedName>
    <definedName name="_T_CL_CUST_DEP_Y01" localSheetId="24">#REF!</definedName>
    <definedName name="_T_CL_CUST_DEP_Y01">#REF!</definedName>
    <definedName name="_T_CL_CUST_DEP_Y02" localSheetId="5">#REF!</definedName>
    <definedName name="_T_CL_CUST_DEP_Y02" localSheetId="24">#REF!</definedName>
    <definedName name="_T_CL_CUST_DEP_Y02">#REF!</definedName>
    <definedName name="_T_CL_CUST_DEP_Y03" localSheetId="5">#REF!</definedName>
    <definedName name="_T_CL_CUST_DEP_Y03" localSheetId="24">#REF!</definedName>
    <definedName name="_T_CL_CUST_DEP_Y03">#REF!</definedName>
    <definedName name="_T_CL_CUST_DEP_Y90" localSheetId="5">#REF!</definedName>
    <definedName name="_T_CL_CUST_DEP_Y90" localSheetId="24">#REF!</definedName>
    <definedName name="_T_CL_CUST_DEP_Y90">#REF!</definedName>
    <definedName name="_T_CL_CUST_DEP_Y91" localSheetId="5">#REF!</definedName>
    <definedName name="_T_CL_CUST_DEP_Y91" localSheetId="24">#REF!</definedName>
    <definedName name="_T_CL_CUST_DEP_Y91">#REF!</definedName>
    <definedName name="_T_CL_CUST_DEP_Y92" localSheetId="5">#REF!</definedName>
    <definedName name="_T_CL_CUST_DEP_Y92" localSheetId="24">#REF!</definedName>
    <definedName name="_T_CL_CUST_DEP_Y92">#REF!</definedName>
    <definedName name="_T_CL_CUST_DEP_Y93" localSheetId="5">#REF!</definedName>
    <definedName name="_T_CL_CUST_DEP_Y93" localSheetId="24">#REF!</definedName>
    <definedName name="_T_CL_CUST_DEP_Y93">#REF!</definedName>
    <definedName name="_T_CL_CUST_DEP_Y94" localSheetId="5">#REF!</definedName>
    <definedName name="_T_CL_CUST_DEP_Y94" localSheetId="24">#REF!</definedName>
    <definedName name="_T_CL_CUST_DEP_Y94">#REF!</definedName>
    <definedName name="_T_CL_CUST_DEP_Y95" localSheetId="5">#REF!</definedName>
    <definedName name="_T_CL_CUST_DEP_Y95" localSheetId="24">#REF!</definedName>
    <definedName name="_T_CL_CUST_DEP_Y95">#REF!</definedName>
    <definedName name="_T_CL_CUST_DEP_Y96" localSheetId="5">#REF!</definedName>
    <definedName name="_T_CL_CUST_DEP_Y96" localSheetId="24">#REF!</definedName>
    <definedName name="_T_CL_CUST_DEP_Y96">#REF!</definedName>
    <definedName name="_T_CL_CUST_DEP_Y97" localSheetId="5">#REF!</definedName>
    <definedName name="_T_CL_CUST_DEP_Y97" localSheetId="24">#REF!</definedName>
    <definedName name="_T_CL_CUST_DEP_Y97">#REF!</definedName>
    <definedName name="_T_CL_CUST_DEP_Y98" localSheetId="5">#REF!</definedName>
    <definedName name="_T_CL_CUST_DEP_Y98" localSheetId="24">#REF!</definedName>
    <definedName name="_T_CL_CUST_DEP_Y98">#REF!</definedName>
    <definedName name="_T_CL_CUST_DEP_Y99" localSheetId="5">#REF!</definedName>
    <definedName name="_T_CL_CUST_DEP_Y99" localSheetId="24">#REF!</definedName>
    <definedName name="_T_CL_CUST_DEP_Y99">#REF!</definedName>
    <definedName name="_T_CL_DEBTCONV_Y00" localSheetId="5">#REF!</definedName>
    <definedName name="_T_CL_DEBTCONV_Y00" localSheetId="24">#REF!</definedName>
    <definedName name="_T_CL_DEBTCONV_Y00">#REF!</definedName>
    <definedName name="_T_CL_DEBTCONV_Y01" localSheetId="5">#REF!</definedName>
    <definedName name="_T_CL_DEBTCONV_Y01" localSheetId="24">#REF!</definedName>
    <definedName name="_T_CL_DEBTCONV_Y01">#REF!</definedName>
    <definedName name="_T_CL_DEBTCONV_Y02" localSheetId="5">#REF!</definedName>
    <definedName name="_T_CL_DEBTCONV_Y02" localSheetId="24">#REF!</definedName>
    <definedName name="_T_CL_DEBTCONV_Y02">#REF!</definedName>
    <definedName name="_T_CL_DEBTCONV_Y03" localSheetId="5">#REF!</definedName>
    <definedName name="_T_CL_DEBTCONV_Y03" localSheetId="24">#REF!</definedName>
    <definedName name="_T_CL_DEBTCONV_Y03">#REF!</definedName>
    <definedName name="_T_CL_DEBTCONV_Y90" localSheetId="5">#REF!</definedName>
    <definedName name="_T_CL_DEBTCONV_Y90" localSheetId="24">#REF!</definedName>
    <definedName name="_T_CL_DEBTCONV_Y90">#REF!</definedName>
    <definedName name="_T_CL_DEBTCONV_Y91" localSheetId="5">#REF!</definedName>
    <definedName name="_T_CL_DEBTCONV_Y91" localSheetId="24">#REF!</definedName>
    <definedName name="_T_CL_DEBTCONV_Y91">#REF!</definedName>
    <definedName name="_T_CL_DEBTCONV_Y92" localSheetId="5">#REF!</definedName>
    <definedName name="_T_CL_DEBTCONV_Y92" localSheetId="24">#REF!</definedName>
    <definedName name="_T_CL_DEBTCONV_Y92">#REF!</definedName>
    <definedName name="_T_CL_DEBTCONV_Y93" localSheetId="5">#REF!</definedName>
    <definedName name="_T_CL_DEBTCONV_Y93" localSheetId="24">#REF!</definedName>
    <definedName name="_T_CL_DEBTCONV_Y93">#REF!</definedName>
    <definedName name="_T_CL_DEBTCONV_Y94" localSheetId="5">#REF!</definedName>
    <definedName name="_T_CL_DEBTCONV_Y94" localSheetId="24">#REF!</definedName>
    <definedName name="_T_CL_DEBTCONV_Y94">#REF!</definedName>
    <definedName name="_T_CL_DEBTCONV_Y95" localSheetId="5">#REF!</definedName>
    <definedName name="_T_CL_DEBTCONV_Y95" localSheetId="24">#REF!</definedName>
    <definedName name="_T_CL_DEBTCONV_Y95">#REF!</definedName>
    <definedName name="_T_CL_DEBTCONV_Y96" localSheetId="5">#REF!</definedName>
    <definedName name="_T_CL_DEBTCONV_Y96" localSheetId="24">#REF!</definedName>
    <definedName name="_T_CL_DEBTCONV_Y96">#REF!</definedName>
    <definedName name="_T_CL_DEBTCONV_Y97" localSheetId="5">#REF!</definedName>
    <definedName name="_T_CL_DEBTCONV_Y97" localSheetId="24">#REF!</definedName>
    <definedName name="_T_CL_DEBTCONV_Y97">#REF!</definedName>
    <definedName name="_T_CL_DEBTCONV_Y98" localSheetId="5">#REF!</definedName>
    <definedName name="_T_CL_DEBTCONV_Y98" localSheetId="24">#REF!</definedName>
    <definedName name="_T_CL_DEBTCONV_Y98">#REF!</definedName>
    <definedName name="_T_CL_DEBTCONV_Y99" localSheetId="5">#REF!</definedName>
    <definedName name="_T_CL_DEBTCONV_Y99" localSheetId="24">#REF!</definedName>
    <definedName name="_T_CL_DEBTCONV_Y99">#REF!</definedName>
    <definedName name="_T_CL_LEASE_Y00" localSheetId="5">#REF!</definedName>
    <definedName name="_T_CL_LEASE_Y00" localSheetId="24">#REF!</definedName>
    <definedName name="_T_CL_LEASE_Y00">#REF!</definedName>
    <definedName name="_T_CL_LEASE_Y01" localSheetId="5">#REF!</definedName>
    <definedName name="_T_CL_LEASE_Y01" localSheetId="24">#REF!</definedName>
    <definedName name="_T_CL_LEASE_Y01">#REF!</definedName>
    <definedName name="_T_CL_LEASE_Y02" localSheetId="5">#REF!</definedName>
    <definedName name="_T_CL_LEASE_Y02" localSheetId="24">#REF!</definedName>
    <definedName name="_T_CL_LEASE_Y02">#REF!</definedName>
    <definedName name="_T_CL_LEASE_Y03" localSheetId="5">#REF!</definedName>
    <definedName name="_T_CL_LEASE_Y03" localSheetId="24">#REF!</definedName>
    <definedName name="_T_CL_LEASE_Y03">#REF!</definedName>
    <definedName name="_T_CL_LEASE_Y90" localSheetId="5">#REF!</definedName>
    <definedName name="_T_CL_LEASE_Y90" localSheetId="24">#REF!</definedName>
    <definedName name="_T_CL_LEASE_Y90">#REF!</definedName>
    <definedName name="_T_CL_LEASE_Y91" localSheetId="5">#REF!</definedName>
    <definedName name="_T_CL_LEASE_Y91" localSheetId="24">#REF!</definedName>
    <definedName name="_T_CL_LEASE_Y91">#REF!</definedName>
    <definedName name="_T_CL_LEASE_Y92" localSheetId="5">#REF!</definedName>
    <definedName name="_T_CL_LEASE_Y92" localSheetId="24">#REF!</definedName>
    <definedName name="_T_CL_LEASE_Y92">#REF!</definedName>
    <definedName name="_T_CL_LEASE_Y93" localSheetId="5">#REF!</definedName>
    <definedName name="_T_CL_LEASE_Y93" localSheetId="24">#REF!</definedName>
    <definedName name="_T_CL_LEASE_Y93">#REF!</definedName>
    <definedName name="_T_CL_LEASE_Y94" localSheetId="5">#REF!</definedName>
    <definedName name="_T_CL_LEASE_Y94" localSheetId="24">#REF!</definedName>
    <definedName name="_T_CL_LEASE_Y94">#REF!</definedName>
    <definedName name="_T_CL_LEASE_Y95" localSheetId="5">#REF!</definedName>
    <definedName name="_T_CL_LEASE_Y95" localSheetId="24">#REF!</definedName>
    <definedName name="_T_CL_LEASE_Y95">#REF!</definedName>
    <definedName name="_T_CL_LEASE_Y96" localSheetId="5">#REF!</definedName>
    <definedName name="_T_CL_LEASE_Y96" localSheetId="24">#REF!</definedName>
    <definedName name="_T_CL_LEASE_Y96">#REF!</definedName>
    <definedName name="_T_CL_LEASE_Y97" localSheetId="5">#REF!</definedName>
    <definedName name="_T_CL_LEASE_Y97" localSheetId="24">#REF!</definedName>
    <definedName name="_T_CL_LEASE_Y97">#REF!</definedName>
    <definedName name="_T_CL_LEASE_Y98" localSheetId="5">#REF!</definedName>
    <definedName name="_T_CL_LEASE_Y98" localSheetId="24">#REF!</definedName>
    <definedName name="_T_CL_LEASE_Y98">#REF!</definedName>
    <definedName name="_T_CL_LEASE_Y99" localSheetId="5">#REF!</definedName>
    <definedName name="_T_CL_LEASE_Y99" localSheetId="24">#REF!</definedName>
    <definedName name="_T_CL_LEASE_Y99">#REF!</definedName>
    <definedName name="_T_CL_OTHER_Y00" localSheetId="5">#REF!</definedName>
    <definedName name="_T_CL_OTHER_Y00" localSheetId="24">#REF!</definedName>
    <definedName name="_T_CL_OTHER_Y00">#REF!</definedName>
    <definedName name="_T_CL_OTHER_Y01" localSheetId="5">#REF!</definedName>
    <definedName name="_T_CL_OTHER_Y01" localSheetId="24">#REF!</definedName>
    <definedName name="_T_CL_OTHER_Y01">#REF!</definedName>
    <definedName name="_T_CL_OTHER_Y02" localSheetId="5">#REF!</definedName>
    <definedName name="_T_CL_OTHER_Y02" localSheetId="24">#REF!</definedName>
    <definedName name="_T_CL_OTHER_Y02">#REF!</definedName>
    <definedName name="_T_CL_OTHER_Y03" localSheetId="5">#REF!</definedName>
    <definedName name="_T_CL_OTHER_Y03" localSheetId="24">#REF!</definedName>
    <definedName name="_T_CL_OTHER_Y03">#REF!</definedName>
    <definedName name="_T_CL_OTHER_Y90" localSheetId="5">#REF!</definedName>
    <definedName name="_T_CL_OTHER_Y90" localSheetId="24">#REF!</definedName>
    <definedName name="_T_CL_OTHER_Y90">#REF!</definedName>
    <definedName name="_T_CL_OTHER_Y91" localSheetId="5">#REF!</definedName>
    <definedName name="_T_CL_OTHER_Y91" localSheetId="24">#REF!</definedName>
    <definedName name="_T_CL_OTHER_Y91">#REF!</definedName>
    <definedName name="_T_CL_OTHER_Y92" localSheetId="5">#REF!</definedName>
    <definedName name="_T_CL_OTHER_Y92" localSheetId="24">#REF!</definedName>
    <definedName name="_T_CL_OTHER_Y92">#REF!</definedName>
    <definedName name="_T_CL_OTHER_Y93" localSheetId="5">#REF!</definedName>
    <definedName name="_T_CL_OTHER_Y93" localSheetId="24">#REF!</definedName>
    <definedName name="_T_CL_OTHER_Y93">#REF!</definedName>
    <definedName name="_T_CL_OTHER_Y94" localSheetId="5">#REF!</definedName>
    <definedName name="_T_CL_OTHER_Y94" localSheetId="24">#REF!</definedName>
    <definedName name="_T_CL_OTHER_Y94">#REF!</definedName>
    <definedName name="_T_CL_OTHER_Y95" localSheetId="5">#REF!</definedName>
    <definedName name="_T_CL_OTHER_Y95" localSheetId="24">#REF!</definedName>
    <definedName name="_T_CL_OTHER_Y95">#REF!</definedName>
    <definedName name="_T_CL_OTHER_Y96" localSheetId="5">#REF!</definedName>
    <definedName name="_T_CL_OTHER_Y96" localSheetId="24">#REF!</definedName>
    <definedName name="_T_CL_OTHER_Y96">#REF!</definedName>
    <definedName name="_T_CL_OTHER_Y97" localSheetId="5">#REF!</definedName>
    <definedName name="_T_CL_OTHER_Y97" localSheetId="24">#REF!</definedName>
    <definedName name="_T_CL_OTHER_Y97">#REF!</definedName>
    <definedName name="_T_CL_OTHER_Y98" localSheetId="5">#REF!</definedName>
    <definedName name="_T_CL_OTHER_Y98" localSheetId="24">#REF!</definedName>
    <definedName name="_T_CL_OTHER_Y98">#REF!</definedName>
    <definedName name="_T_CL_OTHER_Y99" localSheetId="5">#REF!</definedName>
    <definedName name="_T_CL_OTHER_Y99" localSheetId="24">#REF!</definedName>
    <definedName name="_T_CL_OTHER_Y99">#REF!</definedName>
    <definedName name="_T_CL_OVERDRAFT_Y00" localSheetId="5">#REF!</definedName>
    <definedName name="_T_CL_OVERDRAFT_Y00" localSheetId="24">#REF!</definedName>
    <definedName name="_T_CL_OVERDRAFT_Y00">#REF!</definedName>
    <definedName name="_T_CL_OVERDRAFT_Y01" localSheetId="5">#REF!</definedName>
    <definedName name="_T_CL_OVERDRAFT_Y01" localSheetId="24">#REF!</definedName>
    <definedName name="_T_CL_OVERDRAFT_Y01">#REF!</definedName>
    <definedName name="_T_CL_OVERDRAFT_Y02" localSheetId="5">#REF!</definedName>
    <definedName name="_T_CL_OVERDRAFT_Y02" localSheetId="24">#REF!</definedName>
    <definedName name="_T_CL_OVERDRAFT_Y02">#REF!</definedName>
    <definedName name="_T_CL_OVERDRAFT_Y03" localSheetId="5">#REF!</definedName>
    <definedName name="_T_CL_OVERDRAFT_Y03" localSheetId="24">#REF!</definedName>
    <definedName name="_T_CL_OVERDRAFT_Y03">#REF!</definedName>
    <definedName name="_T_CL_OVERDRAFT_Y90" localSheetId="5">#REF!</definedName>
    <definedName name="_T_CL_OVERDRAFT_Y90" localSheetId="24">#REF!</definedName>
    <definedName name="_T_CL_OVERDRAFT_Y90">#REF!</definedName>
    <definedName name="_T_CL_OVERDRAFT_Y91" localSheetId="5">#REF!</definedName>
    <definedName name="_T_CL_OVERDRAFT_Y91" localSheetId="24">#REF!</definedName>
    <definedName name="_T_CL_OVERDRAFT_Y91">#REF!</definedName>
    <definedName name="_T_CL_OVERDRAFT_Y92" localSheetId="5">#REF!</definedName>
    <definedName name="_T_CL_OVERDRAFT_Y92" localSheetId="24">#REF!</definedName>
    <definedName name="_T_CL_OVERDRAFT_Y92">#REF!</definedName>
    <definedName name="_T_CL_OVERDRAFT_Y93" localSheetId="5">#REF!</definedName>
    <definedName name="_T_CL_OVERDRAFT_Y93" localSheetId="24">#REF!</definedName>
    <definedName name="_T_CL_OVERDRAFT_Y93">#REF!</definedName>
    <definedName name="_T_CL_OVERDRAFT_Y94" localSheetId="5">#REF!</definedName>
    <definedName name="_T_CL_OVERDRAFT_Y94" localSheetId="24">#REF!</definedName>
    <definedName name="_T_CL_OVERDRAFT_Y94">#REF!</definedName>
    <definedName name="_T_CL_OVERDRAFT_Y95" localSheetId="5">#REF!</definedName>
    <definedName name="_T_CL_OVERDRAFT_Y95" localSheetId="24">#REF!</definedName>
    <definedName name="_T_CL_OVERDRAFT_Y95">#REF!</definedName>
    <definedName name="_T_CL_OVERDRAFT_Y96" localSheetId="5">#REF!</definedName>
    <definedName name="_T_CL_OVERDRAFT_Y96" localSheetId="24">#REF!</definedName>
    <definedName name="_T_CL_OVERDRAFT_Y96">#REF!</definedName>
    <definedName name="_T_CL_OVERDRAFT_Y97" localSheetId="5">#REF!</definedName>
    <definedName name="_T_CL_OVERDRAFT_Y97" localSheetId="24">#REF!</definedName>
    <definedName name="_T_CL_OVERDRAFT_Y97">#REF!</definedName>
    <definedName name="_T_CL_OVERDRAFT_Y98" localSheetId="5">#REF!</definedName>
    <definedName name="_T_CL_OVERDRAFT_Y98" localSheetId="24">#REF!</definedName>
    <definedName name="_T_CL_OVERDRAFT_Y98">#REF!</definedName>
    <definedName name="_T_CL_OVERDRAFT_Y99" localSheetId="5">#REF!</definedName>
    <definedName name="_T_CL_OVERDRAFT_Y99" localSheetId="24">#REF!</definedName>
    <definedName name="_T_CL_OVERDRAFT_Y99">#REF!</definedName>
    <definedName name="_T_CL_PROV_DIV_Y00" localSheetId="5">#REF!</definedName>
    <definedName name="_T_CL_PROV_DIV_Y00" localSheetId="24">#REF!</definedName>
    <definedName name="_T_CL_PROV_DIV_Y00">#REF!</definedName>
    <definedName name="_T_CL_PROV_DIV_Y01" localSheetId="5">#REF!</definedName>
    <definedName name="_T_CL_PROV_DIV_Y01" localSheetId="24">#REF!</definedName>
    <definedName name="_T_CL_PROV_DIV_Y01">#REF!</definedName>
    <definedName name="_T_CL_PROV_DIV_Y02" localSheetId="5">#REF!</definedName>
    <definedName name="_T_CL_PROV_DIV_Y02" localSheetId="24">#REF!</definedName>
    <definedName name="_T_CL_PROV_DIV_Y02">#REF!</definedName>
    <definedName name="_T_CL_PROV_DIV_Y03" localSheetId="5">#REF!</definedName>
    <definedName name="_T_CL_PROV_DIV_Y03" localSheetId="24">#REF!</definedName>
    <definedName name="_T_CL_PROV_DIV_Y03">#REF!</definedName>
    <definedName name="_T_CL_PROV_DIV_Y04" localSheetId="5">#REF!</definedName>
    <definedName name="_T_CL_PROV_DIV_Y04" localSheetId="24">#REF!</definedName>
    <definedName name="_T_CL_PROV_DIV_Y04">#REF!</definedName>
    <definedName name="_T_CL_PROV_DIV_Y05" localSheetId="5">#REF!</definedName>
    <definedName name="_T_CL_PROV_DIV_Y05" localSheetId="24">#REF!</definedName>
    <definedName name="_T_CL_PROV_DIV_Y05">#REF!</definedName>
    <definedName name="_T_CL_PROV_DIV_Y06" localSheetId="5">#REF!</definedName>
    <definedName name="_T_CL_PROV_DIV_Y06" localSheetId="24">#REF!</definedName>
    <definedName name="_T_CL_PROV_DIV_Y06">#REF!</definedName>
    <definedName name="_T_CL_PROV_DIV_Y07" localSheetId="5">#REF!</definedName>
    <definedName name="_T_CL_PROV_DIV_Y07" localSheetId="24">#REF!</definedName>
    <definedName name="_T_CL_PROV_DIV_Y07">#REF!</definedName>
    <definedName name="_T_CL_PROV_DIV_Y08" localSheetId="5">#REF!</definedName>
    <definedName name="_T_CL_PROV_DIV_Y08" localSheetId="24">#REF!</definedName>
    <definedName name="_T_CL_PROV_DIV_Y08">#REF!</definedName>
    <definedName name="_T_CL_PROV_DIV_Y92" localSheetId="5">#REF!</definedName>
    <definedName name="_T_CL_PROV_DIV_Y92" localSheetId="24">#REF!</definedName>
    <definedName name="_T_CL_PROV_DIV_Y92">#REF!</definedName>
    <definedName name="_T_CL_PROV_DIV_Y93" localSheetId="5">#REF!</definedName>
    <definedName name="_T_CL_PROV_DIV_Y93" localSheetId="24">#REF!</definedName>
    <definedName name="_T_CL_PROV_DIV_Y93">#REF!</definedName>
    <definedName name="_T_CL_PROV_DIV_Y94" localSheetId="5">#REF!</definedName>
    <definedName name="_T_CL_PROV_DIV_Y94" localSheetId="24">#REF!</definedName>
    <definedName name="_T_CL_PROV_DIV_Y94">#REF!</definedName>
    <definedName name="_T_CL_PROV_DIV_Y95" localSheetId="5">#REF!</definedName>
    <definedName name="_T_CL_PROV_DIV_Y95" localSheetId="24">#REF!</definedName>
    <definedName name="_T_CL_PROV_DIV_Y95">#REF!</definedName>
    <definedName name="_T_CL_PROV_DIV_Y96" localSheetId="5">#REF!</definedName>
    <definedName name="_T_CL_PROV_DIV_Y96" localSheetId="24">#REF!</definedName>
    <definedName name="_T_CL_PROV_DIV_Y96">#REF!</definedName>
    <definedName name="_T_CL_PROV_DIV_Y97" localSheetId="5">#REF!</definedName>
    <definedName name="_T_CL_PROV_DIV_Y97" localSheetId="24">#REF!</definedName>
    <definedName name="_T_CL_PROV_DIV_Y97">#REF!</definedName>
    <definedName name="_T_CL_PROV_DIV_Y98" localSheetId="5">#REF!</definedName>
    <definedName name="_T_CL_PROV_DIV_Y98" localSheetId="24">#REF!</definedName>
    <definedName name="_T_CL_PROV_DIV_Y98">#REF!</definedName>
    <definedName name="_T_CL_PROV_DIV_Y99" localSheetId="5">#REF!</definedName>
    <definedName name="_T_CL_PROV_DIV_Y99" localSheetId="24">#REF!</definedName>
    <definedName name="_T_CL_PROV_DIV_Y99">#REF!</definedName>
    <definedName name="_T_CL_PROV_EMPLOY_Y00" localSheetId="5">#REF!</definedName>
    <definedName name="_T_CL_PROV_EMPLOY_Y00" localSheetId="24">#REF!</definedName>
    <definedName name="_T_CL_PROV_EMPLOY_Y00">#REF!</definedName>
    <definedName name="_T_CL_PROV_EMPLOY_Y01" localSheetId="5">#REF!</definedName>
    <definedName name="_T_CL_PROV_EMPLOY_Y01" localSheetId="24">#REF!</definedName>
    <definedName name="_T_CL_PROV_EMPLOY_Y01">#REF!</definedName>
    <definedName name="_T_CL_PROV_EMPLOY_Y02" localSheetId="5">#REF!</definedName>
    <definedName name="_T_CL_PROV_EMPLOY_Y02" localSheetId="24">#REF!</definedName>
    <definedName name="_T_CL_PROV_EMPLOY_Y02">#REF!</definedName>
    <definedName name="_T_CL_PROV_EMPLOY_Y03" localSheetId="5">#REF!</definedName>
    <definedName name="_T_CL_PROV_EMPLOY_Y03" localSheetId="24">#REF!</definedName>
    <definedName name="_T_CL_PROV_EMPLOY_Y03">#REF!</definedName>
    <definedName name="_T_CL_PROV_EMPLOY_Y04" localSheetId="5">#REF!</definedName>
    <definedName name="_T_CL_PROV_EMPLOY_Y04" localSheetId="24">#REF!</definedName>
    <definedName name="_T_CL_PROV_EMPLOY_Y04">#REF!</definedName>
    <definedName name="_T_CL_PROV_EMPLOY_Y05" localSheetId="5">#REF!</definedName>
    <definedName name="_T_CL_PROV_EMPLOY_Y05" localSheetId="24">#REF!</definedName>
    <definedName name="_T_CL_PROV_EMPLOY_Y05">#REF!</definedName>
    <definedName name="_T_CL_PROV_EMPLOY_Y06" localSheetId="5">#REF!</definedName>
    <definedName name="_T_CL_PROV_EMPLOY_Y06" localSheetId="24">#REF!</definedName>
    <definedName name="_T_CL_PROV_EMPLOY_Y06">#REF!</definedName>
    <definedName name="_T_CL_PROV_EMPLOY_Y07" localSheetId="5">#REF!</definedName>
    <definedName name="_T_CL_PROV_EMPLOY_Y07" localSheetId="24">#REF!</definedName>
    <definedName name="_T_CL_PROV_EMPLOY_Y07">#REF!</definedName>
    <definedName name="_T_CL_PROV_EMPLOY_Y08" localSheetId="5">#REF!</definedName>
    <definedName name="_T_CL_PROV_EMPLOY_Y08" localSheetId="24">#REF!</definedName>
    <definedName name="_T_CL_PROV_EMPLOY_Y08">#REF!</definedName>
    <definedName name="_T_CL_PROV_EMPLOY_Y92" localSheetId="5">#REF!</definedName>
    <definedName name="_T_CL_PROV_EMPLOY_Y92" localSheetId="24">#REF!</definedName>
    <definedName name="_T_CL_PROV_EMPLOY_Y92">#REF!</definedName>
    <definedName name="_T_CL_PROV_EMPLOY_Y93" localSheetId="5">#REF!</definedName>
    <definedName name="_T_CL_PROV_EMPLOY_Y93" localSheetId="24">#REF!</definedName>
    <definedName name="_T_CL_PROV_EMPLOY_Y93">#REF!</definedName>
    <definedName name="_T_CL_PROV_EMPLOY_Y94" localSheetId="5">#REF!</definedName>
    <definedName name="_T_CL_PROV_EMPLOY_Y94" localSheetId="24">#REF!</definedName>
    <definedName name="_T_CL_PROV_EMPLOY_Y94">#REF!</definedName>
    <definedName name="_T_CL_PROV_EMPLOY_Y95" localSheetId="5">#REF!</definedName>
    <definedName name="_T_CL_PROV_EMPLOY_Y95" localSheetId="24">#REF!</definedName>
    <definedName name="_T_CL_PROV_EMPLOY_Y95">#REF!</definedName>
    <definedName name="_T_CL_PROV_EMPLOY_Y96" localSheetId="5">#REF!</definedName>
    <definedName name="_T_CL_PROV_EMPLOY_Y96" localSheetId="24">#REF!</definedName>
    <definedName name="_T_CL_PROV_EMPLOY_Y96">#REF!</definedName>
    <definedName name="_T_CL_PROV_EMPLOY_Y97" localSheetId="5">#REF!</definedName>
    <definedName name="_T_CL_PROV_EMPLOY_Y97" localSheetId="24">#REF!</definedName>
    <definedName name="_T_CL_PROV_EMPLOY_Y97">#REF!</definedName>
    <definedName name="_T_CL_PROV_EMPLOY_Y98" localSheetId="5">#REF!</definedName>
    <definedName name="_T_CL_PROV_EMPLOY_Y98" localSheetId="24">#REF!</definedName>
    <definedName name="_T_CL_PROV_EMPLOY_Y98">#REF!</definedName>
    <definedName name="_T_CL_PROV_EMPLOY_Y99" localSheetId="5">#REF!</definedName>
    <definedName name="_T_CL_PROV_EMPLOY_Y99" localSheetId="24">#REF!</definedName>
    <definedName name="_T_CL_PROV_EMPLOY_Y99">#REF!</definedName>
    <definedName name="_T_CL_PROV_OTHER_Y00" localSheetId="5">#REF!</definedName>
    <definedName name="_T_CL_PROV_OTHER_Y00" localSheetId="24">#REF!</definedName>
    <definedName name="_T_CL_PROV_OTHER_Y00">#REF!</definedName>
    <definedName name="_T_CL_PROV_OTHER_Y01" localSheetId="5">#REF!</definedName>
    <definedName name="_T_CL_PROV_OTHER_Y01" localSheetId="24">#REF!</definedName>
    <definedName name="_T_CL_PROV_OTHER_Y01">#REF!</definedName>
    <definedName name="_T_CL_PROV_OTHER_Y02" localSheetId="5">#REF!</definedName>
    <definedName name="_T_CL_PROV_OTHER_Y02" localSheetId="24">#REF!</definedName>
    <definedName name="_T_CL_PROV_OTHER_Y02">#REF!</definedName>
    <definedName name="_T_CL_PROV_OTHER_Y03" localSheetId="5">#REF!</definedName>
    <definedName name="_T_CL_PROV_OTHER_Y03" localSheetId="24">#REF!</definedName>
    <definedName name="_T_CL_PROV_OTHER_Y03">#REF!</definedName>
    <definedName name="_T_CL_PROV_OTHER_Y04" localSheetId="5">#REF!</definedName>
    <definedName name="_T_CL_PROV_OTHER_Y04" localSheetId="24">#REF!</definedName>
    <definedName name="_T_CL_PROV_OTHER_Y04">#REF!</definedName>
    <definedName name="_T_CL_PROV_OTHER_Y05" localSheetId="5">#REF!</definedName>
    <definedName name="_T_CL_PROV_OTHER_Y05" localSheetId="24">#REF!</definedName>
    <definedName name="_T_CL_PROV_OTHER_Y05">#REF!</definedName>
    <definedName name="_T_CL_PROV_OTHER_Y06" localSheetId="5">#REF!</definedName>
    <definedName name="_T_CL_PROV_OTHER_Y06" localSheetId="24">#REF!</definedName>
    <definedName name="_T_CL_PROV_OTHER_Y06">#REF!</definedName>
    <definedName name="_T_CL_PROV_OTHER_Y07" localSheetId="5">#REF!</definedName>
    <definedName name="_T_CL_PROV_OTHER_Y07" localSheetId="24">#REF!</definedName>
    <definedName name="_T_CL_PROV_OTHER_Y07">#REF!</definedName>
    <definedName name="_T_CL_PROV_OTHER_Y08" localSheetId="5">#REF!</definedName>
    <definedName name="_T_CL_PROV_OTHER_Y08" localSheetId="24">#REF!</definedName>
    <definedName name="_T_CL_PROV_OTHER_Y08">#REF!</definedName>
    <definedName name="_T_CL_PROV_OTHER_Y92" localSheetId="5">#REF!</definedName>
    <definedName name="_T_CL_PROV_OTHER_Y92" localSheetId="24">#REF!</definedName>
    <definedName name="_T_CL_PROV_OTHER_Y92">#REF!</definedName>
    <definedName name="_T_CL_PROV_OTHER_Y93" localSheetId="5">#REF!</definedName>
    <definedName name="_T_CL_PROV_OTHER_Y93" localSheetId="24">#REF!</definedName>
    <definedName name="_T_CL_PROV_OTHER_Y93">#REF!</definedName>
    <definedName name="_T_CL_PROV_OTHER_Y94" localSheetId="5">#REF!</definedName>
    <definedName name="_T_CL_PROV_OTHER_Y94" localSheetId="24">#REF!</definedName>
    <definedName name="_T_CL_PROV_OTHER_Y94">#REF!</definedName>
    <definedName name="_T_CL_PROV_OTHER_Y95" localSheetId="5">#REF!</definedName>
    <definedName name="_T_CL_PROV_OTHER_Y95" localSheetId="24">#REF!</definedName>
    <definedName name="_T_CL_PROV_OTHER_Y95">#REF!</definedName>
    <definedName name="_T_CL_PROV_OTHER_Y96" localSheetId="5">#REF!</definedName>
    <definedName name="_T_CL_PROV_OTHER_Y96" localSheetId="24">#REF!</definedName>
    <definedName name="_T_CL_PROV_OTHER_Y96">#REF!</definedName>
    <definedName name="_T_CL_PROV_OTHER_Y97" localSheetId="5">#REF!</definedName>
    <definedName name="_T_CL_PROV_OTHER_Y97" localSheetId="24">#REF!</definedName>
    <definedName name="_T_CL_PROV_OTHER_Y97">#REF!</definedName>
    <definedName name="_T_CL_PROV_OTHER_Y98" localSheetId="5">#REF!</definedName>
    <definedName name="_T_CL_PROV_OTHER_Y98" localSheetId="24">#REF!</definedName>
    <definedName name="_T_CL_PROV_OTHER_Y98">#REF!</definedName>
    <definedName name="_T_CL_PROV_OTHER_Y99" localSheetId="5">#REF!</definedName>
    <definedName name="_T_CL_PROV_OTHER_Y99" localSheetId="24">#REF!</definedName>
    <definedName name="_T_CL_PROV_OTHER_Y99">#REF!</definedName>
    <definedName name="_T_CL_PROV_RECONSTR_Y00" localSheetId="5">#REF!</definedName>
    <definedName name="_T_CL_PROV_RECONSTR_Y00" localSheetId="24">#REF!</definedName>
    <definedName name="_T_CL_PROV_RECONSTR_Y00">#REF!</definedName>
    <definedName name="_T_CL_PROV_RECONSTR_Y01" localSheetId="5">#REF!</definedName>
    <definedName name="_T_CL_PROV_RECONSTR_Y01" localSheetId="24">#REF!</definedName>
    <definedName name="_T_CL_PROV_RECONSTR_Y01">#REF!</definedName>
    <definedName name="_T_CL_PROV_RECONSTR_Y02" localSheetId="5">#REF!</definedName>
    <definedName name="_T_CL_PROV_RECONSTR_Y02" localSheetId="24">#REF!</definedName>
    <definedName name="_T_CL_PROV_RECONSTR_Y02">#REF!</definedName>
    <definedName name="_T_CL_PROV_RECONSTR_Y03" localSheetId="5">#REF!</definedName>
    <definedName name="_T_CL_PROV_RECONSTR_Y03" localSheetId="24">#REF!</definedName>
    <definedName name="_T_CL_PROV_RECONSTR_Y03">#REF!</definedName>
    <definedName name="_T_CL_PROV_RECONSTR_Y04" localSheetId="5">#REF!</definedName>
    <definedName name="_T_CL_PROV_RECONSTR_Y04" localSheetId="24">#REF!</definedName>
    <definedName name="_T_CL_PROV_RECONSTR_Y04">#REF!</definedName>
    <definedName name="_T_CL_PROV_RECONSTR_Y05" localSheetId="5">#REF!</definedName>
    <definedName name="_T_CL_PROV_RECONSTR_Y05" localSheetId="24">#REF!</definedName>
    <definedName name="_T_CL_PROV_RECONSTR_Y05">#REF!</definedName>
    <definedName name="_T_CL_PROV_RECONSTR_Y06" localSheetId="5">#REF!</definedName>
    <definedName name="_T_CL_PROV_RECONSTR_Y06" localSheetId="24">#REF!</definedName>
    <definedName name="_T_CL_PROV_RECONSTR_Y06">#REF!</definedName>
    <definedName name="_T_CL_PROV_RECONSTR_Y07" localSheetId="5">#REF!</definedName>
    <definedName name="_T_CL_PROV_RECONSTR_Y07" localSheetId="24">#REF!</definedName>
    <definedName name="_T_CL_PROV_RECONSTR_Y07">#REF!</definedName>
    <definedName name="_T_CL_PROV_RECONSTR_Y08" localSheetId="5">#REF!</definedName>
    <definedName name="_T_CL_PROV_RECONSTR_Y08" localSheetId="24">#REF!</definedName>
    <definedName name="_T_CL_PROV_RECONSTR_Y08">#REF!</definedName>
    <definedName name="_T_CL_PROV_RECONSTR_Y92" localSheetId="5">#REF!</definedName>
    <definedName name="_T_CL_PROV_RECONSTR_Y92" localSheetId="24">#REF!</definedName>
    <definedName name="_T_CL_PROV_RECONSTR_Y92">#REF!</definedName>
    <definedName name="_T_CL_PROV_RECONSTR_Y93" localSheetId="5">#REF!</definedName>
    <definedName name="_T_CL_PROV_RECONSTR_Y93" localSheetId="24">#REF!</definedName>
    <definedName name="_T_CL_PROV_RECONSTR_Y93">#REF!</definedName>
    <definedName name="_T_CL_PROV_RECONSTR_Y94" localSheetId="5">#REF!</definedName>
    <definedName name="_T_CL_PROV_RECONSTR_Y94" localSheetId="24">#REF!</definedName>
    <definedName name="_T_CL_PROV_RECONSTR_Y94">#REF!</definedName>
    <definedName name="_T_CL_PROV_RECONSTR_Y95" localSheetId="5">#REF!</definedName>
    <definedName name="_T_CL_PROV_RECONSTR_Y95" localSheetId="24">#REF!</definedName>
    <definedName name="_T_CL_PROV_RECONSTR_Y95">#REF!</definedName>
    <definedName name="_T_CL_PROV_RECONSTR_Y96" localSheetId="5">#REF!</definedName>
    <definedName name="_T_CL_PROV_RECONSTR_Y96" localSheetId="24">#REF!</definedName>
    <definedName name="_T_CL_PROV_RECONSTR_Y96">#REF!</definedName>
    <definedName name="_T_CL_PROV_RECONSTR_Y97" localSheetId="5">#REF!</definedName>
    <definedName name="_T_CL_PROV_RECONSTR_Y97" localSheetId="24">#REF!</definedName>
    <definedName name="_T_CL_PROV_RECONSTR_Y97">#REF!</definedName>
    <definedName name="_T_CL_PROV_RECONSTR_Y98" localSheetId="5">#REF!</definedName>
    <definedName name="_T_CL_PROV_RECONSTR_Y98" localSheetId="24">#REF!</definedName>
    <definedName name="_T_CL_PROV_RECONSTR_Y98">#REF!</definedName>
    <definedName name="_T_CL_PROV_RECONSTR_Y99" localSheetId="5">#REF!</definedName>
    <definedName name="_T_CL_PROV_RECONSTR_Y99" localSheetId="24">#REF!</definedName>
    <definedName name="_T_CL_PROV_RECONSTR_Y99">#REF!</definedName>
    <definedName name="_T_CL_PROV_REPMAINT_Y00" localSheetId="5">#REF!</definedName>
    <definedName name="_T_CL_PROV_REPMAINT_Y00" localSheetId="24">#REF!</definedName>
    <definedName name="_T_CL_PROV_REPMAINT_Y00">#REF!</definedName>
    <definedName name="_T_CL_PROV_REPMAINT_Y01" localSheetId="5">#REF!</definedName>
    <definedName name="_T_CL_PROV_REPMAINT_Y01" localSheetId="24">#REF!</definedName>
    <definedName name="_T_CL_PROV_REPMAINT_Y01">#REF!</definedName>
    <definedName name="_T_CL_PROV_REPMAINT_Y02" localSheetId="5">#REF!</definedName>
    <definedName name="_T_CL_PROV_REPMAINT_Y02" localSheetId="24">#REF!</definedName>
    <definedName name="_T_CL_PROV_REPMAINT_Y02">#REF!</definedName>
    <definedName name="_T_CL_PROV_REPMAINT_Y03" localSheetId="5">#REF!</definedName>
    <definedName name="_T_CL_PROV_REPMAINT_Y03" localSheetId="24">#REF!</definedName>
    <definedName name="_T_CL_PROV_REPMAINT_Y03">#REF!</definedName>
    <definedName name="_T_CL_PROV_REPMAINT_Y90" localSheetId="5">#REF!</definedName>
    <definedName name="_T_CL_PROV_REPMAINT_Y90" localSheetId="24">#REF!</definedName>
    <definedName name="_T_CL_PROV_REPMAINT_Y90">#REF!</definedName>
    <definedName name="_T_CL_PROV_REPMAINT_Y91" localSheetId="5">#REF!</definedName>
    <definedName name="_T_CL_PROV_REPMAINT_Y91" localSheetId="24">#REF!</definedName>
    <definedName name="_T_CL_PROV_REPMAINT_Y91">#REF!</definedName>
    <definedName name="_T_CL_PROV_REPMAINT_Y92" localSheetId="5">#REF!</definedName>
    <definedName name="_T_CL_PROV_REPMAINT_Y92" localSheetId="24">#REF!</definedName>
    <definedName name="_T_CL_PROV_REPMAINT_Y92">#REF!</definedName>
    <definedName name="_T_CL_PROV_REPMAINT_Y93" localSheetId="5">#REF!</definedName>
    <definedName name="_T_CL_PROV_REPMAINT_Y93" localSheetId="24">#REF!</definedName>
    <definedName name="_T_CL_PROV_REPMAINT_Y93">#REF!</definedName>
    <definedName name="_T_CL_PROV_REPMAINT_Y94" localSheetId="5">#REF!</definedName>
    <definedName name="_T_CL_PROV_REPMAINT_Y94" localSheetId="24">#REF!</definedName>
    <definedName name="_T_CL_PROV_REPMAINT_Y94">#REF!</definedName>
    <definedName name="_T_CL_PROV_REPMAINT_Y95" localSheetId="5">#REF!</definedName>
    <definedName name="_T_CL_PROV_REPMAINT_Y95" localSheetId="24">#REF!</definedName>
    <definedName name="_T_CL_PROV_REPMAINT_Y95">#REF!</definedName>
    <definedName name="_T_CL_PROV_REPMAINT_Y96" localSheetId="5">#REF!</definedName>
    <definedName name="_T_CL_PROV_REPMAINT_Y96" localSheetId="24">#REF!</definedName>
    <definedName name="_T_CL_PROV_REPMAINT_Y96">#REF!</definedName>
    <definedName name="_T_CL_PROV_REPMAINT_Y97" localSheetId="5">#REF!</definedName>
    <definedName name="_T_CL_PROV_REPMAINT_Y97" localSheetId="24">#REF!</definedName>
    <definedName name="_T_CL_PROV_REPMAINT_Y97">#REF!</definedName>
    <definedName name="_T_CL_PROV_REPMAINT_Y98" localSheetId="5">#REF!</definedName>
    <definedName name="_T_CL_PROV_REPMAINT_Y98" localSheetId="24">#REF!</definedName>
    <definedName name="_T_CL_PROV_REPMAINT_Y98">#REF!</definedName>
    <definedName name="_T_CL_PROV_REPMAINT_Y99" localSheetId="5">#REF!</definedName>
    <definedName name="_T_CL_PROV_REPMAINT_Y99" localSheetId="24">#REF!</definedName>
    <definedName name="_T_CL_PROV_REPMAINT_Y99">#REF!</definedName>
    <definedName name="_T_CL_PROV_TAX_Y00" localSheetId="5">#REF!</definedName>
    <definedName name="_T_CL_PROV_TAX_Y00" localSheetId="24">#REF!</definedName>
    <definedName name="_T_CL_PROV_TAX_Y00">#REF!</definedName>
    <definedName name="_T_CL_PROV_TAX_Y01" localSheetId="5">#REF!</definedName>
    <definedName name="_T_CL_PROV_TAX_Y01" localSheetId="24">#REF!</definedName>
    <definedName name="_T_CL_PROV_TAX_Y01">#REF!</definedName>
    <definedName name="_T_CL_PROV_TAX_Y02" localSheetId="5">#REF!</definedName>
    <definedName name="_T_CL_PROV_TAX_Y02" localSheetId="24">#REF!</definedName>
    <definedName name="_T_CL_PROV_TAX_Y02">#REF!</definedName>
    <definedName name="_T_CL_PROV_TAX_Y03" localSheetId="5">#REF!</definedName>
    <definedName name="_T_CL_PROV_TAX_Y03" localSheetId="24">#REF!</definedName>
    <definedName name="_T_CL_PROV_TAX_Y03">#REF!</definedName>
    <definedName name="_T_CL_PROV_TAX_Y04" localSheetId="5">#REF!</definedName>
    <definedName name="_T_CL_PROV_TAX_Y04" localSheetId="24">#REF!</definedName>
    <definedName name="_T_CL_PROV_TAX_Y04">#REF!</definedName>
    <definedName name="_T_CL_PROV_TAX_Y05" localSheetId="5">#REF!</definedName>
    <definedName name="_T_CL_PROV_TAX_Y05" localSheetId="24">#REF!</definedName>
    <definedName name="_T_CL_PROV_TAX_Y05">#REF!</definedName>
    <definedName name="_T_CL_PROV_TAX_Y06" localSheetId="5">#REF!</definedName>
    <definedName name="_T_CL_PROV_TAX_Y06" localSheetId="24">#REF!</definedName>
    <definedName name="_T_CL_PROV_TAX_Y06">#REF!</definedName>
    <definedName name="_T_CL_PROV_TAX_Y07" localSheetId="5">#REF!</definedName>
    <definedName name="_T_CL_PROV_TAX_Y07" localSheetId="24">#REF!</definedName>
    <definedName name="_T_CL_PROV_TAX_Y07">#REF!</definedName>
    <definedName name="_T_CL_PROV_TAX_Y08" localSheetId="5">#REF!</definedName>
    <definedName name="_T_CL_PROV_TAX_Y08" localSheetId="24">#REF!</definedName>
    <definedName name="_T_CL_PROV_TAX_Y08">#REF!</definedName>
    <definedName name="_T_CL_PROV_TAX_Y92" localSheetId="5">#REF!</definedName>
    <definedName name="_T_CL_PROV_TAX_Y92" localSheetId="24">#REF!</definedName>
    <definedName name="_T_CL_PROV_TAX_Y92">#REF!</definedName>
    <definedName name="_T_CL_PROV_TAX_Y93" localSheetId="5">#REF!</definedName>
    <definedName name="_T_CL_PROV_TAX_Y93" localSheetId="24">#REF!</definedName>
    <definedName name="_T_CL_PROV_TAX_Y93">#REF!</definedName>
    <definedName name="_T_CL_PROV_TAX_Y94" localSheetId="5">#REF!</definedName>
    <definedName name="_T_CL_PROV_TAX_Y94" localSheetId="24">#REF!</definedName>
    <definedName name="_T_CL_PROV_TAX_Y94">#REF!</definedName>
    <definedName name="_T_CL_PROV_TAX_Y95" localSheetId="5">#REF!</definedName>
    <definedName name="_T_CL_PROV_TAX_Y95" localSheetId="24">#REF!</definedName>
    <definedName name="_T_CL_PROV_TAX_Y95">#REF!</definedName>
    <definedName name="_T_CL_PROV_TAX_Y96" localSheetId="5">#REF!</definedName>
    <definedName name="_T_CL_PROV_TAX_Y96" localSheetId="24">#REF!</definedName>
    <definedName name="_T_CL_PROV_TAX_Y96">#REF!</definedName>
    <definedName name="_T_CL_PROV_TAX_Y97" localSheetId="5">#REF!</definedName>
    <definedName name="_T_CL_PROV_TAX_Y97" localSheetId="24">#REF!</definedName>
    <definedName name="_T_CL_PROV_TAX_Y97">#REF!</definedName>
    <definedName name="_T_CL_PROV_TAX_Y98" localSheetId="5">#REF!</definedName>
    <definedName name="_T_CL_PROV_TAX_Y98" localSheetId="24">#REF!</definedName>
    <definedName name="_T_CL_PROV_TAX_Y98">#REF!</definedName>
    <definedName name="_T_CL_PROV_TAX_Y99" localSheetId="5">#REF!</definedName>
    <definedName name="_T_CL_PROV_TAX_Y99" localSheetId="24">#REF!</definedName>
    <definedName name="_T_CL_PROV_TAX_Y99">#REF!</definedName>
    <definedName name="_T_CL_PROV_Y00" localSheetId="5">#REF!</definedName>
    <definedName name="_T_CL_PROV_Y00" localSheetId="24">#REF!</definedName>
    <definedName name="_T_CL_PROV_Y00">#REF!</definedName>
    <definedName name="_T_CL_PROV_Y01" localSheetId="5">#REF!</definedName>
    <definedName name="_T_CL_PROV_Y01" localSheetId="24">#REF!</definedName>
    <definedName name="_T_CL_PROV_Y01">#REF!</definedName>
    <definedName name="_T_CL_PROV_Y02" localSheetId="5">#REF!</definedName>
    <definedName name="_T_CL_PROV_Y02" localSheetId="24">#REF!</definedName>
    <definedName name="_T_CL_PROV_Y02">#REF!</definedName>
    <definedName name="_T_CL_PROV_Y03" localSheetId="5">#REF!</definedName>
    <definedName name="_T_CL_PROV_Y03" localSheetId="24">#REF!</definedName>
    <definedName name="_T_CL_PROV_Y03">#REF!</definedName>
    <definedName name="_T_CL_PROV_Y90" localSheetId="5">#REF!</definedName>
    <definedName name="_T_CL_PROV_Y90" localSheetId="24">#REF!</definedName>
    <definedName name="_T_CL_PROV_Y90">#REF!</definedName>
    <definedName name="_T_CL_PROV_Y91" localSheetId="5">#REF!</definedName>
    <definedName name="_T_CL_PROV_Y91" localSheetId="24">#REF!</definedName>
    <definedName name="_T_CL_PROV_Y91">#REF!</definedName>
    <definedName name="_T_CL_PROV_Y92" localSheetId="5">#REF!</definedName>
    <definedName name="_T_CL_PROV_Y92" localSheetId="24">#REF!</definedName>
    <definedName name="_T_CL_PROV_Y92">#REF!</definedName>
    <definedName name="_T_CL_PROV_Y93" localSheetId="5">#REF!</definedName>
    <definedName name="_T_CL_PROV_Y93" localSheetId="24">#REF!</definedName>
    <definedName name="_T_CL_PROV_Y93">#REF!</definedName>
    <definedName name="_T_CL_PROV_Y94" localSheetId="5">#REF!</definedName>
    <definedName name="_T_CL_PROV_Y94" localSheetId="24">#REF!</definedName>
    <definedName name="_T_CL_PROV_Y94">#REF!</definedName>
    <definedName name="_T_CL_PROV_Y95" localSheetId="5">#REF!</definedName>
    <definedName name="_T_CL_PROV_Y95" localSheetId="24">#REF!</definedName>
    <definedName name="_T_CL_PROV_Y95">#REF!</definedName>
    <definedName name="_T_CL_PROV_Y96" localSheetId="5">#REF!</definedName>
    <definedName name="_T_CL_PROV_Y96" localSheetId="24">#REF!</definedName>
    <definedName name="_T_CL_PROV_Y96">#REF!</definedName>
    <definedName name="_T_CL_PROV_Y97" localSheetId="5">#REF!</definedName>
    <definedName name="_T_CL_PROV_Y97" localSheetId="24">#REF!</definedName>
    <definedName name="_T_CL_PROV_Y97">#REF!</definedName>
    <definedName name="_T_CL_PROV_Y98" localSheetId="5">#REF!</definedName>
    <definedName name="_T_CL_PROV_Y98" localSheetId="24">#REF!</definedName>
    <definedName name="_T_CL_PROV_Y98">#REF!</definedName>
    <definedName name="_T_CL_PROV_Y99" localSheetId="5">#REF!</definedName>
    <definedName name="_T_CL_PROV_Y99" localSheetId="24">#REF!</definedName>
    <definedName name="_T_CL_PROV_Y99">#REF!</definedName>
    <definedName name="_T_CL_SUM_Y00" localSheetId="5">#REF!</definedName>
    <definedName name="_T_CL_SUM_Y00" localSheetId="24">#REF!</definedName>
    <definedName name="_T_CL_SUM_Y00">#REF!</definedName>
    <definedName name="_T_CL_SUM_Y01" localSheetId="5">#REF!</definedName>
    <definedName name="_T_CL_SUM_Y01" localSheetId="24">#REF!</definedName>
    <definedName name="_T_CL_SUM_Y01">#REF!</definedName>
    <definedName name="_T_CL_SUM_Y02" localSheetId="5">#REF!</definedName>
    <definedName name="_T_CL_SUM_Y02" localSheetId="24">#REF!</definedName>
    <definedName name="_T_CL_SUM_Y02">#REF!</definedName>
    <definedName name="_T_CL_SUM_Y03" localSheetId="5">#REF!</definedName>
    <definedName name="_T_CL_SUM_Y03" localSheetId="24">#REF!</definedName>
    <definedName name="_T_CL_SUM_Y03">#REF!</definedName>
    <definedName name="_T_CL_SUM_Y90" localSheetId="5">#REF!</definedName>
    <definedName name="_T_CL_SUM_Y90" localSheetId="24">#REF!</definedName>
    <definedName name="_T_CL_SUM_Y90">#REF!</definedName>
    <definedName name="_T_CL_SUM_Y91" localSheetId="5">#REF!</definedName>
    <definedName name="_T_CL_SUM_Y91" localSheetId="24">#REF!</definedName>
    <definedName name="_T_CL_SUM_Y91">#REF!</definedName>
    <definedName name="_T_CL_SUM_Y92" localSheetId="5">#REF!</definedName>
    <definedName name="_T_CL_SUM_Y92" localSheetId="24">#REF!</definedName>
    <definedName name="_T_CL_SUM_Y92">#REF!</definedName>
    <definedName name="_T_CL_SUM_Y93" localSheetId="5">#REF!</definedName>
    <definedName name="_T_CL_SUM_Y93" localSheetId="24">#REF!</definedName>
    <definedName name="_T_CL_SUM_Y93">#REF!</definedName>
    <definedName name="_T_CL_SUM_Y94" localSheetId="5">#REF!</definedName>
    <definedName name="_T_CL_SUM_Y94" localSheetId="24">#REF!</definedName>
    <definedName name="_T_CL_SUM_Y94">#REF!</definedName>
    <definedName name="_T_CL_SUM_Y95" localSheetId="5">#REF!</definedName>
    <definedName name="_T_CL_SUM_Y95" localSheetId="24">#REF!</definedName>
    <definedName name="_T_CL_SUM_Y95">#REF!</definedName>
    <definedName name="_T_CL_SUM_Y96" localSheetId="5">#REF!</definedName>
    <definedName name="_T_CL_SUM_Y96" localSheetId="24">#REF!</definedName>
    <definedName name="_T_CL_SUM_Y96">#REF!</definedName>
    <definedName name="_T_CL_SUM_Y97" localSheetId="5">#REF!</definedName>
    <definedName name="_T_CL_SUM_Y97" localSheetId="24">#REF!</definedName>
    <definedName name="_T_CL_SUM_Y97">#REF!</definedName>
    <definedName name="_T_CL_SUM_Y98" localSheetId="5">#REF!</definedName>
    <definedName name="_T_CL_SUM_Y98" localSheetId="24">#REF!</definedName>
    <definedName name="_T_CL_SUM_Y98">#REF!</definedName>
    <definedName name="_T_CL_SUM_Y99" localSheetId="5">#REF!</definedName>
    <definedName name="_T_CL_SUM_Y99" localSheetId="24">#REF!</definedName>
    <definedName name="_T_CL_SUM_Y99">#REF!</definedName>
    <definedName name="_T_COMPANY_CODE" localSheetId="5">#REF!</definedName>
    <definedName name="_T_COMPANY_CODE" localSheetId="24">#REF!</definedName>
    <definedName name="_T_COMPANY_CODE">#REF!</definedName>
    <definedName name="_T_CONVERTIBLE_DEBT_Y00" localSheetId="5">#REF!</definedName>
    <definedName name="_T_CONVERTIBLE_DEBT_Y00" localSheetId="24">#REF!</definedName>
    <definedName name="_T_CONVERTIBLE_DEBT_Y00">#REF!</definedName>
    <definedName name="_T_CONVERTIBLE_DEBT_Y01" localSheetId="5">#REF!</definedName>
    <definedName name="_T_CONVERTIBLE_DEBT_Y01" localSheetId="24">#REF!</definedName>
    <definedName name="_T_CONVERTIBLE_DEBT_Y01">#REF!</definedName>
    <definedName name="_T_CONVERTIBLE_DEBT_Y02" localSheetId="5">#REF!</definedName>
    <definedName name="_T_CONVERTIBLE_DEBT_Y02" localSheetId="24">#REF!</definedName>
    <definedName name="_T_CONVERTIBLE_DEBT_Y02">#REF!</definedName>
    <definedName name="_T_CONVERTIBLE_DEBT_Y03" localSheetId="5">#REF!</definedName>
    <definedName name="_T_CONVERTIBLE_DEBT_Y03" localSheetId="24">#REF!</definedName>
    <definedName name="_T_CONVERTIBLE_DEBT_Y03">#REF!</definedName>
    <definedName name="_T_CONVERTIBLE_DEBT_Y90" localSheetId="5">#REF!</definedName>
    <definedName name="_T_CONVERTIBLE_DEBT_Y90" localSheetId="24">#REF!</definedName>
    <definedName name="_T_CONVERTIBLE_DEBT_Y90">#REF!</definedName>
    <definedName name="_T_CONVERTIBLE_DEBT_Y91" localSheetId="5">#REF!</definedName>
    <definedName name="_T_CONVERTIBLE_DEBT_Y91" localSheetId="24">#REF!</definedName>
    <definedName name="_T_CONVERTIBLE_DEBT_Y91">#REF!</definedName>
    <definedName name="_T_CONVERTIBLE_DEBT_Y92" localSheetId="5">#REF!</definedName>
    <definedName name="_T_CONVERTIBLE_DEBT_Y92" localSheetId="24">#REF!</definedName>
    <definedName name="_T_CONVERTIBLE_DEBT_Y92">#REF!</definedName>
    <definedName name="_T_CONVERTIBLE_DEBT_Y93" localSheetId="5">#REF!</definedName>
    <definedName name="_T_CONVERTIBLE_DEBT_Y93" localSheetId="24">#REF!</definedName>
    <definedName name="_T_CONVERTIBLE_DEBT_Y93">#REF!</definedName>
    <definedName name="_T_CONVERTIBLE_DEBT_Y94" localSheetId="5">#REF!</definedName>
    <definedName name="_T_CONVERTIBLE_DEBT_Y94" localSheetId="24">#REF!</definedName>
    <definedName name="_T_CONVERTIBLE_DEBT_Y94">#REF!</definedName>
    <definedName name="_T_CONVERTIBLE_DEBT_Y95" localSheetId="5">#REF!</definedName>
    <definedName name="_T_CONVERTIBLE_DEBT_Y95" localSheetId="24">#REF!</definedName>
    <definedName name="_T_CONVERTIBLE_DEBT_Y95">#REF!</definedName>
    <definedName name="_T_CONVERTIBLE_DEBT_Y96" localSheetId="5">#REF!</definedName>
    <definedName name="_T_CONVERTIBLE_DEBT_Y96" localSheetId="24">#REF!</definedName>
    <definedName name="_T_CONVERTIBLE_DEBT_Y96">#REF!</definedName>
    <definedName name="_T_CONVERTIBLE_DEBT_Y97" localSheetId="5">#REF!</definedName>
    <definedName name="_T_CONVERTIBLE_DEBT_Y97" localSheetId="24">#REF!</definedName>
    <definedName name="_T_CONVERTIBLE_DEBT_Y97">#REF!</definedName>
    <definedName name="_T_CONVERTIBLE_DEBT_Y98" localSheetId="5">#REF!</definedName>
    <definedName name="_T_CONVERTIBLE_DEBT_Y98" localSheetId="24">#REF!</definedName>
    <definedName name="_T_CONVERTIBLE_DEBT_Y98">#REF!</definedName>
    <definedName name="_T_CONVERTIBLE_DEBT_Y99" localSheetId="5">#REF!</definedName>
    <definedName name="_T_CONVERTIBLE_DEBT_Y99" localSheetId="24">#REF!</definedName>
    <definedName name="_T_CONVERTIBLE_DEBT_Y99">#REF!</definedName>
    <definedName name="_T_DILUTION_Y00" localSheetId="5">#REF!</definedName>
    <definedName name="_T_DILUTION_Y00" localSheetId="24">#REF!</definedName>
    <definedName name="_T_DILUTION_Y00">#REF!</definedName>
    <definedName name="_T_DILUTION_Y01" localSheetId="5">#REF!</definedName>
    <definedName name="_T_DILUTION_Y01" localSheetId="24">#REF!</definedName>
    <definedName name="_T_DILUTION_Y01">#REF!</definedName>
    <definedName name="_T_DILUTION_Y02" localSheetId="5">#REF!</definedName>
    <definedName name="_T_DILUTION_Y02" localSheetId="24">#REF!</definedName>
    <definedName name="_T_DILUTION_Y02">#REF!</definedName>
    <definedName name="_T_DILUTION_Y03" localSheetId="5">#REF!</definedName>
    <definedName name="_T_DILUTION_Y03" localSheetId="24">#REF!</definedName>
    <definedName name="_T_DILUTION_Y03">#REF!</definedName>
    <definedName name="_T_DILUTION_Y90" localSheetId="5">#REF!</definedName>
    <definedName name="_T_DILUTION_Y90" localSheetId="24">#REF!</definedName>
    <definedName name="_T_DILUTION_Y90">#REF!</definedName>
    <definedName name="_T_DILUTION_Y91" localSheetId="5">#REF!</definedName>
    <definedName name="_T_DILUTION_Y91" localSheetId="24">#REF!</definedName>
    <definedName name="_T_DILUTION_Y91">#REF!</definedName>
    <definedName name="_T_DILUTION_Y92" localSheetId="5">#REF!</definedName>
    <definedName name="_T_DILUTION_Y92" localSheetId="24">#REF!</definedName>
    <definedName name="_T_DILUTION_Y92">#REF!</definedName>
    <definedName name="_T_DILUTION_Y93" localSheetId="5">#REF!</definedName>
    <definedName name="_T_DILUTION_Y93" localSheetId="24">#REF!</definedName>
    <definedName name="_T_DILUTION_Y93">#REF!</definedName>
    <definedName name="_T_DILUTION_Y94" localSheetId="5">#REF!</definedName>
    <definedName name="_T_DILUTION_Y94" localSheetId="24">#REF!</definedName>
    <definedName name="_T_DILUTION_Y94">#REF!</definedName>
    <definedName name="_T_DILUTION_Y95" localSheetId="5">#REF!</definedName>
    <definedName name="_T_DILUTION_Y95" localSheetId="24">#REF!</definedName>
    <definedName name="_T_DILUTION_Y95">#REF!</definedName>
    <definedName name="_T_DILUTION_Y96" localSheetId="5">#REF!</definedName>
    <definedName name="_T_DILUTION_Y96" localSheetId="24">#REF!</definedName>
    <definedName name="_T_DILUTION_Y96">#REF!</definedName>
    <definedName name="_T_DILUTION_Y97" localSheetId="5">#REF!</definedName>
    <definedName name="_T_DILUTION_Y97" localSheetId="24">#REF!</definedName>
    <definedName name="_T_DILUTION_Y97">#REF!</definedName>
    <definedName name="_T_DILUTION_Y98" localSheetId="5">#REF!</definedName>
    <definedName name="_T_DILUTION_Y98" localSheetId="24">#REF!</definedName>
    <definedName name="_T_DILUTION_Y98">#REF!</definedName>
    <definedName name="_T_DILUTION_Y99" localSheetId="5">#REF!</definedName>
    <definedName name="_T_DILUTION_Y99" localSheetId="24">#REF!</definedName>
    <definedName name="_T_DILUTION_Y99">#REF!</definedName>
    <definedName name="_T_DPS_CHANGE_Y00" localSheetId="5">#REF!</definedName>
    <definedName name="_T_DPS_CHANGE_Y00" localSheetId="24">#REF!</definedName>
    <definedName name="_T_DPS_CHANGE_Y00">#REF!</definedName>
    <definedName name="_T_DPS_CHANGE_Y01" localSheetId="5">#REF!</definedName>
    <definedName name="_T_DPS_CHANGE_Y01" localSheetId="24">#REF!</definedName>
    <definedName name="_T_DPS_CHANGE_Y01">#REF!</definedName>
    <definedName name="_T_DPS_CHANGE_Y02" localSheetId="5">#REF!</definedName>
    <definedName name="_T_DPS_CHANGE_Y02" localSheetId="24">#REF!</definedName>
    <definedName name="_T_DPS_CHANGE_Y02">#REF!</definedName>
    <definedName name="_T_DPS_CHANGE_Y03" localSheetId="5">#REF!</definedName>
    <definedName name="_T_DPS_CHANGE_Y03" localSheetId="24">#REF!</definedName>
    <definedName name="_T_DPS_CHANGE_Y03">#REF!</definedName>
    <definedName name="_T_DPS_CHANGE_Y04" localSheetId="5">#REF!</definedName>
    <definedName name="_T_DPS_CHANGE_Y04" localSheetId="24">#REF!</definedName>
    <definedName name="_T_DPS_CHANGE_Y04">#REF!</definedName>
    <definedName name="_T_DPS_CHANGE_Y05" localSheetId="5">#REF!</definedName>
    <definedName name="_T_DPS_CHANGE_Y05" localSheetId="24">#REF!</definedName>
    <definedName name="_T_DPS_CHANGE_Y05">#REF!</definedName>
    <definedName name="_T_DPS_CHANGE_Y06" localSheetId="5">#REF!</definedName>
    <definedName name="_T_DPS_CHANGE_Y06" localSheetId="24">#REF!</definedName>
    <definedName name="_T_DPS_CHANGE_Y06">#REF!</definedName>
    <definedName name="_T_DPS_CHANGE_Y07" localSheetId="5">#REF!</definedName>
    <definedName name="_T_DPS_CHANGE_Y07" localSheetId="24">#REF!</definedName>
    <definedName name="_T_DPS_CHANGE_Y07">#REF!</definedName>
    <definedName name="_T_DPS_CHANGE_Y09" localSheetId="5">#REF!</definedName>
    <definedName name="_T_DPS_CHANGE_Y09" localSheetId="24">#REF!</definedName>
    <definedName name="_T_DPS_CHANGE_Y09">#REF!</definedName>
    <definedName name="_T_DPS_CHANGE_Y90" localSheetId="5">#REF!</definedName>
    <definedName name="_T_DPS_CHANGE_Y90" localSheetId="24">#REF!</definedName>
    <definedName name="_T_DPS_CHANGE_Y90">#REF!</definedName>
    <definedName name="_T_DPS_CHANGE_Y91" localSheetId="5">#REF!</definedName>
    <definedName name="_T_DPS_CHANGE_Y91" localSheetId="24">#REF!</definedName>
    <definedName name="_T_DPS_CHANGE_Y91">#REF!</definedName>
    <definedName name="_T_DPS_CHANGE_Y92" localSheetId="5">#REF!</definedName>
    <definedName name="_T_DPS_CHANGE_Y92" localSheetId="24">#REF!</definedName>
    <definedName name="_T_DPS_CHANGE_Y92">#REF!</definedName>
    <definedName name="_T_DPS_CHANGE_Y93" localSheetId="5">#REF!</definedName>
    <definedName name="_T_DPS_CHANGE_Y93" localSheetId="24">#REF!</definedName>
    <definedName name="_T_DPS_CHANGE_Y93">#REF!</definedName>
    <definedName name="_T_DPS_CHANGE_Y94" localSheetId="5">#REF!</definedName>
    <definedName name="_T_DPS_CHANGE_Y94" localSheetId="24">#REF!</definedName>
    <definedName name="_T_DPS_CHANGE_Y94">#REF!</definedName>
    <definedName name="_T_DPS_CHANGE_Y95" localSheetId="5">#REF!</definedName>
    <definedName name="_T_DPS_CHANGE_Y95" localSheetId="24">#REF!</definedName>
    <definedName name="_T_DPS_CHANGE_Y95">#REF!</definedName>
    <definedName name="_T_DPS_CHANGE_Y96" localSheetId="5">#REF!</definedName>
    <definedName name="_T_DPS_CHANGE_Y96" localSheetId="24">#REF!</definedName>
    <definedName name="_T_DPS_CHANGE_Y96">#REF!</definedName>
    <definedName name="_T_DPS_CHANGE_Y97" localSheetId="5">#REF!</definedName>
    <definedName name="_T_DPS_CHANGE_Y97" localSheetId="24">#REF!</definedName>
    <definedName name="_T_DPS_CHANGE_Y97">#REF!</definedName>
    <definedName name="_T_DPS_CHANGE_Y98" localSheetId="5">#REF!</definedName>
    <definedName name="_T_DPS_CHANGE_Y98" localSheetId="24">#REF!</definedName>
    <definedName name="_T_DPS_CHANGE_Y98">#REF!</definedName>
    <definedName name="_T_DPS_CHANGE_Y99" localSheetId="5">#REF!</definedName>
    <definedName name="_T_DPS_CHANGE_Y99" localSheetId="24">#REF!</definedName>
    <definedName name="_T_DPS_CHANGE_Y99">#REF!</definedName>
    <definedName name="_T_DPS_VARIANCE_Y00" localSheetId="5">#REF!</definedName>
    <definedName name="_T_DPS_VARIANCE_Y00" localSheetId="24">#REF!</definedName>
    <definedName name="_T_DPS_VARIANCE_Y00">#REF!</definedName>
    <definedName name="_T_DPS_VARIANCE_Y01" localSheetId="5">#REF!</definedName>
    <definedName name="_T_DPS_VARIANCE_Y01" localSheetId="24">#REF!</definedName>
    <definedName name="_T_DPS_VARIANCE_Y01">#REF!</definedName>
    <definedName name="_T_DPS_VARIANCE_Y02" localSheetId="5">#REF!</definedName>
    <definedName name="_T_DPS_VARIANCE_Y02" localSheetId="24">#REF!</definedName>
    <definedName name="_T_DPS_VARIANCE_Y02">#REF!</definedName>
    <definedName name="_T_DPS_VARIANCE_Y03" localSheetId="5">#REF!</definedName>
    <definedName name="_T_DPS_VARIANCE_Y03" localSheetId="24">#REF!</definedName>
    <definedName name="_T_DPS_VARIANCE_Y03">#REF!</definedName>
    <definedName name="_T_DPS_VARIANCE_Y04" localSheetId="5">#REF!</definedName>
    <definedName name="_T_DPS_VARIANCE_Y04" localSheetId="24">#REF!</definedName>
    <definedName name="_T_DPS_VARIANCE_Y04">#REF!</definedName>
    <definedName name="_T_DPS_VARIANCE_Y05" localSheetId="5">#REF!</definedName>
    <definedName name="_T_DPS_VARIANCE_Y05" localSheetId="24">#REF!</definedName>
    <definedName name="_T_DPS_VARIANCE_Y05">#REF!</definedName>
    <definedName name="_T_DPS_VARIANCE_Y06" localSheetId="5">#REF!</definedName>
    <definedName name="_T_DPS_VARIANCE_Y06" localSheetId="24">#REF!</definedName>
    <definedName name="_T_DPS_VARIANCE_Y06">#REF!</definedName>
    <definedName name="_T_DPS_VARIANCE_Y07" localSheetId="5">#REF!</definedName>
    <definedName name="_T_DPS_VARIANCE_Y07" localSheetId="24">#REF!</definedName>
    <definedName name="_T_DPS_VARIANCE_Y07">#REF!</definedName>
    <definedName name="_T_DPS_VARIANCE_Y09" localSheetId="5">#REF!</definedName>
    <definedName name="_T_DPS_VARIANCE_Y09" localSheetId="24">#REF!</definedName>
    <definedName name="_T_DPS_VARIANCE_Y09">#REF!</definedName>
    <definedName name="_T_DPS_VARIANCE_Y90" localSheetId="5">#REF!</definedName>
    <definedName name="_T_DPS_VARIANCE_Y90" localSheetId="24">#REF!</definedName>
    <definedName name="_T_DPS_VARIANCE_Y90">#REF!</definedName>
    <definedName name="_T_DPS_VARIANCE_Y91" localSheetId="5">#REF!</definedName>
    <definedName name="_T_DPS_VARIANCE_Y91" localSheetId="24">#REF!</definedName>
    <definedName name="_T_DPS_VARIANCE_Y91">#REF!</definedName>
    <definedName name="_T_DPS_VARIANCE_Y92" localSheetId="5">#REF!</definedName>
    <definedName name="_T_DPS_VARIANCE_Y92" localSheetId="24">#REF!</definedName>
    <definedName name="_T_DPS_VARIANCE_Y92">#REF!</definedName>
    <definedName name="_T_DPS_VARIANCE_Y93" localSheetId="5">#REF!</definedName>
    <definedName name="_T_DPS_VARIANCE_Y93" localSheetId="24">#REF!</definedName>
    <definedName name="_T_DPS_VARIANCE_Y93">#REF!</definedName>
    <definedName name="_T_DPS_VARIANCE_Y94" localSheetId="5">#REF!</definedName>
    <definedName name="_T_DPS_VARIANCE_Y94" localSheetId="24">#REF!</definedName>
    <definedName name="_T_DPS_VARIANCE_Y94">#REF!</definedName>
    <definedName name="_T_DPS_VARIANCE_Y95" localSheetId="5">#REF!</definedName>
    <definedName name="_T_DPS_VARIANCE_Y95" localSheetId="24">#REF!</definedName>
    <definedName name="_T_DPS_VARIANCE_Y95">#REF!</definedName>
    <definedName name="_T_DPS_VARIANCE_Y96" localSheetId="5">#REF!</definedName>
    <definedName name="_T_DPS_VARIANCE_Y96" localSheetId="24">#REF!</definedName>
    <definedName name="_T_DPS_VARIANCE_Y96">#REF!</definedName>
    <definedName name="_T_DPS_VARIANCE_Y97" localSheetId="5">#REF!</definedName>
    <definedName name="_T_DPS_VARIANCE_Y97" localSheetId="24">#REF!</definedName>
    <definedName name="_T_DPS_VARIANCE_Y97">#REF!</definedName>
    <definedName name="_T_DPS_VARIANCE_Y98" localSheetId="5">#REF!</definedName>
    <definedName name="_T_DPS_VARIANCE_Y98" localSheetId="24">#REF!</definedName>
    <definedName name="_T_DPS_VARIANCE_Y98">#REF!</definedName>
    <definedName name="_T_DPS_VARIANCE_Y99" localSheetId="5">#REF!</definedName>
    <definedName name="_T_DPS_VARIANCE_Y99" localSheetId="24">#REF!</definedName>
    <definedName name="_T_DPS_VARIANCE_Y99">#REF!</definedName>
    <definedName name="_T_EPS_CHANGE_Y00" localSheetId="5">#REF!</definedName>
    <definedName name="_T_EPS_CHANGE_Y00" localSheetId="24">#REF!</definedName>
    <definedName name="_T_EPS_CHANGE_Y00">#REF!</definedName>
    <definedName name="_T_EPS_CHANGE_Y01" localSheetId="5">#REF!</definedName>
    <definedName name="_T_EPS_CHANGE_Y01" localSheetId="24">#REF!</definedName>
    <definedName name="_T_EPS_CHANGE_Y01">#REF!</definedName>
    <definedName name="_T_EPS_CHANGE_Y02" localSheetId="5">#REF!</definedName>
    <definedName name="_T_EPS_CHANGE_Y02" localSheetId="24">#REF!</definedName>
    <definedName name="_T_EPS_CHANGE_Y02">#REF!</definedName>
    <definedName name="_T_EPS_CHANGE_Y03" localSheetId="5">#REF!</definedName>
    <definedName name="_T_EPS_CHANGE_Y03" localSheetId="24">#REF!</definedName>
    <definedName name="_T_EPS_CHANGE_Y03">#REF!</definedName>
    <definedName name="_T_EPS_CHANGE_Y04" localSheetId="5">#REF!</definedName>
    <definedName name="_T_EPS_CHANGE_Y04" localSheetId="24">#REF!</definedName>
    <definedName name="_T_EPS_CHANGE_Y04">#REF!</definedName>
    <definedName name="_T_EPS_CHANGE_Y05" localSheetId="5">#REF!</definedName>
    <definedName name="_T_EPS_CHANGE_Y05" localSheetId="24">#REF!</definedName>
    <definedName name="_T_EPS_CHANGE_Y05">#REF!</definedName>
    <definedName name="_T_EPS_CHANGE_Y06" localSheetId="5">#REF!</definedName>
    <definedName name="_T_EPS_CHANGE_Y06" localSheetId="24">#REF!</definedName>
    <definedName name="_T_EPS_CHANGE_Y06">#REF!</definedName>
    <definedName name="_T_EPS_CHANGE_Y07" localSheetId="5">#REF!</definedName>
    <definedName name="_T_EPS_CHANGE_Y07" localSheetId="24">#REF!</definedName>
    <definedName name="_T_EPS_CHANGE_Y07">#REF!</definedName>
    <definedName name="_T_EPS_CHANGE_Y09" localSheetId="5">#REF!</definedName>
    <definedName name="_T_EPS_CHANGE_Y09" localSheetId="24">#REF!</definedName>
    <definedName name="_T_EPS_CHANGE_Y09">#REF!</definedName>
    <definedName name="_T_EPS_CHANGE_Y90" localSheetId="5">#REF!</definedName>
    <definedName name="_T_EPS_CHANGE_Y90" localSheetId="24">#REF!</definedName>
    <definedName name="_T_EPS_CHANGE_Y90">#REF!</definedName>
    <definedName name="_T_EPS_CHANGE_Y91" localSheetId="5">#REF!</definedName>
    <definedName name="_T_EPS_CHANGE_Y91" localSheetId="24">#REF!</definedName>
    <definedName name="_T_EPS_CHANGE_Y91">#REF!</definedName>
    <definedName name="_T_EPS_CHANGE_Y92" localSheetId="5">#REF!</definedName>
    <definedName name="_T_EPS_CHANGE_Y92" localSheetId="24">#REF!</definedName>
    <definedName name="_T_EPS_CHANGE_Y92">#REF!</definedName>
    <definedName name="_T_EPS_CHANGE_Y93" localSheetId="5">#REF!</definedName>
    <definedName name="_T_EPS_CHANGE_Y93" localSheetId="24">#REF!</definedName>
    <definedName name="_T_EPS_CHANGE_Y93">#REF!</definedName>
    <definedName name="_T_EPS_CHANGE_Y94" localSheetId="5">#REF!</definedName>
    <definedName name="_T_EPS_CHANGE_Y94" localSheetId="24">#REF!</definedName>
    <definedName name="_T_EPS_CHANGE_Y94">#REF!</definedName>
    <definedName name="_T_EPS_CHANGE_Y95" localSheetId="5">#REF!</definedName>
    <definedName name="_T_EPS_CHANGE_Y95" localSheetId="24">#REF!</definedName>
    <definedName name="_T_EPS_CHANGE_Y95">#REF!</definedName>
    <definedName name="_T_EPS_CHANGE_Y96" localSheetId="5">#REF!</definedName>
    <definedName name="_T_EPS_CHANGE_Y96" localSheetId="24">#REF!</definedName>
    <definedName name="_T_EPS_CHANGE_Y96">#REF!</definedName>
    <definedName name="_T_EPS_CHANGE_Y97" localSheetId="5">#REF!</definedName>
    <definedName name="_T_EPS_CHANGE_Y97" localSheetId="24">#REF!</definedName>
    <definedName name="_T_EPS_CHANGE_Y97">#REF!</definedName>
    <definedName name="_T_EPS_CHANGE_Y98" localSheetId="5">#REF!</definedName>
    <definedName name="_T_EPS_CHANGE_Y98" localSheetId="24">#REF!</definedName>
    <definedName name="_T_EPS_CHANGE_Y98">#REF!</definedName>
    <definedName name="_T_EPS_CHANGE_Y99" localSheetId="5">#REF!</definedName>
    <definedName name="_T_EPS_CHANGE_Y99" localSheetId="24">#REF!</definedName>
    <definedName name="_T_EPS_CHANGE_Y99">#REF!</definedName>
    <definedName name="_T_EPS_VARIANCE_Y00" localSheetId="5">#REF!</definedName>
    <definedName name="_T_EPS_VARIANCE_Y00" localSheetId="24">#REF!</definedName>
    <definedName name="_T_EPS_VARIANCE_Y00">#REF!</definedName>
    <definedName name="_T_EPS_VARIANCE_Y01" localSheetId="5">#REF!</definedName>
    <definedName name="_T_EPS_VARIANCE_Y01" localSheetId="24">#REF!</definedName>
    <definedName name="_T_EPS_VARIANCE_Y01">#REF!</definedName>
    <definedName name="_T_EPS_VARIANCE_Y02" localSheetId="5">#REF!</definedName>
    <definedName name="_T_EPS_VARIANCE_Y02" localSheetId="24">#REF!</definedName>
    <definedName name="_T_EPS_VARIANCE_Y02">#REF!</definedName>
    <definedName name="_T_EPS_VARIANCE_Y03" localSheetId="5">#REF!</definedName>
    <definedName name="_T_EPS_VARIANCE_Y03" localSheetId="24">#REF!</definedName>
    <definedName name="_T_EPS_VARIANCE_Y03">#REF!</definedName>
    <definedName name="_T_EPS_VARIANCE_Y04" localSheetId="5">#REF!</definedName>
    <definedName name="_T_EPS_VARIANCE_Y04" localSheetId="24">#REF!</definedName>
    <definedName name="_T_EPS_VARIANCE_Y04">#REF!</definedName>
    <definedName name="_T_EPS_VARIANCE_Y05" localSheetId="5">#REF!</definedName>
    <definedName name="_T_EPS_VARIANCE_Y05" localSheetId="24">#REF!</definedName>
    <definedName name="_T_EPS_VARIANCE_Y05">#REF!</definedName>
    <definedName name="_T_EPS_VARIANCE_Y06" localSheetId="5">#REF!</definedName>
    <definedName name="_T_EPS_VARIANCE_Y06" localSheetId="24">#REF!</definedName>
    <definedName name="_T_EPS_VARIANCE_Y06">#REF!</definedName>
    <definedName name="_T_EPS_VARIANCE_Y07" localSheetId="5">#REF!</definedName>
    <definedName name="_T_EPS_VARIANCE_Y07" localSheetId="24">#REF!</definedName>
    <definedName name="_T_EPS_VARIANCE_Y07">#REF!</definedName>
    <definedName name="_T_EPS_VARIANCE_Y09" localSheetId="5">#REF!</definedName>
    <definedName name="_T_EPS_VARIANCE_Y09" localSheetId="24">#REF!</definedName>
    <definedName name="_T_EPS_VARIANCE_Y09">#REF!</definedName>
    <definedName name="_T_EPS_VARIANCE_Y90" localSheetId="5">#REF!</definedName>
    <definedName name="_T_EPS_VARIANCE_Y90" localSheetId="24">#REF!</definedName>
    <definedName name="_T_EPS_VARIANCE_Y90">#REF!</definedName>
    <definedName name="_T_EPS_VARIANCE_Y91" localSheetId="5">#REF!</definedName>
    <definedName name="_T_EPS_VARIANCE_Y91" localSheetId="24">#REF!</definedName>
    <definedName name="_T_EPS_VARIANCE_Y91">#REF!</definedName>
    <definedName name="_T_EPS_VARIANCE_Y92" localSheetId="5">#REF!</definedName>
    <definedName name="_T_EPS_VARIANCE_Y92" localSheetId="24">#REF!</definedName>
    <definedName name="_T_EPS_VARIANCE_Y92">#REF!</definedName>
    <definedName name="_T_EPS_VARIANCE_Y93" localSheetId="5">#REF!</definedName>
    <definedName name="_T_EPS_VARIANCE_Y93" localSheetId="24">#REF!</definedName>
    <definedName name="_T_EPS_VARIANCE_Y93">#REF!</definedName>
    <definedName name="_T_EPS_VARIANCE_Y94" localSheetId="5">#REF!</definedName>
    <definedName name="_T_EPS_VARIANCE_Y94" localSheetId="24">#REF!</definedName>
    <definedName name="_T_EPS_VARIANCE_Y94">#REF!</definedName>
    <definedName name="_T_EPS_VARIANCE_Y95" localSheetId="5">#REF!</definedName>
    <definedName name="_T_EPS_VARIANCE_Y95" localSheetId="24">#REF!</definedName>
    <definedName name="_T_EPS_VARIANCE_Y95">#REF!</definedName>
    <definedName name="_T_EPS_VARIANCE_Y96" localSheetId="5">#REF!</definedName>
    <definedName name="_T_EPS_VARIANCE_Y96" localSheetId="24">#REF!</definedName>
    <definedName name="_T_EPS_VARIANCE_Y96">#REF!</definedName>
    <definedName name="_T_EPS_VARIANCE_Y97" localSheetId="5">#REF!</definedName>
    <definedName name="_T_EPS_VARIANCE_Y97" localSheetId="24">#REF!</definedName>
    <definedName name="_T_EPS_VARIANCE_Y97">#REF!</definedName>
    <definedName name="_T_EPS_VARIANCE_Y98" localSheetId="5">#REF!</definedName>
    <definedName name="_T_EPS_VARIANCE_Y98" localSheetId="24">#REF!</definedName>
    <definedName name="_T_EPS_VARIANCE_Y98">#REF!</definedName>
    <definedName name="_T_EPS_VARIANCE_Y99" localSheetId="5">#REF!</definedName>
    <definedName name="_T_EPS_VARIANCE_Y99" localSheetId="24">#REF!</definedName>
    <definedName name="_T_EPS_VARIANCE_Y99">#REF!</definedName>
    <definedName name="_T_EQ_CONVERT_Y00" localSheetId="5">#REF!</definedName>
    <definedName name="_T_EQ_CONVERT_Y00" localSheetId="24">#REF!</definedName>
    <definedName name="_T_EQ_CONVERT_Y00">#REF!</definedName>
    <definedName name="_T_EQ_CONVERT_Y01" localSheetId="5">#REF!</definedName>
    <definedName name="_T_EQ_CONVERT_Y01" localSheetId="24">#REF!</definedName>
    <definedName name="_T_EQ_CONVERT_Y01">#REF!</definedName>
    <definedName name="_T_EQ_CONVERT_Y02" localSheetId="5">#REF!</definedName>
    <definedName name="_T_EQ_CONVERT_Y02" localSheetId="24">#REF!</definedName>
    <definedName name="_T_EQ_CONVERT_Y02">#REF!</definedName>
    <definedName name="_T_EQ_CONVERT_Y03" localSheetId="5">#REF!</definedName>
    <definedName name="_T_EQ_CONVERT_Y03" localSheetId="24">#REF!</definedName>
    <definedName name="_T_EQ_CONVERT_Y03">#REF!</definedName>
    <definedName name="_T_EQ_CONVERT_Y04" localSheetId="5">#REF!</definedName>
    <definedName name="_T_EQ_CONVERT_Y04" localSheetId="24">#REF!</definedName>
    <definedName name="_T_EQ_CONVERT_Y04">#REF!</definedName>
    <definedName name="_T_EQ_CONVERT_Y05" localSheetId="5">#REF!</definedName>
    <definedName name="_T_EQ_CONVERT_Y05" localSheetId="24">#REF!</definedName>
    <definedName name="_T_EQ_CONVERT_Y05">#REF!</definedName>
    <definedName name="_T_EQ_CONVERT_Y06" localSheetId="5">#REF!</definedName>
    <definedName name="_T_EQ_CONVERT_Y06" localSheetId="24">#REF!</definedName>
    <definedName name="_T_EQ_CONVERT_Y06">#REF!</definedName>
    <definedName name="_T_EQ_CONVERT_Y07" localSheetId="5">#REF!</definedName>
    <definedName name="_T_EQ_CONVERT_Y07" localSheetId="24">#REF!</definedName>
    <definedName name="_T_EQ_CONVERT_Y07">#REF!</definedName>
    <definedName name="_T_EQ_CONVERT_Y08" localSheetId="5">#REF!</definedName>
    <definedName name="_T_EQ_CONVERT_Y08" localSheetId="24">#REF!</definedName>
    <definedName name="_T_EQ_CONVERT_Y08">#REF!</definedName>
    <definedName name="_T_EQ_CONVERT_Y92" localSheetId="5">#REF!</definedName>
    <definedName name="_T_EQ_CONVERT_Y92" localSheetId="24">#REF!</definedName>
    <definedName name="_T_EQ_CONVERT_Y92">#REF!</definedName>
    <definedName name="_T_EQ_CONVERT_Y93" localSheetId="5">#REF!</definedName>
    <definedName name="_T_EQ_CONVERT_Y93" localSheetId="24">#REF!</definedName>
    <definedName name="_T_EQ_CONVERT_Y93">#REF!</definedName>
    <definedName name="_T_EQ_CONVERT_Y94" localSheetId="5">#REF!</definedName>
    <definedName name="_T_EQ_CONVERT_Y94" localSheetId="24">#REF!</definedName>
    <definedName name="_T_EQ_CONVERT_Y94">#REF!</definedName>
    <definedName name="_T_EQ_CONVERT_Y95" localSheetId="5">#REF!</definedName>
    <definedName name="_T_EQ_CONVERT_Y95" localSheetId="24">#REF!</definedName>
    <definedName name="_T_EQ_CONVERT_Y95">#REF!</definedName>
    <definedName name="_T_EQ_CONVERT_Y96" localSheetId="5">#REF!</definedName>
    <definedName name="_T_EQ_CONVERT_Y96" localSheetId="24">#REF!</definedName>
    <definedName name="_T_EQ_CONVERT_Y96">#REF!</definedName>
    <definedName name="_T_EQ_CONVERT_Y97" localSheetId="5">#REF!</definedName>
    <definedName name="_T_EQ_CONVERT_Y97" localSheetId="24">#REF!</definedName>
    <definedName name="_T_EQ_CONVERT_Y97">#REF!</definedName>
    <definedName name="_T_EQ_CONVERT_Y98" localSheetId="5">#REF!</definedName>
    <definedName name="_T_EQ_CONVERT_Y98" localSheetId="24">#REF!</definedName>
    <definedName name="_T_EQ_CONVERT_Y98">#REF!</definedName>
    <definedName name="_T_EQ_CONVERT_Y99" localSheetId="5">#REF!</definedName>
    <definedName name="_T_EQ_CONVERT_Y99" localSheetId="24">#REF!</definedName>
    <definedName name="_T_EQ_CONVERT_Y99">#REF!</definedName>
    <definedName name="_T_EQ_ERROR_Y00" localSheetId="5">#REF!</definedName>
    <definedName name="_T_EQ_ERROR_Y00" localSheetId="24">#REF!</definedName>
    <definedName name="_T_EQ_ERROR_Y00">#REF!</definedName>
    <definedName name="_T_EQ_ERROR_Y01" localSheetId="5">#REF!</definedName>
    <definedName name="_T_EQ_ERROR_Y01" localSheetId="24">#REF!</definedName>
    <definedName name="_T_EQ_ERROR_Y01">#REF!</definedName>
    <definedName name="_T_EQ_ERROR_Y02" localSheetId="5">#REF!</definedName>
    <definedName name="_T_EQ_ERROR_Y02" localSheetId="24">#REF!</definedName>
    <definedName name="_T_EQ_ERROR_Y02">#REF!</definedName>
    <definedName name="_T_EQ_ERROR_Y03" localSheetId="5">#REF!</definedName>
    <definedName name="_T_EQ_ERROR_Y03" localSheetId="24">#REF!</definedName>
    <definedName name="_T_EQ_ERROR_Y03">#REF!</definedName>
    <definedName name="_T_EQ_ERROR_Y90" localSheetId="5">#REF!</definedName>
    <definedName name="_T_EQ_ERROR_Y90" localSheetId="24">#REF!</definedName>
    <definedName name="_T_EQ_ERROR_Y90">#REF!</definedName>
    <definedName name="_T_EQ_ERROR_Y91" localSheetId="5">#REF!</definedName>
    <definedName name="_T_EQ_ERROR_Y91" localSheetId="24">#REF!</definedName>
    <definedName name="_T_EQ_ERROR_Y91">#REF!</definedName>
    <definedName name="_T_EQ_ERROR_Y92" localSheetId="5">#REF!</definedName>
    <definedName name="_T_EQ_ERROR_Y92" localSheetId="24">#REF!</definedName>
    <definedName name="_T_EQ_ERROR_Y92">#REF!</definedName>
    <definedName name="_T_EQ_ERROR_Y93" localSheetId="5">#REF!</definedName>
    <definedName name="_T_EQ_ERROR_Y93" localSheetId="24">#REF!</definedName>
    <definedName name="_T_EQ_ERROR_Y93">#REF!</definedName>
    <definedName name="_T_EQ_ERROR_Y94" localSheetId="5">#REF!</definedName>
    <definedName name="_T_EQ_ERROR_Y94" localSheetId="24">#REF!</definedName>
    <definedName name="_T_EQ_ERROR_Y94">#REF!</definedName>
    <definedName name="_T_EQ_ERROR_Y95" localSheetId="5">#REF!</definedName>
    <definedName name="_T_EQ_ERROR_Y95" localSheetId="24">#REF!</definedName>
    <definedName name="_T_EQ_ERROR_Y95">#REF!</definedName>
    <definedName name="_T_EQ_ERROR_Y96" localSheetId="5">#REF!</definedName>
    <definedName name="_T_EQ_ERROR_Y96" localSheetId="24">#REF!</definedName>
    <definedName name="_T_EQ_ERROR_Y96">#REF!</definedName>
    <definedName name="_T_EQ_ERROR_Y97" localSheetId="5">#REF!</definedName>
    <definedName name="_T_EQ_ERROR_Y97" localSheetId="24">#REF!</definedName>
    <definedName name="_T_EQ_ERROR_Y97">#REF!</definedName>
    <definedName name="_T_EQ_ERROR_Y98" localSheetId="5">#REF!</definedName>
    <definedName name="_T_EQ_ERROR_Y98" localSheetId="24">#REF!</definedName>
    <definedName name="_T_EQ_ERROR_Y98">#REF!</definedName>
    <definedName name="_T_EQ_ERROR_Y99" localSheetId="5">#REF!</definedName>
    <definedName name="_T_EQ_ERROR_Y99" localSheetId="24">#REF!</definedName>
    <definedName name="_T_EQ_ERROR_Y99">#REF!</definedName>
    <definedName name="_T_EQ_MINOR_Y00" localSheetId="5">#REF!</definedName>
    <definedName name="_T_EQ_MINOR_Y00" localSheetId="24">#REF!</definedName>
    <definedName name="_T_EQ_MINOR_Y00">#REF!</definedName>
    <definedName name="_T_EQ_MINOR_Y01" localSheetId="5">#REF!</definedName>
    <definedName name="_T_EQ_MINOR_Y01" localSheetId="24">#REF!</definedName>
    <definedName name="_T_EQ_MINOR_Y01">#REF!</definedName>
    <definedName name="_T_EQ_MINOR_Y02" localSheetId="5">#REF!</definedName>
    <definedName name="_T_EQ_MINOR_Y02" localSheetId="24">#REF!</definedName>
    <definedName name="_T_EQ_MINOR_Y02">#REF!</definedName>
    <definedName name="_T_EQ_MINOR_Y03" localSheetId="5">#REF!</definedName>
    <definedName name="_T_EQ_MINOR_Y03" localSheetId="24">#REF!</definedName>
    <definedName name="_T_EQ_MINOR_Y03">#REF!</definedName>
    <definedName name="_T_EQ_MINOR_Y04" localSheetId="5">#REF!</definedName>
    <definedName name="_T_EQ_MINOR_Y04" localSheetId="24">#REF!</definedName>
    <definedName name="_T_EQ_MINOR_Y04">#REF!</definedName>
    <definedName name="_T_EQ_MINOR_Y05" localSheetId="5">#REF!</definedName>
    <definedName name="_T_EQ_MINOR_Y05" localSheetId="24">#REF!</definedName>
    <definedName name="_T_EQ_MINOR_Y05">#REF!</definedName>
    <definedName name="_T_EQ_MINOR_Y06" localSheetId="5">#REF!</definedName>
    <definedName name="_T_EQ_MINOR_Y06" localSheetId="24">#REF!</definedName>
    <definedName name="_T_EQ_MINOR_Y06">#REF!</definedName>
    <definedName name="_T_EQ_MINOR_Y07" localSheetId="5">#REF!</definedName>
    <definedName name="_T_EQ_MINOR_Y07" localSheetId="24">#REF!</definedName>
    <definedName name="_T_EQ_MINOR_Y07">#REF!</definedName>
    <definedName name="_T_EQ_MINOR_Y08" localSheetId="5">#REF!</definedName>
    <definedName name="_T_EQ_MINOR_Y08" localSheetId="24">#REF!</definedName>
    <definedName name="_T_EQ_MINOR_Y08">#REF!</definedName>
    <definedName name="_T_EQ_MINOR_Y92" localSheetId="5">#REF!</definedName>
    <definedName name="_T_EQ_MINOR_Y92" localSheetId="24">#REF!</definedName>
    <definedName name="_T_EQ_MINOR_Y92">#REF!</definedName>
    <definedName name="_T_EQ_MINOR_Y93" localSheetId="5">#REF!</definedName>
    <definedName name="_T_EQ_MINOR_Y93" localSheetId="24">#REF!</definedName>
    <definedName name="_T_EQ_MINOR_Y93">#REF!</definedName>
    <definedName name="_T_EQ_MINOR_Y94" localSheetId="5">#REF!</definedName>
    <definedName name="_T_EQ_MINOR_Y94" localSheetId="24">#REF!</definedName>
    <definedName name="_T_EQ_MINOR_Y94">#REF!</definedName>
    <definedName name="_T_EQ_MINOR_Y95" localSheetId="5">#REF!</definedName>
    <definedName name="_T_EQ_MINOR_Y95" localSheetId="24">#REF!</definedName>
    <definedName name="_T_EQ_MINOR_Y95">#REF!</definedName>
    <definedName name="_T_EQ_MINOR_Y96" localSheetId="5">#REF!</definedName>
    <definedName name="_T_EQ_MINOR_Y96" localSheetId="24">#REF!</definedName>
    <definedName name="_T_EQ_MINOR_Y96">#REF!</definedName>
    <definedName name="_T_EQ_MINOR_Y97" localSheetId="5">#REF!</definedName>
    <definedName name="_T_EQ_MINOR_Y97" localSheetId="24">#REF!</definedName>
    <definedName name="_T_EQ_MINOR_Y97">#REF!</definedName>
    <definedName name="_T_EQ_MINOR_Y98" localSheetId="5">#REF!</definedName>
    <definedName name="_T_EQ_MINOR_Y98" localSheetId="24">#REF!</definedName>
    <definedName name="_T_EQ_MINOR_Y98">#REF!</definedName>
    <definedName name="_T_EQ_MINOR_Y99" localSheetId="5">#REF!</definedName>
    <definedName name="_T_EQ_MINOR_Y99" localSheetId="24">#REF!</definedName>
    <definedName name="_T_EQ_MINOR_Y99">#REF!</definedName>
    <definedName name="_T_EQ_PREF_Y00" localSheetId="5">#REF!</definedName>
    <definedName name="_T_EQ_PREF_Y00" localSheetId="24">#REF!</definedName>
    <definedName name="_T_EQ_PREF_Y00">#REF!</definedName>
    <definedName name="_T_EQ_PREF_Y01" localSheetId="5">#REF!</definedName>
    <definedName name="_T_EQ_PREF_Y01" localSheetId="24">#REF!</definedName>
    <definedName name="_T_EQ_PREF_Y01">#REF!</definedName>
    <definedName name="_T_EQ_PREF_Y02" localSheetId="5">#REF!</definedName>
    <definedName name="_T_EQ_PREF_Y02" localSheetId="24">#REF!</definedName>
    <definedName name="_T_EQ_PREF_Y02">#REF!</definedName>
    <definedName name="_T_EQ_PREF_Y03" localSheetId="5">#REF!</definedName>
    <definedName name="_T_EQ_PREF_Y03" localSheetId="24">#REF!</definedName>
    <definedName name="_T_EQ_PREF_Y03">#REF!</definedName>
    <definedName name="_T_EQ_PREF_Y90" localSheetId="5">#REF!</definedName>
    <definedName name="_T_EQ_PREF_Y90" localSheetId="24">#REF!</definedName>
    <definedName name="_T_EQ_PREF_Y90">#REF!</definedName>
    <definedName name="_T_EQ_PREF_Y91" localSheetId="5">#REF!</definedName>
    <definedName name="_T_EQ_PREF_Y91" localSheetId="24">#REF!</definedName>
    <definedName name="_T_EQ_PREF_Y91">#REF!</definedName>
    <definedName name="_T_EQ_PREF_Y92" localSheetId="5">#REF!</definedName>
    <definedName name="_T_EQ_PREF_Y92" localSheetId="24">#REF!</definedName>
    <definedName name="_T_EQ_PREF_Y92">#REF!</definedName>
    <definedName name="_T_EQ_PREF_Y93" localSheetId="5">#REF!</definedName>
    <definedName name="_T_EQ_PREF_Y93" localSheetId="24">#REF!</definedName>
    <definedName name="_T_EQ_PREF_Y93">#REF!</definedName>
    <definedName name="_T_EQ_PREF_Y94" localSheetId="5">#REF!</definedName>
    <definedName name="_T_EQ_PREF_Y94" localSheetId="24">#REF!</definedName>
    <definedName name="_T_EQ_PREF_Y94">#REF!</definedName>
    <definedName name="_T_EQ_PREF_Y95" localSheetId="5">#REF!</definedName>
    <definedName name="_T_EQ_PREF_Y95" localSheetId="24">#REF!</definedName>
    <definedName name="_T_EQ_PREF_Y95">#REF!</definedName>
    <definedName name="_T_EQ_PREF_Y96" localSheetId="5">#REF!</definedName>
    <definedName name="_T_EQ_PREF_Y96" localSheetId="24">#REF!</definedName>
    <definedName name="_T_EQ_PREF_Y96">#REF!</definedName>
    <definedName name="_T_EQ_PREF_Y97" localSheetId="5">#REF!</definedName>
    <definedName name="_T_EQ_PREF_Y97" localSheetId="24">#REF!</definedName>
    <definedName name="_T_EQ_PREF_Y97">#REF!</definedName>
    <definedName name="_T_EQ_PREF_Y98" localSheetId="5">#REF!</definedName>
    <definedName name="_T_EQ_PREF_Y98" localSheetId="24">#REF!</definedName>
    <definedName name="_T_EQ_PREF_Y98">#REF!</definedName>
    <definedName name="_T_EQ_PREF_Y99" localSheetId="5">#REF!</definedName>
    <definedName name="_T_EQ_PREF_Y99" localSheetId="24">#REF!</definedName>
    <definedName name="_T_EQ_PREF_Y99">#REF!</definedName>
    <definedName name="_T_EQ_RESERV_ASSREV_Y00" localSheetId="5">#REF!</definedName>
    <definedName name="_T_EQ_RESERV_ASSREV_Y00" localSheetId="24">#REF!</definedName>
    <definedName name="_T_EQ_RESERV_ASSREV_Y00">#REF!</definedName>
    <definedName name="_T_EQ_RESERV_ASSREV_Y01" localSheetId="5">#REF!</definedName>
    <definedName name="_T_EQ_RESERV_ASSREV_Y01" localSheetId="24">#REF!</definedName>
    <definedName name="_T_EQ_RESERV_ASSREV_Y01">#REF!</definedName>
    <definedName name="_T_EQ_RESERV_ASSREV_Y02" localSheetId="5">#REF!</definedName>
    <definedName name="_T_EQ_RESERV_ASSREV_Y02" localSheetId="24">#REF!</definedName>
    <definedName name="_T_EQ_RESERV_ASSREV_Y02">#REF!</definedName>
    <definedName name="_T_EQ_RESERV_ASSREV_Y03" localSheetId="5">#REF!</definedName>
    <definedName name="_T_EQ_RESERV_ASSREV_Y03" localSheetId="24">#REF!</definedName>
    <definedName name="_T_EQ_RESERV_ASSREV_Y03">#REF!</definedName>
    <definedName name="_T_EQ_RESERV_ASSREV_Y04" localSheetId="5">#REF!</definedName>
    <definedName name="_T_EQ_RESERV_ASSREV_Y04" localSheetId="24">#REF!</definedName>
    <definedName name="_T_EQ_RESERV_ASSREV_Y04">#REF!</definedName>
    <definedName name="_T_EQ_RESERV_ASSREV_Y05" localSheetId="5">#REF!</definedName>
    <definedName name="_T_EQ_RESERV_ASSREV_Y05" localSheetId="24">#REF!</definedName>
    <definedName name="_T_EQ_RESERV_ASSREV_Y05">#REF!</definedName>
    <definedName name="_T_EQ_RESERV_ASSREV_Y06" localSheetId="5">#REF!</definedName>
    <definedName name="_T_EQ_RESERV_ASSREV_Y06" localSheetId="24">#REF!</definedName>
    <definedName name="_T_EQ_RESERV_ASSREV_Y06">#REF!</definedName>
    <definedName name="_T_EQ_RESERV_ASSREV_Y07" localSheetId="5">#REF!</definedName>
    <definedName name="_T_EQ_RESERV_ASSREV_Y07" localSheetId="24">#REF!</definedName>
    <definedName name="_T_EQ_RESERV_ASSREV_Y07">#REF!</definedName>
    <definedName name="_T_EQ_RESERV_ASSREV_Y08" localSheetId="5">#REF!</definedName>
    <definedName name="_T_EQ_RESERV_ASSREV_Y08" localSheetId="24">#REF!</definedName>
    <definedName name="_T_EQ_RESERV_ASSREV_Y08">#REF!</definedName>
    <definedName name="_T_EQ_RESERV_ASSREV_Y92" localSheetId="5">#REF!</definedName>
    <definedName name="_T_EQ_RESERV_ASSREV_Y92" localSheetId="24">#REF!</definedName>
    <definedName name="_T_EQ_RESERV_ASSREV_Y92">#REF!</definedName>
    <definedName name="_T_EQ_RESERV_ASSREV_Y93" localSheetId="5">#REF!</definedName>
    <definedName name="_T_EQ_RESERV_ASSREV_Y93" localSheetId="24">#REF!</definedName>
    <definedName name="_T_EQ_RESERV_ASSREV_Y93">#REF!</definedName>
    <definedName name="_T_EQ_RESERV_ASSREV_Y94" localSheetId="5">#REF!</definedName>
    <definedName name="_T_EQ_RESERV_ASSREV_Y94" localSheetId="24">#REF!</definedName>
    <definedName name="_T_EQ_RESERV_ASSREV_Y94">#REF!</definedName>
    <definedName name="_T_EQ_RESERV_ASSREV_Y95" localSheetId="5">#REF!</definedName>
    <definedName name="_T_EQ_RESERV_ASSREV_Y95" localSheetId="24">#REF!</definedName>
    <definedName name="_T_EQ_RESERV_ASSREV_Y95">#REF!</definedName>
    <definedName name="_T_EQ_RESERV_ASSREV_Y96" localSheetId="5">#REF!</definedName>
    <definedName name="_T_EQ_RESERV_ASSREV_Y96" localSheetId="24">#REF!</definedName>
    <definedName name="_T_EQ_RESERV_ASSREV_Y96">#REF!</definedName>
    <definedName name="_T_EQ_RESERV_ASSREV_Y97" localSheetId="5">#REF!</definedName>
    <definedName name="_T_EQ_RESERV_ASSREV_Y97" localSheetId="24">#REF!</definedName>
    <definedName name="_T_EQ_RESERV_ASSREV_Y97">#REF!</definedName>
    <definedName name="_T_EQ_RESERV_ASSREV_Y98" localSheetId="5">#REF!</definedName>
    <definedName name="_T_EQ_RESERV_ASSREV_Y98" localSheetId="24">#REF!</definedName>
    <definedName name="_T_EQ_RESERV_ASSREV_Y98">#REF!</definedName>
    <definedName name="_T_EQ_RESERV_ASSREV_Y99" localSheetId="5">#REF!</definedName>
    <definedName name="_T_EQ_RESERV_ASSREV_Y99" localSheetId="24">#REF!</definedName>
    <definedName name="_T_EQ_RESERV_ASSREV_Y99">#REF!</definedName>
    <definedName name="_T_EQ_RESERV_OTHER_Y00" localSheetId="5">#REF!</definedName>
    <definedName name="_T_EQ_RESERV_OTHER_Y00" localSheetId="24">#REF!</definedName>
    <definedName name="_T_EQ_RESERV_OTHER_Y00">#REF!</definedName>
    <definedName name="_T_EQ_RESERV_OTHER_Y01" localSheetId="5">#REF!</definedName>
    <definedName name="_T_EQ_RESERV_OTHER_Y01" localSheetId="24">#REF!</definedName>
    <definedName name="_T_EQ_RESERV_OTHER_Y01">#REF!</definedName>
    <definedName name="_T_EQ_RESERV_OTHER_Y02" localSheetId="5">#REF!</definedName>
    <definedName name="_T_EQ_RESERV_OTHER_Y02" localSheetId="24">#REF!</definedName>
    <definedName name="_T_EQ_RESERV_OTHER_Y02">#REF!</definedName>
    <definedName name="_T_EQ_RESERV_OTHER_Y03" localSheetId="5">#REF!</definedName>
    <definedName name="_T_EQ_RESERV_OTHER_Y03" localSheetId="24">#REF!</definedName>
    <definedName name="_T_EQ_RESERV_OTHER_Y03">#REF!</definedName>
    <definedName name="_T_EQ_RESERV_OTHER_Y04" localSheetId="5">#REF!</definedName>
    <definedName name="_T_EQ_RESERV_OTHER_Y04" localSheetId="24">#REF!</definedName>
    <definedName name="_T_EQ_RESERV_OTHER_Y04">#REF!</definedName>
    <definedName name="_T_EQ_RESERV_OTHER_Y05" localSheetId="5">#REF!</definedName>
    <definedName name="_T_EQ_RESERV_OTHER_Y05" localSheetId="24">#REF!</definedName>
    <definedName name="_T_EQ_RESERV_OTHER_Y05">#REF!</definedName>
    <definedName name="_T_EQ_RESERV_OTHER_Y06" localSheetId="5">#REF!</definedName>
    <definedName name="_T_EQ_RESERV_OTHER_Y06" localSheetId="24">#REF!</definedName>
    <definedName name="_T_EQ_RESERV_OTHER_Y06">#REF!</definedName>
    <definedName name="_T_EQ_RESERV_OTHER_Y07" localSheetId="5">#REF!</definedName>
    <definedName name="_T_EQ_RESERV_OTHER_Y07" localSheetId="24">#REF!</definedName>
    <definedName name="_T_EQ_RESERV_OTHER_Y07">#REF!</definedName>
    <definedName name="_T_EQ_RESERV_OTHER_Y08" localSheetId="5">#REF!</definedName>
    <definedName name="_T_EQ_RESERV_OTHER_Y08" localSheetId="24">#REF!</definedName>
    <definedName name="_T_EQ_RESERV_OTHER_Y08">#REF!</definedName>
    <definedName name="_T_EQ_RESERV_OTHER_Y92" localSheetId="5">#REF!</definedName>
    <definedName name="_T_EQ_RESERV_OTHER_Y92" localSheetId="24">#REF!</definedName>
    <definedName name="_T_EQ_RESERV_OTHER_Y92">#REF!</definedName>
    <definedName name="_T_EQ_RESERV_OTHER_Y93" localSheetId="5">#REF!</definedName>
    <definedName name="_T_EQ_RESERV_OTHER_Y93" localSheetId="24">#REF!</definedName>
    <definedName name="_T_EQ_RESERV_OTHER_Y93">#REF!</definedName>
    <definedName name="_T_EQ_RESERV_OTHER_Y94" localSheetId="5">#REF!</definedName>
    <definedName name="_T_EQ_RESERV_OTHER_Y94" localSheetId="24">#REF!</definedName>
    <definedName name="_T_EQ_RESERV_OTHER_Y94">#REF!</definedName>
    <definedName name="_T_EQ_RESERV_OTHER_Y95" localSheetId="5">#REF!</definedName>
    <definedName name="_T_EQ_RESERV_OTHER_Y95" localSheetId="24">#REF!</definedName>
    <definedName name="_T_EQ_RESERV_OTHER_Y95">#REF!</definedName>
    <definedName name="_T_EQ_RESERV_OTHER_Y96" localSheetId="5">#REF!</definedName>
    <definedName name="_T_EQ_RESERV_OTHER_Y96" localSheetId="24">#REF!</definedName>
    <definedName name="_T_EQ_RESERV_OTHER_Y96">#REF!</definedName>
    <definedName name="_T_EQ_RESERV_OTHER_Y97" localSheetId="5">#REF!</definedName>
    <definedName name="_T_EQ_RESERV_OTHER_Y97" localSheetId="24">#REF!</definedName>
    <definedName name="_T_EQ_RESERV_OTHER_Y97">#REF!</definedName>
    <definedName name="_T_EQ_RESERV_OTHER_Y98" localSheetId="5">#REF!</definedName>
    <definedName name="_T_EQ_RESERV_OTHER_Y98" localSheetId="24">#REF!</definedName>
    <definedName name="_T_EQ_RESERV_OTHER_Y98">#REF!</definedName>
    <definedName name="_T_EQ_RESERV_OTHER_Y99" localSheetId="5">#REF!</definedName>
    <definedName name="_T_EQ_RESERV_OTHER_Y99" localSheetId="24">#REF!</definedName>
    <definedName name="_T_EQ_RESERV_OTHER_Y99">#REF!</definedName>
    <definedName name="_T_EQ_RESERV_Y00" localSheetId="5">#REF!</definedName>
    <definedName name="_T_EQ_RESERV_Y00" localSheetId="24">#REF!</definedName>
    <definedName name="_T_EQ_RESERV_Y00">#REF!</definedName>
    <definedName name="_T_EQ_RESERV_Y01" localSheetId="5">#REF!</definedName>
    <definedName name="_T_EQ_RESERV_Y01" localSheetId="24">#REF!</definedName>
    <definedName name="_T_EQ_RESERV_Y01">#REF!</definedName>
    <definedName name="_T_EQ_RESERV_Y02" localSheetId="5">#REF!</definedName>
    <definedName name="_T_EQ_RESERV_Y02" localSheetId="24">#REF!</definedName>
    <definedName name="_T_EQ_RESERV_Y02">#REF!</definedName>
    <definedName name="_T_EQ_RESERV_Y03" localSheetId="5">#REF!</definedName>
    <definedName name="_T_EQ_RESERV_Y03" localSheetId="24">#REF!</definedName>
    <definedName name="_T_EQ_RESERV_Y03">#REF!</definedName>
    <definedName name="_T_EQ_RESERV_Y90" localSheetId="5">#REF!</definedName>
    <definedName name="_T_EQ_RESERV_Y90" localSheetId="24">#REF!</definedName>
    <definedName name="_T_EQ_RESERV_Y90">#REF!</definedName>
    <definedName name="_T_EQ_RESERV_Y91" localSheetId="5">#REF!</definedName>
    <definedName name="_T_EQ_RESERV_Y91" localSheetId="24">#REF!</definedName>
    <definedName name="_T_EQ_RESERV_Y91">#REF!</definedName>
    <definedName name="_T_EQ_RESERV_Y92" localSheetId="5">#REF!</definedName>
    <definedName name="_T_EQ_RESERV_Y92" localSheetId="24">#REF!</definedName>
    <definedName name="_T_EQ_RESERV_Y92">#REF!</definedName>
    <definedName name="_T_EQ_RESERV_Y93" localSheetId="5">#REF!</definedName>
    <definedName name="_T_EQ_RESERV_Y93" localSheetId="24">#REF!</definedName>
    <definedName name="_T_EQ_RESERV_Y93">#REF!</definedName>
    <definedName name="_T_EQ_RESERV_Y94" localSheetId="5">#REF!</definedName>
    <definedName name="_T_EQ_RESERV_Y94" localSheetId="24">#REF!</definedName>
    <definedName name="_T_EQ_RESERV_Y94">#REF!</definedName>
    <definedName name="_T_EQ_RESERV_Y95" localSheetId="5">#REF!</definedName>
    <definedName name="_T_EQ_RESERV_Y95" localSheetId="24">#REF!</definedName>
    <definedName name="_T_EQ_RESERV_Y95">#REF!</definedName>
    <definedName name="_T_EQ_RESERV_Y96" localSheetId="5">#REF!</definedName>
    <definedName name="_T_EQ_RESERV_Y96" localSheetId="24">#REF!</definedName>
    <definedName name="_T_EQ_RESERV_Y96">#REF!</definedName>
    <definedName name="_T_EQ_RESERV_Y97" localSheetId="5">#REF!</definedName>
    <definedName name="_T_EQ_RESERV_Y97" localSheetId="24">#REF!</definedName>
    <definedName name="_T_EQ_RESERV_Y97">#REF!</definedName>
    <definedName name="_T_EQ_RESERV_Y98" localSheetId="5">#REF!</definedName>
    <definedName name="_T_EQ_RESERV_Y98" localSheetId="24">#REF!</definedName>
    <definedName name="_T_EQ_RESERV_Y98">#REF!</definedName>
    <definedName name="_T_EQ_RESERV_Y99" localSheetId="5">#REF!</definedName>
    <definedName name="_T_EQ_RESERV_Y99" localSheetId="24">#REF!</definedName>
    <definedName name="_T_EQ_RESERV_Y99">#REF!</definedName>
    <definedName name="_T_EQ_RETAIN_PROF_Y00" localSheetId="5">#REF!</definedName>
    <definedName name="_T_EQ_RETAIN_PROF_Y00" localSheetId="24">#REF!</definedName>
    <definedName name="_T_EQ_RETAIN_PROF_Y00">#REF!</definedName>
    <definedName name="_T_EQ_RETAIN_PROF_Y01" localSheetId="5">#REF!</definedName>
    <definedName name="_T_EQ_RETAIN_PROF_Y01" localSheetId="24">#REF!</definedName>
    <definedName name="_T_EQ_RETAIN_PROF_Y01">#REF!</definedName>
    <definedName name="_T_EQ_RETAIN_PROF_Y02" localSheetId="5">#REF!</definedName>
    <definedName name="_T_EQ_RETAIN_PROF_Y02" localSheetId="24">#REF!</definedName>
    <definedName name="_T_EQ_RETAIN_PROF_Y02">#REF!</definedName>
    <definedName name="_T_EQ_RETAIN_PROF_Y03" localSheetId="5">#REF!</definedName>
    <definedName name="_T_EQ_RETAIN_PROF_Y03" localSheetId="24">#REF!</definedName>
    <definedName name="_T_EQ_RETAIN_PROF_Y03">#REF!</definedName>
    <definedName name="_T_EQ_RETAIN_PROF_Y04" localSheetId="5">#REF!</definedName>
    <definedName name="_T_EQ_RETAIN_PROF_Y04" localSheetId="24">#REF!</definedName>
    <definedName name="_T_EQ_RETAIN_PROF_Y04">#REF!</definedName>
    <definedName name="_T_EQ_RETAIN_PROF_Y05" localSheetId="5">#REF!</definedName>
    <definedName name="_T_EQ_RETAIN_PROF_Y05" localSheetId="24">#REF!</definedName>
    <definedName name="_T_EQ_RETAIN_PROF_Y05">#REF!</definedName>
    <definedName name="_T_EQ_RETAIN_PROF_Y06" localSheetId="5">#REF!</definedName>
    <definedName name="_T_EQ_RETAIN_PROF_Y06" localSheetId="24">#REF!</definedName>
    <definedName name="_T_EQ_RETAIN_PROF_Y06">#REF!</definedName>
    <definedName name="_T_EQ_RETAIN_PROF_Y07" localSheetId="5">#REF!</definedName>
    <definedName name="_T_EQ_RETAIN_PROF_Y07" localSheetId="24">#REF!</definedName>
    <definedName name="_T_EQ_RETAIN_PROF_Y07">#REF!</definedName>
    <definedName name="_T_EQ_RETAIN_PROF_Y08" localSheetId="5">#REF!</definedName>
    <definedName name="_T_EQ_RETAIN_PROF_Y08" localSheetId="24">#REF!</definedName>
    <definedName name="_T_EQ_RETAIN_PROF_Y08">#REF!</definedName>
    <definedName name="_T_EQ_RETAIN_PROF_Y92" localSheetId="5">#REF!</definedName>
    <definedName name="_T_EQ_RETAIN_PROF_Y92" localSheetId="24">#REF!</definedName>
    <definedName name="_T_EQ_RETAIN_PROF_Y92">#REF!</definedName>
    <definedName name="_T_EQ_RETAIN_PROF_Y93" localSheetId="5">#REF!</definedName>
    <definedName name="_T_EQ_RETAIN_PROF_Y93" localSheetId="24">#REF!</definedName>
    <definedName name="_T_EQ_RETAIN_PROF_Y93">#REF!</definedName>
    <definedName name="_T_EQ_RETAIN_PROF_Y94" localSheetId="5">#REF!</definedName>
    <definedName name="_T_EQ_RETAIN_PROF_Y94" localSheetId="24">#REF!</definedName>
    <definedName name="_T_EQ_RETAIN_PROF_Y94">#REF!</definedName>
    <definedName name="_T_EQ_RETAIN_PROF_Y95" localSheetId="5">#REF!</definedName>
    <definedName name="_T_EQ_RETAIN_PROF_Y95" localSheetId="24">#REF!</definedName>
    <definedName name="_T_EQ_RETAIN_PROF_Y95">#REF!</definedName>
    <definedName name="_T_EQ_RETAIN_PROF_Y96" localSheetId="5">#REF!</definedName>
    <definedName name="_T_EQ_RETAIN_PROF_Y96" localSheetId="24">#REF!</definedName>
    <definedName name="_T_EQ_RETAIN_PROF_Y96">#REF!</definedName>
    <definedName name="_T_EQ_RETAIN_PROF_Y97" localSheetId="5">#REF!</definedName>
    <definedName name="_T_EQ_RETAIN_PROF_Y97" localSheetId="24">#REF!</definedName>
    <definedName name="_T_EQ_RETAIN_PROF_Y97">#REF!</definedName>
    <definedName name="_T_EQ_RETAIN_PROF_Y98" localSheetId="5">#REF!</definedName>
    <definedName name="_T_EQ_RETAIN_PROF_Y98" localSheetId="24">#REF!</definedName>
    <definedName name="_T_EQ_RETAIN_PROF_Y98">#REF!</definedName>
    <definedName name="_T_EQ_RETAIN_PROF_Y99" localSheetId="5">#REF!</definedName>
    <definedName name="_T_EQ_RETAIN_PROF_Y99" localSheetId="24">#REF!</definedName>
    <definedName name="_T_EQ_RETAIN_PROF_Y99">#REF!</definedName>
    <definedName name="_T_EQ_SHARE_RESERV_Y00" localSheetId="5">#REF!</definedName>
    <definedName name="_T_EQ_SHARE_RESERV_Y00" localSheetId="24">#REF!</definedName>
    <definedName name="_T_EQ_SHARE_RESERV_Y00">#REF!</definedName>
    <definedName name="_T_EQ_SHARE_RESERV_Y01" localSheetId="5">#REF!</definedName>
    <definedName name="_T_EQ_SHARE_RESERV_Y01" localSheetId="24">#REF!</definedName>
    <definedName name="_T_EQ_SHARE_RESERV_Y01">#REF!</definedName>
    <definedName name="_T_EQ_SHARE_RESERV_Y02" localSheetId="5">#REF!</definedName>
    <definedName name="_T_EQ_SHARE_RESERV_Y02" localSheetId="24">#REF!</definedName>
    <definedName name="_T_EQ_SHARE_RESERV_Y02">#REF!</definedName>
    <definedName name="_T_EQ_SHARE_RESERV_Y03" localSheetId="5">#REF!</definedName>
    <definedName name="_T_EQ_SHARE_RESERV_Y03" localSheetId="24">#REF!</definedName>
    <definedName name="_T_EQ_SHARE_RESERV_Y03">#REF!</definedName>
    <definedName name="_T_EQ_SHARE_RESERV_Y04" localSheetId="5">#REF!</definedName>
    <definedName name="_T_EQ_SHARE_RESERV_Y04" localSheetId="24">#REF!</definedName>
    <definedName name="_T_EQ_SHARE_RESERV_Y04">#REF!</definedName>
    <definedName name="_T_EQ_SHARE_RESERV_Y05" localSheetId="5">#REF!</definedName>
    <definedName name="_T_EQ_SHARE_RESERV_Y05" localSheetId="24">#REF!</definedName>
    <definedName name="_T_EQ_SHARE_RESERV_Y05">#REF!</definedName>
    <definedName name="_T_EQ_SHARE_RESERV_Y06" localSheetId="5">#REF!</definedName>
    <definedName name="_T_EQ_SHARE_RESERV_Y06" localSheetId="24">#REF!</definedName>
    <definedName name="_T_EQ_SHARE_RESERV_Y06">#REF!</definedName>
    <definedName name="_T_EQ_SHARE_RESERV_Y07" localSheetId="5">#REF!</definedName>
    <definedName name="_T_EQ_SHARE_RESERV_Y07" localSheetId="24">#REF!</definedName>
    <definedName name="_T_EQ_SHARE_RESERV_Y07">#REF!</definedName>
    <definedName name="_T_EQ_SHARE_RESERV_Y08" localSheetId="5">#REF!</definedName>
    <definedName name="_T_EQ_SHARE_RESERV_Y08" localSheetId="24">#REF!</definedName>
    <definedName name="_T_EQ_SHARE_RESERV_Y08">#REF!</definedName>
    <definedName name="_T_EQ_SHARE_RESERV_Y92" localSheetId="5">#REF!</definedName>
    <definedName name="_T_EQ_SHARE_RESERV_Y92" localSheetId="24">#REF!</definedName>
    <definedName name="_T_EQ_SHARE_RESERV_Y92">#REF!</definedName>
    <definedName name="_T_EQ_SHARE_RESERV_Y93" localSheetId="5">#REF!</definedName>
    <definedName name="_T_EQ_SHARE_RESERV_Y93" localSheetId="24">#REF!</definedName>
    <definedName name="_T_EQ_SHARE_RESERV_Y93">#REF!</definedName>
    <definedName name="_T_EQ_SHARE_RESERV_Y94" localSheetId="5">#REF!</definedName>
    <definedName name="_T_EQ_SHARE_RESERV_Y94" localSheetId="24">#REF!</definedName>
    <definedName name="_T_EQ_SHARE_RESERV_Y94">#REF!</definedName>
    <definedName name="_T_EQ_SHARE_RESERV_Y95" localSheetId="5">#REF!</definedName>
    <definedName name="_T_EQ_SHARE_RESERV_Y95" localSheetId="24">#REF!</definedName>
    <definedName name="_T_EQ_SHARE_RESERV_Y95">#REF!</definedName>
    <definedName name="_T_EQ_SHARE_RESERV_Y96" localSheetId="5">#REF!</definedName>
    <definedName name="_T_EQ_SHARE_RESERV_Y96" localSheetId="24">#REF!</definedName>
    <definedName name="_T_EQ_SHARE_RESERV_Y96">#REF!</definedName>
    <definedName name="_T_EQ_SHARE_RESERV_Y97" localSheetId="5">#REF!</definedName>
    <definedName name="_T_EQ_SHARE_RESERV_Y97" localSheetId="24">#REF!</definedName>
    <definedName name="_T_EQ_SHARE_RESERV_Y97">#REF!</definedName>
    <definedName name="_T_EQ_SHARE_RESERV_Y98" localSheetId="5">#REF!</definedName>
    <definedName name="_T_EQ_SHARE_RESERV_Y98" localSheetId="24">#REF!</definedName>
    <definedName name="_T_EQ_SHARE_RESERV_Y98">#REF!</definedName>
    <definedName name="_T_EQ_SHARE_RESERV_Y99" localSheetId="5">#REF!</definedName>
    <definedName name="_T_EQ_SHARE_RESERV_Y99" localSheetId="24">#REF!</definedName>
    <definedName name="_T_EQ_SHARE_RESERV_Y99">#REF!</definedName>
    <definedName name="_T_EQ_SHAREHOLD_Y00" localSheetId="5">#REF!</definedName>
    <definedName name="_T_EQ_SHAREHOLD_Y00" localSheetId="24">#REF!</definedName>
    <definedName name="_T_EQ_SHAREHOLD_Y00">#REF!</definedName>
    <definedName name="_T_EQ_SHAREHOLD_Y01" localSheetId="5">#REF!</definedName>
    <definedName name="_T_EQ_SHAREHOLD_Y01" localSheetId="24">#REF!</definedName>
    <definedName name="_T_EQ_SHAREHOLD_Y01">#REF!</definedName>
    <definedName name="_T_EQ_SHAREHOLD_Y02" localSheetId="5">#REF!</definedName>
    <definedName name="_T_EQ_SHAREHOLD_Y02" localSheetId="24">#REF!</definedName>
    <definedName name="_T_EQ_SHAREHOLD_Y02">#REF!</definedName>
    <definedName name="_T_EQ_SHAREHOLD_Y03" localSheetId="5">#REF!</definedName>
    <definedName name="_T_EQ_SHAREHOLD_Y03" localSheetId="24">#REF!</definedName>
    <definedName name="_T_EQ_SHAREHOLD_Y03">#REF!</definedName>
    <definedName name="_T_EQ_SHAREHOLD_Y04" localSheetId="5">#REF!</definedName>
    <definedName name="_T_EQ_SHAREHOLD_Y04" localSheetId="24">#REF!</definedName>
    <definedName name="_T_EQ_SHAREHOLD_Y04">#REF!</definedName>
    <definedName name="_T_EQ_SHAREHOLD_Y05" localSheetId="5">#REF!</definedName>
    <definedName name="_T_EQ_SHAREHOLD_Y05" localSheetId="24">#REF!</definedName>
    <definedName name="_T_EQ_SHAREHOLD_Y05">#REF!</definedName>
    <definedName name="_T_EQ_SHAREHOLD_Y06" localSheetId="5">#REF!</definedName>
    <definedName name="_T_EQ_SHAREHOLD_Y06" localSheetId="24">#REF!</definedName>
    <definedName name="_T_EQ_SHAREHOLD_Y06">#REF!</definedName>
    <definedName name="_T_EQ_SHAREHOLD_Y07" localSheetId="5">#REF!</definedName>
    <definedName name="_T_EQ_SHAREHOLD_Y07" localSheetId="24">#REF!</definedName>
    <definedName name="_T_EQ_SHAREHOLD_Y07">#REF!</definedName>
    <definedName name="_T_EQ_SHAREHOLD_Y08" localSheetId="5">#REF!</definedName>
    <definedName name="_T_EQ_SHAREHOLD_Y08" localSheetId="24">#REF!</definedName>
    <definedName name="_T_EQ_SHAREHOLD_Y08">#REF!</definedName>
    <definedName name="_T_EQ_SHAREHOLD_Y92" localSheetId="5">#REF!</definedName>
    <definedName name="_T_EQ_SHAREHOLD_Y92" localSheetId="24">#REF!</definedName>
    <definedName name="_T_EQ_SHAREHOLD_Y92">#REF!</definedName>
    <definedName name="_T_EQ_SHAREHOLD_Y93" localSheetId="5">#REF!</definedName>
    <definedName name="_T_EQ_SHAREHOLD_Y93" localSheetId="24">#REF!</definedName>
    <definedName name="_T_EQ_SHAREHOLD_Y93">#REF!</definedName>
    <definedName name="_T_EQ_SHAREHOLD_Y94" localSheetId="5">#REF!</definedName>
    <definedName name="_T_EQ_SHAREHOLD_Y94" localSheetId="24">#REF!</definedName>
    <definedName name="_T_EQ_SHAREHOLD_Y94">#REF!</definedName>
    <definedName name="_T_EQ_SHAREHOLD_Y95" localSheetId="5">#REF!</definedName>
    <definedName name="_T_EQ_SHAREHOLD_Y95" localSheetId="24">#REF!</definedName>
    <definedName name="_T_EQ_SHAREHOLD_Y95">#REF!</definedName>
    <definedName name="_T_EQ_SHAREHOLD_Y96" localSheetId="5">#REF!</definedName>
    <definedName name="_T_EQ_SHAREHOLD_Y96" localSheetId="24">#REF!</definedName>
    <definedName name="_T_EQ_SHAREHOLD_Y96">#REF!</definedName>
    <definedName name="_T_EQ_SHAREHOLD_Y97" localSheetId="5">#REF!</definedName>
    <definedName name="_T_EQ_SHAREHOLD_Y97" localSheetId="24">#REF!</definedName>
    <definedName name="_T_EQ_SHAREHOLD_Y97">#REF!</definedName>
    <definedName name="_T_EQ_SHAREHOLD_Y98" localSheetId="5">#REF!</definedName>
    <definedName name="_T_EQ_SHAREHOLD_Y98" localSheetId="24">#REF!</definedName>
    <definedName name="_T_EQ_SHAREHOLD_Y98">#REF!</definedName>
    <definedName name="_T_EQ_SHAREHOLD_Y99" localSheetId="5">#REF!</definedName>
    <definedName name="_T_EQ_SHAREHOLD_Y99" localSheetId="24">#REF!</definedName>
    <definedName name="_T_EQ_SHAREHOLD_Y99">#REF!</definedName>
    <definedName name="_T_EQ_SUM_Y00" localSheetId="5">#REF!</definedName>
    <definedName name="_T_EQ_SUM_Y00" localSheetId="24">#REF!</definedName>
    <definedName name="_T_EQ_SUM_Y00">#REF!</definedName>
    <definedName name="_T_EQ_SUM_Y01" localSheetId="5">#REF!</definedName>
    <definedName name="_T_EQ_SUM_Y01" localSheetId="24">#REF!</definedName>
    <definedName name="_T_EQ_SUM_Y01">#REF!</definedName>
    <definedName name="_T_EQ_SUM_Y02" localSheetId="5">#REF!</definedName>
    <definedName name="_T_EQ_SUM_Y02" localSheetId="24">#REF!</definedName>
    <definedName name="_T_EQ_SUM_Y02">#REF!</definedName>
    <definedName name="_T_EQ_SUM_Y03" localSheetId="5">#REF!</definedName>
    <definedName name="_T_EQ_SUM_Y03" localSheetId="24">#REF!</definedName>
    <definedName name="_T_EQ_SUM_Y03">#REF!</definedName>
    <definedName name="_T_EQ_SUM_Y90" localSheetId="5">#REF!</definedName>
    <definedName name="_T_EQ_SUM_Y90" localSheetId="24">#REF!</definedName>
    <definedName name="_T_EQ_SUM_Y90">#REF!</definedName>
    <definedName name="_T_EQ_SUM_Y91" localSheetId="5">#REF!</definedName>
    <definedName name="_T_EQ_SUM_Y91" localSheetId="24">#REF!</definedName>
    <definedName name="_T_EQ_SUM_Y91">#REF!</definedName>
    <definedName name="_T_EQ_SUM_Y92" localSheetId="5">#REF!</definedName>
    <definedName name="_T_EQ_SUM_Y92" localSheetId="24">#REF!</definedName>
    <definedName name="_T_EQ_SUM_Y92">#REF!</definedName>
    <definedName name="_T_EQ_SUM_Y93" localSheetId="5">#REF!</definedName>
    <definedName name="_T_EQ_SUM_Y93" localSheetId="24">#REF!</definedName>
    <definedName name="_T_EQ_SUM_Y93">#REF!</definedName>
    <definedName name="_T_EQ_SUM_Y94" localSheetId="5">#REF!</definedName>
    <definedName name="_T_EQ_SUM_Y94" localSheetId="24">#REF!</definedName>
    <definedName name="_T_EQ_SUM_Y94">#REF!</definedName>
    <definedName name="_T_EQ_SUM_Y95" localSheetId="5">#REF!</definedName>
    <definedName name="_T_EQ_SUM_Y95" localSheetId="24">#REF!</definedName>
    <definedName name="_T_EQ_SUM_Y95">#REF!</definedName>
    <definedName name="_T_EQ_SUM_Y96" localSheetId="5">#REF!</definedName>
    <definedName name="_T_EQ_SUM_Y96" localSheetId="24">#REF!</definedName>
    <definedName name="_T_EQ_SUM_Y96">#REF!</definedName>
    <definedName name="_T_EQ_SUM_Y97" localSheetId="5">#REF!</definedName>
    <definedName name="_T_EQ_SUM_Y97" localSheetId="24">#REF!</definedName>
    <definedName name="_T_EQ_SUM_Y97">#REF!</definedName>
    <definedName name="_T_EQ_SUM_Y98" localSheetId="5">#REF!</definedName>
    <definedName name="_T_EQ_SUM_Y98" localSheetId="24">#REF!</definedName>
    <definedName name="_T_EQ_SUM_Y98">#REF!</definedName>
    <definedName name="_T_EQ_SUM_Y99" localSheetId="5">#REF!</definedName>
    <definedName name="_T_EQ_SUM_Y99" localSheetId="24">#REF!</definedName>
    <definedName name="_T_EQ_SUM_Y99">#REF!</definedName>
    <definedName name="_T_EQ_TOT_Y00" localSheetId="5">#REF!</definedName>
    <definedName name="_T_EQ_TOT_Y00" localSheetId="24">#REF!</definedName>
    <definedName name="_T_EQ_TOT_Y00">#REF!</definedName>
    <definedName name="_T_EQ_TOT_Y01" localSheetId="5">#REF!</definedName>
    <definedName name="_T_EQ_TOT_Y01" localSheetId="24">#REF!</definedName>
    <definedName name="_T_EQ_TOT_Y01">#REF!</definedName>
    <definedName name="_T_EQ_TOT_Y02" localSheetId="5">#REF!</definedName>
    <definedName name="_T_EQ_TOT_Y02" localSheetId="24">#REF!</definedName>
    <definedName name="_T_EQ_TOT_Y02">#REF!</definedName>
    <definedName name="_T_EQ_TOT_Y03" localSheetId="5">#REF!</definedName>
    <definedName name="_T_EQ_TOT_Y03" localSheetId="24">#REF!</definedName>
    <definedName name="_T_EQ_TOT_Y03">#REF!</definedName>
    <definedName name="_T_EQ_TOT_Y04" localSheetId="5">#REF!</definedName>
    <definedName name="_T_EQ_TOT_Y04" localSheetId="24">#REF!</definedName>
    <definedName name="_T_EQ_TOT_Y04">#REF!</definedName>
    <definedName name="_T_EQ_TOT_Y05" localSheetId="5">#REF!</definedName>
    <definedName name="_T_EQ_TOT_Y05" localSheetId="24">#REF!</definedName>
    <definedName name="_T_EQ_TOT_Y05">#REF!</definedName>
    <definedName name="_T_EQ_TOT_Y06" localSheetId="5">#REF!</definedName>
    <definedName name="_T_EQ_TOT_Y06" localSheetId="24">#REF!</definedName>
    <definedName name="_T_EQ_TOT_Y06">#REF!</definedName>
    <definedName name="_T_EQ_TOT_Y07" localSheetId="5">#REF!</definedName>
    <definedName name="_T_EQ_TOT_Y07" localSheetId="24">#REF!</definedName>
    <definedName name="_T_EQ_TOT_Y07">#REF!</definedName>
    <definedName name="_T_EQ_TOT_Y08" localSheetId="5">#REF!</definedName>
    <definedName name="_T_EQ_TOT_Y08" localSheetId="24">#REF!</definedName>
    <definedName name="_T_EQ_TOT_Y08">#REF!</definedName>
    <definedName name="_T_EQ_TOT_Y92" localSheetId="5">#REF!</definedName>
    <definedName name="_T_EQ_TOT_Y92" localSheetId="24">#REF!</definedName>
    <definedName name="_T_EQ_TOT_Y92">#REF!</definedName>
    <definedName name="_T_EQ_TOT_Y93" localSheetId="5">#REF!</definedName>
    <definedName name="_T_EQ_TOT_Y93" localSheetId="24">#REF!</definedName>
    <definedName name="_T_EQ_TOT_Y93">#REF!</definedName>
    <definedName name="_T_EQ_TOT_Y94" localSheetId="5">#REF!</definedName>
    <definedName name="_T_EQ_TOT_Y94" localSheetId="24">#REF!</definedName>
    <definedName name="_T_EQ_TOT_Y94">#REF!</definedName>
    <definedName name="_T_EQ_TOT_Y95" localSheetId="5">#REF!</definedName>
    <definedName name="_T_EQ_TOT_Y95" localSheetId="24">#REF!</definedName>
    <definedName name="_T_EQ_TOT_Y95">#REF!</definedName>
    <definedName name="_T_EQ_TOT_Y96" localSheetId="5">#REF!</definedName>
    <definedName name="_T_EQ_TOT_Y96" localSheetId="24">#REF!</definedName>
    <definedName name="_T_EQ_TOT_Y96">#REF!</definedName>
    <definedName name="_T_EQ_TOT_Y97" localSheetId="5">#REF!</definedName>
    <definedName name="_T_EQ_TOT_Y97" localSheetId="24">#REF!</definedName>
    <definedName name="_T_EQ_TOT_Y97">#REF!</definedName>
    <definedName name="_T_EQ_TOT_Y98" localSheetId="5">#REF!</definedName>
    <definedName name="_T_EQ_TOT_Y98" localSheetId="24">#REF!</definedName>
    <definedName name="_T_EQ_TOT_Y98">#REF!</definedName>
    <definedName name="_T_EQ_TOT_Y99" localSheetId="5">#REF!</definedName>
    <definedName name="_T_EQ_TOT_Y99" localSheetId="24">#REF!</definedName>
    <definedName name="_T_EQ_TOT_Y99">#REF!</definedName>
    <definedName name="_T_ESTIM_NPV" localSheetId="5">#REF!</definedName>
    <definedName name="_T_ESTIM_NPV" localSheetId="24">#REF!</definedName>
    <definedName name="_T_ESTIM_NPV">#REF!</definedName>
    <definedName name="_T_FC_BORROW_NET_Y00" localSheetId="5">#REF!</definedName>
    <definedName name="_T_FC_BORROW_NET_Y00" localSheetId="24">#REF!</definedName>
    <definedName name="_T_FC_BORROW_NET_Y00">#REF!</definedName>
    <definedName name="_T_FC_BORROW_NET_Y01" localSheetId="5">#REF!</definedName>
    <definedName name="_T_FC_BORROW_NET_Y01" localSheetId="24">#REF!</definedName>
    <definedName name="_T_FC_BORROW_NET_Y01">#REF!</definedName>
    <definedName name="_T_FC_BORROW_NET_Y02" localSheetId="5">#REF!</definedName>
    <definedName name="_T_FC_BORROW_NET_Y02" localSheetId="24">#REF!</definedName>
    <definedName name="_T_FC_BORROW_NET_Y02">#REF!</definedName>
    <definedName name="_T_FC_BORROW_NET_Y03" localSheetId="5">#REF!</definedName>
    <definedName name="_T_FC_BORROW_NET_Y03" localSheetId="24">#REF!</definedName>
    <definedName name="_T_FC_BORROW_NET_Y03">#REF!</definedName>
    <definedName name="_T_FC_BORROW_NET_Y04" localSheetId="5">#REF!</definedName>
    <definedName name="_T_FC_BORROW_NET_Y04" localSheetId="24">#REF!</definedName>
    <definedName name="_T_FC_BORROW_NET_Y04">#REF!</definedName>
    <definedName name="_T_FC_BORROW_NET_Y05" localSheetId="5">#REF!</definedName>
    <definedName name="_T_FC_BORROW_NET_Y05" localSheetId="24">#REF!</definedName>
    <definedName name="_T_FC_BORROW_NET_Y05">#REF!</definedName>
    <definedName name="_T_FC_BORROW_NET_Y06" localSheetId="5">#REF!</definedName>
    <definedName name="_T_FC_BORROW_NET_Y06" localSheetId="24">#REF!</definedName>
    <definedName name="_T_FC_BORROW_NET_Y06">#REF!</definedName>
    <definedName name="_T_FC_BORROW_NET_Y07" localSheetId="5">#REF!</definedName>
    <definedName name="_T_FC_BORROW_NET_Y07" localSheetId="24">#REF!</definedName>
    <definedName name="_T_FC_BORROW_NET_Y07">#REF!</definedName>
    <definedName name="_T_FC_BORROW_NET_Y08" localSheetId="5">#REF!</definedName>
    <definedName name="_T_FC_BORROW_NET_Y08" localSheetId="24">#REF!</definedName>
    <definedName name="_T_FC_BORROW_NET_Y08">#REF!</definedName>
    <definedName name="_T_FC_BORROW_NET_Y92" localSheetId="5">#REF!</definedName>
    <definedName name="_T_FC_BORROW_NET_Y92" localSheetId="24">#REF!</definedName>
    <definedName name="_T_FC_BORROW_NET_Y92">#REF!</definedName>
    <definedName name="_T_FC_BORROW_NET_Y93" localSheetId="5">#REF!</definedName>
    <definedName name="_T_FC_BORROW_NET_Y93" localSheetId="24">#REF!</definedName>
    <definedName name="_T_FC_BORROW_NET_Y93">#REF!</definedName>
    <definedName name="_T_FC_BORROW_NET_Y94" localSheetId="5">#REF!</definedName>
    <definedName name="_T_FC_BORROW_NET_Y94" localSheetId="24">#REF!</definedName>
    <definedName name="_T_FC_BORROW_NET_Y94">#REF!</definedName>
    <definedName name="_T_FC_BORROW_NET_Y95" localSheetId="5">#REF!</definedName>
    <definedName name="_T_FC_BORROW_NET_Y95" localSheetId="24">#REF!</definedName>
    <definedName name="_T_FC_BORROW_NET_Y95">#REF!</definedName>
    <definedName name="_T_FC_BORROW_NET_Y96" localSheetId="5">#REF!</definedName>
    <definedName name="_T_FC_BORROW_NET_Y96" localSheetId="24">#REF!</definedName>
    <definedName name="_T_FC_BORROW_NET_Y96">#REF!</definedName>
    <definedName name="_T_FC_BORROW_NET_Y97" localSheetId="5">#REF!</definedName>
    <definedName name="_T_FC_BORROW_NET_Y97" localSheetId="24">#REF!</definedName>
    <definedName name="_T_FC_BORROW_NET_Y97">#REF!</definedName>
    <definedName name="_T_FC_BORROW_NET_Y98" localSheetId="5">#REF!</definedName>
    <definedName name="_T_FC_BORROW_NET_Y98" localSheetId="24">#REF!</definedName>
    <definedName name="_T_FC_BORROW_NET_Y98">#REF!</definedName>
    <definedName name="_T_FC_BORROW_NET_Y99" localSheetId="5">#REF!</definedName>
    <definedName name="_T_FC_BORROW_NET_Y99" localSheetId="24">#REF!</definedName>
    <definedName name="_T_FC_BORROW_NET_Y99">#REF!</definedName>
    <definedName name="_T_FC_DIV_Y00" localSheetId="5">#REF!</definedName>
    <definedName name="_T_FC_DIV_Y00" localSheetId="24">#REF!</definedName>
    <definedName name="_T_FC_DIV_Y00">#REF!</definedName>
    <definedName name="_T_FC_DIV_Y01" localSheetId="5">#REF!</definedName>
    <definedName name="_T_FC_DIV_Y01" localSheetId="24">#REF!</definedName>
    <definedName name="_T_FC_DIV_Y01">#REF!</definedName>
    <definedName name="_T_FC_DIV_Y02" localSheetId="5">#REF!</definedName>
    <definedName name="_T_FC_DIV_Y02" localSheetId="24">#REF!</definedName>
    <definedName name="_T_FC_DIV_Y02">#REF!</definedName>
    <definedName name="_T_FC_DIV_Y03" localSheetId="5">#REF!</definedName>
    <definedName name="_T_FC_DIV_Y03" localSheetId="24">#REF!</definedName>
    <definedName name="_T_FC_DIV_Y03">#REF!</definedName>
    <definedName name="_T_FC_DIV_Y04" localSheetId="5">#REF!</definedName>
    <definedName name="_T_FC_DIV_Y04" localSheetId="24">#REF!</definedName>
    <definedName name="_T_FC_DIV_Y04">#REF!</definedName>
    <definedName name="_T_FC_DIV_Y05" localSheetId="5">#REF!</definedName>
    <definedName name="_T_FC_DIV_Y05" localSheetId="24">#REF!</definedName>
    <definedName name="_T_FC_DIV_Y05">#REF!</definedName>
    <definedName name="_T_FC_DIV_Y06" localSheetId="5">#REF!</definedName>
    <definedName name="_T_FC_DIV_Y06" localSheetId="24">#REF!</definedName>
    <definedName name="_T_FC_DIV_Y06">#REF!</definedName>
    <definedName name="_T_FC_DIV_Y07" localSheetId="5">#REF!</definedName>
    <definedName name="_T_FC_DIV_Y07" localSheetId="24">#REF!</definedName>
    <definedName name="_T_FC_DIV_Y07">#REF!</definedName>
    <definedName name="_T_FC_DIV_Y08" localSheetId="5">#REF!</definedName>
    <definedName name="_T_FC_DIV_Y08" localSheetId="24">#REF!</definedName>
    <definedName name="_T_FC_DIV_Y08">#REF!</definedName>
    <definedName name="_T_FC_DIV_Y92" localSheetId="5">#REF!</definedName>
    <definedName name="_T_FC_DIV_Y92" localSheetId="24">#REF!</definedName>
    <definedName name="_T_FC_DIV_Y92">#REF!</definedName>
    <definedName name="_T_FC_DIV_Y93" localSheetId="5">#REF!</definedName>
    <definedName name="_T_FC_DIV_Y93" localSheetId="24">#REF!</definedName>
    <definedName name="_T_FC_DIV_Y93">#REF!</definedName>
    <definedName name="_T_FC_DIV_Y94" localSheetId="5">#REF!</definedName>
    <definedName name="_T_FC_DIV_Y94" localSheetId="24">#REF!</definedName>
    <definedName name="_T_FC_DIV_Y94">#REF!</definedName>
    <definedName name="_T_FC_DIV_Y95" localSheetId="5">#REF!</definedName>
    <definedName name="_T_FC_DIV_Y95" localSheetId="24">#REF!</definedName>
    <definedName name="_T_FC_DIV_Y95">#REF!</definedName>
    <definedName name="_T_FC_DIV_Y96" localSheetId="5">#REF!</definedName>
    <definedName name="_T_FC_DIV_Y96" localSheetId="24">#REF!</definedName>
    <definedName name="_T_FC_DIV_Y96">#REF!</definedName>
    <definedName name="_T_FC_DIV_Y97" localSheetId="5">#REF!</definedName>
    <definedName name="_T_FC_DIV_Y97" localSheetId="24">#REF!</definedName>
    <definedName name="_T_FC_DIV_Y97">#REF!</definedName>
    <definedName name="_T_FC_DIV_Y98" localSheetId="5">#REF!</definedName>
    <definedName name="_T_FC_DIV_Y98" localSheetId="24">#REF!</definedName>
    <definedName name="_T_FC_DIV_Y98">#REF!</definedName>
    <definedName name="_T_FC_DIV_Y99" localSheetId="5">#REF!</definedName>
    <definedName name="_T_FC_DIV_Y99" localSheetId="24">#REF!</definedName>
    <definedName name="_T_FC_DIV_Y99">#REF!</definedName>
    <definedName name="_T_FC_DRP_RAISED_Y00" localSheetId="5">#REF!</definedName>
    <definedName name="_T_FC_DRP_RAISED_Y00" localSheetId="24">#REF!</definedName>
    <definedName name="_T_FC_DRP_RAISED_Y00">#REF!</definedName>
    <definedName name="_T_FC_DRP_RAISED_Y01" localSheetId="5">#REF!</definedName>
    <definedName name="_T_FC_DRP_RAISED_Y01" localSheetId="24">#REF!</definedName>
    <definedName name="_T_FC_DRP_RAISED_Y01">#REF!</definedName>
    <definedName name="_T_FC_DRP_RAISED_Y02" localSheetId="5">#REF!</definedName>
    <definedName name="_T_FC_DRP_RAISED_Y02" localSheetId="24">#REF!</definedName>
    <definedName name="_T_FC_DRP_RAISED_Y02">#REF!</definedName>
    <definedName name="_T_FC_DRP_RAISED_Y03" localSheetId="5">#REF!</definedName>
    <definedName name="_T_FC_DRP_RAISED_Y03" localSheetId="24">#REF!</definedName>
    <definedName name="_T_FC_DRP_RAISED_Y03">#REF!</definedName>
    <definedName name="_T_FC_DRP_RAISED_Y90" localSheetId="5">#REF!</definedName>
    <definedName name="_T_FC_DRP_RAISED_Y90" localSheetId="24">#REF!</definedName>
    <definedName name="_T_FC_DRP_RAISED_Y90">#REF!</definedName>
    <definedName name="_T_FC_DRP_RAISED_Y91" localSheetId="5">#REF!</definedName>
    <definedName name="_T_FC_DRP_RAISED_Y91" localSheetId="24">#REF!</definedName>
    <definedName name="_T_FC_DRP_RAISED_Y91">#REF!</definedName>
    <definedName name="_T_FC_DRP_RAISED_Y92" localSheetId="5">#REF!</definedName>
    <definedName name="_T_FC_DRP_RAISED_Y92" localSheetId="24">#REF!</definedName>
    <definedName name="_T_FC_DRP_RAISED_Y92">#REF!</definedName>
    <definedName name="_T_FC_DRP_RAISED_Y93" localSheetId="5">#REF!</definedName>
    <definedName name="_T_FC_DRP_RAISED_Y93" localSheetId="24">#REF!</definedName>
    <definedName name="_T_FC_DRP_RAISED_Y93">#REF!</definedName>
    <definedName name="_T_FC_DRP_RAISED_Y94" localSheetId="5">#REF!</definedName>
    <definedName name="_T_FC_DRP_RAISED_Y94" localSheetId="24">#REF!</definedName>
    <definedName name="_T_FC_DRP_RAISED_Y94">#REF!</definedName>
    <definedName name="_T_FC_DRP_RAISED_Y95" localSheetId="5">#REF!</definedName>
    <definedName name="_T_FC_DRP_RAISED_Y95" localSheetId="24">#REF!</definedName>
    <definedName name="_T_FC_DRP_RAISED_Y95">#REF!</definedName>
    <definedName name="_T_FC_DRP_RAISED_Y96" localSheetId="5">#REF!</definedName>
    <definedName name="_T_FC_DRP_RAISED_Y96" localSheetId="24">#REF!</definedName>
    <definedName name="_T_FC_DRP_RAISED_Y96">#REF!</definedName>
    <definedName name="_T_FC_DRP_RAISED_Y97" localSheetId="5">#REF!</definedName>
    <definedName name="_T_FC_DRP_RAISED_Y97" localSheetId="24">#REF!</definedName>
    <definedName name="_T_FC_DRP_RAISED_Y97">#REF!</definedName>
    <definedName name="_T_FC_DRP_RAISED_Y98" localSheetId="5">#REF!</definedName>
    <definedName name="_T_FC_DRP_RAISED_Y98" localSheetId="24">#REF!</definedName>
    <definedName name="_T_FC_DRP_RAISED_Y98">#REF!</definedName>
    <definedName name="_T_FC_DRP_RAISED_Y99" localSheetId="5">#REF!</definedName>
    <definedName name="_T_FC_DRP_RAISED_Y99" localSheetId="24">#REF!</definedName>
    <definedName name="_T_FC_DRP_RAISED_Y99">#REF!</definedName>
    <definedName name="_T_FC_EQ_RAISED_Y00" localSheetId="5">#REF!</definedName>
    <definedName name="_T_FC_EQ_RAISED_Y00" localSheetId="24">#REF!</definedName>
    <definedName name="_T_FC_EQ_RAISED_Y00">#REF!</definedName>
    <definedName name="_T_FC_EQ_RAISED_Y01" localSheetId="5">#REF!</definedName>
    <definedName name="_T_FC_EQ_RAISED_Y01" localSheetId="24">#REF!</definedName>
    <definedName name="_T_FC_EQ_RAISED_Y01">#REF!</definedName>
    <definedName name="_T_FC_EQ_RAISED_Y02" localSheetId="5">#REF!</definedName>
    <definedName name="_T_FC_EQ_RAISED_Y02" localSheetId="24">#REF!</definedName>
    <definedName name="_T_FC_EQ_RAISED_Y02">#REF!</definedName>
    <definedName name="_T_FC_EQ_RAISED_Y03" localSheetId="5">#REF!</definedName>
    <definedName name="_T_FC_EQ_RAISED_Y03" localSheetId="24">#REF!</definedName>
    <definedName name="_T_FC_EQ_RAISED_Y03">#REF!</definedName>
    <definedName name="_T_FC_EQ_RAISED_Y04" localSheetId="5">#REF!</definedName>
    <definedName name="_T_FC_EQ_RAISED_Y04" localSheetId="24">#REF!</definedName>
    <definedName name="_T_FC_EQ_RAISED_Y04">#REF!</definedName>
    <definedName name="_T_FC_EQ_RAISED_Y05" localSheetId="5">#REF!</definedName>
    <definedName name="_T_FC_EQ_RAISED_Y05" localSheetId="24">#REF!</definedName>
    <definedName name="_T_FC_EQ_RAISED_Y05">#REF!</definedName>
    <definedName name="_T_FC_EQ_RAISED_Y06" localSheetId="5">#REF!</definedName>
    <definedName name="_T_FC_EQ_RAISED_Y06" localSheetId="24">#REF!</definedName>
    <definedName name="_T_FC_EQ_RAISED_Y06">#REF!</definedName>
    <definedName name="_T_FC_EQ_RAISED_Y07" localSheetId="5">#REF!</definedName>
    <definedName name="_T_FC_EQ_RAISED_Y07" localSheetId="24">#REF!</definedName>
    <definedName name="_T_FC_EQ_RAISED_Y07">#REF!</definedName>
    <definedName name="_T_FC_EQ_RAISED_Y08" localSheetId="5">#REF!</definedName>
    <definedName name="_T_FC_EQ_RAISED_Y08" localSheetId="24">#REF!</definedName>
    <definedName name="_T_FC_EQ_RAISED_Y08">#REF!</definedName>
    <definedName name="_T_FC_EQ_RAISED_Y92" localSheetId="5">#REF!</definedName>
    <definedName name="_T_FC_EQ_RAISED_Y92" localSheetId="24">#REF!</definedName>
    <definedName name="_T_FC_EQ_RAISED_Y92">#REF!</definedName>
    <definedName name="_T_FC_EQ_RAISED_Y93" localSheetId="5">#REF!</definedName>
    <definedName name="_T_FC_EQ_RAISED_Y93" localSheetId="24">#REF!</definedName>
    <definedName name="_T_FC_EQ_RAISED_Y93">#REF!</definedName>
    <definedName name="_T_FC_EQ_RAISED_Y94" localSheetId="5">#REF!</definedName>
    <definedName name="_T_FC_EQ_RAISED_Y94" localSheetId="24">#REF!</definedName>
    <definedName name="_T_FC_EQ_RAISED_Y94">#REF!</definedName>
    <definedName name="_T_FC_EQ_RAISED_Y95" localSheetId="5">#REF!</definedName>
    <definedName name="_T_FC_EQ_RAISED_Y95" localSheetId="24">#REF!</definedName>
    <definedName name="_T_FC_EQ_RAISED_Y95">#REF!</definedName>
    <definedName name="_T_FC_EQ_RAISED_Y96" localSheetId="5">#REF!</definedName>
    <definedName name="_T_FC_EQ_RAISED_Y96" localSheetId="24">#REF!</definedName>
    <definedName name="_T_FC_EQ_RAISED_Y96">#REF!</definedName>
    <definedName name="_T_FC_EQ_RAISED_Y97" localSheetId="5">#REF!</definedName>
    <definedName name="_T_FC_EQ_RAISED_Y97" localSheetId="24">#REF!</definedName>
    <definedName name="_T_FC_EQ_RAISED_Y97">#REF!</definedName>
    <definedName name="_T_FC_EQ_RAISED_Y98" localSheetId="5">#REF!</definedName>
    <definedName name="_T_FC_EQ_RAISED_Y98" localSheetId="24">#REF!</definedName>
    <definedName name="_T_FC_EQ_RAISED_Y98">#REF!</definedName>
    <definedName name="_T_FC_EQ_RAISED_Y99" localSheetId="5">#REF!</definedName>
    <definedName name="_T_FC_EQ_RAISED_Y99" localSheetId="24">#REF!</definedName>
    <definedName name="_T_FC_EQ_RAISED_Y99">#REF!</definedName>
    <definedName name="_T_FC_LF_COSTS_Y00" localSheetId="5">#REF!</definedName>
    <definedName name="_T_FC_LF_COSTS_Y00" localSheetId="24">#REF!</definedName>
    <definedName name="_T_FC_LF_COSTS_Y00">#REF!</definedName>
    <definedName name="_T_FC_LF_COSTS_Y01" localSheetId="5">#REF!</definedName>
    <definedName name="_T_FC_LF_COSTS_Y01" localSheetId="24">#REF!</definedName>
    <definedName name="_T_FC_LF_COSTS_Y01">#REF!</definedName>
    <definedName name="_T_FC_LF_COSTS_Y02" localSheetId="5">#REF!</definedName>
    <definedName name="_T_FC_LF_COSTS_Y02" localSheetId="24">#REF!</definedName>
    <definedName name="_T_FC_LF_COSTS_Y02">#REF!</definedName>
    <definedName name="_T_FC_LF_COSTS_Y03" localSheetId="5">#REF!</definedName>
    <definedName name="_T_FC_LF_COSTS_Y03" localSheetId="24">#REF!</definedName>
    <definedName name="_T_FC_LF_COSTS_Y03">#REF!</definedName>
    <definedName name="_T_FC_LF_COSTS_Y90" localSheetId="5">#REF!</definedName>
    <definedName name="_T_FC_LF_COSTS_Y90" localSheetId="24">#REF!</definedName>
    <definedName name="_T_FC_LF_COSTS_Y90">#REF!</definedName>
    <definedName name="_T_FC_LF_COSTS_Y91" localSheetId="5">#REF!</definedName>
    <definedName name="_T_FC_LF_COSTS_Y91" localSheetId="24">#REF!</definedName>
    <definedName name="_T_FC_LF_COSTS_Y91">#REF!</definedName>
    <definedName name="_T_FC_LF_COSTS_Y92" localSheetId="5">#REF!</definedName>
    <definedName name="_T_FC_LF_COSTS_Y92" localSheetId="24">#REF!</definedName>
    <definedName name="_T_FC_LF_COSTS_Y92">#REF!</definedName>
    <definedName name="_T_FC_LF_COSTS_Y93" localSheetId="5">#REF!</definedName>
    <definedName name="_T_FC_LF_COSTS_Y93" localSheetId="24">#REF!</definedName>
    <definedName name="_T_FC_LF_COSTS_Y93">#REF!</definedName>
    <definedName name="_T_FC_LF_COSTS_Y94" localSheetId="5">#REF!</definedName>
    <definedName name="_T_FC_LF_COSTS_Y94" localSheetId="24">#REF!</definedName>
    <definedName name="_T_FC_LF_COSTS_Y94">#REF!</definedName>
    <definedName name="_T_FC_LF_COSTS_Y95" localSheetId="5">#REF!</definedName>
    <definedName name="_T_FC_LF_COSTS_Y95" localSheetId="24">#REF!</definedName>
    <definedName name="_T_FC_LF_COSTS_Y95">#REF!</definedName>
    <definedName name="_T_FC_LF_COSTS_Y96" localSheetId="5">#REF!</definedName>
    <definedName name="_T_FC_LF_COSTS_Y96" localSheetId="24">#REF!</definedName>
    <definedName name="_T_FC_LF_COSTS_Y96">#REF!</definedName>
    <definedName name="_T_FC_LF_COSTS_Y97" localSheetId="5">#REF!</definedName>
    <definedName name="_T_FC_LF_COSTS_Y97" localSheetId="24">#REF!</definedName>
    <definedName name="_T_FC_LF_COSTS_Y97">#REF!</definedName>
    <definedName name="_T_FC_LF_COSTS_Y98" localSheetId="5">#REF!</definedName>
    <definedName name="_T_FC_LF_COSTS_Y98" localSheetId="24">#REF!</definedName>
    <definedName name="_T_FC_LF_COSTS_Y98">#REF!</definedName>
    <definedName name="_T_FC_LF_COSTS_Y99" localSheetId="5">#REF!</definedName>
    <definedName name="_T_FC_LF_COSTS_Y99" localSheetId="24">#REF!</definedName>
    <definedName name="_T_FC_LF_COSTS_Y99">#REF!</definedName>
    <definedName name="_T_FC_OEI_Y00" localSheetId="5">#REF!</definedName>
    <definedName name="_T_FC_OEI_Y00" localSheetId="24">#REF!</definedName>
    <definedName name="_T_FC_OEI_Y00">#REF!</definedName>
    <definedName name="_T_FC_OEI_Y01" localSheetId="5">#REF!</definedName>
    <definedName name="_T_FC_OEI_Y01" localSheetId="24">#REF!</definedName>
    <definedName name="_T_FC_OEI_Y01">#REF!</definedName>
    <definedName name="_T_FC_OEI_Y02" localSheetId="5">#REF!</definedName>
    <definedName name="_T_FC_OEI_Y02" localSheetId="24">#REF!</definedName>
    <definedName name="_T_FC_OEI_Y02">#REF!</definedName>
    <definedName name="_T_FC_OEI_Y03" localSheetId="5">#REF!</definedName>
    <definedName name="_T_FC_OEI_Y03" localSheetId="24">#REF!</definedName>
    <definedName name="_T_FC_OEI_Y03">#REF!</definedName>
    <definedName name="_T_FC_OEI_Y90" localSheetId="5">#REF!</definedName>
    <definedName name="_T_FC_OEI_Y90" localSheetId="24">#REF!</definedName>
    <definedName name="_T_FC_OEI_Y90">#REF!</definedName>
    <definedName name="_T_FC_OEI_Y91" localSheetId="5">#REF!</definedName>
    <definedName name="_T_FC_OEI_Y91" localSheetId="24">#REF!</definedName>
    <definedName name="_T_FC_OEI_Y91">#REF!</definedName>
    <definedName name="_T_FC_OEI_Y92" localSheetId="5">#REF!</definedName>
    <definedName name="_T_FC_OEI_Y92" localSheetId="24">#REF!</definedName>
    <definedName name="_T_FC_OEI_Y92">#REF!</definedName>
    <definedName name="_T_FC_OEI_Y93" localSheetId="5">#REF!</definedName>
    <definedName name="_T_FC_OEI_Y93" localSheetId="24">#REF!</definedName>
    <definedName name="_T_FC_OEI_Y93">#REF!</definedName>
    <definedName name="_T_FC_OEI_Y94" localSheetId="5">#REF!</definedName>
    <definedName name="_T_FC_OEI_Y94" localSheetId="24">#REF!</definedName>
    <definedName name="_T_FC_OEI_Y94">#REF!</definedName>
    <definedName name="_T_FC_OEI_Y95" localSheetId="5">#REF!</definedName>
    <definedName name="_T_FC_OEI_Y95" localSheetId="24">#REF!</definedName>
    <definedName name="_T_FC_OEI_Y95">#REF!</definedName>
    <definedName name="_T_FC_OEI_Y96" localSheetId="5">#REF!</definedName>
    <definedName name="_T_FC_OEI_Y96" localSheetId="24">#REF!</definedName>
    <definedName name="_T_FC_OEI_Y96">#REF!</definedName>
    <definedName name="_T_FC_OEI_Y97" localSheetId="5">#REF!</definedName>
    <definedName name="_T_FC_OEI_Y97" localSheetId="24">#REF!</definedName>
    <definedName name="_T_FC_OEI_Y97">#REF!</definedName>
    <definedName name="_T_FC_OEI_Y98" localSheetId="5">#REF!</definedName>
    <definedName name="_T_FC_OEI_Y98" localSheetId="24">#REF!</definedName>
    <definedName name="_T_FC_OEI_Y98">#REF!</definedName>
    <definedName name="_T_FC_OEI_Y99" localSheetId="5">#REF!</definedName>
    <definedName name="_T_FC_OEI_Y99" localSheetId="24">#REF!</definedName>
    <definedName name="_T_FC_OEI_Y99">#REF!</definedName>
    <definedName name="_T_FC_OTHER_Y00" localSheetId="5">#REF!</definedName>
    <definedName name="_T_FC_OTHER_Y00" localSheetId="24">#REF!</definedName>
    <definedName name="_T_FC_OTHER_Y00">#REF!</definedName>
    <definedName name="_T_FC_OTHER_Y01" localSheetId="5">#REF!</definedName>
    <definedName name="_T_FC_OTHER_Y01" localSheetId="24">#REF!</definedName>
    <definedName name="_T_FC_OTHER_Y01">#REF!</definedName>
    <definedName name="_T_FC_OTHER_Y02" localSheetId="5">#REF!</definedName>
    <definedName name="_T_FC_OTHER_Y02" localSheetId="24">#REF!</definedName>
    <definedName name="_T_FC_OTHER_Y02">#REF!</definedName>
    <definedName name="_T_FC_OTHER_Y03" localSheetId="5">#REF!</definedName>
    <definedName name="_T_FC_OTHER_Y03" localSheetId="24">#REF!</definedName>
    <definedName name="_T_FC_OTHER_Y03">#REF!</definedName>
    <definedName name="_T_FC_OTHER_Y04" localSheetId="5">#REF!</definedName>
    <definedName name="_T_FC_OTHER_Y04" localSheetId="24">#REF!</definedName>
    <definedName name="_T_FC_OTHER_Y04">#REF!</definedName>
    <definedName name="_T_FC_OTHER_Y05" localSheetId="5">#REF!</definedName>
    <definedName name="_T_FC_OTHER_Y05" localSheetId="24">#REF!</definedName>
    <definedName name="_T_FC_OTHER_Y05">#REF!</definedName>
    <definedName name="_T_FC_OTHER_Y06" localSheetId="5">#REF!</definedName>
    <definedName name="_T_FC_OTHER_Y06" localSheetId="24">#REF!</definedName>
    <definedName name="_T_FC_OTHER_Y06">#REF!</definedName>
    <definedName name="_T_FC_OTHER_Y07" localSheetId="5">#REF!</definedName>
    <definedName name="_T_FC_OTHER_Y07" localSheetId="24">#REF!</definedName>
    <definedName name="_T_FC_OTHER_Y07">#REF!</definedName>
    <definedName name="_T_FC_OTHER_Y08" localSheetId="5">#REF!</definedName>
    <definedName name="_T_FC_OTHER_Y08" localSheetId="24">#REF!</definedName>
    <definedName name="_T_FC_OTHER_Y08">#REF!</definedName>
    <definedName name="_T_FC_OTHER_Y92" localSheetId="5">#REF!</definedName>
    <definedName name="_T_FC_OTHER_Y92" localSheetId="24">#REF!</definedName>
    <definedName name="_T_FC_OTHER_Y92">#REF!</definedName>
    <definedName name="_T_FC_OTHER_Y93" localSheetId="5">#REF!</definedName>
    <definedName name="_T_FC_OTHER_Y93" localSheetId="24">#REF!</definedName>
    <definedName name="_T_FC_OTHER_Y93">#REF!</definedName>
    <definedName name="_T_FC_OTHER_Y94" localSheetId="5">#REF!</definedName>
    <definedName name="_T_FC_OTHER_Y94" localSheetId="24">#REF!</definedName>
    <definedName name="_T_FC_OTHER_Y94">#REF!</definedName>
    <definedName name="_T_FC_OTHER_Y95" localSheetId="5">#REF!</definedName>
    <definedName name="_T_FC_OTHER_Y95" localSheetId="24">#REF!</definedName>
    <definedName name="_T_FC_OTHER_Y95">#REF!</definedName>
    <definedName name="_T_FC_OTHER_Y96" localSheetId="5">#REF!</definedName>
    <definedName name="_T_FC_OTHER_Y96" localSheetId="24">#REF!</definedName>
    <definedName name="_T_FC_OTHER_Y96">#REF!</definedName>
    <definedName name="_T_FC_OTHER_Y97" localSheetId="5">#REF!</definedName>
    <definedName name="_T_FC_OTHER_Y97" localSheetId="24">#REF!</definedName>
    <definedName name="_T_FC_OTHER_Y97">#REF!</definedName>
    <definedName name="_T_FC_OTHER_Y98" localSheetId="5">#REF!</definedName>
    <definedName name="_T_FC_OTHER_Y98" localSheetId="24">#REF!</definedName>
    <definedName name="_T_FC_OTHER_Y98">#REF!</definedName>
    <definedName name="_T_FC_OTHER_Y99" localSheetId="5">#REF!</definedName>
    <definedName name="_T_FC_OTHER_Y99" localSheetId="24">#REF!</definedName>
    <definedName name="_T_FC_OTHER_Y99">#REF!</definedName>
    <definedName name="_T_FC_SUM_Y00" localSheetId="5">#REF!</definedName>
    <definedName name="_T_FC_SUM_Y00" localSheetId="24">#REF!</definedName>
    <definedName name="_T_FC_SUM_Y00">#REF!</definedName>
    <definedName name="_T_FC_SUM_Y01" localSheetId="5">#REF!</definedName>
    <definedName name="_T_FC_SUM_Y01" localSheetId="24">#REF!</definedName>
    <definedName name="_T_FC_SUM_Y01">#REF!</definedName>
    <definedName name="_T_FC_SUM_Y02" localSheetId="5">#REF!</definedName>
    <definedName name="_T_FC_SUM_Y02" localSheetId="24">#REF!</definedName>
    <definedName name="_T_FC_SUM_Y02">#REF!</definedName>
    <definedName name="_T_FC_SUM_Y03" localSheetId="5">#REF!</definedName>
    <definedName name="_T_FC_SUM_Y03" localSheetId="24">#REF!</definedName>
    <definedName name="_T_FC_SUM_Y03">#REF!</definedName>
    <definedName name="_T_FC_SUM_Y90" localSheetId="5">#REF!</definedName>
    <definedName name="_T_FC_SUM_Y90" localSheetId="24">#REF!</definedName>
    <definedName name="_T_FC_SUM_Y90">#REF!</definedName>
    <definedName name="_T_FC_SUM_Y91" localSheetId="5">#REF!</definedName>
    <definedName name="_T_FC_SUM_Y91" localSheetId="24">#REF!</definedName>
    <definedName name="_T_FC_SUM_Y91">#REF!</definedName>
    <definedName name="_T_FC_SUM_Y92" localSheetId="5">#REF!</definedName>
    <definedName name="_T_FC_SUM_Y92" localSheetId="24">#REF!</definedName>
    <definedName name="_T_FC_SUM_Y92">#REF!</definedName>
    <definedName name="_T_FC_SUM_Y93" localSheetId="5">#REF!</definedName>
    <definedName name="_T_FC_SUM_Y93" localSheetId="24">#REF!</definedName>
    <definedName name="_T_FC_SUM_Y93">#REF!</definedName>
    <definedName name="_T_FC_SUM_Y94" localSheetId="5">#REF!</definedName>
    <definedName name="_T_FC_SUM_Y94" localSheetId="24">#REF!</definedName>
    <definedName name="_T_FC_SUM_Y94">#REF!</definedName>
    <definedName name="_T_FC_SUM_Y95" localSheetId="5">#REF!</definedName>
    <definedName name="_T_FC_SUM_Y95" localSheetId="24">#REF!</definedName>
    <definedName name="_T_FC_SUM_Y95">#REF!</definedName>
    <definedName name="_T_FC_SUM_Y96" localSheetId="5">#REF!</definedName>
    <definedName name="_T_FC_SUM_Y96" localSheetId="24">#REF!</definedName>
    <definedName name="_T_FC_SUM_Y96">#REF!</definedName>
    <definedName name="_T_FC_SUM_Y97" localSheetId="5">#REF!</definedName>
    <definedName name="_T_FC_SUM_Y97" localSheetId="24">#REF!</definedName>
    <definedName name="_T_FC_SUM_Y97">#REF!</definedName>
    <definedName name="_T_FC_SUM_Y98" localSheetId="5">#REF!</definedName>
    <definedName name="_T_FC_SUM_Y98" localSheetId="24">#REF!</definedName>
    <definedName name="_T_FC_SUM_Y98">#REF!</definedName>
    <definedName name="_T_FC_SUM_Y99" localSheetId="5">#REF!</definedName>
    <definedName name="_T_FC_SUM_Y99" localSheetId="24">#REF!</definedName>
    <definedName name="_T_FC_SUM_Y99">#REF!</definedName>
    <definedName name="_T_FYE_DATE" localSheetId="5">#REF!</definedName>
    <definedName name="_T_FYE_DATE" localSheetId="24">#REF!</definedName>
    <definedName name="_T_FYE_DATE">#REF!</definedName>
    <definedName name="_T_IC_ACQ_Y00" localSheetId="5">#REF!</definedName>
    <definedName name="_T_IC_ACQ_Y00" localSheetId="24">#REF!</definedName>
    <definedName name="_T_IC_ACQ_Y00">#REF!</definedName>
    <definedName name="_T_IC_ACQ_Y01" localSheetId="5">#REF!</definedName>
    <definedName name="_T_IC_ACQ_Y01" localSheetId="24">#REF!</definedName>
    <definedName name="_T_IC_ACQ_Y01">#REF!</definedName>
    <definedName name="_T_IC_ACQ_Y02" localSheetId="5">#REF!</definedName>
    <definedName name="_T_IC_ACQ_Y02" localSheetId="24">#REF!</definedName>
    <definedName name="_T_IC_ACQ_Y02">#REF!</definedName>
    <definedName name="_T_IC_ACQ_Y03" localSheetId="5">#REF!</definedName>
    <definedName name="_T_IC_ACQ_Y03" localSheetId="24">#REF!</definedName>
    <definedName name="_T_IC_ACQ_Y03">#REF!</definedName>
    <definedName name="_T_IC_ACQ_Y04" localSheetId="5">#REF!</definedName>
    <definedName name="_T_IC_ACQ_Y04" localSheetId="24">#REF!</definedName>
    <definedName name="_T_IC_ACQ_Y04">#REF!</definedName>
    <definedName name="_T_IC_ACQ_Y05" localSheetId="5">#REF!</definedName>
    <definedName name="_T_IC_ACQ_Y05" localSheetId="24">#REF!</definedName>
    <definedName name="_T_IC_ACQ_Y05">#REF!</definedName>
    <definedName name="_T_IC_ACQ_Y06" localSheetId="5">#REF!</definedName>
    <definedName name="_T_IC_ACQ_Y06" localSheetId="24">#REF!</definedName>
    <definedName name="_T_IC_ACQ_Y06">#REF!</definedName>
    <definedName name="_T_IC_ACQ_Y07" localSheetId="5">#REF!</definedName>
    <definedName name="_T_IC_ACQ_Y07" localSheetId="24">#REF!</definedName>
    <definedName name="_T_IC_ACQ_Y07">#REF!</definedName>
    <definedName name="_T_IC_ACQ_Y08" localSheetId="5">#REF!</definedName>
    <definedName name="_T_IC_ACQ_Y08" localSheetId="24">#REF!</definedName>
    <definedName name="_T_IC_ACQ_Y08">#REF!</definedName>
    <definedName name="_T_IC_ACQ_Y92" localSheetId="5">#REF!</definedName>
    <definedName name="_T_IC_ACQ_Y92" localSheetId="24">#REF!</definedName>
    <definedName name="_T_IC_ACQ_Y92">#REF!</definedName>
    <definedName name="_T_IC_ACQ_Y93" localSheetId="5">#REF!</definedName>
    <definedName name="_T_IC_ACQ_Y93" localSheetId="24">#REF!</definedName>
    <definedName name="_T_IC_ACQ_Y93">#REF!</definedName>
    <definedName name="_T_IC_ACQ_Y94" localSheetId="5">#REF!</definedName>
    <definedName name="_T_IC_ACQ_Y94" localSheetId="24">#REF!</definedName>
    <definedName name="_T_IC_ACQ_Y94">#REF!</definedName>
    <definedName name="_T_IC_ACQ_Y95" localSheetId="5">#REF!</definedName>
    <definedName name="_T_IC_ACQ_Y95" localSheetId="24">#REF!</definedName>
    <definedName name="_T_IC_ACQ_Y95">#REF!</definedName>
    <definedName name="_T_IC_ACQ_Y96" localSheetId="5">#REF!</definedName>
    <definedName name="_T_IC_ACQ_Y96" localSheetId="24">#REF!</definedName>
    <definedName name="_T_IC_ACQ_Y96">#REF!</definedName>
    <definedName name="_T_IC_ACQ_Y97" localSheetId="5">#REF!</definedName>
    <definedName name="_T_IC_ACQ_Y97" localSheetId="24">#REF!</definedName>
    <definedName name="_T_IC_ACQ_Y97">#REF!</definedName>
    <definedName name="_T_IC_ACQ_Y98" localSheetId="5">#REF!</definedName>
    <definedName name="_T_IC_ACQ_Y98" localSheetId="24">#REF!</definedName>
    <definedName name="_T_IC_ACQ_Y98">#REF!</definedName>
    <definedName name="_T_IC_ACQ_Y99" localSheetId="5">#REF!</definedName>
    <definedName name="_T_IC_ACQ_Y99" localSheetId="24">#REF!</definedName>
    <definedName name="_T_IC_ACQ_Y99">#REF!</definedName>
    <definedName name="_T_IC_CAPEX_Y00" localSheetId="5">#REF!</definedName>
    <definedName name="_T_IC_CAPEX_Y00" localSheetId="24">#REF!</definedName>
    <definedName name="_T_IC_CAPEX_Y00">#REF!</definedName>
    <definedName name="_T_IC_CAPEX_Y01" localSheetId="5">#REF!</definedName>
    <definedName name="_T_IC_CAPEX_Y01" localSheetId="24">#REF!</definedName>
    <definedName name="_T_IC_CAPEX_Y01">#REF!</definedName>
    <definedName name="_T_IC_CAPEX_Y02" localSheetId="5">#REF!</definedName>
    <definedName name="_T_IC_CAPEX_Y02" localSheetId="24">#REF!</definedName>
    <definedName name="_T_IC_CAPEX_Y02">#REF!</definedName>
    <definedName name="_T_IC_CAPEX_Y03" localSheetId="5">#REF!</definedName>
    <definedName name="_T_IC_CAPEX_Y03" localSheetId="24">#REF!</definedName>
    <definedName name="_T_IC_CAPEX_Y03">#REF!</definedName>
    <definedName name="_T_IC_CAPEX_Y90" localSheetId="5">#REF!</definedName>
    <definedName name="_T_IC_CAPEX_Y90" localSheetId="24">#REF!</definedName>
    <definedName name="_T_IC_CAPEX_Y90">#REF!</definedName>
    <definedName name="_T_IC_CAPEX_Y91" localSheetId="5">#REF!</definedName>
    <definedName name="_T_IC_CAPEX_Y91" localSheetId="24">#REF!</definedName>
    <definedName name="_T_IC_CAPEX_Y91">#REF!</definedName>
    <definedName name="_T_IC_CAPEX_Y92" localSheetId="5">#REF!</definedName>
    <definedName name="_T_IC_CAPEX_Y92" localSheetId="24">#REF!</definedName>
    <definedName name="_T_IC_CAPEX_Y92">#REF!</definedName>
    <definedName name="_T_IC_CAPEX_Y93" localSheetId="5">#REF!</definedName>
    <definedName name="_T_IC_CAPEX_Y93" localSheetId="24">#REF!</definedName>
    <definedName name="_T_IC_CAPEX_Y93">#REF!</definedName>
    <definedName name="_T_IC_CAPEX_Y94" localSheetId="5">#REF!</definedName>
    <definedName name="_T_IC_CAPEX_Y94" localSheetId="24">#REF!</definedName>
    <definedName name="_T_IC_CAPEX_Y94">#REF!</definedName>
    <definedName name="_T_IC_CAPEX_Y95" localSheetId="5">#REF!</definedName>
    <definedName name="_T_IC_CAPEX_Y95" localSheetId="24">#REF!</definedName>
    <definedName name="_T_IC_CAPEX_Y95">#REF!</definedName>
    <definedName name="_T_IC_CAPEX_Y96" localSheetId="5">#REF!</definedName>
    <definedName name="_T_IC_CAPEX_Y96" localSheetId="24">#REF!</definedName>
    <definedName name="_T_IC_CAPEX_Y96">#REF!</definedName>
    <definedName name="_T_IC_CAPEX_Y97" localSheetId="5">#REF!</definedName>
    <definedName name="_T_IC_CAPEX_Y97" localSheetId="24">#REF!</definedName>
    <definedName name="_T_IC_CAPEX_Y97">#REF!</definedName>
    <definedName name="_T_IC_CAPEX_Y98" localSheetId="5">#REF!</definedName>
    <definedName name="_T_IC_CAPEX_Y98" localSheetId="24">#REF!</definedName>
    <definedName name="_T_IC_CAPEX_Y98">#REF!</definedName>
    <definedName name="_T_IC_CAPEX_Y99" localSheetId="5">#REF!</definedName>
    <definedName name="_T_IC_CAPEX_Y99" localSheetId="24">#REF!</definedName>
    <definedName name="_T_IC_CAPEX_Y99">#REF!</definedName>
    <definedName name="_T_IC_DISP_Y00" localSheetId="5">#REF!</definedName>
    <definedName name="_T_IC_DISP_Y00" localSheetId="24">#REF!</definedName>
    <definedName name="_T_IC_DISP_Y00">#REF!</definedName>
    <definedName name="_T_IC_DISP_Y01" localSheetId="5">#REF!</definedName>
    <definedName name="_T_IC_DISP_Y01" localSheetId="24">#REF!</definedName>
    <definedName name="_T_IC_DISP_Y01">#REF!</definedName>
    <definedName name="_T_IC_DISP_Y02" localSheetId="5">#REF!</definedName>
    <definedName name="_T_IC_DISP_Y02" localSheetId="24">#REF!</definedName>
    <definedName name="_T_IC_DISP_Y02">#REF!</definedName>
    <definedName name="_T_IC_DISP_Y03" localSheetId="5">#REF!</definedName>
    <definedName name="_T_IC_DISP_Y03" localSheetId="24">#REF!</definedName>
    <definedName name="_T_IC_DISP_Y03">#REF!</definedName>
    <definedName name="_T_IC_DISP_Y04" localSheetId="5">#REF!</definedName>
    <definedName name="_T_IC_DISP_Y04" localSheetId="24">#REF!</definedName>
    <definedName name="_T_IC_DISP_Y04">#REF!</definedName>
    <definedName name="_T_IC_DISP_Y05" localSheetId="5">#REF!</definedName>
    <definedName name="_T_IC_DISP_Y05" localSheetId="24">#REF!</definedName>
    <definedName name="_T_IC_DISP_Y05">#REF!</definedName>
    <definedName name="_T_IC_DISP_Y06" localSheetId="5">#REF!</definedName>
    <definedName name="_T_IC_DISP_Y06" localSheetId="24">#REF!</definedName>
    <definedName name="_T_IC_DISP_Y06">#REF!</definedName>
    <definedName name="_T_IC_DISP_Y07" localSheetId="5">#REF!</definedName>
    <definedName name="_T_IC_DISP_Y07" localSheetId="24">#REF!</definedName>
    <definedName name="_T_IC_DISP_Y07">#REF!</definedName>
    <definedName name="_T_IC_DISP_Y08" localSheetId="5">#REF!</definedName>
    <definedName name="_T_IC_DISP_Y08" localSheetId="24">#REF!</definedName>
    <definedName name="_T_IC_DISP_Y08">#REF!</definedName>
    <definedName name="_T_IC_DISP_Y92" localSheetId="5">#REF!</definedName>
    <definedName name="_T_IC_DISP_Y92" localSheetId="24">#REF!</definedName>
    <definedName name="_T_IC_DISP_Y92">#REF!</definedName>
    <definedName name="_T_IC_DISP_Y93" localSheetId="5">#REF!</definedName>
    <definedName name="_T_IC_DISP_Y93" localSheetId="24">#REF!</definedName>
    <definedName name="_T_IC_DISP_Y93">#REF!</definedName>
    <definedName name="_T_IC_DISP_Y94" localSheetId="5">#REF!</definedName>
    <definedName name="_T_IC_DISP_Y94" localSheetId="24">#REF!</definedName>
    <definedName name="_T_IC_DISP_Y94">#REF!</definedName>
    <definedName name="_T_IC_DISP_Y95" localSheetId="5">#REF!</definedName>
    <definedName name="_T_IC_DISP_Y95" localSheetId="24">#REF!</definedName>
    <definedName name="_T_IC_DISP_Y95">#REF!</definedName>
    <definedName name="_T_IC_DISP_Y96" localSheetId="5">#REF!</definedName>
    <definedName name="_T_IC_DISP_Y96" localSheetId="24">#REF!</definedName>
    <definedName name="_T_IC_DISP_Y96">#REF!</definedName>
    <definedName name="_T_IC_DISP_Y97" localSheetId="5">#REF!</definedName>
    <definedName name="_T_IC_DISP_Y97" localSheetId="24">#REF!</definedName>
    <definedName name="_T_IC_DISP_Y97">#REF!</definedName>
    <definedName name="_T_IC_DISP_Y98" localSheetId="5">#REF!</definedName>
    <definedName name="_T_IC_DISP_Y98" localSheetId="24">#REF!</definedName>
    <definedName name="_T_IC_DISP_Y98">#REF!</definedName>
    <definedName name="_T_IC_DISP_Y99" localSheetId="5">#REF!</definedName>
    <definedName name="_T_IC_DISP_Y99" localSheetId="24">#REF!</definedName>
    <definedName name="_T_IC_DISP_Y99">#REF!</definedName>
    <definedName name="_T_IC_EXPANS_CAPEX_Y00" localSheetId="5">#REF!</definedName>
    <definedName name="_T_IC_EXPANS_CAPEX_Y00" localSheetId="24">#REF!</definedName>
    <definedName name="_T_IC_EXPANS_CAPEX_Y00">#REF!</definedName>
    <definedName name="_T_IC_EXPANS_CAPEX_Y01" localSheetId="5">#REF!</definedName>
    <definedName name="_T_IC_EXPANS_CAPEX_Y01" localSheetId="24">#REF!</definedName>
    <definedName name="_T_IC_EXPANS_CAPEX_Y01">#REF!</definedName>
    <definedName name="_T_IC_EXPANS_CAPEX_Y02" localSheetId="5">#REF!</definedName>
    <definedName name="_T_IC_EXPANS_CAPEX_Y02" localSheetId="24">#REF!</definedName>
    <definedName name="_T_IC_EXPANS_CAPEX_Y02">#REF!</definedName>
    <definedName name="_T_IC_EXPANS_CAPEX_Y03" localSheetId="5">#REF!</definedName>
    <definedName name="_T_IC_EXPANS_CAPEX_Y03" localSheetId="24">#REF!</definedName>
    <definedName name="_T_IC_EXPANS_CAPEX_Y03">#REF!</definedName>
    <definedName name="_T_IC_EXPANS_CAPEX_Y04" localSheetId="5">#REF!</definedName>
    <definedName name="_T_IC_EXPANS_CAPEX_Y04" localSheetId="24">#REF!</definedName>
    <definedName name="_T_IC_EXPANS_CAPEX_Y04">#REF!</definedName>
    <definedName name="_T_IC_EXPANS_CAPEX_Y05" localSheetId="5">#REF!</definedName>
    <definedName name="_T_IC_EXPANS_CAPEX_Y05" localSheetId="24">#REF!</definedName>
    <definedName name="_T_IC_EXPANS_CAPEX_Y05">#REF!</definedName>
    <definedName name="_T_IC_EXPANS_CAPEX_Y06" localSheetId="5">#REF!</definedName>
    <definedName name="_T_IC_EXPANS_CAPEX_Y06" localSheetId="24">#REF!</definedName>
    <definedName name="_T_IC_EXPANS_CAPEX_Y06">#REF!</definedName>
    <definedName name="_T_IC_EXPANS_CAPEX_Y07" localSheetId="5">#REF!</definedName>
    <definedName name="_T_IC_EXPANS_CAPEX_Y07" localSheetId="24">#REF!</definedName>
    <definedName name="_T_IC_EXPANS_CAPEX_Y07">#REF!</definedName>
    <definedName name="_T_IC_EXPANS_CAPEX_Y08" localSheetId="5">#REF!</definedName>
    <definedName name="_T_IC_EXPANS_CAPEX_Y08" localSheetId="24">#REF!</definedName>
    <definedName name="_T_IC_EXPANS_CAPEX_Y08">#REF!</definedName>
    <definedName name="_T_IC_EXPANS_CAPEX_Y92" localSheetId="5">#REF!</definedName>
    <definedName name="_T_IC_EXPANS_CAPEX_Y92" localSheetId="24">#REF!</definedName>
    <definedName name="_T_IC_EXPANS_CAPEX_Y92">#REF!</definedName>
    <definedName name="_T_IC_EXPANS_CAPEX_Y93" localSheetId="5">#REF!</definedName>
    <definedName name="_T_IC_EXPANS_CAPEX_Y93" localSheetId="24">#REF!</definedName>
    <definedName name="_T_IC_EXPANS_CAPEX_Y93">#REF!</definedName>
    <definedName name="_T_IC_EXPANS_CAPEX_Y94" localSheetId="5">#REF!</definedName>
    <definedName name="_T_IC_EXPANS_CAPEX_Y94" localSheetId="24">#REF!</definedName>
    <definedName name="_T_IC_EXPANS_CAPEX_Y94">#REF!</definedName>
    <definedName name="_T_IC_EXPANS_CAPEX_Y95" localSheetId="5">#REF!</definedName>
    <definedName name="_T_IC_EXPANS_CAPEX_Y95" localSheetId="24">#REF!</definedName>
    <definedName name="_T_IC_EXPANS_CAPEX_Y95">#REF!</definedName>
    <definedName name="_T_IC_EXPANS_CAPEX_Y96" localSheetId="5">#REF!</definedName>
    <definedName name="_T_IC_EXPANS_CAPEX_Y96" localSheetId="24">#REF!</definedName>
    <definedName name="_T_IC_EXPANS_CAPEX_Y96">#REF!</definedName>
    <definedName name="_T_IC_EXPANS_CAPEX_Y97" localSheetId="5">#REF!</definedName>
    <definedName name="_T_IC_EXPANS_CAPEX_Y97" localSheetId="24">#REF!</definedName>
    <definedName name="_T_IC_EXPANS_CAPEX_Y97">#REF!</definedName>
    <definedName name="_T_IC_EXPANS_CAPEX_Y98" localSheetId="5">#REF!</definedName>
    <definedName name="_T_IC_EXPANS_CAPEX_Y98" localSheetId="24">#REF!</definedName>
    <definedName name="_T_IC_EXPANS_CAPEX_Y98">#REF!</definedName>
    <definedName name="_T_IC_EXPANS_CAPEX_Y99" localSheetId="5">#REF!</definedName>
    <definedName name="_T_IC_EXPANS_CAPEX_Y99" localSheetId="24">#REF!</definedName>
    <definedName name="_T_IC_EXPANS_CAPEX_Y99">#REF!</definedName>
    <definedName name="_T_IC_EXPLOREXP_Y00" localSheetId="5">#REF!</definedName>
    <definedName name="_T_IC_EXPLOREXP_Y00" localSheetId="24">#REF!</definedName>
    <definedName name="_T_IC_EXPLOREXP_Y00">#REF!</definedName>
    <definedName name="_T_IC_EXPLOREXP_Y01" localSheetId="5">#REF!</definedName>
    <definedName name="_T_IC_EXPLOREXP_Y01" localSheetId="24">#REF!</definedName>
    <definedName name="_T_IC_EXPLOREXP_Y01">#REF!</definedName>
    <definedName name="_T_IC_EXPLOREXP_Y02" localSheetId="5">#REF!</definedName>
    <definedName name="_T_IC_EXPLOREXP_Y02" localSheetId="24">#REF!</definedName>
    <definedName name="_T_IC_EXPLOREXP_Y02">#REF!</definedName>
    <definedName name="_T_IC_EXPLOREXP_Y03" localSheetId="5">#REF!</definedName>
    <definedName name="_T_IC_EXPLOREXP_Y03" localSheetId="24">#REF!</definedName>
    <definedName name="_T_IC_EXPLOREXP_Y03">#REF!</definedName>
    <definedName name="_T_IC_EXPLOREXP_Y90" localSheetId="5">#REF!</definedName>
    <definedName name="_T_IC_EXPLOREXP_Y90" localSheetId="24">#REF!</definedName>
    <definedName name="_T_IC_EXPLOREXP_Y90">#REF!</definedName>
    <definedName name="_T_IC_EXPLOREXP_Y91" localSheetId="5">#REF!</definedName>
    <definedName name="_T_IC_EXPLOREXP_Y91" localSheetId="24">#REF!</definedName>
    <definedName name="_T_IC_EXPLOREXP_Y91">#REF!</definedName>
    <definedName name="_T_IC_EXPLOREXP_Y92" localSheetId="5">#REF!</definedName>
    <definedName name="_T_IC_EXPLOREXP_Y92" localSheetId="24">#REF!</definedName>
    <definedName name="_T_IC_EXPLOREXP_Y92">#REF!</definedName>
    <definedName name="_T_IC_EXPLOREXP_Y93" localSheetId="5">#REF!</definedName>
    <definedName name="_T_IC_EXPLOREXP_Y93" localSheetId="24">#REF!</definedName>
    <definedName name="_T_IC_EXPLOREXP_Y93">#REF!</definedName>
    <definedName name="_T_IC_EXPLOREXP_Y94" localSheetId="5">#REF!</definedName>
    <definedName name="_T_IC_EXPLOREXP_Y94" localSheetId="24">#REF!</definedName>
    <definedName name="_T_IC_EXPLOREXP_Y94">#REF!</definedName>
    <definedName name="_T_IC_EXPLOREXP_Y95" localSheetId="5">#REF!</definedName>
    <definedName name="_T_IC_EXPLOREXP_Y95" localSheetId="24">#REF!</definedName>
    <definedName name="_T_IC_EXPLOREXP_Y95">#REF!</definedName>
    <definedName name="_T_IC_EXPLOREXP_Y96" localSheetId="5">#REF!</definedName>
    <definedName name="_T_IC_EXPLOREXP_Y96" localSheetId="24">#REF!</definedName>
    <definedName name="_T_IC_EXPLOREXP_Y96">#REF!</definedName>
    <definedName name="_T_IC_EXPLOREXP_Y97" localSheetId="5">#REF!</definedName>
    <definedName name="_T_IC_EXPLOREXP_Y97" localSheetId="24">#REF!</definedName>
    <definedName name="_T_IC_EXPLOREXP_Y97">#REF!</definedName>
    <definedName name="_T_IC_EXPLOREXP_Y98" localSheetId="5">#REF!</definedName>
    <definedName name="_T_IC_EXPLOREXP_Y98" localSheetId="24">#REF!</definedName>
    <definedName name="_T_IC_EXPLOREXP_Y98">#REF!</definedName>
    <definedName name="_T_IC_EXPLOREXP_Y99" localSheetId="5">#REF!</definedName>
    <definedName name="_T_IC_EXPLOREXP_Y99" localSheetId="24">#REF!</definedName>
    <definedName name="_T_IC_EXPLOREXP_Y99">#REF!</definedName>
    <definedName name="_T_IC_INVEST_Y00" localSheetId="5">#REF!</definedName>
    <definedName name="_T_IC_INVEST_Y00" localSheetId="24">#REF!</definedName>
    <definedName name="_T_IC_INVEST_Y00">#REF!</definedName>
    <definedName name="_T_IC_INVEST_Y01" localSheetId="5">#REF!</definedName>
    <definedName name="_T_IC_INVEST_Y01" localSheetId="24">#REF!</definedName>
    <definedName name="_T_IC_INVEST_Y01">#REF!</definedName>
    <definedName name="_T_IC_INVEST_Y02" localSheetId="5">#REF!</definedName>
    <definedName name="_T_IC_INVEST_Y02" localSheetId="24">#REF!</definedName>
    <definedName name="_T_IC_INVEST_Y02">#REF!</definedName>
    <definedName name="_T_IC_INVEST_Y03" localSheetId="5">#REF!</definedName>
    <definedName name="_T_IC_INVEST_Y03" localSheetId="24">#REF!</definedName>
    <definedName name="_T_IC_INVEST_Y03">#REF!</definedName>
    <definedName name="_T_IC_INVEST_Y90" localSheetId="5">#REF!</definedName>
    <definedName name="_T_IC_INVEST_Y90" localSheetId="24">#REF!</definedName>
    <definedName name="_T_IC_INVEST_Y90">#REF!</definedName>
    <definedName name="_T_IC_INVEST_Y91" localSheetId="5">#REF!</definedName>
    <definedName name="_T_IC_INVEST_Y91" localSheetId="24">#REF!</definedName>
    <definedName name="_T_IC_INVEST_Y91">#REF!</definedName>
    <definedName name="_T_IC_INVEST_Y92" localSheetId="5">#REF!</definedName>
    <definedName name="_T_IC_INVEST_Y92" localSheetId="24">#REF!</definedName>
    <definedName name="_T_IC_INVEST_Y92">#REF!</definedName>
    <definedName name="_T_IC_INVEST_Y93" localSheetId="5">#REF!</definedName>
    <definedName name="_T_IC_INVEST_Y93" localSheetId="24">#REF!</definedName>
    <definedName name="_T_IC_INVEST_Y93">#REF!</definedName>
    <definedName name="_T_IC_INVEST_Y94" localSheetId="5">#REF!</definedName>
    <definedName name="_T_IC_INVEST_Y94" localSheetId="24">#REF!</definedName>
    <definedName name="_T_IC_INVEST_Y94">#REF!</definedName>
    <definedName name="_T_IC_INVEST_Y95" localSheetId="5">#REF!</definedName>
    <definedName name="_T_IC_INVEST_Y95" localSheetId="24">#REF!</definedName>
    <definedName name="_T_IC_INVEST_Y95">#REF!</definedName>
    <definedName name="_T_IC_INVEST_Y96" localSheetId="5">#REF!</definedName>
    <definedName name="_T_IC_INVEST_Y96" localSheetId="24">#REF!</definedName>
    <definedName name="_T_IC_INVEST_Y96">#REF!</definedName>
    <definedName name="_T_IC_INVEST_Y97" localSheetId="5">#REF!</definedName>
    <definedName name="_T_IC_INVEST_Y97" localSheetId="24">#REF!</definedName>
    <definedName name="_T_IC_INVEST_Y97">#REF!</definedName>
    <definedName name="_T_IC_INVEST_Y98" localSheetId="5">#REF!</definedName>
    <definedName name="_T_IC_INVEST_Y98" localSheetId="24">#REF!</definedName>
    <definedName name="_T_IC_INVEST_Y98">#REF!</definedName>
    <definedName name="_T_IC_INVEST_Y99" localSheetId="5">#REF!</definedName>
    <definedName name="_T_IC_INVEST_Y99" localSheetId="24">#REF!</definedName>
    <definedName name="_T_IC_INVEST_Y99">#REF!</definedName>
    <definedName name="_T_IC_LOANS_Y00" localSheetId="5">#REF!</definedName>
    <definedName name="_T_IC_LOANS_Y00" localSheetId="24">#REF!</definedName>
    <definedName name="_T_IC_LOANS_Y00">#REF!</definedName>
    <definedName name="_T_IC_LOANS_Y01" localSheetId="5">#REF!</definedName>
    <definedName name="_T_IC_LOANS_Y01" localSheetId="24">#REF!</definedName>
    <definedName name="_T_IC_LOANS_Y01">#REF!</definedName>
    <definedName name="_T_IC_LOANS_Y02" localSheetId="5">#REF!</definedName>
    <definedName name="_T_IC_LOANS_Y02" localSheetId="24">#REF!</definedName>
    <definedName name="_T_IC_LOANS_Y02">#REF!</definedName>
    <definedName name="_T_IC_LOANS_Y03" localSheetId="5">#REF!</definedName>
    <definedName name="_T_IC_LOANS_Y03" localSheetId="24">#REF!</definedName>
    <definedName name="_T_IC_LOANS_Y03">#REF!</definedName>
    <definedName name="_T_IC_LOANS_Y04" localSheetId="5">#REF!</definedName>
    <definedName name="_T_IC_LOANS_Y04" localSheetId="24">#REF!</definedName>
    <definedName name="_T_IC_LOANS_Y04">#REF!</definedName>
    <definedName name="_T_IC_LOANS_Y05" localSheetId="5">#REF!</definedName>
    <definedName name="_T_IC_LOANS_Y05" localSheetId="24">#REF!</definedName>
    <definedName name="_T_IC_LOANS_Y05">#REF!</definedName>
    <definedName name="_T_IC_LOANS_Y06" localSheetId="5">#REF!</definedName>
    <definedName name="_T_IC_LOANS_Y06" localSheetId="24">#REF!</definedName>
    <definedName name="_T_IC_LOANS_Y06">#REF!</definedName>
    <definedName name="_T_IC_LOANS_Y07" localSheetId="5">#REF!</definedName>
    <definedName name="_T_IC_LOANS_Y07" localSheetId="24">#REF!</definedName>
    <definedName name="_T_IC_LOANS_Y07">#REF!</definedName>
    <definedName name="_T_IC_LOANS_Y08" localSheetId="5">#REF!</definedName>
    <definedName name="_T_IC_LOANS_Y08" localSheetId="24">#REF!</definedName>
    <definedName name="_T_IC_LOANS_Y08">#REF!</definedName>
    <definedName name="_T_IC_LOANS_Y92" localSheetId="5">#REF!</definedName>
    <definedName name="_T_IC_LOANS_Y92" localSheetId="24">#REF!</definedName>
    <definedName name="_T_IC_LOANS_Y92">#REF!</definedName>
    <definedName name="_T_IC_LOANS_Y93" localSheetId="5">#REF!</definedName>
    <definedName name="_T_IC_LOANS_Y93" localSheetId="24">#REF!</definedName>
    <definedName name="_T_IC_LOANS_Y93">#REF!</definedName>
    <definedName name="_T_IC_LOANS_Y94" localSheetId="5">#REF!</definedName>
    <definedName name="_T_IC_LOANS_Y94" localSheetId="24">#REF!</definedName>
    <definedName name="_T_IC_LOANS_Y94">#REF!</definedName>
    <definedName name="_T_IC_LOANS_Y95" localSheetId="5">#REF!</definedName>
    <definedName name="_T_IC_LOANS_Y95" localSheetId="24">#REF!</definedName>
    <definedName name="_T_IC_LOANS_Y95">#REF!</definedName>
    <definedName name="_T_IC_LOANS_Y96" localSheetId="5">#REF!</definedName>
    <definedName name="_T_IC_LOANS_Y96" localSheetId="24">#REF!</definedName>
    <definedName name="_T_IC_LOANS_Y96">#REF!</definedName>
    <definedName name="_T_IC_LOANS_Y97" localSheetId="5">#REF!</definedName>
    <definedName name="_T_IC_LOANS_Y97" localSheetId="24">#REF!</definedName>
    <definedName name="_T_IC_LOANS_Y97">#REF!</definedName>
    <definedName name="_T_IC_LOANS_Y98" localSheetId="5">#REF!</definedName>
    <definedName name="_T_IC_LOANS_Y98" localSheetId="24">#REF!</definedName>
    <definedName name="_T_IC_LOANS_Y98">#REF!</definedName>
    <definedName name="_T_IC_LOANS_Y99" localSheetId="5">#REF!</definedName>
    <definedName name="_T_IC_LOANS_Y99" localSheetId="24">#REF!</definedName>
    <definedName name="_T_IC_LOANS_Y99">#REF!</definedName>
    <definedName name="_T_IC_MAINT_CAPEX_Y00" localSheetId="5">#REF!</definedName>
    <definedName name="_T_IC_MAINT_CAPEX_Y00" localSheetId="24">#REF!</definedName>
    <definedName name="_T_IC_MAINT_CAPEX_Y00">#REF!</definedName>
    <definedName name="_T_IC_MAINT_CAPEX_Y01" localSheetId="5">#REF!</definedName>
    <definedName name="_T_IC_MAINT_CAPEX_Y01" localSheetId="24">#REF!</definedName>
    <definedName name="_T_IC_MAINT_CAPEX_Y01">#REF!</definedName>
    <definedName name="_T_IC_MAINT_CAPEX_Y02" localSheetId="5">#REF!</definedName>
    <definedName name="_T_IC_MAINT_CAPEX_Y02" localSheetId="24">#REF!</definedName>
    <definedName name="_T_IC_MAINT_CAPEX_Y02">#REF!</definedName>
    <definedName name="_T_IC_MAINT_CAPEX_Y03" localSheetId="5">#REF!</definedName>
    <definedName name="_T_IC_MAINT_CAPEX_Y03" localSheetId="24">#REF!</definedName>
    <definedName name="_T_IC_MAINT_CAPEX_Y03">#REF!</definedName>
    <definedName name="_T_IC_MAINT_CAPEX_Y04" localSheetId="5">#REF!</definedName>
    <definedName name="_T_IC_MAINT_CAPEX_Y04" localSheetId="24">#REF!</definedName>
    <definedName name="_T_IC_MAINT_CAPEX_Y04">#REF!</definedName>
    <definedName name="_T_IC_MAINT_CAPEX_Y05" localSheetId="5">#REF!</definedName>
    <definedName name="_T_IC_MAINT_CAPEX_Y05" localSheetId="24">#REF!</definedName>
    <definedName name="_T_IC_MAINT_CAPEX_Y05">#REF!</definedName>
    <definedName name="_T_IC_MAINT_CAPEX_Y06" localSheetId="5">#REF!</definedName>
    <definedName name="_T_IC_MAINT_CAPEX_Y06" localSheetId="24">#REF!</definedName>
    <definedName name="_T_IC_MAINT_CAPEX_Y06">#REF!</definedName>
    <definedName name="_T_IC_MAINT_CAPEX_Y07" localSheetId="5">#REF!</definedName>
    <definedName name="_T_IC_MAINT_CAPEX_Y07" localSheetId="24">#REF!</definedName>
    <definedName name="_T_IC_MAINT_CAPEX_Y07">#REF!</definedName>
    <definedName name="_T_IC_MAINT_CAPEX_Y08" localSheetId="5">#REF!</definedName>
    <definedName name="_T_IC_MAINT_CAPEX_Y08" localSheetId="24">#REF!</definedName>
    <definedName name="_T_IC_MAINT_CAPEX_Y08">#REF!</definedName>
    <definedName name="_T_IC_MAINT_CAPEX_Y92" localSheetId="5">#REF!</definedName>
    <definedName name="_T_IC_MAINT_CAPEX_Y92" localSheetId="24">#REF!</definedName>
    <definedName name="_T_IC_MAINT_CAPEX_Y92">#REF!</definedName>
    <definedName name="_T_IC_MAINT_CAPEX_Y93" localSheetId="5">#REF!</definedName>
    <definedName name="_T_IC_MAINT_CAPEX_Y93" localSheetId="24">#REF!</definedName>
    <definedName name="_T_IC_MAINT_CAPEX_Y93">#REF!</definedName>
    <definedName name="_T_IC_MAINT_CAPEX_Y94" localSheetId="5">#REF!</definedName>
    <definedName name="_T_IC_MAINT_CAPEX_Y94" localSheetId="24">#REF!</definedName>
    <definedName name="_T_IC_MAINT_CAPEX_Y94">#REF!</definedName>
    <definedName name="_T_IC_MAINT_CAPEX_Y95" localSheetId="5">#REF!</definedName>
    <definedName name="_T_IC_MAINT_CAPEX_Y95" localSheetId="24">#REF!</definedName>
    <definedName name="_T_IC_MAINT_CAPEX_Y95">#REF!</definedName>
    <definedName name="_T_IC_MAINT_CAPEX_Y96" localSheetId="5">#REF!</definedName>
    <definedName name="_T_IC_MAINT_CAPEX_Y96" localSheetId="24">#REF!</definedName>
    <definedName name="_T_IC_MAINT_CAPEX_Y96">#REF!</definedName>
    <definedName name="_T_IC_MAINT_CAPEX_Y97" localSheetId="5">#REF!</definedName>
    <definedName name="_T_IC_MAINT_CAPEX_Y97" localSheetId="24">#REF!</definedName>
    <definedName name="_T_IC_MAINT_CAPEX_Y97">#REF!</definedName>
    <definedName name="_T_IC_MAINT_CAPEX_Y98" localSheetId="5">#REF!</definedName>
    <definedName name="_T_IC_MAINT_CAPEX_Y98" localSheetId="24">#REF!</definedName>
    <definedName name="_T_IC_MAINT_CAPEX_Y98">#REF!</definedName>
    <definedName name="_T_IC_MAINT_CAPEX_Y99" localSheetId="5">#REF!</definedName>
    <definedName name="_T_IC_MAINT_CAPEX_Y99" localSheetId="24">#REF!</definedName>
    <definedName name="_T_IC_MAINT_CAPEX_Y99">#REF!</definedName>
    <definedName name="_T_IC_OTHER_Y00" localSheetId="5">#REF!</definedName>
    <definedName name="_T_IC_OTHER_Y00" localSheetId="24">#REF!</definedName>
    <definedName name="_T_IC_OTHER_Y00">#REF!</definedName>
    <definedName name="_T_IC_OTHER_Y01" localSheetId="5">#REF!</definedName>
    <definedName name="_T_IC_OTHER_Y01" localSheetId="24">#REF!</definedName>
    <definedName name="_T_IC_OTHER_Y01">#REF!</definedName>
    <definedName name="_T_IC_OTHER_Y02" localSheetId="5">#REF!</definedName>
    <definedName name="_T_IC_OTHER_Y02" localSheetId="24">#REF!</definedName>
    <definedName name="_T_IC_OTHER_Y02">#REF!</definedName>
    <definedName name="_T_IC_OTHER_Y03" localSheetId="5">#REF!</definedName>
    <definedName name="_T_IC_OTHER_Y03" localSheetId="24">#REF!</definedName>
    <definedName name="_T_IC_OTHER_Y03">#REF!</definedName>
    <definedName name="_T_IC_OTHER_Y04" localSheetId="5">#REF!</definedName>
    <definedName name="_T_IC_OTHER_Y04" localSheetId="24">#REF!</definedName>
    <definedName name="_T_IC_OTHER_Y04">#REF!</definedName>
    <definedName name="_T_IC_OTHER_Y05" localSheetId="5">#REF!</definedName>
    <definedName name="_T_IC_OTHER_Y05" localSheetId="24">#REF!</definedName>
    <definedName name="_T_IC_OTHER_Y05">#REF!</definedName>
    <definedName name="_T_IC_OTHER_Y06" localSheetId="5">#REF!</definedName>
    <definedName name="_T_IC_OTHER_Y06" localSheetId="24">#REF!</definedName>
    <definedName name="_T_IC_OTHER_Y06">#REF!</definedName>
    <definedName name="_T_IC_OTHER_Y07" localSheetId="5">#REF!</definedName>
    <definedName name="_T_IC_OTHER_Y07" localSheetId="24">#REF!</definedName>
    <definedName name="_T_IC_OTHER_Y07">#REF!</definedName>
    <definedName name="_T_IC_OTHER_Y08" localSheetId="5">#REF!</definedName>
    <definedName name="_T_IC_OTHER_Y08" localSheetId="24">#REF!</definedName>
    <definedName name="_T_IC_OTHER_Y08">#REF!</definedName>
    <definedName name="_T_IC_OTHER_Y92" localSheetId="5">#REF!</definedName>
    <definedName name="_T_IC_OTHER_Y92" localSheetId="24">#REF!</definedName>
    <definedName name="_T_IC_OTHER_Y92">#REF!</definedName>
    <definedName name="_T_IC_OTHER_Y93" localSheetId="5">#REF!</definedName>
    <definedName name="_T_IC_OTHER_Y93" localSheetId="24">#REF!</definedName>
    <definedName name="_T_IC_OTHER_Y93">#REF!</definedName>
    <definedName name="_T_IC_OTHER_Y94" localSheetId="5">#REF!</definedName>
    <definedName name="_T_IC_OTHER_Y94" localSheetId="24">#REF!</definedName>
    <definedName name="_T_IC_OTHER_Y94">#REF!</definedName>
    <definedName name="_T_IC_OTHER_Y95" localSheetId="5">#REF!</definedName>
    <definedName name="_T_IC_OTHER_Y95" localSheetId="24">#REF!</definedName>
    <definedName name="_T_IC_OTHER_Y95">#REF!</definedName>
    <definedName name="_T_IC_OTHER_Y96" localSheetId="5">#REF!</definedName>
    <definedName name="_T_IC_OTHER_Y96" localSheetId="24">#REF!</definedName>
    <definedName name="_T_IC_OTHER_Y96">#REF!</definedName>
    <definedName name="_T_IC_OTHER_Y97" localSheetId="5">#REF!</definedName>
    <definedName name="_T_IC_OTHER_Y97" localSheetId="24">#REF!</definedName>
    <definedName name="_T_IC_OTHER_Y97">#REF!</definedName>
    <definedName name="_T_IC_OTHER_Y98" localSheetId="5">#REF!</definedName>
    <definedName name="_T_IC_OTHER_Y98" localSheetId="24">#REF!</definedName>
    <definedName name="_T_IC_OTHER_Y98">#REF!</definedName>
    <definedName name="_T_IC_OTHER_Y99" localSheetId="5">#REF!</definedName>
    <definedName name="_T_IC_OTHER_Y99" localSheetId="24">#REF!</definedName>
    <definedName name="_T_IC_OTHER_Y99">#REF!</definedName>
    <definedName name="_T_IC_SUM_Y00" localSheetId="5">#REF!</definedName>
    <definedName name="_T_IC_SUM_Y00" localSheetId="24">#REF!</definedName>
    <definedName name="_T_IC_SUM_Y00">#REF!</definedName>
    <definedName name="_T_IC_SUM_Y01" localSheetId="5">#REF!</definedName>
    <definedName name="_T_IC_SUM_Y01" localSheetId="24">#REF!</definedName>
    <definedName name="_T_IC_SUM_Y01">#REF!</definedName>
    <definedName name="_T_IC_SUM_Y02" localSheetId="5">#REF!</definedName>
    <definedName name="_T_IC_SUM_Y02" localSheetId="24">#REF!</definedName>
    <definedName name="_T_IC_SUM_Y02">#REF!</definedName>
    <definedName name="_T_IC_SUM_Y03" localSheetId="5">#REF!</definedName>
    <definedName name="_T_IC_SUM_Y03" localSheetId="24">#REF!</definedName>
    <definedName name="_T_IC_SUM_Y03">#REF!</definedName>
    <definedName name="_T_IC_SUM_Y90" localSheetId="5">#REF!</definedName>
    <definedName name="_T_IC_SUM_Y90" localSheetId="24">#REF!</definedName>
    <definedName name="_T_IC_SUM_Y90">#REF!</definedName>
    <definedName name="_T_IC_SUM_Y91" localSheetId="5">#REF!</definedName>
    <definedName name="_T_IC_SUM_Y91" localSheetId="24">#REF!</definedName>
    <definedName name="_T_IC_SUM_Y91">#REF!</definedName>
    <definedName name="_T_IC_SUM_Y92" localSheetId="5">#REF!</definedName>
    <definedName name="_T_IC_SUM_Y92" localSheetId="24">#REF!</definedName>
    <definedName name="_T_IC_SUM_Y92">#REF!</definedName>
    <definedName name="_T_IC_SUM_Y93" localSheetId="5">#REF!</definedName>
    <definedName name="_T_IC_SUM_Y93" localSheetId="24">#REF!</definedName>
    <definedName name="_T_IC_SUM_Y93">#REF!</definedName>
    <definedName name="_T_IC_SUM_Y94" localSheetId="5">#REF!</definedName>
    <definedName name="_T_IC_SUM_Y94" localSheetId="24">#REF!</definedName>
    <definedName name="_T_IC_SUM_Y94">#REF!</definedName>
    <definedName name="_T_IC_SUM_Y95" localSheetId="5">#REF!</definedName>
    <definedName name="_T_IC_SUM_Y95" localSheetId="24">#REF!</definedName>
    <definedName name="_T_IC_SUM_Y95">#REF!</definedName>
    <definedName name="_T_IC_SUM_Y96" localSheetId="5">#REF!</definedName>
    <definedName name="_T_IC_SUM_Y96" localSheetId="24">#REF!</definedName>
    <definedName name="_T_IC_SUM_Y96">#REF!</definedName>
    <definedName name="_T_IC_SUM_Y97" localSheetId="5">#REF!</definedName>
    <definedName name="_T_IC_SUM_Y97" localSheetId="24">#REF!</definedName>
    <definedName name="_T_IC_SUM_Y97">#REF!</definedName>
    <definedName name="_T_IC_SUM_Y98" localSheetId="5">#REF!</definedName>
    <definedName name="_T_IC_SUM_Y98" localSheetId="24">#REF!</definedName>
    <definedName name="_T_IC_SUM_Y98">#REF!</definedName>
    <definedName name="_T_IC_SUM_Y99" localSheetId="5">#REF!</definedName>
    <definedName name="_T_IC_SUM_Y99" localSheetId="24">#REF!</definedName>
    <definedName name="_T_IC_SUM_Y99">#REF!</definedName>
    <definedName name="_T_LIAB_PROV_Y00" localSheetId="5">#REF!</definedName>
    <definedName name="_T_LIAB_PROV_Y00" localSheetId="24">#REF!</definedName>
    <definedName name="_T_LIAB_PROV_Y00">#REF!</definedName>
    <definedName name="_T_LIAB_PROV_Y01" localSheetId="5">#REF!</definedName>
    <definedName name="_T_LIAB_PROV_Y01" localSheetId="24">#REF!</definedName>
    <definedName name="_T_LIAB_PROV_Y01">#REF!</definedName>
    <definedName name="_T_LIAB_PROV_Y02" localSheetId="5">#REF!</definedName>
    <definedName name="_T_LIAB_PROV_Y02" localSheetId="24">#REF!</definedName>
    <definedName name="_T_LIAB_PROV_Y02">#REF!</definedName>
    <definedName name="_T_LIAB_PROV_Y03" localSheetId="5">#REF!</definedName>
    <definedName name="_T_LIAB_PROV_Y03" localSheetId="24">#REF!</definedName>
    <definedName name="_T_LIAB_PROV_Y03">#REF!</definedName>
    <definedName name="_T_LIAB_PROV_Y90" localSheetId="5">#REF!</definedName>
    <definedName name="_T_LIAB_PROV_Y90" localSheetId="24">#REF!</definedName>
    <definedName name="_T_LIAB_PROV_Y90">#REF!</definedName>
    <definedName name="_T_LIAB_PROV_Y91" localSheetId="5">#REF!</definedName>
    <definedName name="_T_LIAB_PROV_Y91" localSheetId="24">#REF!</definedName>
    <definedName name="_T_LIAB_PROV_Y91">#REF!</definedName>
    <definedName name="_T_LIAB_PROV_Y92" localSheetId="5">#REF!</definedName>
    <definedName name="_T_LIAB_PROV_Y92" localSheetId="24">#REF!</definedName>
    <definedName name="_T_LIAB_PROV_Y92">#REF!</definedName>
    <definedName name="_T_LIAB_PROV_Y93" localSheetId="5">#REF!</definedName>
    <definedName name="_T_LIAB_PROV_Y93" localSheetId="24">#REF!</definedName>
    <definedName name="_T_LIAB_PROV_Y93">#REF!</definedName>
    <definedName name="_T_LIAB_PROV_Y94" localSheetId="5">#REF!</definedName>
    <definedName name="_T_LIAB_PROV_Y94" localSheetId="24">#REF!</definedName>
    <definedName name="_T_LIAB_PROV_Y94">#REF!</definedName>
    <definedName name="_T_LIAB_PROV_Y95" localSheetId="5">#REF!</definedName>
    <definedName name="_T_LIAB_PROV_Y95" localSheetId="24">#REF!</definedName>
    <definedName name="_T_LIAB_PROV_Y95">#REF!</definedName>
    <definedName name="_T_LIAB_PROV_Y96" localSheetId="5">#REF!</definedName>
    <definedName name="_T_LIAB_PROV_Y96" localSheetId="24">#REF!</definedName>
    <definedName name="_T_LIAB_PROV_Y96">#REF!</definedName>
    <definedName name="_T_LIAB_PROV_Y97" localSheetId="5">#REF!</definedName>
    <definedName name="_T_LIAB_PROV_Y97" localSheetId="24">#REF!</definedName>
    <definedName name="_T_LIAB_PROV_Y97">#REF!</definedName>
    <definedName name="_T_LIAB_PROV_Y98" localSheetId="5">#REF!</definedName>
    <definedName name="_T_LIAB_PROV_Y98" localSheetId="24">#REF!</definedName>
    <definedName name="_T_LIAB_PROV_Y98">#REF!</definedName>
    <definedName name="_T_LIAB_PROV_Y99" localSheetId="5">#REF!</definedName>
    <definedName name="_T_LIAB_PROV_Y99" localSheetId="24">#REF!</definedName>
    <definedName name="_T_LIAB_PROV_Y99">#REF!</definedName>
    <definedName name="_T_LIAB_SUM_Y00" localSheetId="5">#REF!</definedName>
    <definedName name="_T_LIAB_SUM_Y00" localSheetId="24">#REF!</definedName>
    <definedName name="_T_LIAB_SUM_Y00">#REF!</definedName>
    <definedName name="_T_LIAB_SUM_Y01" localSheetId="5">#REF!</definedName>
    <definedName name="_T_LIAB_SUM_Y01" localSheetId="24">#REF!</definedName>
    <definedName name="_T_LIAB_SUM_Y01">#REF!</definedName>
    <definedName name="_T_LIAB_SUM_Y02" localSheetId="5">#REF!</definedName>
    <definedName name="_T_LIAB_SUM_Y02" localSheetId="24">#REF!</definedName>
    <definedName name="_T_LIAB_SUM_Y02">#REF!</definedName>
    <definedName name="_T_LIAB_SUM_Y03" localSheetId="5">#REF!</definedName>
    <definedName name="_T_LIAB_SUM_Y03" localSheetId="24">#REF!</definedName>
    <definedName name="_T_LIAB_SUM_Y03">#REF!</definedName>
    <definedName name="_T_LIAB_SUM_Y90" localSheetId="5">#REF!</definedName>
    <definedName name="_T_LIAB_SUM_Y90" localSheetId="24">#REF!</definedName>
    <definedName name="_T_LIAB_SUM_Y90">#REF!</definedName>
    <definedName name="_T_LIAB_SUM_Y91" localSheetId="5">#REF!</definedName>
    <definedName name="_T_LIAB_SUM_Y91" localSheetId="24">#REF!</definedName>
    <definedName name="_T_LIAB_SUM_Y91">#REF!</definedName>
    <definedName name="_T_LIAB_SUM_Y92" localSheetId="5">#REF!</definedName>
    <definedName name="_T_LIAB_SUM_Y92" localSheetId="24">#REF!</definedName>
    <definedName name="_T_LIAB_SUM_Y92">#REF!</definedName>
    <definedName name="_T_LIAB_SUM_Y93" localSheetId="5">#REF!</definedName>
    <definedName name="_T_LIAB_SUM_Y93" localSheetId="24">#REF!</definedName>
    <definedName name="_T_LIAB_SUM_Y93">#REF!</definedName>
    <definedName name="_T_LIAB_SUM_Y94" localSheetId="5">#REF!</definedName>
    <definedName name="_T_LIAB_SUM_Y94" localSheetId="24">#REF!</definedName>
    <definedName name="_T_LIAB_SUM_Y94">#REF!</definedName>
    <definedName name="_T_LIAB_SUM_Y95" localSheetId="5">#REF!</definedName>
    <definedName name="_T_LIAB_SUM_Y95" localSheetId="24">#REF!</definedName>
    <definedName name="_T_LIAB_SUM_Y95">#REF!</definedName>
    <definedName name="_T_LIAB_SUM_Y96" localSheetId="5">#REF!</definedName>
    <definedName name="_T_LIAB_SUM_Y96" localSheetId="24">#REF!</definedName>
    <definedName name="_T_LIAB_SUM_Y96">#REF!</definedName>
    <definedName name="_T_LIAB_SUM_Y97" localSheetId="5">#REF!</definedName>
    <definedName name="_T_LIAB_SUM_Y97" localSheetId="24">#REF!</definedName>
    <definedName name="_T_LIAB_SUM_Y97">#REF!</definedName>
    <definedName name="_T_LIAB_SUM_Y98" localSheetId="5">#REF!</definedName>
    <definedName name="_T_LIAB_SUM_Y98" localSheetId="24">#REF!</definedName>
    <definedName name="_T_LIAB_SUM_Y98">#REF!</definedName>
    <definedName name="_T_LIAB_SUM_Y99" localSheetId="5">#REF!</definedName>
    <definedName name="_T_LIAB_SUM_Y99" localSheetId="24">#REF!</definedName>
    <definedName name="_T_LIAB_SUM_Y99">#REF!</definedName>
    <definedName name="_T_LIABB_IBL_Y00" localSheetId="5">#REF!</definedName>
    <definedName name="_T_LIABB_IBL_Y00" localSheetId="24">#REF!</definedName>
    <definedName name="_T_LIABB_IBL_Y00">#REF!</definedName>
    <definedName name="_T_LIABB_IBL_Y01" localSheetId="5">#REF!</definedName>
    <definedName name="_T_LIABB_IBL_Y01" localSheetId="24">#REF!</definedName>
    <definedName name="_T_LIABB_IBL_Y01">#REF!</definedName>
    <definedName name="_T_LIABB_IBL_Y02" localSheetId="5">#REF!</definedName>
    <definedName name="_T_LIABB_IBL_Y02" localSheetId="24">#REF!</definedName>
    <definedName name="_T_LIABB_IBL_Y02">#REF!</definedName>
    <definedName name="_T_LIABB_IBL_Y03" localSheetId="5">#REF!</definedName>
    <definedName name="_T_LIABB_IBL_Y03" localSheetId="24">#REF!</definedName>
    <definedName name="_T_LIABB_IBL_Y03">#REF!</definedName>
    <definedName name="_T_LIABB_IBL_Y90" localSheetId="5">#REF!</definedName>
    <definedName name="_T_LIABB_IBL_Y90" localSheetId="24">#REF!</definedName>
    <definedName name="_T_LIABB_IBL_Y90">#REF!</definedName>
    <definedName name="_T_LIABB_IBL_Y91" localSheetId="5">#REF!</definedName>
    <definedName name="_T_LIABB_IBL_Y91" localSheetId="24">#REF!</definedName>
    <definedName name="_T_LIABB_IBL_Y91">#REF!</definedName>
    <definedName name="_T_LIABB_IBL_Y92" localSheetId="5">#REF!</definedName>
    <definedName name="_T_LIABB_IBL_Y92" localSheetId="24">#REF!</definedName>
    <definedName name="_T_LIABB_IBL_Y92">#REF!</definedName>
    <definedName name="_T_LIABB_IBL_Y93" localSheetId="5">#REF!</definedName>
    <definedName name="_T_LIABB_IBL_Y93" localSheetId="24">#REF!</definedName>
    <definedName name="_T_LIABB_IBL_Y93">#REF!</definedName>
    <definedName name="_T_LIABB_IBL_Y94" localSheetId="5">#REF!</definedName>
    <definedName name="_T_LIABB_IBL_Y94" localSheetId="24">#REF!</definedName>
    <definedName name="_T_LIABB_IBL_Y94">#REF!</definedName>
    <definedName name="_T_LIABB_IBL_Y95" localSheetId="5">#REF!</definedName>
    <definedName name="_T_LIABB_IBL_Y95" localSheetId="24">#REF!</definedName>
    <definedName name="_T_LIABB_IBL_Y95">#REF!</definedName>
    <definedName name="_T_LIABB_IBL_Y96" localSheetId="5">#REF!</definedName>
    <definedName name="_T_LIABB_IBL_Y96" localSheetId="24">#REF!</definedName>
    <definedName name="_T_LIABB_IBL_Y96">#REF!</definedName>
    <definedName name="_T_LIABB_IBL_Y97" localSheetId="5">#REF!</definedName>
    <definedName name="_T_LIABB_IBL_Y97" localSheetId="24">#REF!</definedName>
    <definedName name="_T_LIABB_IBL_Y97">#REF!</definedName>
    <definedName name="_T_LIABB_IBL_Y98" localSheetId="5">#REF!</definedName>
    <definedName name="_T_LIABB_IBL_Y98" localSheetId="24">#REF!</definedName>
    <definedName name="_T_LIABB_IBL_Y98">#REF!</definedName>
    <definedName name="_T_LIABB_IBL_Y99" localSheetId="5">#REF!</definedName>
    <definedName name="_T_LIABB_IBL_Y99" localSheetId="24">#REF!</definedName>
    <definedName name="_T_LIABB_IBL_Y99">#REF!</definedName>
    <definedName name="_T_LIABB_NONIBL_Y00" localSheetId="5">#REF!</definedName>
    <definedName name="_T_LIABB_NONIBL_Y00" localSheetId="24">#REF!</definedName>
    <definedName name="_T_LIABB_NONIBL_Y00">#REF!</definedName>
    <definedName name="_T_LIABB_NONIBL_Y01" localSheetId="5">#REF!</definedName>
    <definedName name="_T_LIABB_NONIBL_Y01" localSheetId="24">#REF!</definedName>
    <definedName name="_T_LIABB_NONIBL_Y01">#REF!</definedName>
    <definedName name="_T_LIABB_NONIBL_Y02" localSheetId="5">#REF!</definedName>
    <definedName name="_T_LIABB_NONIBL_Y02" localSheetId="24">#REF!</definedName>
    <definedName name="_T_LIABB_NONIBL_Y02">#REF!</definedName>
    <definedName name="_T_LIABB_NONIBL_Y03" localSheetId="5">#REF!</definedName>
    <definedName name="_T_LIABB_NONIBL_Y03" localSheetId="24">#REF!</definedName>
    <definedName name="_T_LIABB_NONIBL_Y03">#REF!</definedName>
    <definedName name="_T_LIABB_NONIBL_Y90" localSheetId="5">#REF!</definedName>
    <definedName name="_T_LIABB_NONIBL_Y90" localSheetId="24">#REF!</definedName>
    <definedName name="_T_LIABB_NONIBL_Y90">#REF!</definedName>
    <definedName name="_T_LIABB_NONIBL_Y91" localSheetId="5">#REF!</definedName>
    <definedName name="_T_LIABB_NONIBL_Y91" localSheetId="24">#REF!</definedName>
    <definedName name="_T_LIABB_NONIBL_Y91">#REF!</definedName>
    <definedName name="_T_LIABB_NONIBL_Y92" localSheetId="5">#REF!</definedName>
    <definedName name="_T_LIABB_NONIBL_Y92" localSheetId="24">#REF!</definedName>
    <definedName name="_T_LIABB_NONIBL_Y92">#REF!</definedName>
    <definedName name="_T_LIABB_NONIBL_Y93" localSheetId="5">#REF!</definedName>
    <definedName name="_T_LIABB_NONIBL_Y93" localSheetId="24">#REF!</definedName>
    <definedName name="_T_LIABB_NONIBL_Y93">#REF!</definedName>
    <definedName name="_T_LIABB_NONIBL_Y94" localSheetId="5">#REF!</definedName>
    <definedName name="_T_LIABB_NONIBL_Y94" localSheetId="24">#REF!</definedName>
    <definedName name="_T_LIABB_NONIBL_Y94">#REF!</definedName>
    <definedName name="_T_LIABB_NONIBL_Y95" localSheetId="5">#REF!</definedName>
    <definedName name="_T_LIABB_NONIBL_Y95" localSheetId="24">#REF!</definedName>
    <definedName name="_T_LIABB_NONIBL_Y95">#REF!</definedName>
    <definedName name="_T_LIABB_NONIBL_Y96" localSheetId="5">#REF!</definedName>
    <definedName name="_T_LIABB_NONIBL_Y96" localSheetId="24">#REF!</definedName>
    <definedName name="_T_LIABB_NONIBL_Y96">#REF!</definedName>
    <definedName name="_T_LIABB_NONIBL_Y97" localSheetId="5">#REF!</definedName>
    <definedName name="_T_LIABB_NONIBL_Y97" localSheetId="24">#REF!</definedName>
    <definedName name="_T_LIABB_NONIBL_Y97">#REF!</definedName>
    <definedName name="_T_LIABB_NONIBL_Y98" localSheetId="5">#REF!</definedName>
    <definedName name="_T_LIABB_NONIBL_Y98" localSheetId="24">#REF!</definedName>
    <definedName name="_T_LIABB_NONIBL_Y98">#REF!</definedName>
    <definedName name="_T_LIABB_NONIBL_Y99" localSheetId="5">#REF!</definedName>
    <definedName name="_T_LIABB_NONIBL_Y99" localSheetId="24">#REF!</definedName>
    <definedName name="_T_LIABB_NONIBL_Y99">#REF!</definedName>
    <definedName name="_T_NCA_ACCGWAMTN_Y00" localSheetId="5">#REF!</definedName>
    <definedName name="_T_NCA_ACCGWAMTN_Y00" localSheetId="24">#REF!</definedName>
    <definedName name="_T_NCA_ACCGWAMTN_Y00">#REF!</definedName>
    <definedName name="_T_NCA_ACCGWAMTN_Y01" localSheetId="5">#REF!</definedName>
    <definedName name="_T_NCA_ACCGWAMTN_Y01" localSheetId="24">#REF!</definedName>
    <definedName name="_T_NCA_ACCGWAMTN_Y01">#REF!</definedName>
    <definedName name="_T_NCA_ACCGWAMTN_Y02" localSheetId="5">#REF!</definedName>
    <definedName name="_T_NCA_ACCGWAMTN_Y02" localSheetId="24">#REF!</definedName>
    <definedName name="_T_NCA_ACCGWAMTN_Y02">#REF!</definedName>
    <definedName name="_T_NCA_ACCGWAMTN_Y03" localSheetId="5">#REF!</definedName>
    <definedName name="_T_NCA_ACCGWAMTN_Y03" localSheetId="24">#REF!</definedName>
    <definedName name="_T_NCA_ACCGWAMTN_Y03">#REF!</definedName>
    <definedName name="_T_NCA_ACCGWAMTN_Y04" localSheetId="5">#REF!</definedName>
    <definedName name="_T_NCA_ACCGWAMTN_Y04" localSheetId="24">#REF!</definedName>
    <definedName name="_T_NCA_ACCGWAMTN_Y04">#REF!</definedName>
    <definedName name="_T_NCA_ACCGWAMTN_Y05" localSheetId="5">#REF!</definedName>
    <definedName name="_T_NCA_ACCGWAMTN_Y05" localSheetId="24">#REF!</definedName>
    <definedName name="_T_NCA_ACCGWAMTN_Y05">#REF!</definedName>
    <definedName name="_T_NCA_ACCGWAMTN_Y06" localSheetId="5">#REF!</definedName>
    <definedName name="_T_NCA_ACCGWAMTN_Y06" localSheetId="24">#REF!</definedName>
    <definedName name="_T_NCA_ACCGWAMTN_Y06">#REF!</definedName>
    <definedName name="_T_NCA_ACCGWAMTN_Y07" localSheetId="5">#REF!</definedName>
    <definedName name="_T_NCA_ACCGWAMTN_Y07" localSheetId="24">#REF!</definedName>
    <definedName name="_T_NCA_ACCGWAMTN_Y07">#REF!</definedName>
    <definedName name="_T_NCA_ACCGWAMTN_Y08" localSheetId="5">#REF!</definedName>
    <definedName name="_T_NCA_ACCGWAMTN_Y08" localSheetId="24">#REF!</definedName>
    <definedName name="_T_NCA_ACCGWAMTN_Y08">#REF!</definedName>
    <definedName name="_T_NCA_ACCGWAMTN_Y92" localSheetId="5">#REF!</definedName>
    <definedName name="_T_NCA_ACCGWAMTN_Y92" localSheetId="24">#REF!</definedName>
    <definedName name="_T_NCA_ACCGWAMTN_Y92">#REF!</definedName>
    <definedName name="_T_NCA_ACCGWAMTN_Y93" localSheetId="5">#REF!</definedName>
    <definedName name="_T_NCA_ACCGWAMTN_Y93" localSheetId="24">#REF!</definedName>
    <definedName name="_T_NCA_ACCGWAMTN_Y93">#REF!</definedName>
    <definedName name="_T_NCA_ACCGWAMTN_Y94" localSheetId="5">#REF!</definedName>
    <definedName name="_T_NCA_ACCGWAMTN_Y94" localSheetId="24">#REF!</definedName>
    <definedName name="_T_NCA_ACCGWAMTN_Y94">#REF!</definedName>
    <definedName name="_T_NCA_ACCGWAMTN_Y95" localSheetId="5">#REF!</definedName>
    <definedName name="_T_NCA_ACCGWAMTN_Y95" localSheetId="24">#REF!</definedName>
    <definedName name="_T_NCA_ACCGWAMTN_Y95">#REF!</definedName>
    <definedName name="_T_NCA_ACCGWAMTN_Y96" localSheetId="5">#REF!</definedName>
    <definedName name="_T_NCA_ACCGWAMTN_Y96" localSheetId="24">#REF!</definedName>
    <definedName name="_T_NCA_ACCGWAMTN_Y96">#REF!</definedName>
    <definedName name="_T_NCA_ACCGWAMTN_Y97" localSheetId="5">#REF!</definedName>
    <definedName name="_T_NCA_ACCGWAMTN_Y97" localSheetId="24">#REF!</definedName>
    <definedName name="_T_NCA_ACCGWAMTN_Y97">#REF!</definedName>
    <definedName name="_T_NCA_ACCGWAMTN_Y98" localSheetId="5">#REF!</definedName>
    <definedName name="_T_NCA_ACCGWAMTN_Y98" localSheetId="24">#REF!</definedName>
    <definedName name="_T_NCA_ACCGWAMTN_Y98">#REF!</definedName>
    <definedName name="_T_NCA_ACCGWAMTN_Y99" localSheetId="5">#REF!</definedName>
    <definedName name="_T_NCA_ACCGWAMTN_Y99" localSheetId="24">#REF!</definedName>
    <definedName name="_T_NCA_ACCGWAMTN_Y99">#REF!</definedName>
    <definedName name="_T_NCA_BNAMES_Y00" localSheetId="5">#REF!</definedName>
    <definedName name="_T_NCA_BNAMES_Y00" localSheetId="24">#REF!</definedName>
    <definedName name="_T_NCA_BNAMES_Y00">#REF!</definedName>
    <definedName name="_T_NCA_BNAMES_Y01" localSheetId="5">#REF!</definedName>
    <definedName name="_T_NCA_BNAMES_Y01" localSheetId="24">#REF!</definedName>
    <definedName name="_T_NCA_BNAMES_Y01">#REF!</definedName>
    <definedName name="_T_NCA_BNAMES_Y02" localSheetId="5">#REF!</definedName>
    <definedName name="_T_NCA_BNAMES_Y02" localSheetId="24">#REF!</definedName>
    <definedName name="_T_NCA_BNAMES_Y02">#REF!</definedName>
    <definedName name="_T_NCA_BNAMES_Y03" localSheetId="5">#REF!</definedName>
    <definedName name="_T_NCA_BNAMES_Y03" localSheetId="24">#REF!</definedName>
    <definedName name="_T_NCA_BNAMES_Y03">#REF!</definedName>
    <definedName name="_T_NCA_BNAMES_Y04" localSheetId="5">#REF!</definedName>
    <definedName name="_T_NCA_BNAMES_Y04" localSheetId="24">#REF!</definedName>
    <definedName name="_T_NCA_BNAMES_Y04">#REF!</definedName>
    <definedName name="_T_NCA_BNAMES_Y05" localSheetId="5">#REF!</definedName>
    <definedName name="_T_NCA_BNAMES_Y05" localSheetId="24">#REF!</definedName>
    <definedName name="_T_NCA_BNAMES_Y05">#REF!</definedName>
    <definedName name="_T_NCA_BNAMES_Y06" localSheetId="5">#REF!</definedName>
    <definedName name="_T_NCA_BNAMES_Y06" localSheetId="24">#REF!</definedName>
    <definedName name="_T_NCA_BNAMES_Y06">#REF!</definedName>
    <definedName name="_T_NCA_BNAMES_Y07" localSheetId="5">#REF!</definedName>
    <definedName name="_T_NCA_BNAMES_Y07" localSheetId="24">#REF!</definedName>
    <definedName name="_T_NCA_BNAMES_Y07">#REF!</definedName>
    <definedName name="_T_NCA_BNAMES_Y08" localSheetId="5">#REF!</definedName>
    <definedName name="_T_NCA_BNAMES_Y08" localSheetId="24">#REF!</definedName>
    <definedName name="_T_NCA_BNAMES_Y08">#REF!</definedName>
    <definedName name="_T_NCA_BNAMES_Y92" localSheetId="5">#REF!</definedName>
    <definedName name="_T_NCA_BNAMES_Y92" localSheetId="24">#REF!</definedName>
    <definedName name="_T_NCA_BNAMES_Y92">#REF!</definedName>
    <definedName name="_T_NCA_BNAMES_Y93" localSheetId="5">#REF!</definedName>
    <definedName name="_T_NCA_BNAMES_Y93" localSheetId="24">#REF!</definedName>
    <definedName name="_T_NCA_BNAMES_Y93">#REF!</definedName>
    <definedName name="_T_NCA_BNAMES_Y94" localSheetId="5">#REF!</definedName>
    <definedName name="_T_NCA_BNAMES_Y94" localSheetId="24">#REF!</definedName>
    <definedName name="_T_NCA_BNAMES_Y94">#REF!</definedName>
    <definedName name="_T_NCA_BNAMES_Y95" localSheetId="5">#REF!</definedName>
    <definedName name="_T_NCA_BNAMES_Y95" localSheetId="24">#REF!</definedName>
    <definedName name="_T_NCA_BNAMES_Y95">#REF!</definedName>
    <definedName name="_T_NCA_BNAMES_Y96" localSheetId="5">#REF!</definedName>
    <definedName name="_T_NCA_BNAMES_Y96" localSheetId="24">#REF!</definedName>
    <definedName name="_T_NCA_BNAMES_Y96">#REF!</definedName>
    <definedName name="_T_NCA_BNAMES_Y97" localSheetId="5">#REF!</definedName>
    <definedName name="_T_NCA_BNAMES_Y97" localSheetId="24">#REF!</definedName>
    <definedName name="_T_NCA_BNAMES_Y97">#REF!</definedName>
    <definedName name="_T_NCA_BNAMES_Y98" localSheetId="5">#REF!</definedName>
    <definedName name="_T_NCA_BNAMES_Y98" localSheetId="24">#REF!</definedName>
    <definedName name="_T_NCA_BNAMES_Y98">#REF!</definedName>
    <definedName name="_T_NCA_BNAMES_Y99" localSheetId="5">#REF!</definedName>
    <definedName name="_T_NCA_BNAMES_Y99" localSheetId="24">#REF!</definedName>
    <definedName name="_T_NCA_BNAMES_Y99">#REF!</definedName>
    <definedName name="_T_NCA_FUT_TAX_Y00" localSheetId="5">#REF!</definedName>
    <definedName name="_T_NCA_FUT_TAX_Y00" localSheetId="24">#REF!</definedName>
    <definedName name="_T_NCA_FUT_TAX_Y00">#REF!</definedName>
    <definedName name="_T_NCA_FUT_TAX_Y01" localSheetId="5">#REF!</definedName>
    <definedName name="_T_NCA_FUT_TAX_Y01" localSheetId="24">#REF!</definedName>
    <definedName name="_T_NCA_FUT_TAX_Y01">#REF!</definedName>
    <definedName name="_T_NCA_FUT_TAX_Y02" localSheetId="5">#REF!</definedName>
    <definedName name="_T_NCA_FUT_TAX_Y02" localSheetId="24">#REF!</definedName>
    <definedName name="_T_NCA_FUT_TAX_Y02">#REF!</definedName>
    <definedName name="_T_NCA_FUT_TAX_Y03" localSheetId="5">#REF!</definedName>
    <definedName name="_T_NCA_FUT_TAX_Y03" localSheetId="24">#REF!</definedName>
    <definedName name="_T_NCA_FUT_TAX_Y03">#REF!</definedName>
    <definedName name="_T_NCA_FUT_TAX_Y04" localSheetId="5">#REF!</definedName>
    <definedName name="_T_NCA_FUT_TAX_Y04" localSheetId="24">#REF!</definedName>
    <definedName name="_T_NCA_FUT_TAX_Y04">#REF!</definedName>
    <definedName name="_T_NCA_FUT_TAX_Y05" localSheetId="5">#REF!</definedName>
    <definedName name="_T_NCA_FUT_TAX_Y05" localSheetId="24">#REF!</definedName>
    <definedName name="_T_NCA_FUT_TAX_Y05">#REF!</definedName>
    <definedName name="_T_NCA_FUT_TAX_Y06" localSheetId="5">#REF!</definedName>
    <definedName name="_T_NCA_FUT_TAX_Y06" localSheetId="24">#REF!</definedName>
    <definedName name="_T_NCA_FUT_TAX_Y06">#REF!</definedName>
    <definedName name="_T_NCA_FUT_TAX_Y07" localSheetId="5">#REF!</definedName>
    <definedName name="_T_NCA_FUT_TAX_Y07" localSheetId="24">#REF!</definedName>
    <definedName name="_T_NCA_FUT_TAX_Y07">#REF!</definedName>
    <definedName name="_T_NCA_FUT_TAX_Y08" localSheetId="5">#REF!</definedName>
    <definedName name="_T_NCA_FUT_TAX_Y08" localSheetId="24">#REF!</definedName>
    <definedName name="_T_NCA_FUT_TAX_Y08">#REF!</definedName>
    <definedName name="_T_NCA_FUT_TAX_Y92" localSheetId="5">#REF!</definedName>
    <definedName name="_T_NCA_FUT_TAX_Y92" localSheetId="24">#REF!</definedName>
    <definedName name="_T_NCA_FUT_TAX_Y92">#REF!</definedName>
    <definedName name="_T_NCA_FUT_TAX_Y93" localSheetId="5">#REF!</definedName>
    <definedName name="_T_NCA_FUT_TAX_Y93" localSheetId="24">#REF!</definedName>
    <definedName name="_T_NCA_FUT_TAX_Y93">#REF!</definedName>
    <definedName name="_T_NCA_FUT_TAX_Y94" localSheetId="5">#REF!</definedName>
    <definedName name="_T_NCA_FUT_TAX_Y94" localSheetId="24">#REF!</definedName>
    <definedName name="_T_NCA_FUT_TAX_Y94">#REF!</definedName>
    <definedName name="_T_NCA_FUT_TAX_Y95" localSheetId="5">#REF!</definedName>
    <definedName name="_T_NCA_FUT_TAX_Y95" localSheetId="24">#REF!</definedName>
    <definedName name="_T_NCA_FUT_TAX_Y95">#REF!</definedName>
    <definedName name="_T_NCA_FUT_TAX_Y96" localSheetId="5">#REF!</definedName>
    <definedName name="_T_NCA_FUT_TAX_Y96" localSheetId="24">#REF!</definedName>
    <definedName name="_T_NCA_FUT_TAX_Y96">#REF!</definedName>
    <definedName name="_T_NCA_FUT_TAX_Y97" localSheetId="5">#REF!</definedName>
    <definedName name="_T_NCA_FUT_TAX_Y97" localSheetId="24">#REF!</definedName>
    <definedName name="_T_NCA_FUT_TAX_Y97">#REF!</definedName>
    <definedName name="_T_NCA_FUT_TAX_Y98" localSheetId="5">#REF!</definedName>
    <definedName name="_T_NCA_FUT_TAX_Y98" localSheetId="24">#REF!</definedName>
    <definedName name="_T_NCA_FUT_TAX_Y98">#REF!</definedName>
    <definedName name="_T_NCA_FUT_TAX_Y99" localSheetId="5">#REF!</definedName>
    <definedName name="_T_NCA_FUT_TAX_Y99" localSheetId="24">#REF!</definedName>
    <definedName name="_T_NCA_FUT_TAX_Y99">#REF!</definedName>
    <definedName name="_T_NCA_GW_TOT_Y00" localSheetId="5">#REF!</definedName>
    <definedName name="_T_NCA_GW_TOT_Y00" localSheetId="24">#REF!</definedName>
    <definedName name="_T_NCA_GW_TOT_Y00">#REF!</definedName>
    <definedName name="_T_NCA_GW_TOT_Y01" localSheetId="5">#REF!</definedName>
    <definedName name="_T_NCA_GW_TOT_Y01" localSheetId="24">#REF!</definedName>
    <definedName name="_T_NCA_GW_TOT_Y01">#REF!</definedName>
    <definedName name="_T_NCA_GW_TOT_Y02" localSheetId="5">#REF!</definedName>
    <definedName name="_T_NCA_GW_TOT_Y02" localSheetId="24">#REF!</definedName>
    <definedName name="_T_NCA_GW_TOT_Y02">#REF!</definedName>
    <definedName name="_T_NCA_GW_TOT_Y03" localSheetId="5">#REF!</definedName>
    <definedName name="_T_NCA_GW_TOT_Y03" localSheetId="24">#REF!</definedName>
    <definedName name="_T_NCA_GW_TOT_Y03">#REF!</definedName>
    <definedName name="_T_NCA_GW_TOT_Y04" localSheetId="5">#REF!</definedName>
    <definedName name="_T_NCA_GW_TOT_Y04" localSheetId="24">#REF!</definedName>
    <definedName name="_T_NCA_GW_TOT_Y04">#REF!</definedName>
    <definedName name="_T_NCA_GW_TOT_Y05" localSheetId="5">#REF!</definedName>
    <definedName name="_T_NCA_GW_TOT_Y05" localSheetId="24">#REF!</definedName>
    <definedName name="_T_NCA_GW_TOT_Y05">#REF!</definedName>
    <definedName name="_T_NCA_GW_TOT_Y06" localSheetId="5">#REF!</definedName>
    <definedName name="_T_NCA_GW_TOT_Y06" localSheetId="24">#REF!</definedName>
    <definedName name="_T_NCA_GW_TOT_Y06">#REF!</definedName>
    <definedName name="_T_NCA_GW_TOT_Y07" localSheetId="5">#REF!</definedName>
    <definedName name="_T_NCA_GW_TOT_Y07" localSheetId="24">#REF!</definedName>
    <definedName name="_T_NCA_GW_TOT_Y07">#REF!</definedName>
    <definedName name="_T_NCA_GW_TOT_Y08" localSheetId="5">#REF!</definedName>
    <definedName name="_T_NCA_GW_TOT_Y08" localSheetId="24">#REF!</definedName>
    <definedName name="_T_NCA_GW_TOT_Y08">#REF!</definedName>
    <definedName name="_T_NCA_GW_TOT_Y92" localSheetId="5">#REF!</definedName>
    <definedName name="_T_NCA_GW_TOT_Y92" localSheetId="24">#REF!</definedName>
    <definedName name="_T_NCA_GW_TOT_Y92">#REF!</definedName>
    <definedName name="_T_NCA_GW_TOT_Y93" localSheetId="5">#REF!</definedName>
    <definedName name="_T_NCA_GW_TOT_Y93" localSheetId="24">#REF!</definedName>
    <definedName name="_T_NCA_GW_TOT_Y93">#REF!</definedName>
    <definedName name="_T_NCA_GW_TOT_Y94" localSheetId="5">#REF!</definedName>
    <definedName name="_T_NCA_GW_TOT_Y94" localSheetId="24">#REF!</definedName>
    <definedName name="_T_NCA_GW_TOT_Y94">#REF!</definedName>
    <definedName name="_T_NCA_GW_TOT_Y95" localSheetId="5">#REF!</definedName>
    <definedName name="_T_NCA_GW_TOT_Y95" localSheetId="24">#REF!</definedName>
    <definedName name="_T_NCA_GW_TOT_Y95">#REF!</definedName>
    <definedName name="_T_NCA_GW_TOT_Y96" localSheetId="5">#REF!</definedName>
    <definedName name="_T_NCA_GW_TOT_Y96" localSheetId="24">#REF!</definedName>
    <definedName name="_T_NCA_GW_TOT_Y96">#REF!</definedName>
    <definedName name="_T_NCA_GW_TOT_Y97" localSheetId="5">#REF!</definedName>
    <definedName name="_T_NCA_GW_TOT_Y97" localSheetId="24">#REF!</definedName>
    <definedName name="_T_NCA_GW_TOT_Y97">#REF!</definedName>
    <definedName name="_T_NCA_GW_TOT_Y98" localSheetId="5">#REF!</definedName>
    <definedName name="_T_NCA_GW_TOT_Y98" localSheetId="24">#REF!</definedName>
    <definedName name="_T_NCA_GW_TOT_Y98">#REF!</definedName>
    <definedName name="_T_NCA_GW_TOT_Y99" localSheetId="5">#REF!</definedName>
    <definedName name="_T_NCA_GW_TOT_Y99" localSheetId="24">#REF!</definedName>
    <definedName name="_T_NCA_GW_TOT_Y99">#REF!</definedName>
    <definedName name="_T_NCA_INTANG_OTHER_Y00" localSheetId="5">#REF!</definedName>
    <definedName name="_T_NCA_INTANG_OTHER_Y00" localSheetId="24">#REF!</definedName>
    <definedName name="_T_NCA_INTANG_OTHER_Y00">#REF!</definedName>
    <definedName name="_T_NCA_INTANG_OTHER_Y01" localSheetId="5">#REF!</definedName>
    <definedName name="_T_NCA_INTANG_OTHER_Y01" localSheetId="24">#REF!</definedName>
    <definedName name="_T_NCA_INTANG_OTHER_Y01">#REF!</definedName>
    <definedName name="_T_NCA_INTANG_OTHER_Y02" localSheetId="5">#REF!</definedName>
    <definedName name="_T_NCA_INTANG_OTHER_Y02" localSheetId="24">#REF!</definedName>
    <definedName name="_T_NCA_INTANG_OTHER_Y02">#REF!</definedName>
    <definedName name="_T_NCA_INTANG_OTHER_Y03" localSheetId="5">#REF!</definedName>
    <definedName name="_T_NCA_INTANG_OTHER_Y03" localSheetId="24">#REF!</definedName>
    <definedName name="_T_NCA_INTANG_OTHER_Y03">#REF!</definedName>
    <definedName name="_T_NCA_INTANG_OTHER_Y04" localSheetId="5">#REF!</definedName>
    <definedName name="_T_NCA_INTANG_OTHER_Y04" localSheetId="24">#REF!</definedName>
    <definedName name="_T_NCA_INTANG_OTHER_Y04">#REF!</definedName>
    <definedName name="_T_NCA_INTANG_OTHER_Y05" localSheetId="5">#REF!</definedName>
    <definedName name="_T_NCA_INTANG_OTHER_Y05" localSheetId="24">#REF!</definedName>
    <definedName name="_T_NCA_INTANG_OTHER_Y05">#REF!</definedName>
    <definedName name="_T_NCA_INTANG_OTHER_Y06" localSheetId="5">#REF!</definedName>
    <definedName name="_T_NCA_INTANG_OTHER_Y06" localSheetId="24">#REF!</definedName>
    <definedName name="_T_NCA_INTANG_OTHER_Y06">#REF!</definedName>
    <definedName name="_T_NCA_INTANG_OTHER_Y07" localSheetId="5">#REF!</definedName>
    <definedName name="_T_NCA_INTANG_OTHER_Y07" localSheetId="24">#REF!</definedName>
    <definedName name="_T_NCA_INTANG_OTHER_Y07">#REF!</definedName>
    <definedName name="_T_NCA_INTANG_OTHER_Y08" localSheetId="5">#REF!</definedName>
    <definedName name="_T_NCA_INTANG_OTHER_Y08" localSheetId="24">#REF!</definedName>
    <definedName name="_T_NCA_INTANG_OTHER_Y08">#REF!</definedName>
    <definedName name="_T_NCA_INTANG_OTHER_Y92" localSheetId="5">#REF!</definedName>
    <definedName name="_T_NCA_INTANG_OTHER_Y92" localSheetId="24">#REF!</definedName>
    <definedName name="_T_NCA_INTANG_OTHER_Y92">#REF!</definedName>
    <definedName name="_T_NCA_INTANG_OTHER_Y93" localSheetId="5">#REF!</definedName>
    <definedName name="_T_NCA_INTANG_OTHER_Y93" localSheetId="24">#REF!</definedName>
    <definedName name="_T_NCA_INTANG_OTHER_Y93">#REF!</definedName>
    <definedName name="_T_NCA_INTANG_OTHER_Y94" localSheetId="5">#REF!</definedName>
    <definedName name="_T_NCA_INTANG_OTHER_Y94" localSheetId="24">#REF!</definedName>
    <definedName name="_T_NCA_INTANG_OTHER_Y94">#REF!</definedName>
    <definedName name="_T_NCA_INTANG_OTHER_Y95" localSheetId="5">#REF!</definedName>
    <definedName name="_T_NCA_INTANG_OTHER_Y95" localSheetId="24">#REF!</definedName>
    <definedName name="_T_NCA_INTANG_OTHER_Y95">#REF!</definedName>
    <definedName name="_T_NCA_INTANG_OTHER_Y96" localSheetId="5">#REF!</definedName>
    <definedName name="_T_NCA_INTANG_OTHER_Y96" localSheetId="24">#REF!</definedName>
    <definedName name="_T_NCA_INTANG_OTHER_Y96">#REF!</definedName>
    <definedName name="_T_NCA_INTANG_OTHER_Y97" localSheetId="5">#REF!</definedName>
    <definedName name="_T_NCA_INTANG_OTHER_Y97" localSheetId="24">#REF!</definedName>
    <definedName name="_T_NCA_INTANG_OTHER_Y97">#REF!</definedName>
    <definedName name="_T_NCA_INTANG_OTHER_Y98" localSheetId="5">#REF!</definedName>
    <definedName name="_T_NCA_INTANG_OTHER_Y98" localSheetId="24">#REF!</definedName>
    <definedName name="_T_NCA_INTANG_OTHER_Y98">#REF!</definedName>
    <definedName name="_T_NCA_INTANG_OTHER_Y99" localSheetId="5">#REF!</definedName>
    <definedName name="_T_NCA_INTANG_OTHER_Y99" localSheetId="24">#REF!</definedName>
    <definedName name="_T_NCA_INTANG_OTHER_Y99">#REF!</definedName>
    <definedName name="_T_NCA_INTANG_Y00" localSheetId="5">#REF!</definedName>
    <definedName name="_T_NCA_INTANG_Y00" localSheetId="24">#REF!</definedName>
    <definedName name="_T_NCA_INTANG_Y00">#REF!</definedName>
    <definedName name="_T_NCA_INTANG_Y01" localSheetId="5">#REF!</definedName>
    <definedName name="_T_NCA_INTANG_Y01" localSheetId="24">#REF!</definedName>
    <definedName name="_T_NCA_INTANG_Y01">#REF!</definedName>
    <definedName name="_T_NCA_INTANG_Y02" localSheetId="5">#REF!</definedName>
    <definedName name="_T_NCA_INTANG_Y02" localSheetId="24">#REF!</definedName>
    <definedName name="_T_NCA_INTANG_Y02">#REF!</definedName>
    <definedName name="_T_NCA_INTANG_Y03" localSheetId="5">#REF!</definedName>
    <definedName name="_T_NCA_INTANG_Y03" localSheetId="24">#REF!</definedName>
    <definedName name="_T_NCA_INTANG_Y03">#REF!</definedName>
    <definedName name="_T_NCA_INTANG_Y90" localSheetId="5">#REF!</definedName>
    <definedName name="_T_NCA_INTANG_Y90" localSheetId="24">#REF!</definedName>
    <definedName name="_T_NCA_INTANG_Y90">#REF!</definedName>
    <definedName name="_T_NCA_INTANG_Y91" localSheetId="5">#REF!</definedName>
    <definedName name="_T_NCA_INTANG_Y91" localSheetId="24">#REF!</definedName>
    <definedName name="_T_NCA_INTANG_Y91">#REF!</definedName>
    <definedName name="_T_NCA_INTANG_Y92" localSheetId="5">#REF!</definedName>
    <definedName name="_T_NCA_INTANG_Y92" localSheetId="24">#REF!</definedName>
    <definedName name="_T_NCA_INTANG_Y92">#REF!</definedName>
    <definedName name="_T_NCA_INTANG_Y93" localSheetId="5">#REF!</definedName>
    <definedName name="_T_NCA_INTANG_Y93" localSheetId="24">#REF!</definedName>
    <definedName name="_T_NCA_INTANG_Y93">#REF!</definedName>
    <definedName name="_T_NCA_INTANG_Y94" localSheetId="5">#REF!</definedName>
    <definedName name="_T_NCA_INTANG_Y94" localSheetId="24">#REF!</definedName>
    <definedName name="_T_NCA_INTANG_Y94">#REF!</definedName>
    <definedName name="_T_NCA_INTANG_Y95" localSheetId="5">#REF!</definedName>
    <definedName name="_T_NCA_INTANG_Y95" localSheetId="24">#REF!</definedName>
    <definedName name="_T_NCA_INTANG_Y95">#REF!</definedName>
    <definedName name="_T_NCA_INTANG_Y96" localSheetId="5">#REF!</definedName>
    <definedName name="_T_NCA_INTANG_Y96" localSheetId="24">#REF!</definedName>
    <definedName name="_T_NCA_INTANG_Y96">#REF!</definedName>
    <definedName name="_T_NCA_INTANG_Y97" localSheetId="5">#REF!</definedName>
    <definedName name="_T_NCA_INTANG_Y97" localSheetId="24">#REF!</definedName>
    <definedName name="_T_NCA_INTANG_Y97">#REF!</definedName>
    <definedName name="_T_NCA_INTANG_Y98" localSheetId="5">#REF!</definedName>
    <definedName name="_T_NCA_INTANG_Y98" localSheetId="24">#REF!</definedName>
    <definedName name="_T_NCA_INTANG_Y98">#REF!</definedName>
    <definedName name="_T_NCA_INTANG_Y99" localSheetId="5">#REF!</definedName>
    <definedName name="_T_NCA_INTANG_Y99" localSheetId="24">#REF!</definedName>
    <definedName name="_T_NCA_INTANG_Y99">#REF!</definedName>
    <definedName name="_T_NCA_INV_Y00" localSheetId="5">#REF!</definedName>
    <definedName name="_T_NCA_INV_Y00" localSheetId="24">#REF!</definedName>
    <definedName name="_T_NCA_INV_Y00">#REF!</definedName>
    <definedName name="_T_NCA_INV_Y01" localSheetId="5">#REF!</definedName>
    <definedName name="_T_NCA_INV_Y01" localSheetId="24">#REF!</definedName>
    <definedName name="_T_NCA_INV_Y01">#REF!</definedName>
    <definedName name="_T_NCA_INV_Y02" localSheetId="5">#REF!</definedName>
    <definedName name="_T_NCA_INV_Y02" localSheetId="24">#REF!</definedName>
    <definedName name="_T_NCA_INV_Y02">#REF!</definedName>
    <definedName name="_T_NCA_INV_Y03" localSheetId="5">#REF!</definedName>
    <definedName name="_T_NCA_INV_Y03" localSheetId="24">#REF!</definedName>
    <definedName name="_T_NCA_INV_Y03">#REF!</definedName>
    <definedName name="_T_NCA_INV_Y04" localSheetId="5">#REF!</definedName>
    <definedName name="_T_NCA_INV_Y04" localSheetId="24">#REF!</definedName>
    <definedName name="_T_NCA_INV_Y04">#REF!</definedName>
    <definedName name="_T_NCA_INV_Y05" localSheetId="5">#REF!</definedName>
    <definedName name="_T_NCA_INV_Y05" localSheetId="24">#REF!</definedName>
    <definedName name="_T_NCA_INV_Y05">#REF!</definedName>
    <definedName name="_T_NCA_INV_Y06" localSheetId="5">#REF!</definedName>
    <definedName name="_T_NCA_INV_Y06" localSheetId="24">#REF!</definedName>
    <definedName name="_T_NCA_INV_Y06">#REF!</definedName>
    <definedName name="_T_NCA_INV_Y07" localSheetId="5">#REF!</definedName>
    <definedName name="_T_NCA_INV_Y07" localSheetId="24">#REF!</definedName>
    <definedName name="_T_NCA_INV_Y07">#REF!</definedName>
    <definedName name="_T_NCA_INV_Y08" localSheetId="5">#REF!</definedName>
    <definedName name="_T_NCA_INV_Y08" localSheetId="24">#REF!</definedName>
    <definedName name="_T_NCA_INV_Y08">#REF!</definedName>
    <definedName name="_T_NCA_INV_Y92" localSheetId="5">#REF!</definedName>
    <definedName name="_T_NCA_INV_Y92" localSheetId="24">#REF!</definedName>
    <definedName name="_T_NCA_INV_Y92">#REF!</definedName>
    <definedName name="_T_NCA_INV_Y93" localSheetId="5">#REF!</definedName>
    <definedName name="_T_NCA_INV_Y93" localSheetId="24">#REF!</definedName>
    <definedName name="_T_NCA_INV_Y93">#REF!</definedName>
    <definedName name="_T_NCA_INV_Y94" localSheetId="5">#REF!</definedName>
    <definedName name="_T_NCA_INV_Y94" localSheetId="24">#REF!</definedName>
    <definedName name="_T_NCA_INV_Y94">#REF!</definedName>
    <definedName name="_T_NCA_INV_Y95" localSheetId="5">#REF!</definedName>
    <definedName name="_T_NCA_INV_Y95" localSheetId="24">#REF!</definedName>
    <definedName name="_T_NCA_INV_Y95">#REF!</definedName>
    <definedName name="_T_NCA_INV_Y96" localSheetId="5">#REF!</definedName>
    <definedName name="_T_NCA_INV_Y96" localSheetId="24">#REF!</definedName>
    <definedName name="_T_NCA_INV_Y96">#REF!</definedName>
    <definedName name="_T_NCA_INV_Y97" localSheetId="5">#REF!</definedName>
    <definedName name="_T_NCA_INV_Y97" localSheetId="24">#REF!</definedName>
    <definedName name="_T_NCA_INV_Y97">#REF!</definedName>
    <definedName name="_T_NCA_INV_Y98" localSheetId="5">#REF!</definedName>
    <definedName name="_T_NCA_INV_Y98" localSheetId="24">#REF!</definedName>
    <definedName name="_T_NCA_INV_Y98">#REF!</definedName>
    <definedName name="_T_NCA_INV_Y99" localSheetId="5">#REF!</definedName>
    <definedName name="_T_NCA_INV_Y99" localSheetId="24">#REF!</definedName>
    <definedName name="_T_NCA_INV_Y99">#REF!</definedName>
    <definedName name="_T_NCA_INVEST_OTHER_Y00" localSheetId="5">#REF!</definedName>
    <definedName name="_T_NCA_INVEST_OTHER_Y00" localSheetId="24">#REF!</definedName>
    <definedName name="_T_NCA_INVEST_OTHER_Y00">#REF!</definedName>
    <definedName name="_T_NCA_INVEST_OTHER_Y01" localSheetId="5">#REF!</definedName>
    <definedName name="_T_NCA_INVEST_OTHER_Y01" localSheetId="24">#REF!</definedName>
    <definedName name="_T_NCA_INVEST_OTHER_Y01">#REF!</definedName>
    <definedName name="_T_NCA_INVEST_OTHER_Y02" localSheetId="5">#REF!</definedName>
    <definedName name="_T_NCA_INVEST_OTHER_Y02" localSheetId="24">#REF!</definedName>
    <definedName name="_T_NCA_INVEST_OTHER_Y02">#REF!</definedName>
    <definedName name="_T_NCA_INVEST_OTHER_Y03" localSheetId="5">#REF!</definedName>
    <definedName name="_T_NCA_INVEST_OTHER_Y03" localSheetId="24">#REF!</definedName>
    <definedName name="_T_NCA_INVEST_OTHER_Y03">#REF!</definedName>
    <definedName name="_T_NCA_INVEST_OTHER_Y04" localSheetId="5">#REF!</definedName>
    <definedName name="_T_NCA_INVEST_OTHER_Y04" localSheetId="24">#REF!</definedName>
    <definedName name="_T_NCA_INVEST_OTHER_Y04">#REF!</definedName>
    <definedName name="_T_NCA_INVEST_OTHER_Y05" localSheetId="5">#REF!</definedName>
    <definedName name="_T_NCA_INVEST_OTHER_Y05" localSheetId="24">#REF!</definedName>
    <definedName name="_T_NCA_INVEST_OTHER_Y05">#REF!</definedName>
    <definedName name="_T_NCA_INVEST_OTHER_Y06" localSheetId="5">#REF!</definedName>
    <definedName name="_T_NCA_INVEST_OTHER_Y06" localSheetId="24">#REF!</definedName>
    <definedName name="_T_NCA_INVEST_OTHER_Y06">#REF!</definedName>
    <definedName name="_T_NCA_INVEST_OTHER_Y07" localSheetId="5">#REF!</definedName>
    <definedName name="_T_NCA_INVEST_OTHER_Y07" localSheetId="24">#REF!</definedName>
    <definedName name="_T_NCA_INVEST_OTHER_Y07">#REF!</definedName>
    <definedName name="_T_NCA_INVEST_OTHER_Y08" localSheetId="5">#REF!</definedName>
    <definedName name="_T_NCA_INVEST_OTHER_Y08" localSheetId="24">#REF!</definedName>
    <definedName name="_T_NCA_INVEST_OTHER_Y08">#REF!</definedName>
    <definedName name="_T_NCA_INVEST_OTHER_Y92" localSheetId="5">#REF!</definedName>
    <definedName name="_T_NCA_INVEST_OTHER_Y92" localSheetId="24">#REF!</definedName>
    <definedName name="_T_NCA_INVEST_OTHER_Y92">#REF!</definedName>
    <definedName name="_T_NCA_INVEST_OTHER_Y93" localSheetId="5">#REF!</definedName>
    <definedName name="_T_NCA_INVEST_OTHER_Y93" localSheetId="24">#REF!</definedName>
    <definedName name="_T_NCA_INVEST_OTHER_Y93">#REF!</definedName>
    <definedName name="_T_NCA_INVEST_OTHER_Y94" localSheetId="5">#REF!</definedName>
    <definedName name="_T_NCA_INVEST_OTHER_Y94" localSheetId="24">#REF!</definedName>
    <definedName name="_T_NCA_INVEST_OTHER_Y94">#REF!</definedName>
    <definedName name="_T_NCA_INVEST_OTHER_Y95" localSheetId="5">#REF!</definedName>
    <definedName name="_T_NCA_INVEST_OTHER_Y95" localSheetId="24">#REF!</definedName>
    <definedName name="_T_NCA_INVEST_OTHER_Y95">#REF!</definedName>
    <definedName name="_T_NCA_INVEST_OTHER_Y96" localSheetId="5">#REF!</definedName>
    <definedName name="_T_NCA_INVEST_OTHER_Y96" localSheetId="24">#REF!</definedName>
    <definedName name="_T_NCA_INVEST_OTHER_Y96">#REF!</definedName>
    <definedName name="_T_NCA_INVEST_OTHER_Y97" localSheetId="5">#REF!</definedName>
    <definedName name="_T_NCA_INVEST_OTHER_Y97" localSheetId="24">#REF!</definedName>
    <definedName name="_T_NCA_INVEST_OTHER_Y97">#REF!</definedName>
    <definedName name="_T_NCA_INVEST_OTHER_Y98" localSheetId="5">#REF!</definedName>
    <definedName name="_T_NCA_INVEST_OTHER_Y98" localSheetId="24">#REF!</definedName>
    <definedName name="_T_NCA_INVEST_OTHER_Y98">#REF!</definedName>
    <definedName name="_T_NCA_INVEST_OTHER_Y99" localSheetId="5">#REF!</definedName>
    <definedName name="_T_NCA_INVEST_OTHER_Y99" localSheetId="24">#REF!</definedName>
    <definedName name="_T_NCA_INVEST_OTHER_Y99">#REF!</definedName>
    <definedName name="_T_NCA_OTHER_Y00" localSheetId="5">#REF!</definedName>
    <definedName name="_T_NCA_OTHER_Y00" localSheetId="24">#REF!</definedName>
    <definedName name="_T_NCA_OTHER_Y00">#REF!</definedName>
    <definedName name="_T_NCA_OTHER_Y01" localSheetId="5">#REF!</definedName>
    <definedName name="_T_NCA_OTHER_Y01" localSheetId="24">#REF!</definedName>
    <definedName name="_T_NCA_OTHER_Y01">#REF!</definedName>
    <definedName name="_T_NCA_OTHER_Y02" localSheetId="5">#REF!</definedName>
    <definedName name="_T_NCA_OTHER_Y02" localSheetId="24">#REF!</definedName>
    <definedName name="_T_NCA_OTHER_Y02">#REF!</definedName>
    <definedName name="_T_NCA_OTHER_Y03" localSheetId="5">#REF!</definedName>
    <definedName name="_T_NCA_OTHER_Y03" localSheetId="24">#REF!</definedName>
    <definedName name="_T_NCA_OTHER_Y03">#REF!</definedName>
    <definedName name="_T_NCA_OTHER_Y04" localSheetId="5">#REF!</definedName>
    <definedName name="_T_NCA_OTHER_Y04" localSheetId="24">#REF!</definedName>
    <definedName name="_T_NCA_OTHER_Y04">#REF!</definedName>
    <definedName name="_T_NCA_OTHER_Y05" localSheetId="5">#REF!</definedName>
    <definedName name="_T_NCA_OTHER_Y05" localSheetId="24">#REF!</definedName>
    <definedName name="_T_NCA_OTHER_Y05">#REF!</definedName>
    <definedName name="_T_NCA_OTHER_Y06" localSheetId="5">#REF!</definedName>
    <definedName name="_T_NCA_OTHER_Y06" localSheetId="24">#REF!</definedName>
    <definedName name="_T_NCA_OTHER_Y06">#REF!</definedName>
    <definedName name="_T_NCA_OTHER_Y07" localSheetId="5">#REF!</definedName>
    <definedName name="_T_NCA_OTHER_Y07" localSheetId="24">#REF!</definedName>
    <definedName name="_T_NCA_OTHER_Y07">#REF!</definedName>
    <definedName name="_T_NCA_OTHER_Y08" localSheetId="5">#REF!</definedName>
    <definedName name="_T_NCA_OTHER_Y08" localSheetId="24">#REF!</definedName>
    <definedName name="_T_NCA_OTHER_Y08">#REF!</definedName>
    <definedName name="_T_NCA_OTHER_Y92" localSheetId="5">#REF!</definedName>
    <definedName name="_T_NCA_OTHER_Y92" localSheetId="24">#REF!</definedName>
    <definedName name="_T_NCA_OTHER_Y92">#REF!</definedName>
    <definedName name="_T_NCA_OTHER_Y93" localSheetId="5">#REF!</definedName>
    <definedName name="_T_NCA_OTHER_Y93" localSheetId="24">#REF!</definedName>
    <definedName name="_T_NCA_OTHER_Y93">#REF!</definedName>
    <definedName name="_T_NCA_OTHER_Y94" localSheetId="5">#REF!</definedName>
    <definedName name="_T_NCA_OTHER_Y94" localSheetId="24">#REF!</definedName>
    <definedName name="_T_NCA_OTHER_Y94">#REF!</definedName>
    <definedName name="_T_NCA_OTHER_Y95" localSheetId="5">#REF!</definedName>
    <definedName name="_T_NCA_OTHER_Y95" localSheetId="24">#REF!</definedName>
    <definedName name="_T_NCA_OTHER_Y95">#REF!</definedName>
    <definedName name="_T_NCA_OTHER_Y96" localSheetId="5">#REF!</definedName>
    <definedName name="_T_NCA_OTHER_Y96" localSheetId="24">#REF!</definedName>
    <definedName name="_T_NCA_OTHER_Y96">#REF!</definedName>
    <definedName name="_T_NCA_OTHER_Y97" localSheetId="5">#REF!</definedName>
    <definedName name="_T_NCA_OTHER_Y97" localSheetId="24">#REF!</definedName>
    <definedName name="_T_NCA_OTHER_Y97">#REF!</definedName>
    <definedName name="_T_NCA_OTHER_Y98" localSheetId="5">#REF!</definedName>
    <definedName name="_T_NCA_OTHER_Y98" localSheetId="24">#REF!</definedName>
    <definedName name="_T_NCA_OTHER_Y98">#REF!</definedName>
    <definedName name="_T_NCA_OTHER_Y99" localSheetId="5">#REF!</definedName>
    <definedName name="_T_NCA_OTHER_Y99" localSheetId="24">#REF!</definedName>
    <definedName name="_T_NCA_OTHER_Y99">#REF!</definedName>
    <definedName name="_T_NCA_OTHGW_Y00" localSheetId="5">#REF!</definedName>
    <definedName name="_T_NCA_OTHGW_Y00" localSheetId="24">#REF!</definedName>
    <definedName name="_T_NCA_OTHGW_Y00">#REF!</definedName>
    <definedName name="_T_NCA_OTHGW_Y01" localSheetId="5">#REF!</definedName>
    <definedName name="_T_NCA_OTHGW_Y01" localSheetId="24">#REF!</definedName>
    <definedName name="_T_NCA_OTHGW_Y01">#REF!</definedName>
    <definedName name="_T_NCA_OTHGW_Y02" localSheetId="5">#REF!</definedName>
    <definedName name="_T_NCA_OTHGW_Y02" localSheetId="24">#REF!</definedName>
    <definedName name="_T_NCA_OTHGW_Y02">#REF!</definedName>
    <definedName name="_T_NCA_OTHGW_Y03" localSheetId="5">#REF!</definedName>
    <definedName name="_T_NCA_OTHGW_Y03" localSheetId="24">#REF!</definedName>
    <definedName name="_T_NCA_OTHGW_Y03">#REF!</definedName>
    <definedName name="_T_NCA_OTHGW_Y90" localSheetId="5">#REF!</definedName>
    <definedName name="_T_NCA_OTHGW_Y90" localSheetId="24">#REF!</definedName>
    <definedName name="_T_NCA_OTHGW_Y90">#REF!</definedName>
    <definedName name="_T_NCA_OTHGW_Y91" localSheetId="5">#REF!</definedName>
    <definedName name="_T_NCA_OTHGW_Y91" localSheetId="24">#REF!</definedName>
    <definedName name="_T_NCA_OTHGW_Y91">#REF!</definedName>
    <definedName name="_T_NCA_OTHGW_Y92" localSheetId="5">#REF!</definedName>
    <definedName name="_T_NCA_OTHGW_Y92" localSheetId="24">#REF!</definedName>
    <definedName name="_T_NCA_OTHGW_Y92">#REF!</definedName>
    <definedName name="_T_NCA_OTHGW_Y93" localSheetId="5">#REF!</definedName>
    <definedName name="_T_NCA_OTHGW_Y93" localSheetId="24">#REF!</definedName>
    <definedName name="_T_NCA_OTHGW_Y93">#REF!</definedName>
    <definedName name="_T_NCA_OTHGW_Y94" localSheetId="5">#REF!</definedName>
    <definedName name="_T_NCA_OTHGW_Y94" localSheetId="24">#REF!</definedName>
    <definedName name="_T_NCA_OTHGW_Y94">#REF!</definedName>
    <definedName name="_T_NCA_OTHGW_Y95" localSheetId="5">#REF!</definedName>
    <definedName name="_T_NCA_OTHGW_Y95" localSheetId="24">#REF!</definedName>
    <definedName name="_T_NCA_OTHGW_Y95">#REF!</definedName>
    <definedName name="_T_NCA_OTHGW_Y96" localSheetId="5">#REF!</definedName>
    <definedName name="_T_NCA_OTHGW_Y96" localSheetId="24">#REF!</definedName>
    <definedName name="_T_NCA_OTHGW_Y96">#REF!</definedName>
    <definedName name="_T_NCA_OTHGW_Y97" localSheetId="5">#REF!</definedName>
    <definedName name="_T_NCA_OTHGW_Y97" localSheetId="24">#REF!</definedName>
    <definedName name="_T_NCA_OTHGW_Y97">#REF!</definedName>
    <definedName name="_T_NCA_OTHGW_Y98" localSheetId="5">#REF!</definedName>
    <definedName name="_T_NCA_OTHGW_Y98" localSheetId="24">#REF!</definedName>
    <definedName name="_T_NCA_OTHGW_Y98">#REF!</definedName>
    <definedName name="_T_NCA_OTHGW_Y99" localSheetId="5">#REF!</definedName>
    <definedName name="_T_NCA_OTHGW_Y99" localSheetId="24">#REF!</definedName>
    <definedName name="_T_NCA_OTHGW_Y99">#REF!</definedName>
    <definedName name="_T_NCA_PPE_Y00" localSheetId="5">#REF!</definedName>
    <definedName name="_T_NCA_PPE_Y00" localSheetId="24">#REF!</definedName>
    <definedName name="_T_NCA_PPE_Y00">#REF!</definedName>
    <definedName name="_T_NCA_PPE_Y01" localSheetId="5">#REF!</definedName>
    <definedName name="_T_NCA_PPE_Y01" localSheetId="24">#REF!</definedName>
    <definedName name="_T_NCA_PPE_Y01">#REF!</definedName>
    <definedName name="_T_NCA_PPE_Y02" localSheetId="5">#REF!</definedName>
    <definedName name="_T_NCA_PPE_Y02" localSheetId="24">#REF!</definedName>
    <definedName name="_T_NCA_PPE_Y02">#REF!</definedName>
    <definedName name="_T_NCA_PPE_Y03" localSheetId="5">#REF!</definedName>
    <definedName name="_T_NCA_PPE_Y03" localSheetId="24">#REF!</definedName>
    <definedName name="_T_NCA_PPE_Y03">#REF!</definedName>
    <definedName name="_T_NCA_PPE_Y90" localSheetId="5">#REF!</definedName>
    <definedName name="_T_NCA_PPE_Y90" localSheetId="24">#REF!</definedName>
    <definedName name="_T_NCA_PPE_Y90">#REF!</definedName>
    <definedName name="_T_NCA_PPE_Y91" localSheetId="5">#REF!</definedName>
    <definedName name="_T_NCA_PPE_Y91" localSheetId="24">#REF!</definedName>
    <definedName name="_T_NCA_PPE_Y91">#REF!</definedName>
    <definedName name="_T_NCA_PPE_Y92" localSheetId="5">#REF!</definedName>
    <definedName name="_T_NCA_PPE_Y92" localSheetId="24">#REF!</definedName>
    <definedName name="_T_NCA_PPE_Y92">#REF!</definedName>
    <definedName name="_T_NCA_PPE_Y93" localSheetId="5">#REF!</definedName>
    <definedName name="_T_NCA_PPE_Y93" localSheetId="24">#REF!</definedName>
    <definedName name="_T_NCA_PPE_Y93">#REF!</definedName>
    <definedName name="_T_NCA_PPE_Y94" localSheetId="5">#REF!</definedName>
    <definedName name="_T_NCA_PPE_Y94" localSheetId="24">#REF!</definedName>
    <definedName name="_T_NCA_PPE_Y94">#REF!</definedName>
    <definedName name="_T_NCA_PPE_Y95" localSheetId="5">#REF!</definedName>
    <definedName name="_T_NCA_PPE_Y95" localSheetId="24">#REF!</definedName>
    <definedName name="_T_NCA_PPE_Y95">#REF!</definedName>
    <definedName name="_T_NCA_PPE_Y96" localSheetId="5">#REF!</definedName>
    <definedName name="_T_NCA_PPE_Y96" localSheetId="24">#REF!</definedName>
    <definedName name="_T_NCA_PPE_Y96">#REF!</definedName>
    <definedName name="_T_NCA_PPE_Y97" localSheetId="5">#REF!</definedName>
    <definedName name="_T_NCA_PPE_Y97" localSheetId="24">#REF!</definedName>
    <definedName name="_T_NCA_PPE_Y97">#REF!</definedName>
    <definedName name="_T_NCA_PPE_Y98" localSheetId="5">#REF!</definedName>
    <definedName name="_T_NCA_PPE_Y98" localSheetId="24">#REF!</definedName>
    <definedName name="_T_NCA_PPE_Y98">#REF!</definedName>
    <definedName name="_T_NCA_PPE_Y99" localSheetId="5">#REF!</definedName>
    <definedName name="_T_NCA_PPE_Y99" localSheetId="24">#REF!</definedName>
    <definedName name="_T_NCA_PPE_Y99">#REF!</definedName>
    <definedName name="_T_NCA_PPEA_Y00" localSheetId="5">#REF!</definedName>
    <definedName name="_T_NCA_PPEA_Y00" localSheetId="24">#REF!</definedName>
    <definedName name="_T_NCA_PPEA_Y00">#REF!</definedName>
    <definedName name="_T_NCA_PPEA_Y01" localSheetId="5">#REF!</definedName>
    <definedName name="_T_NCA_PPEA_Y01" localSheetId="24">#REF!</definedName>
    <definedName name="_T_NCA_PPEA_Y01">#REF!</definedName>
    <definedName name="_T_NCA_PPEA_Y02" localSheetId="5">#REF!</definedName>
    <definedName name="_T_NCA_PPEA_Y02" localSheetId="24">#REF!</definedName>
    <definedName name="_T_NCA_PPEA_Y02">#REF!</definedName>
    <definedName name="_T_NCA_PPEA_Y03" localSheetId="5">#REF!</definedName>
    <definedName name="_T_NCA_PPEA_Y03" localSheetId="24">#REF!</definedName>
    <definedName name="_T_NCA_PPEA_Y03">#REF!</definedName>
    <definedName name="_T_NCA_PPEA_Y04" localSheetId="5">#REF!</definedName>
    <definedName name="_T_NCA_PPEA_Y04" localSheetId="24">#REF!</definedName>
    <definedName name="_T_NCA_PPEA_Y04">#REF!</definedName>
    <definedName name="_T_NCA_PPEA_Y05" localSheetId="5">#REF!</definedName>
    <definedName name="_T_NCA_PPEA_Y05" localSheetId="24">#REF!</definedName>
    <definedName name="_T_NCA_PPEA_Y05">#REF!</definedName>
    <definedName name="_T_NCA_PPEA_Y06" localSheetId="5">#REF!</definedName>
    <definedName name="_T_NCA_PPEA_Y06" localSheetId="24">#REF!</definedName>
    <definedName name="_T_NCA_PPEA_Y06">#REF!</definedName>
    <definedName name="_T_NCA_PPEA_Y07" localSheetId="5">#REF!</definedName>
    <definedName name="_T_NCA_PPEA_Y07" localSheetId="24">#REF!</definedName>
    <definedName name="_T_NCA_PPEA_Y07">#REF!</definedName>
    <definedName name="_T_NCA_PPEA_Y08" localSheetId="5">#REF!</definedName>
    <definedName name="_T_NCA_PPEA_Y08" localSheetId="24">#REF!</definedName>
    <definedName name="_T_NCA_PPEA_Y08">#REF!</definedName>
    <definedName name="_T_NCA_PPEA_Y92" localSheetId="5">#REF!</definedName>
    <definedName name="_T_NCA_PPEA_Y92" localSheetId="24">#REF!</definedName>
    <definedName name="_T_NCA_PPEA_Y92">#REF!</definedName>
    <definedName name="_T_NCA_PPEA_Y93" localSheetId="5">#REF!</definedName>
    <definedName name="_T_NCA_PPEA_Y93" localSheetId="24">#REF!</definedName>
    <definedName name="_T_NCA_PPEA_Y93">#REF!</definedName>
    <definedName name="_T_NCA_PPEA_Y94" localSheetId="5">#REF!</definedName>
    <definedName name="_T_NCA_PPEA_Y94" localSheetId="24">#REF!</definedName>
    <definedName name="_T_NCA_PPEA_Y94">#REF!</definedName>
    <definedName name="_T_NCA_PPEA_Y95" localSheetId="5">#REF!</definedName>
    <definedName name="_T_NCA_PPEA_Y95" localSheetId="24">#REF!</definedName>
    <definedName name="_T_NCA_PPEA_Y95">#REF!</definedName>
    <definedName name="_T_NCA_PPEA_Y96" localSheetId="5">#REF!</definedName>
    <definedName name="_T_NCA_PPEA_Y96" localSheetId="24">#REF!</definedName>
    <definedName name="_T_NCA_PPEA_Y96">#REF!</definedName>
    <definedName name="_T_NCA_PPEA_Y97" localSheetId="5">#REF!</definedName>
    <definedName name="_T_NCA_PPEA_Y97" localSheetId="24">#REF!</definedName>
    <definedName name="_T_NCA_PPEA_Y97">#REF!</definedName>
    <definedName name="_T_NCA_PPEA_Y98" localSheetId="5">#REF!</definedName>
    <definedName name="_T_NCA_PPEA_Y98" localSheetId="24">#REF!</definedName>
    <definedName name="_T_NCA_PPEA_Y98">#REF!</definedName>
    <definedName name="_T_NCA_PPEA_Y99" localSheetId="5">#REF!</definedName>
    <definedName name="_T_NCA_PPEA_Y99" localSheetId="24">#REF!</definedName>
    <definedName name="_T_NCA_PPEA_Y99">#REF!</definedName>
    <definedName name="_T_NCA_PPEL_Y00" localSheetId="5">#REF!</definedName>
    <definedName name="_T_NCA_PPEL_Y00" localSheetId="24">#REF!</definedName>
    <definedName name="_T_NCA_PPEL_Y00">#REF!</definedName>
    <definedName name="_T_NCA_PPEL_Y01" localSheetId="5">#REF!</definedName>
    <definedName name="_T_NCA_PPEL_Y01" localSheetId="24">#REF!</definedName>
    <definedName name="_T_NCA_PPEL_Y01">#REF!</definedName>
    <definedName name="_T_NCA_PPEL_Y02" localSheetId="5">#REF!</definedName>
    <definedName name="_T_NCA_PPEL_Y02" localSheetId="24">#REF!</definedName>
    <definedName name="_T_NCA_PPEL_Y02">#REF!</definedName>
    <definedName name="_T_NCA_PPEL_Y03" localSheetId="5">#REF!</definedName>
    <definedName name="_T_NCA_PPEL_Y03" localSheetId="24">#REF!</definedName>
    <definedName name="_T_NCA_PPEL_Y03">#REF!</definedName>
    <definedName name="_T_NCA_PPEL_Y04" localSheetId="5">#REF!</definedName>
    <definedName name="_T_NCA_PPEL_Y04" localSheetId="24">#REF!</definedName>
    <definedName name="_T_NCA_PPEL_Y04">#REF!</definedName>
    <definedName name="_T_NCA_PPEL_Y05" localSheetId="5">#REF!</definedName>
    <definedName name="_T_NCA_PPEL_Y05" localSheetId="24">#REF!</definedName>
    <definedName name="_T_NCA_PPEL_Y05">#REF!</definedName>
    <definedName name="_T_NCA_PPEL_Y92" localSheetId="5">#REF!</definedName>
    <definedName name="_T_NCA_PPEL_Y92" localSheetId="24">#REF!</definedName>
    <definedName name="_T_NCA_PPEL_Y92">#REF!</definedName>
    <definedName name="_T_NCA_PPEL_Y93" localSheetId="5">#REF!</definedName>
    <definedName name="_T_NCA_PPEL_Y93" localSheetId="24">#REF!</definedName>
    <definedName name="_T_NCA_PPEL_Y93">#REF!</definedName>
    <definedName name="_T_NCA_PPEL_Y94" localSheetId="5">#REF!</definedName>
    <definedName name="_T_NCA_PPEL_Y94" localSheetId="24">#REF!</definedName>
    <definedName name="_T_NCA_PPEL_Y94">#REF!</definedName>
    <definedName name="_T_NCA_PPEL_Y95" localSheetId="5">#REF!</definedName>
    <definedName name="_T_NCA_PPEL_Y95" localSheetId="24">#REF!</definedName>
    <definedName name="_T_NCA_PPEL_Y95">#REF!</definedName>
    <definedName name="_T_NCA_PPEL_Y96" localSheetId="5">#REF!</definedName>
    <definedName name="_T_NCA_PPEL_Y96" localSheetId="24">#REF!</definedName>
    <definedName name="_T_NCA_PPEL_Y96">#REF!</definedName>
    <definedName name="_T_NCA_PPEL_Y97" localSheetId="5">#REF!</definedName>
    <definedName name="_T_NCA_PPEL_Y97" localSheetId="24">#REF!</definedName>
    <definedName name="_T_NCA_PPEL_Y97">#REF!</definedName>
    <definedName name="_T_NCA_PPEL_Y98" localSheetId="5">#REF!</definedName>
    <definedName name="_T_NCA_PPEL_Y98" localSheetId="24">#REF!</definedName>
    <definedName name="_T_NCA_PPEL_Y98">#REF!</definedName>
    <definedName name="_T_NCA_PPEL_Y99" localSheetId="5">#REF!</definedName>
    <definedName name="_T_NCA_PPEL_Y99" localSheetId="24">#REF!</definedName>
    <definedName name="_T_NCA_PPEL_Y99">#REF!</definedName>
    <definedName name="_T_NCA_RECEIV_Y00" localSheetId="5">#REF!</definedName>
    <definedName name="_T_NCA_RECEIV_Y00" localSheetId="24">#REF!</definedName>
    <definedName name="_T_NCA_RECEIV_Y00">#REF!</definedName>
    <definedName name="_T_NCA_RECEIV_Y01" localSheetId="5">#REF!</definedName>
    <definedName name="_T_NCA_RECEIV_Y01" localSheetId="24">#REF!</definedName>
    <definedName name="_T_NCA_RECEIV_Y01">#REF!</definedName>
    <definedName name="_T_NCA_RECEIV_Y02" localSheetId="5">#REF!</definedName>
    <definedName name="_T_NCA_RECEIV_Y02" localSheetId="24">#REF!</definedName>
    <definedName name="_T_NCA_RECEIV_Y02">#REF!</definedName>
    <definedName name="_T_NCA_RECEIV_Y03" localSheetId="5">#REF!</definedName>
    <definedName name="_T_NCA_RECEIV_Y03" localSheetId="24">#REF!</definedName>
    <definedName name="_T_NCA_RECEIV_Y03">#REF!</definedName>
    <definedName name="_T_NCA_RECEIV_Y04" localSheetId="5">#REF!</definedName>
    <definedName name="_T_NCA_RECEIV_Y04" localSheetId="24">#REF!</definedName>
    <definedName name="_T_NCA_RECEIV_Y04">#REF!</definedName>
    <definedName name="_T_NCA_RECEIV_Y05" localSheetId="5">#REF!</definedName>
    <definedName name="_T_NCA_RECEIV_Y05" localSheetId="24">#REF!</definedName>
    <definedName name="_T_NCA_RECEIV_Y05">#REF!</definedName>
    <definedName name="_T_NCA_RECEIV_Y06" localSheetId="5">#REF!</definedName>
    <definedName name="_T_NCA_RECEIV_Y06" localSheetId="24">#REF!</definedName>
    <definedName name="_T_NCA_RECEIV_Y06">#REF!</definedName>
    <definedName name="_T_NCA_RECEIV_Y07" localSheetId="5">#REF!</definedName>
    <definedName name="_T_NCA_RECEIV_Y07" localSheetId="24">#REF!</definedName>
    <definedName name="_T_NCA_RECEIV_Y07">#REF!</definedName>
    <definedName name="_T_NCA_RECEIV_Y08" localSheetId="5">#REF!</definedName>
    <definedName name="_T_NCA_RECEIV_Y08" localSheetId="24">#REF!</definedName>
    <definedName name="_T_NCA_RECEIV_Y08">#REF!</definedName>
    <definedName name="_T_NCA_RECEIV_Y92" localSheetId="5">#REF!</definedName>
    <definedName name="_T_NCA_RECEIV_Y92" localSheetId="24">#REF!</definedName>
    <definedName name="_T_NCA_RECEIV_Y92">#REF!</definedName>
    <definedName name="_T_NCA_RECEIV_Y93" localSheetId="5">#REF!</definedName>
    <definedName name="_T_NCA_RECEIV_Y93" localSheetId="24">#REF!</definedName>
    <definedName name="_T_NCA_RECEIV_Y93">#REF!</definedName>
    <definedName name="_T_NCA_RECEIV_Y94" localSheetId="5">#REF!</definedName>
    <definedName name="_T_NCA_RECEIV_Y94" localSheetId="24">#REF!</definedName>
    <definedName name="_T_NCA_RECEIV_Y94">#REF!</definedName>
    <definedName name="_T_NCA_RECEIV_Y95" localSheetId="5">#REF!</definedName>
    <definedName name="_T_NCA_RECEIV_Y95" localSheetId="24">#REF!</definedName>
    <definedName name="_T_NCA_RECEIV_Y95">#REF!</definedName>
    <definedName name="_T_NCA_RECEIV_Y96" localSheetId="5">#REF!</definedName>
    <definedName name="_T_NCA_RECEIV_Y96" localSheetId="24">#REF!</definedName>
    <definedName name="_T_NCA_RECEIV_Y96">#REF!</definedName>
    <definedName name="_T_NCA_RECEIV_Y97" localSheetId="5">#REF!</definedName>
    <definedName name="_T_NCA_RECEIV_Y97" localSheetId="24">#REF!</definedName>
    <definedName name="_T_NCA_RECEIV_Y97">#REF!</definedName>
    <definedName name="_T_NCA_RECEIV_Y98" localSheetId="5">#REF!</definedName>
    <definedName name="_T_NCA_RECEIV_Y98" localSheetId="24">#REF!</definedName>
    <definedName name="_T_NCA_RECEIV_Y98">#REF!</definedName>
    <definedName name="_T_NCA_RECEIV_Y99" localSheetId="5">#REF!</definedName>
    <definedName name="_T_NCA_RECEIV_Y99" localSheetId="24">#REF!</definedName>
    <definedName name="_T_NCA_RECEIV_Y99">#REF!</definedName>
    <definedName name="_T_NCA_SUM_Y00" localSheetId="5">#REF!</definedName>
    <definedName name="_T_NCA_SUM_Y00" localSheetId="24">#REF!</definedName>
    <definedName name="_T_NCA_SUM_Y00">#REF!</definedName>
    <definedName name="_T_NCA_SUM_Y01" localSheetId="5">#REF!</definedName>
    <definedName name="_T_NCA_SUM_Y01" localSheetId="24">#REF!</definedName>
    <definedName name="_T_NCA_SUM_Y01">#REF!</definedName>
    <definedName name="_T_NCA_SUM_Y02" localSheetId="5">#REF!</definedName>
    <definedName name="_T_NCA_SUM_Y02" localSheetId="24">#REF!</definedName>
    <definedName name="_T_NCA_SUM_Y02">#REF!</definedName>
    <definedName name="_T_NCA_SUM_Y03" localSheetId="5">#REF!</definedName>
    <definedName name="_T_NCA_SUM_Y03" localSheetId="24">#REF!</definedName>
    <definedName name="_T_NCA_SUM_Y03">#REF!</definedName>
    <definedName name="_T_NCA_SUM_Y90" localSheetId="5">#REF!</definedName>
    <definedName name="_T_NCA_SUM_Y90" localSheetId="24">#REF!</definedName>
    <definedName name="_T_NCA_SUM_Y90">#REF!</definedName>
    <definedName name="_T_NCA_SUM_Y91" localSheetId="5">#REF!</definedName>
    <definedName name="_T_NCA_SUM_Y91" localSheetId="24">#REF!</definedName>
    <definedName name="_T_NCA_SUM_Y91">#REF!</definedName>
    <definedName name="_T_NCA_SUM_Y92" localSheetId="5">#REF!</definedName>
    <definedName name="_T_NCA_SUM_Y92" localSheetId="24">#REF!</definedName>
    <definedName name="_T_NCA_SUM_Y92">#REF!</definedName>
    <definedName name="_T_NCA_SUM_Y93" localSheetId="5">#REF!</definedName>
    <definedName name="_T_NCA_SUM_Y93" localSheetId="24">#REF!</definedName>
    <definedName name="_T_NCA_SUM_Y93">#REF!</definedName>
    <definedName name="_T_NCA_SUM_Y94" localSheetId="5">#REF!</definedName>
    <definedName name="_T_NCA_SUM_Y94" localSheetId="24">#REF!</definedName>
    <definedName name="_T_NCA_SUM_Y94">#REF!</definedName>
    <definedName name="_T_NCA_SUM_Y95" localSheetId="5">#REF!</definedName>
    <definedName name="_T_NCA_SUM_Y95" localSheetId="24">#REF!</definedName>
    <definedName name="_T_NCA_SUM_Y95">#REF!</definedName>
    <definedName name="_T_NCA_SUM_Y96" localSheetId="5">#REF!</definedName>
    <definedName name="_T_NCA_SUM_Y96" localSheetId="24">#REF!</definedName>
    <definedName name="_T_NCA_SUM_Y96">#REF!</definedName>
    <definedName name="_T_NCA_SUM_Y97" localSheetId="5">#REF!</definedName>
    <definedName name="_T_NCA_SUM_Y97" localSheetId="24">#REF!</definedName>
    <definedName name="_T_NCA_SUM_Y97">#REF!</definedName>
    <definedName name="_T_NCA_SUM_Y98" localSheetId="5">#REF!</definedName>
    <definedName name="_T_NCA_SUM_Y98" localSheetId="24">#REF!</definedName>
    <definedName name="_T_NCA_SUM_Y98">#REF!</definedName>
    <definedName name="_T_NCA_SUM_Y99" localSheetId="5">#REF!</definedName>
    <definedName name="_T_NCA_SUM_Y99" localSheetId="24">#REF!</definedName>
    <definedName name="_T_NCA_SUM_Y99">#REF!</definedName>
    <definedName name="_T_NCL_BORR_Y00" localSheetId="5">#REF!</definedName>
    <definedName name="_T_NCL_BORR_Y00" localSheetId="24">#REF!</definedName>
    <definedName name="_T_NCL_BORR_Y00">#REF!</definedName>
    <definedName name="_T_NCL_BORR_Y01" localSheetId="5">#REF!</definedName>
    <definedName name="_T_NCL_BORR_Y01" localSheetId="24">#REF!</definedName>
    <definedName name="_T_NCL_BORR_Y01">#REF!</definedName>
    <definedName name="_T_NCL_BORR_Y02" localSheetId="5">#REF!</definedName>
    <definedName name="_T_NCL_BORR_Y02" localSheetId="24">#REF!</definedName>
    <definedName name="_T_NCL_BORR_Y02">#REF!</definedName>
    <definedName name="_T_NCL_BORR_Y03" localSheetId="5">#REF!</definedName>
    <definedName name="_T_NCL_BORR_Y03" localSheetId="24">#REF!</definedName>
    <definedName name="_T_NCL_BORR_Y03">#REF!</definedName>
    <definedName name="_T_NCL_BORR_Y04" localSheetId="5">#REF!</definedName>
    <definedName name="_T_NCL_BORR_Y04" localSheetId="24">#REF!</definedName>
    <definedName name="_T_NCL_BORR_Y04">#REF!</definedName>
    <definedName name="_T_NCL_BORR_Y05" localSheetId="5">#REF!</definedName>
    <definedName name="_T_NCL_BORR_Y05" localSheetId="24">#REF!</definedName>
    <definedName name="_T_NCL_BORR_Y05">#REF!</definedName>
    <definedName name="_T_NCL_BORR_Y06" localSheetId="5">#REF!</definedName>
    <definedName name="_T_NCL_BORR_Y06" localSheetId="24">#REF!</definedName>
    <definedName name="_T_NCL_BORR_Y06">#REF!</definedName>
    <definedName name="_T_NCL_BORR_Y07" localSheetId="5">#REF!</definedName>
    <definedName name="_T_NCL_BORR_Y07" localSheetId="24">#REF!</definedName>
    <definedName name="_T_NCL_BORR_Y07">#REF!</definedName>
    <definedName name="_T_NCL_BORR_Y08" localSheetId="5">#REF!</definedName>
    <definedName name="_T_NCL_BORR_Y08" localSheetId="24">#REF!</definedName>
    <definedName name="_T_NCL_BORR_Y08">#REF!</definedName>
    <definedName name="_T_NCL_BORR_Y92" localSheetId="5">#REF!</definedName>
    <definedName name="_T_NCL_BORR_Y92" localSheetId="24">#REF!</definedName>
    <definedName name="_T_NCL_BORR_Y92">#REF!</definedName>
    <definedName name="_T_NCL_BORR_Y93" localSheetId="5">#REF!</definedName>
    <definedName name="_T_NCL_BORR_Y93" localSheetId="24">#REF!</definedName>
    <definedName name="_T_NCL_BORR_Y93">#REF!</definedName>
    <definedName name="_T_NCL_BORR_Y94" localSheetId="5">#REF!</definedName>
    <definedName name="_T_NCL_BORR_Y94" localSheetId="24">#REF!</definedName>
    <definedName name="_T_NCL_BORR_Y94">#REF!</definedName>
    <definedName name="_T_NCL_BORR_Y95" localSheetId="5">#REF!</definedName>
    <definedName name="_T_NCL_BORR_Y95" localSheetId="24">#REF!</definedName>
    <definedName name="_T_NCL_BORR_Y95">#REF!</definedName>
    <definedName name="_T_NCL_BORR_Y96" localSheetId="5">#REF!</definedName>
    <definedName name="_T_NCL_BORR_Y96" localSheetId="24">#REF!</definedName>
    <definedName name="_T_NCL_BORR_Y96">#REF!</definedName>
    <definedName name="_T_NCL_BORR_Y97" localSheetId="5">#REF!</definedName>
    <definedName name="_T_NCL_BORR_Y97" localSheetId="24">#REF!</definedName>
    <definedName name="_T_NCL_BORR_Y97">#REF!</definedName>
    <definedName name="_T_NCL_BORR_Y98" localSheetId="5">#REF!</definedName>
    <definedName name="_T_NCL_BORR_Y98" localSheetId="24">#REF!</definedName>
    <definedName name="_T_NCL_BORR_Y98">#REF!</definedName>
    <definedName name="_T_NCL_BORR_Y99" localSheetId="5">#REF!</definedName>
    <definedName name="_T_NCL_BORR_Y99" localSheetId="24">#REF!</definedName>
    <definedName name="_T_NCL_BORR_Y99">#REF!</definedName>
    <definedName name="_T_NCL_CREDIT_Y00" localSheetId="5">#REF!</definedName>
    <definedName name="_T_NCL_CREDIT_Y00" localSheetId="24">#REF!</definedName>
    <definedName name="_T_NCL_CREDIT_Y00">#REF!</definedName>
    <definedName name="_T_NCL_CREDIT_Y01" localSheetId="5">#REF!</definedName>
    <definedName name="_T_NCL_CREDIT_Y01" localSheetId="24">#REF!</definedName>
    <definedName name="_T_NCL_CREDIT_Y01">#REF!</definedName>
    <definedName name="_T_NCL_CREDIT_Y02" localSheetId="5">#REF!</definedName>
    <definedName name="_T_NCL_CREDIT_Y02" localSheetId="24">#REF!</definedName>
    <definedName name="_T_NCL_CREDIT_Y02">#REF!</definedName>
    <definedName name="_T_NCL_CREDIT_Y03" localSheetId="5">#REF!</definedName>
    <definedName name="_T_NCL_CREDIT_Y03" localSheetId="24">#REF!</definedName>
    <definedName name="_T_NCL_CREDIT_Y03">#REF!</definedName>
    <definedName name="_T_NCL_CREDIT_Y04" localSheetId="5">#REF!</definedName>
    <definedName name="_T_NCL_CREDIT_Y04" localSheetId="24">#REF!</definedName>
    <definedName name="_T_NCL_CREDIT_Y04">#REF!</definedName>
    <definedName name="_T_NCL_CREDIT_Y05" localSheetId="5">#REF!</definedName>
    <definedName name="_T_NCL_CREDIT_Y05" localSheetId="24">#REF!</definedName>
    <definedName name="_T_NCL_CREDIT_Y05">#REF!</definedName>
    <definedName name="_T_NCL_CREDIT_Y06" localSheetId="5">#REF!</definedName>
    <definedName name="_T_NCL_CREDIT_Y06" localSheetId="24">#REF!</definedName>
    <definedName name="_T_NCL_CREDIT_Y06">#REF!</definedName>
    <definedName name="_T_NCL_CREDIT_Y07" localSheetId="5">#REF!</definedName>
    <definedName name="_T_NCL_CREDIT_Y07" localSheetId="24">#REF!</definedName>
    <definedName name="_T_NCL_CREDIT_Y07">#REF!</definedName>
    <definedName name="_T_NCL_CREDIT_Y08" localSheetId="5">#REF!</definedName>
    <definedName name="_T_NCL_CREDIT_Y08" localSheetId="24">#REF!</definedName>
    <definedName name="_T_NCL_CREDIT_Y08">#REF!</definedName>
    <definedName name="_T_NCL_CREDIT_Y92" localSheetId="5">#REF!</definedName>
    <definedName name="_T_NCL_CREDIT_Y92" localSheetId="24">#REF!</definedName>
    <definedName name="_T_NCL_CREDIT_Y92">#REF!</definedName>
    <definedName name="_T_NCL_CREDIT_Y93" localSheetId="5">#REF!</definedName>
    <definedName name="_T_NCL_CREDIT_Y93" localSheetId="24">#REF!</definedName>
    <definedName name="_T_NCL_CREDIT_Y93">#REF!</definedName>
    <definedName name="_T_NCL_CREDIT_Y94" localSheetId="5">#REF!</definedName>
    <definedName name="_T_NCL_CREDIT_Y94" localSheetId="24">#REF!</definedName>
    <definedName name="_T_NCL_CREDIT_Y94">#REF!</definedName>
    <definedName name="_T_NCL_CREDIT_Y95" localSheetId="5">#REF!</definedName>
    <definedName name="_T_NCL_CREDIT_Y95" localSheetId="24">#REF!</definedName>
    <definedName name="_T_NCL_CREDIT_Y95">#REF!</definedName>
    <definedName name="_T_NCL_CREDIT_Y96" localSheetId="5">#REF!</definedName>
    <definedName name="_T_NCL_CREDIT_Y96" localSheetId="24">#REF!</definedName>
    <definedName name="_T_NCL_CREDIT_Y96">#REF!</definedName>
    <definedName name="_T_NCL_CREDIT_Y97" localSheetId="5">#REF!</definedName>
    <definedName name="_T_NCL_CREDIT_Y97" localSheetId="24">#REF!</definedName>
    <definedName name="_T_NCL_CREDIT_Y97">#REF!</definedName>
    <definedName name="_T_NCL_CREDIT_Y98" localSheetId="5">#REF!</definedName>
    <definedName name="_T_NCL_CREDIT_Y98" localSheetId="24">#REF!</definedName>
    <definedName name="_T_NCL_CREDIT_Y98">#REF!</definedName>
    <definedName name="_T_NCL_CREDIT_Y99" localSheetId="5">#REF!</definedName>
    <definedName name="_T_NCL_CREDIT_Y99" localSheetId="24">#REF!</definedName>
    <definedName name="_T_NCL_CREDIT_Y99">#REF!</definedName>
    <definedName name="_T_NCL_DEBTCONV_Y00" localSheetId="5">#REF!</definedName>
    <definedName name="_T_NCL_DEBTCONV_Y00" localSheetId="24">#REF!</definedName>
    <definedName name="_T_NCL_DEBTCONV_Y00">#REF!</definedName>
    <definedName name="_T_NCL_DEBTCONV_Y01" localSheetId="5">#REF!</definedName>
    <definedName name="_T_NCL_DEBTCONV_Y01" localSheetId="24">#REF!</definedName>
    <definedName name="_T_NCL_DEBTCONV_Y01">#REF!</definedName>
    <definedName name="_T_NCL_DEBTCONV_Y02" localSheetId="5">#REF!</definedName>
    <definedName name="_T_NCL_DEBTCONV_Y02" localSheetId="24">#REF!</definedName>
    <definedName name="_T_NCL_DEBTCONV_Y02">#REF!</definedName>
    <definedName name="_T_NCL_DEBTCONV_Y03" localSheetId="5">#REF!</definedName>
    <definedName name="_T_NCL_DEBTCONV_Y03" localSheetId="24">#REF!</definedName>
    <definedName name="_T_NCL_DEBTCONV_Y03">#REF!</definedName>
    <definedName name="_T_NCL_DEBTCONV_Y04" localSheetId="5">#REF!</definedName>
    <definedName name="_T_NCL_DEBTCONV_Y04" localSheetId="24">#REF!</definedName>
    <definedName name="_T_NCL_DEBTCONV_Y04">#REF!</definedName>
    <definedName name="_T_NCL_DEBTCONV_Y05" localSheetId="5">#REF!</definedName>
    <definedName name="_T_NCL_DEBTCONV_Y05" localSheetId="24">#REF!</definedName>
    <definedName name="_T_NCL_DEBTCONV_Y05">#REF!</definedName>
    <definedName name="_T_NCL_DEBTCONV_Y06" localSheetId="5">#REF!</definedName>
    <definedName name="_T_NCL_DEBTCONV_Y06" localSheetId="24">#REF!</definedName>
    <definedName name="_T_NCL_DEBTCONV_Y06">#REF!</definedName>
    <definedName name="_T_NCL_DEBTCONV_Y07" localSheetId="5">#REF!</definedName>
    <definedName name="_T_NCL_DEBTCONV_Y07" localSheetId="24">#REF!</definedName>
    <definedName name="_T_NCL_DEBTCONV_Y07">#REF!</definedName>
    <definedName name="_T_NCL_DEBTCONV_Y08" localSheetId="5">#REF!</definedName>
    <definedName name="_T_NCL_DEBTCONV_Y08" localSheetId="24">#REF!</definedName>
    <definedName name="_T_NCL_DEBTCONV_Y08">#REF!</definedName>
    <definedName name="_T_NCL_DEBTCONV_Y92" localSheetId="5">#REF!</definedName>
    <definedName name="_T_NCL_DEBTCONV_Y92" localSheetId="24">#REF!</definedName>
    <definedName name="_T_NCL_DEBTCONV_Y92">#REF!</definedName>
    <definedName name="_T_NCL_DEBTCONV_Y93" localSheetId="5">#REF!</definedName>
    <definedName name="_T_NCL_DEBTCONV_Y93" localSheetId="24">#REF!</definedName>
    <definedName name="_T_NCL_DEBTCONV_Y93">#REF!</definedName>
    <definedName name="_T_NCL_DEBTCONV_Y94" localSheetId="5">#REF!</definedName>
    <definedName name="_T_NCL_DEBTCONV_Y94" localSheetId="24">#REF!</definedName>
    <definedName name="_T_NCL_DEBTCONV_Y94">#REF!</definedName>
    <definedName name="_T_NCL_DEBTCONV_Y95" localSheetId="5">#REF!</definedName>
    <definedName name="_T_NCL_DEBTCONV_Y95" localSheetId="24">#REF!</definedName>
    <definedName name="_T_NCL_DEBTCONV_Y95">#REF!</definedName>
    <definedName name="_T_NCL_DEBTCONV_Y96" localSheetId="5">#REF!</definedName>
    <definedName name="_T_NCL_DEBTCONV_Y96" localSheetId="24">#REF!</definedName>
    <definedName name="_T_NCL_DEBTCONV_Y96">#REF!</definedName>
    <definedName name="_T_NCL_DEBTCONV_Y97" localSheetId="5">#REF!</definedName>
    <definedName name="_T_NCL_DEBTCONV_Y97" localSheetId="24">#REF!</definedName>
    <definedName name="_T_NCL_DEBTCONV_Y97">#REF!</definedName>
    <definedName name="_T_NCL_DEBTCONV_Y98" localSheetId="5">#REF!</definedName>
    <definedName name="_T_NCL_DEBTCONV_Y98" localSheetId="24">#REF!</definedName>
    <definedName name="_T_NCL_DEBTCONV_Y98">#REF!</definedName>
    <definedName name="_T_NCL_DEBTCONV_Y99" localSheetId="5">#REF!</definedName>
    <definedName name="_T_NCL_DEBTCONV_Y99" localSheetId="24">#REF!</definedName>
    <definedName name="_T_NCL_DEBTCONV_Y99">#REF!</definedName>
    <definedName name="_T_NCL_LEASE_Y00" localSheetId="5">#REF!</definedName>
    <definedName name="_T_NCL_LEASE_Y00" localSheetId="24">#REF!</definedName>
    <definedName name="_T_NCL_LEASE_Y00">#REF!</definedName>
    <definedName name="_T_NCL_LEASE_Y01" localSheetId="5">#REF!</definedName>
    <definedName name="_T_NCL_LEASE_Y01" localSheetId="24">#REF!</definedName>
    <definedName name="_T_NCL_LEASE_Y01">#REF!</definedName>
    <definedName name="_T_NCL_LEASE_Y02" localSheetId="5">#REF!</definedName>
    <definedName name="_T_NCL_LEASE_Y02" localSheetId="24">#REF!</definedName>
    <definedName name="_T_NCL_LEASE_Y02">#REF!</definedName>
    <definedName name="_T_NCL_LEASE_Y03" localSheetId="5">#REF!</definedName>
    <definedName name="_T_NCL_LEASE_Y03" localSheetId="24">#REF!</definedName>
    <definedName name="_T_NCL_LEASE_Y03">#REF!</definedName>
    <definedName name="_T_NCL_LEASE_Y90" localSheetId="5">#REF!</definedName>
    <definedName name="_T_NCL_LEASE_Y90" localSheetId="24">#REF!</definedName>
    <definedName name="_T_NCL_LEASE_Y90">#REF!</definedName>
    <definedName name="_T_NCL_LEASE_Y91" localSheetId="5">#REF!</definedName>
    <definedName name="_T_NCL_LEASE_Y91" localSheetId="24">#REF!</definedName>
    <definedName name="_T_NCL_LEASE_Y91">#REF!</definedName>
    <definedName name="_T_NCL_LEASE_Y92" localSheetId="5">#REF!</definedName>
    <definedName name="_T_NCL_LEASE_Y92" localSheetId="24">#REF!</definedName>
    <definedName name="_T_NCL_LEASE_Y92">#REF!</definedName>
    <definedName name="_T_NCL_LEASE_Y93" localSheetId="5">#REF!</definedName>
    <definedName name="_T_NCL_LEASE_Y93" localSheetId="24">#REF!</definedName>
    <definedName name="_T_NCL_LEASE_Y93">#REF!</definedName>
    <definedName name="_T_NCL_LEASE_Y94" localSheetId="5">#REF!</definedName>
    <definedName name="_T_NCL_LEASE_Y94" localSheetId="24">#REF!</definedName>
    <definedName name="_T_NCL_LEASE_Y94">#REF!</definedName>
    <definedName name="_T_NCL_LEASE_Y95" localSheetId="5">#REF!</definedName>
    <definedName name="_T_NCL_LEASE_Y95" localSheetId="24">#REF!</definedName>
    <definedName name="_T_NCL_LEASE_Y95">#REF!</definedName>
    <definedName name="_T_NCL_LEASE_Y96" localSheetId="5">#REF!</definedName>
    <definedName name="_T_NCL_LEASE_Y96" localSheetId="24">#REF!</definedName>
    <definedName name="_T_NCL_LEASE_Y96">#REF!</definedName>
    <definedName name="_T_NCL_LEASE_Y97" localSheetId="5">#REF!</definedName>
    <definedName name="_T_NCL_LEASE_Y97" localSheetId="24">#REF!</definedName>
    <definedName name="_T_NCL_LEASE_Y97">#REF!</definedName>
    <definedName name="_T_NCL_LEASE_Y98" localSheetId="5">#REF!</definedName>
    <definedName name="_T_NCL_LEASE_Y98" localSheetId="24">#REF!</definedName>
    <definedName name="_T_NCL_LEASE_Y98">#REF!</definedName>
    <definedName name="_T_NCL_LEASE_Y99" localSheetId="5">#REF!</definedName>
    <definedName name="_T_NCL_LEASE_Y99" localSheetId="24">#REF!</definedName>
    <definedName name="_T_NCL_LEASE_Y99">#REF!</definedName>
    <definedName name="_T_NCL_OTHER_Y00" localSheetId="5">#REF!</definedName>
    <definedName name="_T_NCL_OTHER_Y00" localSheetId="24">#REF!</definedName>
    <definedName name="_T_NCL_OTHER_Y00">#REF!</definedName>
    <definedName name="_T_NCL_OTHER_Y01" localSheetId="5">#REF!</definedName>
    <definedName name="_T_NCL_OTHER_Y01" localSheetId="24">#REF!</definedName>
    <definedName name="_T_NCL_OTHER_Y01">#REF!</definedName>
    <definedName name="_T_NCL_OTHER_Y02" localSheetId="5">#REF!</definedName>
    <definedName name="_T_NCL_OTHER_Y02" localSheetId="24">#REF!</definedName>
    <definedName name="_T_NCL_OTHER_Y02">#REF!</definedName>
    <definedName name="_T_NCL_OTHER_Y03" localSheetId="5">#REF!</definedName>
    <definedName name="_T_NCL_OTHER_Y03" localSheetId="24">#REF!</definedName>
    <definedName name="_T_NCL_OTHER_Y03">#REF!</definedName>
    <definedName name="_T_NCL_OTHER_Y90" localSheetId="5">#REF!</definedName>
    <definedName name="_T_NCL_OTHER_Y90" localSheetId="24">#REF!</definedName>
    <definedName name="_T_NCL_OTHER_Y90">#REF!</definedName>
    <definedName name="_T_NCL_OTHER_Y91" localSheetId="5">#REF!</definedName>
    <definedName name="_T_NCL_OTHER_Y91" localSheetId="24">#REF!</definedName>
    <definedName name="_T_NCL_OTHER_Y91">#REF!</definedName>
    <definedName name="_T_NCL_OTHER_Y92" localSheetId="5">#REF!</definedName>
    <definedName name="_T_NCL_OTHER_Y92" localSheetId="24">#REF!</definedName>
    <definedName name="_T_NCL_OTHER_Y92">#REF!</definedName>
    <definedName name="_T_NCL_OTHER_Y93" localSheetId="5">#REF!</definedName>
    <definedName name="_T_NCL_OTHER_Y93" localSheetId="24">#REF!</definedName>
    <definedName name="_T_NCL_OTHER_Y93">#REF!</definedName>
    <definedName name="_T_NCL_OTHER_Y94" localSheetId="5">#REF!</definedName>
    <definedName name="_T_NCL_OTHER_Y94" localSheetId="24">#REF!</definedName>
    <definedName name="_T_NCL_OTHER_Y94">#REF!</definedName>
    <definedName name="_T_NCL_OTHER_Y95" localSheetId="5">#REF!</definedName>
    <definedName name="_T_NCL_OTHER_Y95" localSheetId="24">#REF!</definedName>
    <definedName name="_T_NCL_OTHER_Y95">#REF!</definedName>
    <definedName name="_T_NCL_OTHER_Y96" localSheetId="5">#REF!</definedName>
    <definedName name="_T_NCL_OTHER_Y96" localSheetId="24">#REF!</definedName>
    <definedName name="_T_NCL_OTHER_Y96">#REF!</definedName>
    <definedName name="_T_NCL_OTHER_Y97" localSheetId="5">#REF!</definedName>
    <definedName name="_T_NCL_OTHER_Y97" localSheetId="24">#REF!</definedName>
    <definedName name="_T_NCL_OTHER_Y97">#REF!</definedName>
    <definedName name="_T_NCL_OTHER_Y98" localSheetId="5">#REF!</definedName>
    <definedName name="_T_NCL_OTHER_Y98" localSheetId="24">#REF!</definedName>
    <definedName name="_T_NCL_OTHER_Y98">#REF!</definedName>
    <definedName name="_T_NCL_OTHER_Y99" localSheetId="5">#REF!</definedName>
    <definedName name="_T_NCL_OTHER_Y99" localSheetId="24">#REF!</definedName>
    <definedName name="_T_NCL_OTHER_Y99">#REF!</definedName>
    <definedName name="_T_NCL_PROV_DIV_Y00" localSheetId="5">#REF!</definedName>
    <definedName name="_T_NCL_PROV_DIV_Y00" localSheetId="24">#REF!</definedName>
    <definedName name="_T_NCL_PROV_DIV_Y00">#REF!</definedName>
    <definedName name="_T_NCL_PROV_DIV_Y01" localSheetId="5">#REF!</definedName>
    <definedName name="_T_NCL_PROV_DIV_Y01" localSheetId="24">#REF!</definedName>
    <definedName name="_T_NCL_PROV_DIV_Y01">#REF!</definedName>
    <definedName name="_T_NCL_PROV_DIV_Y02" localSheetId="5">#REF!</definedName>
    <definedName name="_T_NCL_PROV_DIV_Y02" localSheetId="24">#REF!</definedName>
    <definedName name="_T_NCL_PROV_DIV_Y02">#REF!</definedName>
    <definedName name="_T_NCL_PROV_DIV_Y03" localSheetId="5">#REF!</definedName>
    <definedName name="_T_NCL_PROV_DIV_Y03" localSheetId="24">#REF!</definedName>
    <definedName name="_T_NCL_PROV_DIV_Y03">#REF!</definedName>
    <definedName name="_T_NCL_PROV_DIV_Y90" localSheetId="5">#REF!</definedName>
    <definedName name="_T_NCL_PROV_DIV_Y90" localSheetId="24">#REF!</definedName>
    <definedName name="_T_NCL_PROV_DIV_Y90">#REF!</definedName>
    <definedName name="_T_NCL_PROV_DIV_Y91" localSheetId="5">#REF!</definedName>
    <definedName name="_T_NCL_PROV_DIV_Y91" localSheetId="24">#REF!</definedName>
    <definedName name="_T_NCL_PROV_DIV_Y91">#REF!</definedName>
    <definedName name="_T_NCL_PROV_DIV_Y92" localSheetId="5">#REF!</definedName>
    <definedName name="_T_NCL_PROV_DIV_Y92" localSheetId="24">#REF!</definedName>
    <definedName name="_T_NCL_PROV_DIV_Y92">#REF!</definedName>
    <definedName name="_T_NCL_PROV_DIV_Y93" localSheetId="5">#REF!</definedName>
    <definedName name="_T_NCL_PROV_DIV_Y93" localSheetId="24">#REF!</definedName>
    <definedName name="_T_NCL_PROV_DIV_Y93">#REF!</definedName>
    <definedName name="_T_NCL_PROV_DIV_Y94" localSheetId="5">#REF!</definedName>
    <definedName name="_T_NCL_PROV_DIV_Y94" localSheetId="24">#REF!</definedName>
    <definedName name="_T_NCL_PROV_DIV_Y94">#REF!</definedName>
    <definedName name="_T_NCL_PROV_DIV_Y95" localSheetId="5">#REF!</definedName>
    <definedName name="_T_NCL_PROV_DIV_Y95" localSheetId="24">#REF!</definedName>
    <definedName name="_T_NCL_PROV_DIV_Y95">#REF!</definedName>
    <definedName name="_T_NCL_PROV_DIV_Y96" localSheetId="5">#REF!</definedName>
    <definedName name="_T_NCL_PROV_DIV_Y96" localSheetId="24">#REF!</definedName>
    <definedName name="_T_NCL_PROV_DIV_Y96">#REF!</definedName>
    <definedName name="_T_NCL_PROV_DIV_Y97" localSheetId="5">#REF!</definedName>
    <definedName name="_T_NCL_PROV_DIV_Y97" localSheetId="24">#REF!</definedName>
    <definedName name="_T_NCL_PROV_DIV_Y97">#REF!</definedName>
    <definedName name="_T_NCL_PROV_DIV_Y98" localSheetId="5">#REF!</definedName>
    <definedName name="_T_NCL_PROV_DIV_Y98" localSheetId="24">#REF!</definedName>
    <definedName name="_T_NCL_PROV_DIV_Y98">#REF!</definedName>
    <definedName name="_T_NCL_PROV_DIV_Y99" localSheetId="5">#REF!</definedName>
    <definedName name="_T_NCL_PROV_DIV_Y99" localSheetId="24">#REF!</definedName>
    <definedName name="_T_NCL_PROV_DIV_Y99">#REF!</definedName>
    <definedName name="_T_NCL_PROV_EMPLOY_Y00" localSheetId="5">#REF!</definedName>
    <definedName name="_T_NCL_PROV_EMPLOY_Y00" localSheetId="24">#REF!</definedName>
    <definedName name="_T_NCL_PROV_EMPLOY_Y00">#REF!</definedName>
    <definedName name="_T_NCL_PROV_EMPLOY_Y01" localSheetId="5">#REF!</definedName>
    <definedName name="_T_NCL_PROV_EMPLOY_Y01" localSheetId="24">#REF!</definedName>
    <definedName name="_T_NCL_PROV_EMPLOY_Y01">#REF!</definedName>
    <definedName name="_T_NCL_PROV_EMPLOY_Y02" localSheetId="5">#REF!</definedName>
    <definedName name="_T_NCL_PROV_EMPLOY_Y02" localSheetId="24">#REF!</definedName>
    <definedName name="_T_NCL_PROV_EMPLOY_Y02">#REF!</definedName>
    <definedName name="_T_NCL_PROV_EMPLOY_Y03" localSheetId="5">#REF!</definedName>
    <definedName name="_T_NCL_PROV_EMPLOY_Y03" localSheetId="24">#REF!</definedName>
    <definedName name="_T_NCL_PROV_EMPLOY_Y03">#REF!</definedName>
    <definedName name="_T_NCL_PROV_EMPLOY_Y04" localSheetId="5">#REF!</definedName>
    <definedName name="_T_NCL_PROV_EMPLOY_Y04" localSheetId="24">#REF!</definedName>
    <definedName name="_T_NCL_PROV_EMPLOY_Y04">#REF!</definedName>
    <definedName name="_T_NCL_PROV_EMPLOY_Y05" localSheetId="5">#REF!</definedName>
    <definedName name="_T_NCL_PROV_EMPLOY_Y05" localSheetId="24">#REF!</definedName>
    <definedName name="_T_NCL_PROV_EMPLOY_Y05">#REF!</definedName>
    <definedName name="_T_NCL_PROV_EMPLOY_Y06" localSheetId="5">#REF!</definedName>
    <definedName name="_T_NCL_PROV_EMPLOY_Y06" localSheetId="24">#REF!</definedName>
    <definedName name="_T_NCL_PROV_EMPLOY_Y06">#REF!</definedName>
    <definedName name="_T_NCL_PROV_EMPLOY_Y07" localSheetId="5">#REF!</definedName>
    <definedName name="_T_NCL_PROV_EMPLOY_Y07" localSheetId="24">#REF!</definedName>
    <definedName name="_T_NCL_PROV_EMPLOY_Y07">#REF!</definedName>
    <definedName name="_T_NCL_PROV_EMPLOY_Y08" localSheetId="5">#REF!</definedName>
    <definedName name="_T_NCL_PROV_EMPLOY_Y08" localSheetId="24">#REF!</definedName>
    <definedName name="_T_NCL_PROV_EMPLOY_Y08">#REF!</definedName>
    <definedName name="_T_NCL_PROV_EMPLOY_Y92" localSheetId="5">#REF!</definedName>
    <definedName name="_T_NCL_PROV_EMPLOY_Y92" localSheetId="24">#REF!</definedName>
    <definedName name="_T_NCL_PROV_EMPLOY_Y92">#REF!</definedName>
    <definedName name="_T_NCL_PROV_EMPLOY_Y93" localSheetId="5">#REF!</definedName>
    <definedName name="_T_NCL_PROV_EMPLOY_Y93" localSheetId="24">#REF!</definedName>
    <definedName name="_T_NCL_PROV_EMPLOY_Y93">#REF!</definedName>
    <definedName name="_T_NCL_PROV_EMPLOY_Y94" localSheetId="5">#REF!</definedName>
    <definedName name="_T_NCL_PROV_EMPLOY_Y94" localSheetId="24">#REF!</definedName>
    <definedName name="_T_NCL_PROV_EMPLOY_Y94">#REF!</definedName>
    <definedName name="_T_NCL_PROV_EMPLOY_Y95" localSheetId="5">#REF!</definedName>
    <definedName name="_T_NCL_PROV_EMPLOY_Y95" localSheetId="24">#REF!</definedName>
    <definedName name="_T_NCL_PROV_EMPLOY_Y95">#REF!</definedName>
    <definedName name="_T_NCL_PROV_EMPLOY_Y96" localSheetId="5">#REF!</definedName>
    <definedName name="_T_NCL_PROV_EMPLOY_Y96" localSheetId="24">#REF!</definedName>
    <definedName name="_T_NCL_PROV_EMPLOY_Y96">#REF!</definedName>
    <definedName name="_T_NCL_PROV_EMPLOY_Y97" localSheetId="5">#REF!</definedName>
    <definedName name="_T_NCL_PROV_EMPLOY_Y97" localSheetId="24">#REF!</definedName>
    <definedName name="_T_NCL_PROV_EMPLOY_Y97">#REF!</definedName>
    <definedName name="_T_NCL_PROV_EMPLOY_Y98" localSheetId="5">#REF!</definedName>
    <definedName name="_T_NCL_PROV_EMPLOY_Y98" localSheetId="24">#REF!</definedName>
    <definedName name="_T_NCL_PROV_EMPLOY_Y98">#REF!</definedName>
    <definedName name="_T_NCL_PROV_EMPLOY_Y99" localSheetId="5">#REF!</definedName>
    <definedName name="_T_NCL_PROV_EMPLOY_Y99" localSheetId="24">#REF!</definedName>
    <definedName name="_T_NCL_PROV_EMPLOY_Y99">#REF!</definedName>
    <definedName name="_T_NCL_PROV_OTHER_Y00" localSheetId="5">#REF!</definedName>
    <definedName name="_T_NCL_PROV_OTHER_Y00" localSheetId="24">#REF!</definedName>
    <definedName name="_T_NCL_PROV_OTHER_Y00">#REF!</definedName>
    <definedName name="_T_NCL_PROV_OTHER_Y01" localSheetId="5">#REF!</definedName>
    <definedName name="_T_NCL_PROV_OTHER_Y01" localSheetId="24">#REF!</definedName>
    <definedName name="_T_NCL_PROV_OTHER_Y01">#REF!</definedName>
    <definedName name="_T_NCL_PROV_OTHER_Y02" localSheetId="5">#REF!</definedName>
    <definedName name="_T_NCL_PROV_OTHER_Y02" localSheetId="24">#REF!</definedName>
    <definedName name="_T_NCL_PROV_OTHER_Y02">#REF!</definedName>
    <definedName name="_T_NCL_PROV_OTHER_Y03" localSheetId="5">#REF!</definedName>
    <definedName name="_T_NCL_PROV_OTHER_Y03" localSheetId="24">#REF!</definedName>
    <definedName name="_T_NCL_PROV_OTHER_Y03">#REF!</definedName>
    <definedName name="_T_NCL_PROV_OTHER_Y04" localSheetId="5">#REF!</definedName>
    <definedName name="_T_NCL_PROV_OTHER_Y04" localSheetId="24">#REF!</definedName>
    <definedName name="_T_NCL_PROV_OTHER_Y04">#REF!</definedName>
    <definedName name="_T_NCL_PROV_OTHER_Y05" localSheetId="5">#REF!</definedName>
    <definedName name="_T_NCL_PROV_OTHER_Y05" localSheetId="24">#REF!</definedName>
    <definedName name="_T_NCL_PROV_OTHER_Y05">#REF!</definedName>
    <definedName name="_T_NCL_PROV_OTHER_Y06" localSheetId="5">#REF!</definedName>
    <definedName name="_T_NCL_PROV_OTHER_Y06" localSheetId="24">#REF!</definedName>
    <definedName name="_T_NCL_PROV_OTHER_Y06">#REF!</definedName>
    <definedName name="_T_NCL_PROV_OTHER_Y07" localSheetId="5">#REF!</definedName>
    <definedName name="_T_NCL_PROV_OTHER_Y07" localSheetId="24">#REF!</definedName>
    <definedName name="_T_NCL_PROV_OTHER_Y07">#REF!</definedName>
    <definedName name="_T_NCL_PROV_OTHER_Y08" localSheetId="5">#REF!</definedName>
    <definedName name="_T_NCL_PROV_OTHER_Y08" localSheetId="24">#REF!</definedName>
    <definedName name="_T_NCL_PROV_OTHER_Y08">#REF!</definedName>
    <definedName name="_T_NCL_PROV_OTHER_Y92" localSheetId="5">#REF!</definedName>
    <definedName name="_T_NCL_PROV_OTHER_Y92" localSheetId="24">#REF!</definedName>
    <definedName name="_T_NCL_PROV_OTHER_Y92">#REF!</definedName>
    <definedName name="_T_NCL_PROV_OTHER_Y93" localSheetId="5">#REF!</definedName>
    <definedName name="_T_NCL_PROV_OTHER_Y93" localSheetId="24">#REF!</definedName>
    <definedName name="_T_NCL_PROV_OTHER_Y93">#REF!</definedName>
    <definedName name="_T_NCL_PROV_OTHER_Y94" localSheetId="5">#REF!</definedName>
    <definedName name="_T_NCL_PROV_OTHER_Y94" localSheetId="24">#REF!</definedName>
    <definedName name="_T_NCL_PROV_OTHER_Y94">#REF!</definedName>
    <definedName name="_T_NCL_PROV_OTHER_Y95" localSheetId="5">#REF!</definedName>
    <definedName name="_T_NCL_PROV_OTHER_Y95" localSheetId="24">#REF!</definedName>
    <definedName name="_T_NCL_PROV_OTHER_Y95">#REF!</definedName>
    <definedName name="_T_NCL_PROV_OTHER_Y96" localSheetId="5">#REF!</definedName>
    <definedName name="_T_NCL_PROV_OTHER_Y96" localSheetId="24">#REF!</definedName>
    <definedName name="_T_NCL_PROV_OTHER_Y96">#REF!</definedName>
    <definedName name="_T_NCL_PROV_OTHER_Y97" localSheetId="5">#REF!</definedName>
    <definedName name="_T_NCL_PROV_OTHER_Y97" localSheetId="24">#REF!</definedName>
    <definedName name="_T_NCL_PROV_OTHER_Y97">#REF!</definedName>
    <definedName name="_T_NCL_PROV_OTHER_Y98" localSheetId="5">#REF!</definedName>
    <definedName name="_T_NCL_PROV_OTHER_Y98" localSheetId="24">#REF!</definedName>
    <definedName name="_T_NCL_PROV_OTHER_Y98">#REF!</definedName>
    <definedName name="_T_NCL_PROV_OTHER_Y99" localSheetId="5">#REF!</definedName>
    <definedName name="_T_NCL_PROV_OTHER_Y99" localSheetId="24">#REF!</definedName>
    <definedName name="_T_NCL_PROV_OTHER_Y99">#REF!</definedName>
    <definedName name="_T_NCL_PROV_RECONSTR_Y00" localSheetId="5">#REF!</definedName>
    <definedName name="_T_NCL_PROV_RECONSTR_Y00" localSheetId="24">#REF!</definedName>
    <definedName name="_T_NCL_PROV_RECONSTR_Y00">#REF!</definedName>
    <definedName name="_T_NCL_PROV_RECONSTR_Y01" localSheetId="5">#REF!</definedName>
    <definedName name="_T_NCL_PROV_RECONSTR_Y01" localSheetId="24">#REF!</definedName>
    <definedName name="_T_NCL_PROV_RECONSTR_Y01">#REF!</definedName>
    <definedName name="_T_NCL_PROV_RECONSTR_Y02" localSheetId="5">#REF!</definedName>
    <definedName name="_T_NCL_PROV_RECONSTR_Y02" localSheetId="24">#REF!</definedName>
    <definedName name="_T_NCL_PROV_RECONSTR_Y02">#REF!</definedName>
    <definedName name="_T_NCL_PROV_RECONSTR_Y03" localSheetId="5">#REF!</definedName>
    <definedName name="_T_NCL_PROV_RECONSTR_Y03" localSheetId="24">#REF!</definedName>
    <definedName name="_T_NCL_PROV_RECONSTR_Y03">#REF!</definedName>
    <definedName name="_T_NCL_PROV_RECONSTR_Y04" localSheetId="5">#REF!</definedName>
    <definedName name="_T_NCL_PROV_RECONSTR_Y04" localSheetId="24">#REF!</definedName>
    <definedName name="_T_NCL_PROV_RECONSTR_Y04">#REF!</definedName>
    <definedName name="_T_NCL_PROV_RECONSTR_Y05" localSheetId="5">#REF!</definedName>
    <definedName name="_T_NCL_PROV_RECONSTR_Y05" localSheetId="24">#REF!</definedName>
    <definedName name="_T_NCL_PROV_RECONSTR_Y05">#REF!</definedName>
    <definedName name="_T_NCL_PROV_RECONSTR_Y06" localSheetId="5">#REF!</definedName>
    <definedName name="_T_NCL_PROV_RECONSTR_Y06" localSheetId="24">#REF!</definedName>
    <definedName name="_T_NCL_PROV_RECONSTR_Y06">#REF!</definedName>
    <definedName name="_T_NCL_PROV_RECONSTR_Y07" localSheetId="5">#REF!</definedName>
    <definedName name="_T_NCL_PROV_RECONSTR_Y07" localSheetId="24">#REF!</definedName>
    <definedName name="_T_NCL_PROV_RECONSTR_Y07">#REF!</definedName>
    <definedName name="_T_NCL_PROV_RECONSTR_Y08" localSheetId="5">#REF!</definedName>
    <definedName name="_T_NCL_PROV_RECONSTR_Y08" localSheetId="24">#REF!</definedName>
    <definedName name="_T_NCL_PROV_RECONSTR_Y08">#REF!</definedName>
    <definedName name="_T_NCL_PROV_RECONSTR_Y92" localSheetId="5">#REF!</definedName>
    <definedName name="_T_NCL_PROV_RECONSTR_Y92" localSheetId="24">#REF!</definedName>
    <definedName name="_T_NCL_PROV_RECONSTR_Y92">#REF!</definedName>
    <definedName name="_T_NCL_PROV_RECONSTR_Y93" localSheetId="5">#REF!</definedName>
    <definedName name="_T_NCL_PROV_RECONSTR_Y93" localSheetId="24">#REF!</definedName>
    <definedName name="_T_NCL_PROV_RECONSTR_Y93">#REF!</definedName>
    <definedName name="_T_NCL_PROV_RECONSTR_Y94" localSheetId="5">#REF!</definedName>
    <definedName name="_T_NCL_PROV_RECONSTR_Y94" localSheetId="24">#REF!</definedName>
    <definedName name="_T_NCL_PROV_RECONSTR_Y94">#REF!</definedName>
    <definedName name="_T_NCL_PROV_RECONSTR_Y95" localSheetId="5">#REF!</definedName>
    <definedName name="_T_NCL_PROV_RECONSTR_Y95" localSheetId="24">#REF!</definedName>
    <definedName name="_T_NCL_PROV_RECONSTR_Y95">#REF!</definedName>
    <definedName name="_T_NCL_PROV_RECONSTR_Y96" localSheetId="5">#REF!</definedName>
    <definedName name="_T_NCL_PROV_RECONSTR_Y96" localSheetId="24">#REF!</definedName>
    <definedName name="_T_NCL_PROV_RECONSTR_Y96">#REF!</definedName>
    <definedName name="_T_NCL_PROV_RECONSTR_Y97" localSheetId="5">#REF!</definedName>
    <definedName name="_T_NCL_PROV_RECONSTR_Y97" localSheetId="24">#REF!</definedName>
    <definedName name="_T_NCL_PROV_RECONSTR_Y97">#REF!</definedName>
    <definedName name="_T_NCL_PROV_RECONSTR_Y98" localSheetId="5">#REF!</definedName>
    <definedName name="_T_NCL_PROV_RECONSTR_Y98" localSheetId="24">#REF!</definedName>
    <definedName name="_T_NCL_PROV_RECONSTR_Y98">#REF!</definedName>
    <definedName name="_T_NCL_PROV_RECONSTR_Y99" localSheetId="5">#REF!</definedName>
    <definedName name="_T_NCL_PROV_RECONSTR_Y99" localSheetId="24">#REF!</definedName>
    <definedName name="_T_NCL_PROV_RECONSTR_Y99">#REF!</definedName>
    <definedName name="_T_NCL_PROV_SUM_Y00" localSheetId="5">#REF!</definedName>
    <definedName name="_T_NCL_PROV_SUM_Y00" localSheetId="24">#REF!</definedName>
    <definedName name="_T_NCL_PROV_SUM_Y00">#REF!</definedName>
    <definedName name="_T_NCL_PROV_SUM_Y01" localSheetId="5">#REF!</definedName>
    <definedName name="_T_NCL_PROV_SUM_Y01" localSheetId="24">#REF!</definedName>
    <definedName name="_T_NCL_PROV_SUM_Y01">#REF!</definedName>
    <definedName name="_T_NCL_PROV_SUM_Y02" localSheetId="5">#REF!</definedName>
    <definedName name="_T_NCL_PROV_SUM_Y02" localSheetId="24">#REF!</definedName>
    <definedName name="_T_NCL_PROV_SUM_Y02">#REF!</definedName>
    <definedName name="_T_NCL_PROV_SUM_Y03" localSheetId="5">#REF!</definedName>
    <definedName name="_T_NCL_PROV_SUM_Y03" localSheetId="24">#REF!</definedName>
    <definedName name="_T_NCL_PROV_SUM_Y03">#REF!</definedName>
    <definedName name="_T_NCL_PROV_SUM_Y90" localSheetId="5">#REF!</definedName>
    <definedName name="_T_NCL_PROV_SUM_Y90" localSheetId="24">#REF!</definedName>
    <definedName name="_T_NCL_PROV_SUM_Y90">#REF!</definedName>
    <definedName name="_T_NCL_PROV_SUM_Y91" localSheetId="5">#REF!</definedName>
    <definedName name="_T_NCL_PROV_SUM_Y91" localSheetId="24">#REF!</definedName>
    <definedName name="_T_NCL_PROV_SUM_Y91">#REF!</definedName>
    <definedName name="_T_NCL_PROV_SUM_Y92" localSheetId="5">#REF!</definedName>
    <definedName name="_T_NCL_PROV_SUM_Y92" localSheetId="24">#REF!</definedName>
    <definedName name="_T_NCL_PROV_SUM_Y92">#REF!</definedName>
    <definedName name="_T_NCL_PROV_SUM_Y93" localSheetId="5">#REF!</definedName>
    <definedName name="_T_NCL_PROV_SUM_Y93" localSheetId="24">#REF!</definedName>
    <definedName name="_T_NCL_PROV_SUM_Y93">#REF!</definedName>
    <definedName name="_T_NCL_PROV_SUM_Y94" localSheetId="5">#REF!</definedName>
    <definedName name="_T_NCL_PROV_SUM_Y94" localSheetId="24">#REF!</definedName>
    <definedName name="_T_NCL_PROV_SUM_Y94">#REF!</definedName>
    <definedName name="_T_NCL_PROV_SUM_Y95" localSheetId="5">#REF!</definedName>
    <definedName name="_T_NCL_PROV_SUM_Y95" localSheetId="24">#REF!</definedName>
    <definedName name="_T_NCL_PROV_SUM_Y95">#REF!</definedName>
    <definedName name="_T_NCL_PROV_SUM_Y96" localSheetId="5">#REF!</definedName>
    <definedName name="_T_NCL_PROV_SUM_Y96" localSheetId="24">#REF!</definedName>
    <definedName name="_T_NCL_PROV_SUM_Y96">#REF!</definedName>
    <definedName name="_T_NCL_PROV_SUM_Y97" localSheetId="5">#REF!</definedName>
    <definedName name="_T_NCL_PROV_SUM_Y97" localSheetId="24">#REF!</definedName>
    <definedName name="_T_NCL_PROV_SUM_Y97">#REF!</definedName>
    <definedName name="_T_NCL_PROV_SUM_Y98" localSheetId="5">#REF!</definedName>
    <definedName name="_T_NCL_PROV_SUM_Y98" localSheetId="24">#REF!</definedName>
    <definedName name="_T_NCL_PROV_SUM_Y98">#REF!</definedName>
    <definedName name="_T_NCL_PROV_SUM_Y99" localSheetId="5">#REF!</definedName>
    <definedName name="_T_NCL_PROV_SUM_Y99" localSheetId="24">#REF!</definedName>
    <definedName name="_T_NCL_PROV_SUM_Y99">#REF!</definedName>
    <definedName name="_T_NCL_SUM_Y00" localSheetId="5">#REF!</definedName>
    <definedName name="_T_NCL_SUM_Y00" localSheetId="24">#REF!</definedName>
    <definedName name="_T_NCL_SUM_Y00">#REF!</definedName>
    <definedName name="_T_NCL_SUM_Y01" localSheetId="5">#REF!</definedName>
    <definedName name="_T_NCL_SUM_Y01" localSheetId="24">#REF!</definedName>
    <definedName name="_T_NCL_SUM_Y01">#REF!</definedName>
    <definedName name="_T_NCL_SUM_Y02" localSheetId="5">#REF!</definedName>
    <definedName name="_T_NCL_SUM_Y02" localSheetId="24">#REF!</definedName>
    <definedName name="_T_NCL_SUM_Y02">#REF!</definedName>
    <definedName name="_T_NCL_SUM_Y03" localSheetId="5">#REF!</definedName>
    <definedName name="_T_NCL_SUM_Y03" localSheetId="24">#REF!</definedName>
    <definedName name="_T_NCL_SUM_Y03">#REF!</definedName>
    <definedName name="_T_NCL_SUM_Y90" localSheetId="5">#REF!</definedName>
    <definedName name="_T_NCL_SUM_Y90" localSheetId="24">#REF!</definedName>
    <definedName name="_T_NCL_SUM_Y90">#REF!</definedName>
    <definedName name="_T_NCL_SUM_Y91" localSheetId="5">#REF!</definedName>
    <definedName name="_T_NCL_SUM_Y91" localSheetId="24">#REF!</definedName>
    <definedName name="_T_NCL_SUM_Y91">#REF!</definedName>
    <definedName name="_T_NCL_SUM_Y92" localSheetId="5">#REF!</definedName>
    <definedName name="_T_NCL_SUM_Y92" localSheetId="24">#REF!</definedName>
    <definedName name="_T_NCL_SUM_Y92">#REF!</definedName>
    <definedName name="_T_NCL_SUM_Y93" localSheetId="5">#REF!</definedName>
    <definedName name="_T_NCL_SUM_Y93" localSheetId="24">#REF!</definedName>
    <definedName name="_T_NCL_SUM_Y93">#REF!</definedName>
    <definedName name="_T_NCL_SUM_Y94" localSheetId="5">#REF!</definedName>
    <definedName name="_T_NCL_SUM_Y94" localSheetId="24">#REF!</definedName>
    <definedName name="_T_NCL_SUM_Y94">#REF!</definedName>
    <definedName name="_T_NCL_SUM_Y95" localSheetId="5">#REF!</definedName>
    <definedName name="_T_NCL_SUM_Y95" localSheetId="24">#REF!</definedName>
    <definedName name="_T_NCL_SUM_Y95">#REF!</definedName>
    <definedName name="_T_NCL_SUM_Y96" localSheetId="5">#REF!</definedName>
    <definedName name="_T_NCL_SUM_Y96" localSheetId="24">#REF!</definedName>
    <definedName name="_T_NCL_SUM_Y96">#REF!</definedName>
    <definedName name="_T_NCL_SUM_Y97" localSheetId="5">#REF!</definedName>
    <definedName name="_T_NCL_SUM_Y97" localSheetId="24">#REF!</definedName>
    <definedName name="_T_NCL_SUM_Y97">#REF!</definedName>
    <definedName name="_T_NCL_SUM_Y98" localSheetId="5">#REF!</definedName>
    <definedName name="_T_NCL_SUM_Y98" localSheetId="24">#REF!</definedName>
    <definedName name="_T_NCL_SUM_Y98">#REF!</definedName>
    <definedName name="_T_NCL_SUM_Y99" localSheetId="5">#REF!</definedName>
    <definedName name="_T_NCL_SUM_Y99" localSheetId="24">#REF!</definedName>
    <definedName name="_T_NCL_SUM_Y99">#REF!</definedName>
    <definedName name="_T_NCL_TAX_DEFERR_Y00" localSheetId="5">#REF!</definedName>
    <definedName name="_T_NCL_TAX_DEFERR_Y00" localSheetId="24">#REF!</definedName>
    <definedName name="_T_NCL_TAX_DEFERR_Y00">#REF!</definedName>
    <definedName name="_T_NCL_TAX_DEFERR_Y01" localSheetId="5">#REF!</definedName>
    <definedName name="_T_NCL_TAX_DEFERR_Y01" localSheetId="24">#REF!</definedName>
    <definedName name="_T_NCL_TAX_DEFERR_Y01">#REF!</definedName>
    <definedName name="_T_NCL_TAX_DEFERR_Y02" localSheetId="5">#REF!</definedName>
    <definedName name="_T_NCL_TAX_DEFERR_Y02" localSheetId="24">#REF!</definedName>
    <definedName name="_T_NCL_TAX_DEFERR_Y02">#REF!</definedName>
    <definedName name="_T_NCL_TAX_DEFERR_Y03" localSheetId="5">#REF!</definedName>
    <definedName name="_T_NCL_TAX_DEFERR_Y03" localSheetId="24">#REF!</definedName>
    <definedName name="_T_NCL_TAX_DEFERR_Y03">#REF!</definedName>
    <definedName name="_T_NCL_TAX_DEFERR_Y04" localSheetId="5">#REF!</definedName>
    <definedName name="_T_NCL_TAX_DEFERR_Y04" localSheetId="24">#REF!</definedName>
    <definedName name="_T_NCL_TAX_DEFERR_Y04">#REF!</definedName>
    <definedName name="_T_NCL_TAX_DEFERR_Y05" localSheetId="5">#REF!</definedName>
    <definedName name="_T_NCL_TAX_DEFERR_Y05" localSheetId="24">#REF!</definedName>
    <definedName name="_T_NCL_TAX_DEFERR_Y05">#REF!</definedName>
    <definedName name="_T_NCL_TAX_DEFERR_Y06" localSheetId="5">#REF!</definedName>
    <definedName name="_T_NCL_TAX_DEFERR_Y06" localSheetId="24">#REF!</definedName>
    <definedName name="_T_NCL_TAX_DEFERR_Y06">#REF!</definedName>
    <definedName name="_T_NCL_TAX_DEFERR_Y07" localSheetId="5">#REF!</definedName>
    <definedName name="_T_NCL_TAX_DEFERR_Y07" localSheetId="24">#REF!</definedName>
    <definedName name="_T_NCL_TAX_DEFERR_Y07">#REF!</definedName>
    <definedName name="_T_NCL_TAX_DEFERR_Y08" localSheetId="5">#REF!</definedName>
    <definedName name="_T_NCL_TAX_DEFERR_Y08" localSheetId="24">#REF!</definedName>
    <definedName name="_T_NCL_TAX_DEFERR_Y08">#REF!</definedName>
    <definedName name="_T_NCL_TAX_DEFERR_Y92" localSheetId="5">#REF!</definedName>
    <definedName name="_T_NCL_TAX_DEFERR_Y92" localSheetId="24">#REF!</definedName>
    <definedName name="_T_NCL_TAX_DEFERR_Y92">#REF!</definedName>
    <definedName name="_T_NCL_TAX_DEFERR_Y93" localSheetId="5">#REF!</definedName>
    <definedName name="_T_NCL_TAX_DEFERR_Y93" localSheetId="24">#REF!</definedName>
    <definedName name="_T_NCL_TAX_DEFERR_Y93">#REF!</definedName>
    <definedName name="_T_NCL_TAX_DEFERR_Y94" localSheetId="5">#REF!</definedName>
    <definedName name="_T_NCL_TAX_DEFERR_Y94" localSheetId="24">#REF!</definedName>
    <definedName name="_T_NCL_TAX_DEFERR_Y94">#REF!</definedName>
    <definedName name="_T_NCL_TAX_DEFERR_Y95" localSheetId="5">#REF!</definedName>
    <definedName name="_T_NCL_TAX_DEFERR_Y95" localSheetId="24">#REF!</definedName>
    <definedName name="_T_NCL_TAX_DEFERR_Y95">#REF!</definedName>
    <definedName name="_T_NCL_TAX_DEFERR_Y96" localSheetId="5">#REF!</definedName>
    <definedName name="_T_NCL_TAX_DEFERR_Y96" localSheetId="24">#REF!</definedName>
    <definedName name="_T_NCL_TAX_DEFERR_Y96">#REF!</definedName>
    <definedName name="_T_NCL_TAX_DEFERR_Y97" localSheetId="5">#REF!</definedName>
    <definedName name="_T_NCL_TAX_DEFERR_Y97" localSheetId="24">#REF!</definedName>
    <definedName name="_T_NCL_TAX_DEFERR_Y97">#REF!</definedName>
    <definedName name="_T_NCL_TAX_DEFERR_Y98" localSheetId="5">#REF!</definedName>
    <definedName name="_T_NCL_TAX_DEFERR_Y98" localSheetId="24">#REF!</definedName>
    <definedName name="_T_NCL_TAX_DEFERR_Y98">#REF!</definedName>
    <definedName name="_T_NCL_TAX_DEFERR_Y99" localSheetId="5">#REF!</definedName>
    <definedName name="_T_NCL_TAX_DEFERR_Y99" localSheetId="24">#REF!</definedName>
    <definedName name="_T_NCL_TAX_DEFERR_Y99">#REF!</definedName>
    <definedName name="_T_OC_BASIC_WC_Y00" localSheetId="5">#REF!</definedName>
    <definedName name="_T_OC_BASIC_WC_Y00" localSheetId="24">#REF!</definedName>
    <definedName name="_T_OC_BASIC_WC_Y00">#REF!</definedName>
    <definedName name="_T_OC_BASIC_WC_Y01" localSheetId="5">#REF!</definedName>
    <definedName name="_T_OC_BASIC_WC_Y01" localSheetId="24">#REF!</definedName>
    <definedName name="_T_OC_BASIC_WC_Y01">#REF!</definedName>
    <definedName name="_T_OC_BASIC_WC_Y02" localSheetId="5">#REF!</definedName>
    <definedName name="_T_OC_BASIC_WC_Y02" localSheetId="24">#REF!</definedName>
    <definedName name="_T_OC_BASIC_WC_Y02">#REF!</definedName>
    <definedName name="_T_OC_BASIC_WC_Y03" localSheetId="5">#REF!</definedName>
    <definedName name="_T_OC_BASIC_WC_Y03" localSheetId="24">#REF!</definedName>
    <definedName name="_T_OC_BASIC_WC_Y03">#REF!</definedName>
    <definedName name="_T_OC_BASIC_WC_Y90" localSheetId="5">#REF!</definedName>
    <definedName name="_T_OC_BASIC_WC_Y90" localSheetId="24">#REF!</definedName>
    <definedName name="_T_OC_BASIC_WC_Y90">#REF!</definedName>
    <definedName name="_T_OC_BASIC_WC_Y91" localSheetId="5">#REF!</definedName>
    <definedName name="_T_OC_BASIC_WC_Y91" localSheetId="24">#REF!</definedName>
    <definedName name="_T_OC_BASIC_WC_Y91">#REF!</definedName>
    <definedName name="_T_OC_BASIC_WC_Y92" localSheetId="5">#REF!</definedName>
    <definedName name="_T_OC_BASIC_WC_Y92" localSheetId="24">#REF!</definedName>
    <definedName name="_T_OC_BASIC_WC_Y92">#REF!</definedName>
    <definedName name="_T_OC_BASIC_WC_Y93" localSheetId="5">#REF!</definedName>
    <definedName name="_T_OC_BASIC_WC_Y93" localSheetId="24">#REF!</definedName>
    <definedName name="_T_OC_BASIC_WC_Y93">#REF!</definedName>
    <definedName name="_T_OC_BASIC_WC_Y94" localSheetId="5">#REF!</definedName>
    <definedName name="_T_OC_BASIC_WC_Y94" localSheetId="24">#REF!</definedName>
    <definedName name="_T_OC_BASIC_WC_Y94">#REF!</definedName>
    <definedName name="_T_OC_BASIC_WC_Y95" localSheetId="5">#REF!</definedName>
    <definedName name="_T_OC_BASIC_WC_Y95" localSheetId="24">#REF!</definedName>
    <definedName name="_T_OC_BASIC_WC_Y95">#REF!</definedName>
    <definedName name="_T_OC_BASIC_WC_Y96" localSheetId="5">#REF!</definedName>
    <definedName name="_T_OC_BASIC_WC_Y96" localSheetId="24">#REF!</definedName>
    <definedName name="_T_OC_BASIC_WC_Y96">#REF!</definedName>
    <definedName name="_T_OC_BASIC_WC_Y97" localSheetId="5">#REF!</definedName>
    <definedName name="_T_OC_BASIC_WC_Y97" localSheetId="24">#REF!</definedName>
    <definedName name="_T_OC_BASIC_WC_Y97">#REF!</definedName>
    <definedName name="_T_OC_BASIC_WC_Y98" localSheetId="5">#REF!</definedName>
    <definedName name="_T_OC_BASIC_WC_Y98" localSheetId="24">#REF!</definedName>
    <definedName name="_T_OC_BASIC_WC_Y98">#REF!</definedName>
    <definedName name="_T_OC_BASIC_WC_Y99" localSheetId="5">#REF!</definedName>
    <definedName name="_T_OC_BASIC_WC_Y99" localSheetId="24">#REF!</definedName>
    <definedName name="_T_OC_BASIC_WC_Y99">#REF!</definedName>
    <definedName name="_T_OC_DIV_RCVD_Y00" localSheetId="5">#REF!</definedName>
    <definedName name="_T_OC_DIV_RCVD_Y00" localSheetId="24">#REF!</definedName>
    <definedName name="_T_OC_DIV_RCVD_Y00">#REF!</definedName>
    <definedName name="_T_OC_DIV_RCVD_Y01" localSheetId="5">#REF!</definedName>
    <definedName name="_T_OC_DIV_RCVD_Y01" localSheetId="24">#REF!</definedName>
    <definedName name="_T_OC_DIV_RCVD_Y01">#REF!</definedName>
    <definedName name="_T_OC_DIV_RCVD_Y02" localSheetId="5">#REF!</definedName>
    <definedName name="_T_OC_DIV_RCVD_Y02" localSheetId="24">#REF!</definedName>
    <definedName name="_T_OC_DIV_RCVD_Y02">#REF!</definedName>
    <definedName name="_T_OC_DIV_RCVD_Y03" localSheetId="5">#REF!</definedName>
    <definedName name="_T_OC_DIV_RCVD_Y03" localSheetId="24">#REF!</definedName>
    <definedName name="_T_OC_DIV_RCVD_Y03">#REF!</definedName>
    <definedName name="_T_OC_DIV_RCVD_Y04" localSheetId="5">#REF!</definedName>
    <definedName name="_T_OC_DIV_RCVD_Y04" localSheetId="24">#REF!</definedName>
    <definedName name="_T_OC_DIV_RCVD_Y04">#REF!</definedName>
    <definedName name="_T_OC_DIV_RCVD_Y05" localSheetId="5">#REF!</definedName>
    <definedName name="_T_OC_DIV_RCVD_Y05" localSheetId="24">#REF!</definedName>
    <definedName name="_T_OC_DIV_RCVD_Y05">#REF!</definedName>
    <definedName name="_T_OC_DIV_RCVD_Y06" localSheetId="5">#REF!</definedName>
    <definedName name="_T_OC_DIV_RCVD_Y06" localSheetId="24">#REF!</definedName>
    <definedName name="_T_OC_DIV_RCVD_Y06">#REF!</definedName>
    <definedName name="_T_OC_DIV_RCVD_Y07" localSheetId="5">#REF!</definedName>
    <definedName name="_T_OC_DIV_RCVD_Y07" localSheetId="24">#REF!</definedName>
    <definedName name="_T_OC_DIV_RCVD_Y07">#REF!</definedName>
    <definedName name="_T_OC_DIV_RCVD_Y08" localSheetId="5">#REF!</definedName>
    <definedName name="_T_OC_DIV_RCVD_Y08" localSheetId="24">#REF!</definedName>
    <definedName name="_T_OC_DIV_RCVD_Y08">#REF!</definedName>
    <definedName name="_T_OC_DIV_RCVD_Y92" localSheetId="5">#REF!</definedName>
    <definedName name="_T_OC_DIV_RCVD_Y92" localSheetId="24">#REF!</definedName>
    <definedName name="_T_OC_DIV_RCVD_Y92">#REF!</definedName>
    <definedName name="_T_OC_DIV_RCVD_Y93" localSheetId="5">#REF!</definedName>
    <definedName name="_T_OC_DIV_RCVD_Y93" localSheetId="24">#REF!</definedName>
    <definedName name="_T_OC_DIV_RCVD_Y93">#REF!</definedName>
    <definedName name="_T_OC_DIV_RCVD_Y94" localSheetId="5">#REF!</definedName>
    <definedName name="_T_OC_DIV_RCVD_Y94" localSheetId="24">#REF!</definedName>
    <definedName name="_T_OC_DIV_RCVD_Y94">#REF!</definedName>
    <definedName name="_T_OC_DIV_RCVD_Y95" localSheetId="5">#REF!</definedName>
    <definedName name="_T_OC_DIV_RCVD_Y95" localSheetId="24">#REF!</definedName>
    <definedName name="_T_OC_DIV_RCVD_Y95">#REF!</definedName>
    <definedName name="_T_OC_DIV_RCVD_Y96" localSheetId="5">#REF!</definedName>
    <definedName name="_T_OC_DIV_RCVD_Y96" localSheetId="24">#REF!</definedName>
    <definedName name="_T_OC_DIV_RCVD_Y96">#REF!</definedName>
    <definedName name="_T_OC_DIV_RCVD_Y97" localSheetId="5">#REF!</definedName>
    <definedName name="_T_OC_DIV_RCVD_Y97" localSheetId="24">#REF!</definedName>
    <definedName name="_T_OC_DIV_RCVD_Y97">#REF!</definedName>
    <definedName name="_T_OC_DIV_RCVD_Y98" localSheetId="5">#REF!</definedName>
    <definedName name="_T_OC_DIV_RCVD_Y98" localSheetId="24">#REF!</definedName>
    <definedName name="_T_OC_DIV_RCVD_Y98">#REF!</definedName>
    <definedName name="_T_OC_DIV_RCVD_Y99" localSheetId="5">#REF!</definedName>
    <definedName name="_T_OC_DIV_RCVD_Y99" localSheetId="24">#REF!</definedName>
    <definedName name="_T_OC_DIV_RCVD_Y99">#REF!</definedName>
    <definedName name="_T_OC_INT_NET_Y00" localSheetId="5">#REF!</definedName>
    <definedName name="_T_OC_INT_NET_Y00" localSheetId="24">#REF!</definedName>
    <definedName name="_T_OC_INT_NET_Y00">#REF!</definedName>
    <definedName name="_T_OC_INT_NET_Y01" localSheetId="5">#REF!</definedName>
    <definedName name="_T_OC_INT_NET_Y01" localSheetId="24">#REF!</definedName>
    <definedName name="_T_OC_INT_NET_Y01">#REF!</definedName>
    <definedName name="_T_OC_INT_NET_Y02" localSheetId="5">#REF!</definedName>
    <definedName name="_T_OC_INT_NET_Y02" localSheetId="24">#REF!</definedName>
    <definedName name="_T_OC_INT_NET_Y02">#REF!</definedName>
    <definedName name="_T_OC_INT_NET_Y03" localSheetId="5">#REF!</definedName>
    <definedName name="_T_OC_INT_NET_Y03" localSheetId="24">#REF!</definedName>
    <definedName name="_T_OC_INT_NET_Y03">#REF!</definedName>
    <definedName name="_T_OC_INT_NET_Y90" localSheetId="5">#REF!</definedName>
    <definedName name="_T_OC_INT_NET_Y90" localSheetId="24">#REF!</definedName>
    <definedName name="_T_OC_INT_NET_Y90">#REF!</definedName>
    <definedName name="_T_OC_INT_NET_Y91" localSheetId="5">#REF!</definedName>
    <definedName name="_T_OC_INT_NET_Y91" localSheetId="24">#REF!</definedName>
    <definedName name="_T_OC_INT_NET_Y91">#REF!</definedName>
    <definedName name="_T_OC_INT_NET_Y92" localSheetId="5">#REF!</definedName>
    <definedName name="_T_OC_INT_NET_Y92" localSheetId="24">#REF!</definedName>
    <definedName name="_T_OC_INT_NET_Y92">#REF!</definedName>
    <definedName name="_T_OC_INT_NET_Y93" localSheetId="5">#REF!</definedName>
    <definedName name="_T_OC_INT_NET_Y93" localSheetId="24">#REF!</definedName>
    <definedName name="_T_OC_INT_NET_Y93">#REF!</definedName>
    <definedName name="_T_OC_INT_NET_Y94" localSheetId="5">#REF!</definedName>
    <definedName name="_T_OC_INT_NET_Y94" localSheetId="24">#REF!</definedName>
    <definedName name="_T_OC_INT_NET_Y94">#REF!</definedName>
    <definedName name="_T_OC_INT_NET_Y95" localSheetId="5">#REF!</definedName>
    <definedName name="_T_OC_INT_NET_Y95" localSheetId="24">#REF!</definedName>
    <definedName name="_T_OC_INT_NET_Y95">#REF!</definedName>
    <definedName name="_T_OC_INT_NET_Y96" localSheetId="5">#REF!</definedName>
    <definedName name="_T_OC_INT_NET_Y96" localSheetId="24">#REF!</definedName>
    <definedName name="_T_OC_INT_NET_Y96">#REF!</definedName>
    <definedName name="_T_OC_INT_NET_Y97" localSheetId="5">#REF!</definedName>
    <definedName name="_T_OC_INT_NET_Y97" localSheetId="24">#REF!</definedName>
    <definedName name="_T_OC_INT_NET_Y97">#REF!</definedName>
    <definedName name="_T_OC_INT_NET_Y98" localSheetId="5">#REF!</definedName>
    <definedName name="_T_OC_INT_NET_Y98" localSheetId="24">#REF!</definedName>
    <definedName name="_T_OC_INT_NET_Y98">#REF!</definedName>
    <definedName name="_T_OC_INT_NET_Y99" localSheetId="5">#REF!</definedName>
    <definedName name="_T_OC_INT_NET_Y99" localSheetId="24">#REF!</definedName>
    <definedName name="_T_OC_INT_NET_Y99">#REF!</definedName>
    <definedName name="_T_OC_INT_PAID_Y00" localSheetId="5">#REF!</definedName>
    <definedName name="_T_OC_INT_PAID_Y00" localSheetId="24">#REF!</definedName>
    <definedName name="_T_OC_INT_PAID_Y00">#REF!</definedName>
    <definedName name="_T_OC_INT_PAID_Y01" localSheetId="5">#REF!</definedName>
    <definedName name="_T_OC_INT_PAID_Y01" localSheetId="24">#REF!</definedName>
    <definedName name="_T_OC_INT_PAID_Y01">#REF!</definedName>
    <definedName name="_T_OC_INT_PAID_Y02" localSheetId="5">#REF!</definedName>
    <definedName name="_T_OC_INT_PAID_Y02" localSheetId="24">#REF!</definedName>
    <definedName name="_T_OC_INT_PAID_Y02">#REF!</definedName>
    <definedName name="_T_OC_INT_PAID_Y03" localSheetId="5">#REF!</definedName>
    <definedName name="_T_OC_INT_PAID_Y03" localSheetId="24">#REF!</definedName>
    <definedName name="_T_OC_INT_PAID_Y03">#REF!</definedName>
    <definedName name="_T_OC_INT_PAID_Y04" localSheetId="5">#REF!</definedName>
    <definedName name="_T_OC_INT_PAID_Y04" localSheetId="24">#REF!</definedName>
    <definedName name="_T_OC_INT_PAID_Y04">#REF!</definedName>
    <definedName name="_T_OC_INT_PAID_Y05" localSheetId="5">#REF!</definedName>
    <definedName name="_T_OC_INT_PAID_Y05" localSheetId="24">#REF!</definedName>
    <definedName name="_T_OC_INT_PAID_Y05">#REF!</definedName>
    <definedName name="_T_OC_INT_PAID_Y06" localSheetId="5">#REF!</definedName>
    <definedName name="_T_OC_INT_PAID_Y06" localSheetId="24">#REF!</definedName>
    <definedName name="_T_OC_INT_PAID_Y06">#REF!</definedName>
    <definedName name="_T_OC_INT_PAID_Y07" localSheetId="5">#REF!</definedName>
    <definedName name="_T_OC_INT_PAID_Y07" localSheetId="24">#REF!</definedName>
    <definedName name="_T_OC_INT_PAID_Y07">#REF!</definedName>
    <definedName name="_T_OC_INT_PAID_Y08" localSheetId="5">#REF!</definedName>
    <definedName name="_T_OC_INT_PAID_Y08" localSheetId="24">#REF!</definedName>
    <definedName name="_T_OC_INT_PAID_Y08">#REF!</definedName>
    <definedName name="_T_OC_INT_PAID_Y92" localSheetId="5">#REF!</definedName>
    <definedName name="_T_OC_INT_PAID_Y92" localSheetId="24">#REF!</definedName>
    <definedName name="_T_OC_INT_PAID_Y92">#REF!</definedName>
    <definedName name="_T_OC_INT_PAID_Y93" localSheetId="5">#REF!</definedName>
    <definedName name="_T_OC_INT_PAID_Y93" localSheetId="24">#REF!</definedName>
    <definedName name="_T_OC_INT_PAID_Y93">#REF!</definedName>
    <definedName name="_T_OC_INT_PAID_Y94" localSheetId="5">#REF!</definedName>
    <definedName name="_T_OC_INT_PAID_Y94" localSheetId="24">#REF!</definedName>
    <definedName name="_T_OC_INT_PAID_Y94">#REF!</definedName>
    <definedName name="_T_OC_INT_PAID_Y95" localSheetId="5">#REF!</definedName>
    <definedName name="_T_OC_INT_PAID_Y95" localSheetId="24">#REF!</definedName>
    <definedName name="_T_OC_INT_PAID_Y95">#REF!</definedName>
    <definedName name="_T_OC_INT_PAID_Y96" localSheetId="5">#REF!</definedName>
    <definedName name="_T_OC_INT_PAID_Y96" localSheetId="24">#REF!</definedName>
    <definedName name="_T_OC_INT_PAID_Y96">#REF!</definedName>
    <definedName name="_T_OC_INT_PAID_Y97" localSheetId="5">#REF!</definedName>
    <definedName name="_T_OC_INT_PAID_Y97" localSheetId="24">#REF!</definedName>
    <definedName name="_T_OC_INT_PAID_Y97">#REF!</definedName>
    <definedName name="_T_OC_INT_PAID_Y98" localSheetId="5">#REF!</definedName>
    <definedName name="_T_OC_INT_PAID_Y98" localSheetId="24">#REF!</definedName>
    <definedName name="_T_OC_INT_PAID_Y98">#REF!</definedName>
    <definedName name="_T_OC_INT_PAID_Y99" localSheetId="5">#REF!</definedName>
    <definedName name="_T_OC_INT_PAID_Y99" localSheetId="24">#REF!</definedName>
    <definedName name="_T_OC_INT_PAID_Y99">#REF!</definedName>
    <definedName name="_T_OC_INT_RCVD_Y00" localSheetId="5">#REF!</definedName>
    <definedName name="_T_OC_INT_RCVD_Y00" localSheetId="24">#REF!</definedName>
    <definedName name="_T_OC_INT_RCVD_Y00">#REF!</definedName>
    <definedName name="_T_OC_INT_RCVD_Y01" localSheetId="5">#REF!</definedName>
    <definedName name="_T_OC_INT_RCVD_Y01" localSheetId="24">#REF!</definedName>
    <definedName name="_T_OC_INT_RCVD_Y01">#REF!</definedName>
    <definedName name="_T_OC_INT_RCVD_Y02" localSheetId="5">#REF!</definedName>
    <definedName name="_T_OC_INT_RCVD_Y02" localSheetId="24">#REF!</definedName>
    <definedName name="_T_OC_INT_RCVD_Y02">#REF!</definedName>
    <definedName name="_T_OC_INT_RCVD_Y03" localSheetId="5">#REF!</definedName>
    <definedName name="_T_OC_INT_RCVD_Y03" localSheetId="24">#REF!</definedName>
    <definedName name="_T_OC_INT_RCVD_Y03">#REF!</definedName>
    <definedName name="_T_OC_INT_RCVD_Y04" localSheetId="5">#REF!</definedName>
    <definedName name="_T_OC_INT_RCVD_Y04" localSheetId="24">#REF!</definedName>
    <definedName name="_T_OC_INT_RCVD_Y04">#REF!</definedName>
    <definedName name="_T_OC_INT_RCVD_Y05" localSheetId="5">#REF!</definedName>
    <definedName name="_T_OC_INT_RCVD_Y05" localSheetId="24">#REF!</definedName>
    <definedName name="_T_OC_INT_RCVD_Y05">#REF!</definedName>
    <definedName name="_T_OC_INT_RCVD_Y06" localSheetId="5">#REF!</definedName>
    <definedName name="_T_OC_INT_RCVD_Y06" localSheetId="24">#REF!</definedName>
    <definedName name="_T_OC_INT_RCVD_Y06">#REF!</definedName>
    <definedName name="_T_OC_INT_RCVD_Y07" localSheetId="5">#REF!</definedName>
    <definedName name="_T_OC_INT_RCVD_Y07" localSheetId="24">#REF!</definedName>
    <definedName name="_T_OC_INT_RCVD_Y07">#REF!</definedName>
    <definedName name="_T_OC_INT_RCVD_Y08" localSheetId="5">#REF!</definedName>
    <definedName name="_T_OC_INT_RCVD_Y08" localSheetId="24">#REF!</definedName>
    <definedName name="_T_OC_INT_RCVD_Y08">#REF!</definedName>
    <definedName name="_T_OC_INT_RCVD_Y92" localSheetId="5">#REF!</definedName>
    <definedName name="_T_OC_INT_RCVD_Y92" localSheetId="24">#REF!</definedName>
    <definedName name="_T_OC_INT_RCVD_Y92">#REF!</definedName>
    <definedName name="_T_OC_INT_RCVD_Y93" localSheetId="5">#REF!</definedName>
    <definedName name="_T_OC_INT_RCVD_Y93" localSheetId="24">#REF!</definedName>
    <definedName name="_T_OC_INT_RCVD_Y93">#REF!</definedName>
    <definedName name="_T_OC_INT_RCVD_Y94" localSheetId="5">#REF!</definedName>
    <definedName name="_T_OC_INT_RCVD_Y94" localSheetId="24">#REF!</definedName>
    <definedName name="_T_OC_INT_RCVD_Y94">#REF!</definedName>
    <definedName name="_T_OC_INT_RCVD_Y95" localSheetId="5">#REF!</definedName>
    <definedName name="_T_OC_INT_RCVD_Y95" localSheetId="24">#REF!</definedName>
    <definedName name="_T_OC_INT_RCVD_Y95">#REF!</definedName>
    <definedName name="_T_OC_INT_RCVD_Y96" localSheetId="5">#REF!</definedName>
    <definedName name="_T_OC_INT_RCVD_Y96" localSheetId="24">#REF!</definedName>
    <definedName name="_T_OC_INT_RCVD_Y96">#REF!</definedName>
    <definedName name="_T_OC_INT_RCVD_Y97" localSheetId="5">#REF!</definedName>
    <definedName name="_T_OC_INT_RCVD_Y97" localSheetId="24">#REF!</definedName>
    <definedName name="_T_OC_INT_RCVD_Y97">#REF!</definedName>
    <definedName name="_T_OC_INT_RCVD_Y98" localSheetId="5">#REF!</definedName>
    <definedName name="_T_OC_INT_RCVD_Y98" localSheetId="24">#REF!</definedName>
    <definedName name="_T_OC_INT_RCVD_Y98">#REF!</definedName>
    <definedName name="_T_OC_INT_RCVD_Y99" localSheetId="5">#REF!</definedName>
    <definedName name="_T_OC_INT_RCVD_Y99" localSheetId="24">#REF!</definedName>
    <definedName name="_T_OC_INT_RCVD_Y99">#REF!</definedName>
    <definedName name="_T_OC_NET_INT_ADJ_CBA_Y00" localSheetId="5">#REF!</definedName>
    <definedName name="_T_OC_NET_INT_ADJ_CBA_Y00" localSheetId="24">#REF!</definedName>
    <definedName name="_T_OC_NET_INT_ADJ_CBA_Y00">#REF!</definedName>
    <definedName name="_T_OC_NET_INT_ADJ_CBA_Y01" localSheetId="5">#REF!</definedName>
    <definedName name="_T_OC_NET_INT_ADJ_CBA_Y01" localSheetId="24">#REF!</definedName>
    <definedName name="_T_OC_NET_INT_ADJ_CBA_Y01">#REF!</definedName>
    <definedName name="_T_OC_NET_INT_ADJ_CBA_Y02" localSheetId="5">#REF!</definedName>
    <definedName name="_T_OC_NET_INT_ADJ_CBA_Y02" localSheetId="24">#REF!</definedName>
    <definedName name="_T_OC_NET_INT_ADJ_CBA_Y02">#REF!</definedName>
    <definedName name="_T_OC_NET_INT_ADJ_CBA_Y03" localSheetId="5">#REF!</definedName>
    <definedName name="_T_OC_NET_INT_ADJ_CBA_Y03" localSheetId="24">#REF!</definedName>
    <definedName name="_T_OC_NET_INT_ADJ_CBA_Y03">#REF!</definedName>
    <definedName name="_T_OC_NET_INT_ADJ_CBA_Y90" localSheetId="5">#REF!</definedName>
    <definedName name="_T_OC_NET_INT_ADJ_CBA_Y90" localSheetId="24">#REF!</definedName>
    <definedName name="_T_OC_NET_INT_ADJ_CBA_Y90">#REF!</definedName>
    <definedName name="_T_OC_NET_INT_ADJ_CBA_Y91" localSheetId="5">#REF!</definedName>
    <definedName name="_T_OC_NET_INT_ADJ_CBA_Y91" localSheetId="24">#REF!</definedName>
    <definedName name="_T_OC_NET_INT_ADJ_CBA_Y91">#REF!</definedName>
    <definedName name="_T_OC_NET_INT_ADJ_CBA_Y92" localSheetId="5">#REF!</definedName>
    <definedName name="_T_OC_NET_INT_ADJ_CBA_Y92" localSheetId="24">#REF!</definedName>
    <definedName name="_T_OC_NET_INT_ADJ_CBA_Y92">#REF!</definedName>
    <definedName name="_T_OC_NET_INT_ADJ_CBA_Y93" localSheetId="5">#REF!</definedName>
    <definedName name="_T_OC_NET_INT_ADJ_CBA_Y93" localSheetId="24">#REF!</definedName>
    <definedName name="_T_OC_NET_INT_ADJ_CBA_Y93">#REF!</definedName>
    <definedName name="_T_OC_NET_INT_ADJ_CBA_Y94" localSheetId="5">#REF!</definedName>
    <definedName name="_T_OC_NET_INT_ADJ_CBA_Y94" localSheetId="24">#REF!</definedName>
    <definedName name="_T_OC_NET_INT_ADJ_CBA_Y94">#REF!</definedName>
    <definedName name="_T_OC_NET_INT_ADJ_CBA_Y95" localSheetId="5">#REF!</definedName>
    <definedName name="_T_OC_NET_INT_ADJ_CBA_Y95" localSheetId="24">#REF!</definedName>
    <definedName name="_T_OC_NET_INT_ADJ_CBA_Y95">#REF!</definedName>
    <definedName name="_T_OC_NET_INT_ADJ_CBA_Y96" localSheetId="5">#REF!</definedName>
    <definedName name="_T_OC_NET_INT_ADJ_CBA_Y96" localSheetId="24">#REF!</definedName>
    <definedName name="_T_OC_NET_INT_ADJ_CBA_Y96">#REF!</definedName>
    <definedName name="_T_OC_NET_INT_ADJ_CBA_Y97" localSheetId="5">#REF!</definedName>
    <definedName name="_T_OC_NET_INT_ADJ_CBA_Y97" localSheetId="24">#REF!</definedName>
    <definedName name="_T_OC_NET_INT_ADJ_CBA_Y97">#REF!</definedName>
    <definedName name="_T_OC_NET_INT_ADJ_CBA_Y98" localSheetId="5">#REF!</definedName>
    <definedName name="_T_OC_NET_INT_ADJ_CBA_Y98" localSheetId="24">#REF!</definedName>
    <definedName name="_T_OC_NET_INT_ADJ_CBA_Y98">#REF!</definedName>
    <definedName name="_T_OC_NET_INT_ADJ_CBA_Y99" localSheetId="5">#REF!</definedName>
    <definedName name="_T_OC_NET_INT_ADJ_CBA_Y99" localSheetId="24">#REF!</definedName>
    <definedName name="_T_OC_NET_INT_ADJ_CBA_Y99">#REF!</definedName>
    <definedName name="_T_OC_OPER_Y00" localSheetId="5">#REF!</definedName>
    <definedName name="_T_OC_OPER_Y00" localSheetId="24">#REF!</definedName>
    <definedName name="_T_OC_OPER_Y00">#REF!</definedName>
    <definedName name="_T_OC_OPER_Y01" localSheetId="5">#REF!</definedName>
    <definedName name="_T_OC_OPER_Y01" localSheetId="24">#REF!</definedName>
    <definedName name="_T_OC_OPER_Y01">#REF!</definedName>
    <definedName name="_T_OC_OPER_Y02" localSheetId="5">#REF!</definedName>
    <definedName name="_T_OC_OPER_Y02" localSheetId="24">#REF!</definedName>
    <definedName name="_T_OC_OPER_Y02">#REF!</definedName>
    <definedName name="_T_OC_OPER_Y03" localSheetId="5">#REF!</definedName>
    <definedName name="_T_OC_OPER_Y03" localSheetId="24">#REF!</definedName>
    <definedName name="_T_OC_OPER_Y03">#REF!</definedName>
    <definedName name="_T_OC_OPER_Y90" localSheetId="5">#REF!</definedName>
    <definedName name="_T_OC_OPER_Y90" localSheetId="24">#REF!</definedName>
    <definedName name="_T_OC_OPER_Y90">#REF!</definedName>
    <definedName name="_T_OC_OPER_Y91" localSheetId="5">#REF!</definedName>
    <definedName name="_T_OC_OPER_Y91" localSheetId="24">#REF!</definedName>
    <definedName name="_T_OC_OPER_Y91">#REF!</definedName>
    <definedName name="_T_OC_OPER_Y92" localSheetId="5">#REF!</definedName>
    <definedName name="_T_OC_OPER_Y92" localSheetId="24">#REF!</definedName>
    <definedName name="_T_OC_OPER_Y92">#REF!</definedName>
    <definedName name="_T_OC_OPER_Y93" localSheetId="5">#REF!</definedName>
    <definedName name="_T_OC_OPER_Y93" localSheetId="24">#REF!</definedName>
    <definedName name="_T_OC_OPER_Y93">#REF!</definedName>
    <definedName name="_T_OC_OPER_Y94" localSheetId="5">#REF!</definedName>
    <definedName name="_T_OC_OPER_Y94" localSheetId="24">#REF!</definedName>
    <definedName name="_T_OC_OPER_Y94">#REF!</definedName>
    <definedName name="_T_OC_OPER_Y95" localSheetId="5">#REF!</definedName>
    <definedName name="_T_OC_OPER_Y95" localSheetId="24">#REF!</definedName>
    <definedName name="_T_OC_OPER_Y95">#REF!</definedName>
    <definedName name="_T_OC_OPER_Y96" localSheetId="5">#REF!</definedName>
    <definedName name="_T_OC_OPER_Y96" localSheetId="24">#REF!</definedName>
    <definedName name="_T_OC_OPER_Y96">#REF!</definedName>
    <definedName name="_T_OC_OPER_Y97" localSheetId="5">#REF!</definedName>
    <definedName name="_T_OC_OPER_Y97" localSheetId="24">#REF!</definedName>
    <definedName name="_T_OC_OPER_Y97">#REF!</definedName>
    <definedName name="_T_OC_OPER_Y98" localSheetId="5">#REF!</definedName>
    <definedName name="_T_OC_OPER_Y98" localSheetId="24">#REF!</definedName>
    <definedName name="_T_OC_OPER_Y98">#REF!</definedName>
    <definedName name="_T_OC_OPER_Y99" localSheetId="5">#REF!</definedName>
    <definedName name="_T_OC_OPER_Y99" localSheetId="24">#REF!</definedName>
    <definedName name="_T_OC_OPER_Y99">#REF!</definedName>
    <definedName name="_T_OC_OPERATING_Y00" localSheetId="5">#REF!</definedName>
    <definedName name="_T_OC_OPERATING_Y00" localSheetId="24">#REF!</definedName>
    <definedName name="_T_OC_OPERATING_Y00">#REF!</definedName>
    <definedName name="_T_OC_OPERATING_Y01" localSheetId="5">#REF!</definedName>
    <definedName name="_T_OC_OPERATING_Y01" localSheetId="24">#REF!</definedName>
    <definedName name="_T_OC_OPERATING_Y01">#REF!</definedName>
    <definedName name="_T_OC_OPERATING_Y02" localSheetId="5">#REF!</definedName>
    <definedName name="_T_OC_OPERATING_Y02" localSheetId="24">#REF!</definedName>
    <definedName name="_T_OC_OPERATING_Y02">#REF!</definedName>
    <definedName name="_T_OC_OPERATING_Y03" localSheetId="5">#REF!</definedName>
    <definedName name="_T_OC_OPERATING_Y03" localSheetId="24">#REF!</definedName>
    <definedName name="_T_OC_OPERATING_Y03">#REF!</definedName>
    <definedName name="_T_OC_OPERATING_Y04" localSheetId="5">#REF!</definedName>
    <definedName name="_T_OC_OPERATING_Y04" localSheetId="24">#REF!</definedName>
    <definedName name="_T_OC_OPERATING_Y04">#REF!</definedName>
    <definedName name="_T_OC_OPERATING_Y05" localSheetId="5">#REF!</definedName>
    <definedName name="_T_OC_OPERATING_Y05" localSheetId="24">#REF!</definedName>
    <definedName name="_T_OC_OPERATING_Y05">#REF!</definedName>
    <definedName name="_T_OC_OPERATING_Y06" localSheetId="5">#REF!</definedName>
    <definedName name="_T_OC_OPERATING_Y06" localSheetId="24">#REF!</definedName>
    <definedName name="_T_OC_OPERATING_Y06">#REF!</definedName>
    <definedName name="_T_OC_OPERATING_Y07" localSheetId="5">#REF!</definedName>
    <definedName name="_T_OC_OPERATING_Y07" localSheetId="24">#REF!</definedName>
    <definedName name="_T_OC_OPERATING_Y07">#REF!</definedName>
    <definedName name="_T_OC_OPERATING_Y08" localSheetId="5">#REF!</definedName>
    <definedName name="_T_OC_OPERATING_Y08" localSheetId="24">#REF!</definedName>
    <definedName name="_T_OC_OPERATING_Y08">#REF!</definedName>
    <definedName name="_T_OC_OPERATING_Y92" localSheetId="5">#REF!</definedName>
    <definedName name="_T_OC_OPERATING_Y92" localSheetId="24">#REF!</definedName>
    <definedName name="_T_OC_OPERATING_Y92">#REF!</definedName>
    <definedName name="_T_OC_OPERATING_Y93" localSheetId="5">#REF!</definedName>
    <definedName name="_T_OC_OPERATING_Y93" localSheetId="24">#REF!</definedName>
    <definedName name="_T_OC_OPERATING_Y93">#REF!</definedName>
    <definedName name="_T_OC_OPERATING_Y94" localSheetId="5">#REF!</definedName>
    <definedName name="_T_OC_OPERATING_Y94" localSheetId="24">#REF!</definedName>
    <definedName name="_T_OC_OPERATING_Y94">#REF!</definedName>
    <definedName name="_T_OC_OPERATING_Y95" localSheetId="5">#REF!</definedName>
    <definedName name="_T_OC_OPERATING_Y95" localSheetId="24">#REF!</definedName>
    <definedName name="_T_OC_OPERATING_Y95">#REF!</definedName>
    <definedName name="_T_OC_OPERATING_Y96" localSheetId="5">#REF!</definedName>
    <definedName name="_T_OC_OPERATING_Y96" localSheetId="24">#REF!</definedName>
    <definedName name="_T_OC_OPERATING_Y96">#REF!</definedName>
    <definedName name="_T_OC_OPERATING_Y97" localSheetId="5">#REF!</definedName>
    <definedName name="_T_OC_OPERATING_Y97" localSheetId="24">#REF!</definedName>
    <definedName name="_T_OC_OPERATING_Y97">#REF!</definedName>
    <definedName name="_T_OC_OPERATING_Y98" localSheetId="5">#REF!</definedName>
    <definedName name="_T_OC_OPERATING_Y98" localSheetId="24">#REF!</definedName>
    <definedName name="_T_OC_OPERATING_Y98">#REF!</definedName>
    <definedName name="_T_OC_OPERATING_Y99" localSheetId="5">#REF!</definedName>
    <definedName name="_T_OC_OPERATING_Y99" localSheetId="24">#REF!</definedName>
    <definedName name="_T_OC_OPERATING_Y99">#REF!</definedName>
    <definedName name="_T_OC_OTHER_Y00" localSheetId="5">#REF!</definedName>
    <definedName name="_T_OC_OTHER_Y00" localSheetId="24">#REF!</definedName>
    <definedName name="_T_OC_OTHER_Y00">#REF!</definedName>
    <definedName name="_T_OC_OTHER_Y01" localSheetId="5">#REF!</definedName>
    <definedName name="_T_OC_OTHER_Y01" localSheetId="24">#REF!</definedName>
    <definedName name="_T_OC_OTHER_Y01">#REF!</definedName>
    <definedName name="_T_OC_OTHER_Y02" localSheetId="5">#REF!</definedName>
    <definedName name="_T_OC_OTHER_Y02" localSheetId="24">#REF!</definedName>
    <definedName name="_T_OC_OTHER_Y02">#REF!</definedName>
    <definedName name="_T_OC_OTHER_Y03" localSheetId="5">#REF!</definedName>
    <definedName name="_T_OC_OTHER_Y03" localSheetId="24">#REF!</definedName>
    <definedName name="_T_OC_OTHER_Y03">#REF!</definedName>
    <definedName name="_T_OC_OTHER_Y04" localSheetId="5">#REF!</definedName>
    <definedName name="_T_OC_OTHER_Y04" localSheetId="24">#REF!</definedName>
    <definedName name="_T_OC_OTHER_Y04">#REF!</definedName>
    <definedName name="_T_OC_OTHER_Y05" localSheetId="5">#REF!</definedName>
    <definedName name="_T_OC_OTHER_Y05" localSheetId="24">#REF!</definedName>
    <definedName name="_T_OC_OTHER_Y05">#REF!</definedName>
    <definedName name="_T_OC_OTHER_Y06" localSheetId="5">#REF!</definedName>
    <definedName name="_T_OC_OTHER_Y06" localSheetId="24">#REF!</definedName>
    <definedName name="_T_OC_OTHER_Y06">#REF!</definedName>
    <definedName name="_T_OC_OTHER_Y07" localSheetId="5">#REF!</definedName>
    <definedName name="_T_OC_OTHER_Y07" localSheetId="24">#REF!</definedName>
    <definedName name="_T_OC_OTHER_Y07">#REF!</definedName>
    <definedName name="_T_OC_OTHER_Y08" localSheetId="5">#REF!</definedName>
    <definedName name="_T_OC_OTHER_Y08" localSheetId="24">#REF!</definedName>
    <definedName name="_T_OC_OTHER_Y08">#REF!</definedName>
    <definedName name="_T_OC_OTHER_Y92" localSheetId="5">#REF!</definedName>
    <definedName name="_T_OC_OTHER_Y92" localSheetId="24">#REF!</definedName>
    <definedName name="_T_OC_OTHER_Y92">#REF!</definedName>
    <definedName name="_T_OC_OTHER_Y93" localSheetId="5">#REF!</definedName>
    <definedName name="_T_OC_OTHER_Y93" localSheetId="24">#REF!</definedName>
    <definedName name="_T_OC_OTHER_Y93">#REF!</definedName>
    <definedName name="_T_OC_OTHER_Y94" localSheetId="5">#REF!</definedName>
    <definedName name="_T_OC_OTHER_Y94" localSheetId="24">#REF!</definedName>
    <definedName name="_T_OC_OTHER_Y94">#REF!</definedName>
    <definedName name="_T_OC_OTHER_Y95" localSheetId="5">#REF!</definedName>
    <definedName name="_T_OC_OTHER_Y95" localSheetId="24">#REF!</definedName>
    <definedName name="_T_OC_OTHER_Y95">#REF!</definedName>
    <definedName name="_T_OC_OTHER_Y96" localSheetId="5">#REF!</definedName>
    <definedName name="_T_OC_OTHER_Y96" localSheetId="24">#REF!</definedName>
    <definedName name="_T_OC_OTHER_Y96">#REF!</definedName>
    <definedName name="_T_OC_OTHER_Y97" localSheetId="5">#REF!</definedName>
    <definedName name="_T_OC_OTHER_Y97" localSheetId="24">#REF!</definedName>
    <definedName name="_T_OC_OTHER_Y97">#REF!</definedName>
    <definedName name="_T_OC_OTHER_Y98" localSheetId="5">#REF!</definedName>
    <definedName name="_T_OC_OTHER_Y98" localSheetId="24">#REF!</definedName>
    <definedName name="_T_OC_OTHER_Y98">#REF!</definedName>
    <definedName name="_T_OC_OTHER_Y99" localSheetId="5">#REF!</definedName>
    <definedName name="_T_OC_OTHER_Y99" localSheetId="24">#REF!</definedName>
    <definedName name="_T_OC_OTHER_Y99">#REF!</definedName>
    <definedName name="_T_OC_OTHERCA_Y00" localSheetId="5">#REF!</definedName>
    <definedName name="_T_OC_OTHERCA_Y00" localSheetId="24">#REF!</definedName>
    <definedName name="_T_OC_OTHERCA_Y00">#REF!</definedName>
    <definedName name="_T_OC_OTHERCA_Y01" localSheetId="5">#REF!</definedName>
    <definedName name="_T_OC_OTHERCA_Y01" localSheetId="24">#REF!</definedName>
    <definedName name="_T_OC_OTHERCA_Y01">#REF!</definedName>
    <definedName name="_T_OC_OTHERCA_Y02" localSheetId="5">#REF!</definedName>
    <definedName name="_T_OC_OTHERCA_Y02" localSheetId="24">#REF!</definedName>
    <definedName name="_T_OC_OTHERCA_Y02">#REF!</definedName>
    <definedName name="_T_OC_OTHERCA_Y03" localSheetId="5">#REF!</definedName>
    <definedName name="_T_OC_OTHERCA_Y03" localSheetId="24">#REF!</definedName>
    <definedName name="_T_OC_OTHERCA_Y03">#REF!</definedName>
    <definedName name="_T_OC_OTHERCA_Y90" localSheetId="5">#REF!</definedName>
    <definedName name="_T_OC_OTHERCA_Y90" localSheetId="24">#REF!</definedName>
    <definedName name="_T_OC_OTHERCA_Y90">#REF!</definedName>
    <definedName name="_T_OC_OTHERCA_Y91" localSheetId="5">#REF!</definedName>
    <definedName name="_T_OC_OTHERCA_Y91" localSheetId="24">#REF!</definedName>
    <definedName name="_T_OC_OTHERCA_Y91">#REF!</definedName>
    <definedName name="_T_OC_OTHERCA_Y92" localSheetId="5">#REF!</definedName>
    <definedName name="_T_OC_OTHERCA_Y92" localSheetId="24">#REF!</definedName>
    <definedName name="_T_OC_OTHERCA_Y92">#REF!</definedName>
    <definedName name="_T_OC_OTHERCA_Y93" localSheetId="5">#REF!</definedName>
    <definedName name="_T_OC_OTHERCA_Y93" localSheetId="24">#REF!</definedName>
    <definedName name="_T_OC_OTHERCA_Y93">#REF!</definedName>
    <definedName name="_T_OC_OTHERCA_Y94" localSheetId="5">#REF!</definedName>
    <definedName name="_T_OC_OTHERCA_Y94" localSheetId="24">#REF!</definedName>
    <definedName name="_T_OC_OTHERCA_Y94">#REF!</definedName>
    <definedName name="_T_OC_OTHERCA_Y95" localSheetId="5">#REF!</definedName>
    <definedName name="_T_OC_OTHERCA_Y95" localSheetId="24">#REF!</definedName>
    <definedName name="_T_OC_OTHERCA_Y95">#REF!</definedName>
    <definedName name="_T_OC_OTHERCA_Y96" localSheetId="5">#REF!</definedName>
    <definedName name="_T_OC_OTHERCA_Y96" localSheetId="24">#REF!</definedName>
    <definedName name="_T_OC_OTHERCA_Y96">#REF!</definedName>
    <definedName name="_T_OC_OTHERCA_Y97" localSheetId="5">#REF!</definedName>
    <definedName name="_T_OC_OTHERCA_Y97" localSheetId="24">#REF!</definedName>
    <definedName name="_T_OC_OTHERCA_Y97">#REF!</definedName>
    <definedName name="_T_OC_OTHERCA_Y98" localSheetId="5">#REF!</definedName>
    <definedName name="_T_OC_OTHERCA_Y98" localSheetId="24">#REF!</definedName>
    <definedName name="_T_OC_OTHERCA_Y98">#REF!</definedName>
    <definedName name="_T_OC_OTHERCA_Y99" localSheetId="5">#REF!</definedName>
    <definedName name="_T_OC_OTHERCA_Y99" localSheetId="24">#REF!</definedName>
    <definedName name="_T_OC_OTHERCA_Y99">#REF!</definedName>
    <definedName name="_T_OC_PAYMENTS_Y00" localSheetId="5">#REF!</definedName>
    <definedName name="_T_OC_PAYMENTS_Y00" localSheetId="24">#REF!</definedName>
    <definedName name="_T_OC_PAYMENTS_Y00">#REF!</definedName>
    <definedName name="_T_OC_PAYMENTS_Y01" localSheetId="5">#REF!</definedName>
    <definedName name="_T_OC_PAYMENTS_Y01" localSheetId="24">#REF!</definedName>
    <definedName name="_T_OC_PAYMENTS_Y01">#REF!</definedName>
    <definedName name="_T_OC_PAYMENTS_Y02" localSheetId="5">#REF!</definedName>
    <definedName name="_T_OC_PAYMENTS_Y02" localSheetId="24">#REF!</definedName>
    <definedName name="_T_OC_PAYMENTS_Y02">#REF!</definedName>
    <definedName name="_T_OC_PAYMENTS_Y03" localSheetId="5">#REF!</definedName>
    <definedName name="_T_OC_PAYMENTS_Y03" localSheetId="24">#REF!</definedName>
    <definedName name="_T_OC_PAYMENTS_Y03">#REF!</definedName>
    <definedName name="_T_OC_PAYMENTS_Y90" localSheetId="5">#REF!</definedName>
    <definedName name="_T_OC_PAYMENTS_Y90" localSheetId="24">#REF!</definedName>
    <definedName name="_T_OC_PAYMENTS_Y90">#REF!</definedName>
    <definedName name="_T_OC_PAYMENTS_Y91" localSheetId="5">#REF!</definedName>
    <definedName name="_T_OC_PAYMENTS_Y91" localSheetId="24">#REF!</definedName>
    <definedName name="_T_OC_PAYMENTS_Y91">#REF!</definedName>
    <definedName name="_T_OC_PAYMENTS_Y92" localSheetId="5">#REF!</definedName>
    <definedName name="_T_OC_PAYMENTS_Y92" localSheetId="24">#REF!</definedName>
    <definedName name="_T_OC_PAYMENTS_Y92">#REF!</definedName>
    <definedName name="_T_OC_PAYMENTS_Y93" localSheetId="5">#REF!</definedName>
    <definedName name="_T_OC_PAYMENTS_Y93" localSheetId="24">#REF!</definedName>
    <definedName name="_T_OC_PAYMENTS_Y93">#REF!</definedName>
    <definedName name="_T_OC_PAYMENTS_Y94" localSheetId="5">#REF!</definedName>
    <definedName name="_T_OC_PAYMENTS_Y94" localSheetId="24">#REF!</definedName>
    <definedName name="_T_OC_PAYMENTS_Y94">#REF!</definedName>
    <definedName name="_T_OC_PAYMENTS_Y95" localSheetId="5">#REF!</definedName>
    <definedName name="_T_OC_PAYMENTS_Y95" localSheetId="24">#REF!</definedName>
    <definedName name="_T_OC_PAYMENTS_Y95">#REF!</definedName>
    <definedName name="_T_OC_PAYMENTS_Y96" localSheetId="5">#REF!</definedName>
    <definedName name="_T_OC_PAYMENTS_Y96" localSheetId="24">#REF!</definedName>
    <definedName name="_T_OC_PAYMENTS_Y96">#REF!</definedName>
    <definedName name="_T_OC_PAYMENTS_Y97" localSheetId="5">#REF!</definedName>
    <definedName name="_T_OC_PAYMENTS_Y97" localSheetId="24">#REF!</definedName>
    <definedName name="_T_OC_PAYMENTS_Y97">#REF!</definedName>
    <definedName name="_T_OC_PAYMENTS_Y98" localSheetId="5">#REF!</definedName>
    <definedName name="_T_OC_PAYMENTS_Y98" localSheetId="24">#REF!</definedName>
    <definedName name="_T_OC_PAYMENTS_Y98">#REF!</definedName>
    <definedName name="_T_OC_PAYMENTS_Y99" localSheetId="5">#REF!</definedName>
    <definedName name="_T_OC_PAYMENTS_Y99" localSheetId="24">#REF!</definedName>
    <definedName name="_T_OC_PAYMENTS_Y99">#REF!</definedName>
    <definedName name="_T_OC_SUM_Y00" localSheetId="5">#REF!</definedName>
    <definedName name="_T_OC_SUM_Y00" localSheetId="24">#REF!</definedName>
    <definedName name="_T_OC_SUM_Y00">#REF!</definedName>
    <definedName name="_T_OC_SUM_Y01" localSheetId="5">#REF!</definedName>
    <definedName name="_T_OC_SUM_Y01" localSheetId="24">#REF!</definedName>
    <definedName name="_T_OC_SUM_Y01">#REF!</definedName>
    <definedName name="_T_OC_SUM_Y02" localSheetId="5">#REF!</definedName>
    <definedName name="_T_OC_SUM_Y02" localSheetId="24">#REF!</definedName>
    <definedName name="_T_OC_SUM_Y02">#REF!</definedName>
    <definedName name="_T_OC_SUM_Y03" localSheetId="5">#REF!</definedName>
    <definedName name="_T_OC_SUM_Y03" localSheetId="24">#REF!</definedName>
    <definedName name="_T_OC_SUM_Y03">#REF!</definedName>
    <definedName name="_T_OC_SUM_Y90" localSheetId="5">#REF!</definedName>
    <definedName name="_T_OC_SUM_Y90" localSheetId="24">#REF!</definedName>
    <definedName name="_T_OC_SUM_Y90">#REF!</definedName>
    <definedName name="_T_OC_SUM_Y91" localSheetId="5">#REF!</definedName>
    <definedName name="_T_OC_SUM_Y91" localSheetId="24">#REF!</definedName>
    <definedName name="_T_OC_SUM_Y91">#REF!</definedName>
    <definedName name="_T_OC_SUM_Y92" localSheetId="5">#REF!</definedName>
    <definedName name="_T_OC_SUM_Y92" localSheetId="24">#REF!</definedName>
    <definedName name="_T_OC_SUM_Y92">#REF!</definedName>
    <definedName name="_T_OC_SUM_Y93" localSheetId="5">#REF!</definedName>
    <definedName name="_T_OC_SUM_Y93" localSheetId="24">#REF!</definedName>
    <definedName name="_T_OC_SUM_Y93">#REF!</definedName>
    <definedName name="_T_OC_SUM_Y94" localSheetId="5">#REF!</definedName>
    <definedName name="_T_OC_SUM_Y94" localSheetId="24">#REF!</definedName>
    <definedName name="_T_OC_SUM_Y94">#REF!</definedName>
    <definedName name="_T_OC_SUM_Y95" localSheetId="5">#REF!</definedName>
    <definedName name="_T_OC_SUM_Y95" localSheetId="24">#REF!</definedName>
    <definedName name="_T_OC_SUM_Y95">#REF!</definedName>
    <definedName name="_T_OC_SUM_Y96" localSheetId="5">#REF!</definedName>
    <definedName name="_T_OC_SUM_Y96" localSheetId="24">#REF!</definedName>
    <definedName name="_T_OC_SUM_Y96">#REF!</definedName>
    <definedName name="_T_OC_SUM_Y97" localSheetId="5">#REF!</definedName>
    <definedName name="_T_OC_SUM_Y97" localSheetId="24">#REF!</definedName>
    <definedName name="_T_OC_SUM_Y97">#REF!</definedName>
    <definedName name="_T_OC_SUM_Y98" localSheetId="5">#REF!</definedName>
    <definedName name="_T_OC_SUM_Y98" localSheetId="24">#REF!</definedName>
    <definedName name="_T_OC_SUM_Y98">#REF!</definedName>
    <definedName name="_T_OC_SUM_Y99" localSheetId="5">#REF!</definedName>
    <definedName name="_T_OC_SUM_Y99" localSheetId="24">#REF!</definedName>
    <definedName name="_T_OC_SUM_Y99">#REF!</definedName>
    <definedName name="_T_OC_TAX_Y00" localSheetId="5">#REF!</definedName>
    <definedName name="_T_OC_TAX_Y00" localSheetId="24">#REF!</definedName>
    <definedName name="_T_OC_TAX_Y00">#REF!</definedName>
    <definedName name="_T_OC_TAX_Y01" localSheetId="5">#REF!</definedName>
    <definedName name="_T_OC_TAX_Y01" localSheetId="24">#REF!</definedName>
    <definedName name="_T_OC_TAX_Y01">#REF!</definedName>
    <definedName name="_T_OC_TAX_Y02" localSheetId="5">#REF!</definedName>
    <definedName name="_T_OC_TAX_Y02" localSheetId="24">#REF!</definedName>
    <definedName name="_T_OC_TAX_Y02">#REF!</definedName>
    <definedName name="_T_OC_TAX_Y03" localSheetId="5">#REF!</definedName>
    <definedName name="_T_OC_TAX_Y03" localSheetId="24">#REF!</definedName>
    <definedName name="_T_OC_TAX_Y03">#REF!</definedName>
    <definedName name="_T_OC_TAX_Y04" localSheetId="5">#REF!</definedName>
    <definedName name="_T_OC_TAX_Y04" localSheetId="24">#REF!</definedName>
    <definedName name="_T_OC_TAX_Y04">#REF!</definedName>
    <definedName name="_T_OC_TAX_Y05" localSheetId="5">#REF!</definedName>
    <definedName name="_T_OC_TAX_Y05" localSheetId="24">#REF!</definedName>
    <definedName name="_T_OC_TAX_Y05">#REF!</definedName>
    <definedName name="_T_OC_TAX_Y06" localSheetId="5">#REF!</definedName>
    <definedName name="_T_OC_TAX_Y06" localSheetId="24">#REF!</definedName>
    <definedName name="_T_OC_TAX_Y06">#REF!</definedName>
    <definedName name="_T_OC_TAX_Y07" localSheetId="5">#REF!</definedName>
    <definedName name="_T_OC_TAX_Y07" localSheetId="24">#REF!</definedName>
    <definedName name="_T_OC_TAX_Y07">#REF!</definedName>
    <definedName name="_T_OC_TAX_Y08" localSheetId="5">#REF!</definedName>
    <definedName name="_T_OC_TAX_Y08" localSheetId="24">#REF!</definedName>
    <definedName name="_T_OC_TAX_Y08">#REF!</definedName>
    <definedName name="_T_OC_TAX_Y92" localSheetId="5">#REF!</definedName>
    <definedName name="_T_OC_TAX_Y92" localSheetId="24">#REF!</definedName>
    <definedName name="_T_OC_TAX_Y92">#REF!</definedName>
    <definedName name="_T_OC_TAX_Y93" localSheetId="5">#REF!</definedName>
    <definedName name="_T_OC_TAX_Y93" localSheetId="24">#REF!</definedName>
    <definedName name="_T_OC_TAX_Y93">#REF!</definedName>
    <definedName name="_T_OC_TAX_Y94" localSheetId="5">#REF!</definedName>
    <definedName name="_T_OC_TAX_Y94" localSheetId="24">#REF!</definedName>
    <definedName name="_T_OC_TAX_Y94">#REF!</definedName>
    <definedName name="_T_OC_TAX_Y95" localSheetId="5">#REF!</definedName>
    <definedName name="_T_OC_TAX_Y95" localSheetId="24">#REF!</definedName>
    <definedName name="_T_OC_TAX_Y95">#REF!</definedName>
    <definedName name="_T_OC_TAX_Y96" localSheetId="5">#REF!</definedName>
    <definedName name="_T_OC_TAX_Y96" localSheetId="24">#REF!</definedName>
    <definedName name="_T_OC_TAX_Y96">#REF!</definedName>
    <definedName name="_T_OC_TAX_Y97" localSheetId="5">#REF!</definedName>
    <definedName name="_T_OC_TAX_Y97" localSheetId="24">#REF!</definedName>
    <definedName name="_T_OC_TAX_Y97">#REF!</definedName>
    <definedName name="_T_OC_TAX_Y98" localSheetId="5">#REF!</definedName>
    <definedName name="_T_OC_TAX_Y98" localSheetId="24">#REF!</definedName>
    <definedName name="_T_OC_TAX_Y98">#REF!</definedName>
    <definedName name="_T_OC_TAX_Y99" localSheetId="5">#REF!</definedName>
    <definedName name="_T_OC_TAX_Y99" localSheetId="24">#REF!</definedName>
    <definedName name="_T_OC_TAX_Y99">#REF!</definedName>
    <definedName name="_T_OC_WORK_CAPITAL_Y00" localSheetId="5">#REF!</definedName>
    <definedName name="_T_OC_WORK_CAPITAL_Y00" localSheetId="24">#REF!</definedName>
    <definedName name="_T_OC_WORK_CAPITAL_Y00">#REF!</definedName>
    <definedName name="_T_OC_WORK_CAPITAL_Y01" localSheetId="5">#REF!</definedName>
    <definedName name="_T_OC_WORK_CAPITAL_Y01" localSheetId="24">#REF!</definedName>
    <definedName name="_T_OC_WORK_CAPITAL_Y01">#REF!</definedName>
    <definedName name="_T_OC_WORK_CAPITAL_Y02" localSheetId="5">#REF!</definedName>
    <definedName name="_T_OC_WORK_CAPITAL_Y02" localSheetId="24">#REF!</definedName>
    <definedName name="_T_OC_WORK_CAPITAL_Y02">#REF!</definedName>
    <definedName name="_T_OC_WORK_CAPITAL_Y03" localSheetId="5">#REF!</definedName>
    <definedName name="_T_OC_WORK_CAPITAL_Y03" localSheetId="24">#REF!</definedName>
    <definedName name="_T_OC_WORK_CAPITAL_Y03">#REF!</definedName>
    <definedName name="_T_OC_WORK_CAPITAL_Y90" localSheetId="5">#REF!</definedName>
    <definedName name="_T_OC_WORK_CAPITAL_Y90" localSheetId="24">#REF!</definedName>
    <definedName name="_T_OC_WORK_CAPITAL_Y90">#REF!</definedName>
    <definedName name="_T_OC_WORK_CAPITAL_Y91" localSheetId="5">#REF!</definedName>
    <definedName name="_T_OC_WORK_CAPITAL_Y91" localSheetId="24">#REF!</definedName>
    <definedName name="_T_OC_WORK_CAPITAL_Y91">#REF!</definedName>
    <definedName name="_T_OC_WORK_CAPITAL_Y92" localSheetId="5">#REF!</definedName>
    <definedName name="_T_OC_WORK_CAPITAL_Y92" localSheetId="24">#REF!</definedName>
    <definedName name="_T_OC_WORK_CAPITAL_Y92">#REF!</definedName>
    <definedName name="_T_OC_WORK_CAPITAL_Y93" localSheetId="5">#REF!</definedName>
    <definedName name="_T_OC_WORK_CAPITAL_Y93" localSheetId="24">#REF!</definedName>
    <definedName name="_T_OC_WORK_CAPITAL_Y93">#REF!</definedName>
    <definedName name="_T_OC_WORK_CAPITAL_Y94" localSheetId="5">#REF!</definedName>
    <definedName name="_T_OC_WORK_CAPITAL_Y94" localSheetId="24">#REF!</definedName>
    <definedName name="_T_OC_WORK_CAPITAL_Y94">#REF!</definedName>
    <definedName name="_T_OC_WORK_CAPITAL_Y95" localSheetId="5">#REF!</definedName>
    <definedName name="_T_OC_WORK_CAPITAL_Y95" localSheetId="24">#REF!</definedName>
    <definedName name="_T_OC_WORK_CAPITAL_Y95">#REF!</definedName>
    <definedName name="_T_OC_WORK_CAPITAL_Y96" localSheetId="5">#REF!</definedName>
    <definedName name="_T_OC_WORK_CAPITAL_Y96" localSheetId="24">#REF!</definedName>
    <definedName name="_T_OC_WORK_CAPITAL_Y96">#REF!</definedName>
    <definedName name="_T_OC_WORK_CAPITAL_Y97" localSheetId="5">#REF!</definedName>
    <definedName name="_T_OC_WORK_CAPITAL_Y97" localSheetId="24">#REF!</definedName>
    <definedName name="_T_OC_WORK_CAPITAL_Y97">#REF!</definedName>
    <definedName name="_T_OC_WORK_CAPITAL_Y98" localSheetId="5">#REF!</definedName>
    <definedName name="_T_OC_WORK_CAPITAL_Y98" localSheetId="24">#REF!</definedName>
    <definedName name="_T_OC_WORK_CAPITAL_Y98">#REF!</definedName>
    <definedName name="_T_OC_WORK_CAPITAL_Y99" localSheetId="5">#REF!</definedName>
    <definedName name="_T_OC_WORK_CAPITAL_Y99" localSheetId="24">#REF!</definedName>
    <definedName name="_T_OC_WORK_CAPITAL_Y99">#REF!</definedName>
    <definedName name="_T_PL_EXCHANGE_Y00" localSheetId="5">#REF!</definedName>
    <definedName name="_T_PL_EXCHANGE_Y00" localSheetId="24">#REF!</definedName>
    <definedName name="_T_PL_EXCHANGE_Y00">#REF!</definedName>
    <definedName name="_T_PL_EXCHANGE_Y01" localSheetId="5">#REF!</definedName>
    <definedName name="_T_PL_EXCHANGE_Y01" localSheetId="24">#REF!</definedName>
    <definedName name="_T_PL_EXCHANGE_Y01">#REF!</definedName>
    <definedName name="_T_PL_EXCHANGE_Y02" localSheetId="5">#REF!</definedName>
    <definedName name="_T_PL_EXCHANGE_Y02" localSheetId="24">#REF!</definedName>
    <definedName name="_T_PL_EXCHANGE_Y02">#REF!</definedName>
    <definedName name="_T_PL_EXCHANGE_Y03" localSheetId="5">#REF!</definedName>
    <definedName name="_T_PL_EXCHANGE_Y03" localSheetId="24">#REF!</definedName>
    <definedName name="_T_PL_EXCHANGE_Y03">#REF!</definedName>
    <definedName name="_T_PL_EXCHANGE_Y04" localSheetId="5">#REF!</definedName>
    <definedName name="_T_PL_EXCHANGE_Y04" localSheetId="24">#REF!</definedName>
    <definedName name="_T_PL_EXCHANGE_Y04">#REF!</definedName>
    <definedName name="_T_PL_EXCHANGE_Y05" localSheetId="5">#REF!</definedName>
    <definedName name="_T_PL_EXCHANGE_Y05" localSheetId="24">#REF!</definedName>
    <definedName name="_T_PL_EXCHANGE_Y05">#REF!</definedName>
    <definedName name="_T_PL_EXCHANGE_Y06" localSheetId="5">#REF!</definedName>
    <definedName name="_T_PL_EXCHANGE_Y06" localSheetId="24">#REF!</definedName>
    <definedName name="_T_PL_EXCHANGE_Y06">#REF!</definedName>
    <definedName name="_T_PL_EXCHANGE_Y07" localSheetId="5">#REF!</definedName>
    <definedName name="_T_PL_EXCHANGE_Y07" localSheetId="24">#REF!</definedName>
    <definedName name="_T_PL_EXCHANGE_Y07">#REF!</definedName>
    <definedName name="_T_PL_EXCHANGE_Y90" localSheetId="5">#REF!</definedName>
    <definedName name="_T_PL_EXCHANGE_Y90" localSheetId="24">#REF!</definedName>
    <definedName name="_T_PL_EXCHANGE_Y90">#REF!</definedName>
    <definedName name="_T_PL_EXCHANGE_Y91" localSheetId="5">#REF!</definedName>
    <definedName name="_T_PL_EXCHANGE_Y91" localSheetId="24">#REF!</definedName>
    <definedName name="_T_PL_EXCHANGE_Y91">#REF!</definedName>
    <definedName name="_T_PL_EXCHANGE_Y92" localSheetId="5">#REF!</definedName>
    <definedName name="_T_PL_EXCHANGE_Y92" localSheetId="24">#REF!</definedName>
    <definedName name="_T_PL_EXCHANGE_Y92">#REF!</definedName>
    <definedName name="_T_PL_EXCHANGE_Y93" localSheetId="5">#REF!</definedName>
    <definedName name="_T_PL_EXCHANGE_Y93" localSheetId="24">#REF!</definedName>
    <definedName name="_T_PL_EXCHANGE_Y93">#REF!</definedName>
    <definedName name="_T_PL_EXCHANGE_Y94" localSheetId="5">#REF!</definedName>
    <definedName name="_T_PL_EXCHANGE_Y94" localSheetId="24">#REF!</definedName>
    <definedName name="_T_PL_EXCHANGE_Y94">#REF!</definedName>
    <definedName name="_T_PL_EXCHANGE_Y95" localSheetId="5">#REF!</definedName>
    <definedName name="_T_PL_EXCHANGE_Y95" localSheetId="24">#REF!</definedName>
    <definedName name="_T_PL_EXCHANGE_Y95">#REF!</definedName>
    <definedName name="_T_PL_EXCHANGE_Y96" localSheetId="5">#REF!</definedName>
    <definedName name="_T_PL_EXCHANGE_Y96" localSheetId="24">#REF!</definedName>
    <definedName name="_T_PL_EXCHANGE_Y96">#REF!</definedName>
    <definedName name="_T_PL_EXCHANGE_Y97" localSheetId="5">#REF!</definedName>
    <definedName name="_T_PL_EXCHANGE_Y97" localSheetId="24">#REF!</definedName>
    <definedName name="_T_PL_EXCHANGE_Y97">#REF!</definedName>
    <definedName name="_T_PL_EXCHANGE_Y98" localSheetId="5">#REF!</definedName>
    <definedName name="_T_PL_EXCHANGE_Y98" localSheetId="24">#REF!</definedName>
    <definedName name="_T_PL_EXCHANGE_Y98">#REF!</definedName>
    <definedName name="_T_PL_EXCHANGE_Y99" localSheetId="5">#REF!</definedName>
    <definedName name="_T_PL_EXCHANGE_Y99" localSheetId="24">#REF!</definedName>
    <definedName name="_T_PL_EXCHANGE_Y99">#REF!</definedName>
    <definedName name="_T_PLA_NPAT_REPORTED_Y00" localSheetId="5">#REF!</definedName>
    <definedName name="_T_PLA_NPAT_REPORTED_Y00" localSheetId="24">#REF!</definedName>
    <definedName name="_T_PLA_NPAT_REPORTED_Y00">#REF!</definedName>
    <definedName name="_T_PLA_NPAT_REPORTED_Y01" localSheetId="5">#REF!</definedName>
    <definedName name="_T_PLA_NPAT_REPORTED_Y01" localSheetId="24">#REF!</definedName>
    <definedName name="_T_PLA_NPAT_REPORTED_Y01">#REF!</definedName>
    <definedName name="_T_PLA_NPAT_REPORTED_Y02" localSheetId="5">#REF!</definedName>
    <definedName name="_T_PLA_NPAT_REPORTED_Y02" localSheetId="24">#REF!</definedName>
    <definedName name="_T_PLA_NPAT_REPORTED_Y02">#REF!</definedName>
    <definedName name="_T_PLA_NPAT_REPORTED_Y90" localSheetId="5">#REF!</definedName>
    <definedName name="_T_PLA_NPAT_REPORTED_Y90" localSheetId="24">#REF!</definedName>
    <definedName name="_T_PLA_NPAT_REPORTED_Y90">#REF!</definedName>
    <definedName name="_T_PLA_NPAT_REPORTED_Y91" localSheetId="5">#REF!</definedName>
    <definedName name="_T_PLA_NPAT_REPORTED_Y91" localSheetId="24">#REF!</definedName>
    <definedName name="_T_PLA_NPAT_REPORTED_Y91">#REF!</definedName>
    <definedName name="_T_PLA_NPAT_REPORTED_Y92" localSheetId="5">#REF!</definedName>
    <definedName name="_T_PLA_NPAT_REPORTED_Y92" localSheetId="24">#REF!</definedName>
    <definedName name="_T_PLA_NPAT_REPORTED_Y92">#REF!</definedName>
    <definedName name="_T_PLA_NPAT_REPORTED_Y93" localSheetId="5">#REF!</definedName>
    <definedName name="_T_PLA_NPAT_REPORTED_Y93" localSheetId="24">#REF!</definedName>
    <definedName name="_T_PLA_NPAT_REPORTED_Y93">#REF!</definedName>
    <definedName name="_T_PLA_NPAT_REPORTED_Y94" localSheetId="5">#REF!</definedName>
    <definedName name="_T_PLA_NPAT_REPORTED_Y94" localSheetId="24">#REF!</definedName>
    <definedName name="_T_PLA_NPAT_REPORTED_Y94">#REF!</definedName>
    <definedName name="_T_PLA_NPAT_REPORTED_Y95" localSheetId="5">#REF!</definedName>
    <definedName name="_T_PLA_NPAT_REPORTED_Y95" localSheetId="24">#REF!</definedName>
    <definedName name="_T_PLA_NPAT_REPORTED_Y95">#REF!</definedName>
    <definedName name="_T_PLA_NPAT_REPORTED_Y96" localSheetId="5">#REF!</definedName>
    <definedName name="_T_PLA_NPAT_REPORTED_Y96" localSheetId="24">#REF!</definedName>
    <definedName name="_T_PLA_NPAT_REPORTED_Y96">#REF!</definedName>
    <definedName name="_T_PLA_NPAT_REPORTED_Y97" localSheetId="5">#REF!</definedName>
    <definedName name="_T_PLA_NPAT_REPORTED_Y97" localSheetId="24">#REF!</definedName>
    <definedName name="_T_PLA_NPAT_REPORTED_Y97">#REF!</definedName>
    <definedName name="_T_PLA_NPAT_REPORTED_Y98" localSheetId="5">#REF!</definedName>
    <definedName name="_T_PLA_NPAT_REPORTED_Y98" localSheetId="24">#REF!</definedName>
    <definedName name="_T_PLA_NPAT_REPORTED_Y98">#REF!</definedName>
    <definedName name="_T_PLA_NPAT_REPORTED_Y99" localSheetId="5">#REF!</definedName>
    <definedName name="_T_PLA_NPAT_REPORTED_Y99" localSheetId="24">#REF!</definedName>
    <definedName name="_T_PLA_NPAT_REPORTED_Y99">#REF!</definedName>
    <definedName name="_T_PLA_NPATTRIB_Y00" localSheetId="5">#REF!</definedName>
    <definedName name="_T_PLA_NPATTRIB_Y00" localSheetId="24">#REF!</definedName>
    <definedName name="_T_PLA_NPATTRIB_Y00">#REF!</definedName>
    <definedName name="_T_PLA_NPATTRIB_Y01" localSheetId="5">#REF!</definedName>
    <definedName name="_T_PLA_NPATTRIB_Y01" localSheetId="24">#REF!</definedName>
    <definedName name="_T_PLA_NPATTRIB_Y01">#REF!</definedName>
    <definedName name="_T_PLA_NPATTRIB_Y02" localSheetId="5">#REF!</definedName>
    <definedName name="_T_PLA_NPATTRIB_Y02" localSheetId="24">#REF!</definedName>
    <definedName name="_T_PLA_NPATTRIB_Y02">#REF!</definedName>
    <definedName name="_T_PLA_NPATTRIB_Y03" localSheetId="5">#REF!</definedName>
    <definedName name="_T_PLA_NPATTRIB_Y03" localSheetId="24">#REF!</definedName>
    <definedName name="_T_PLA_NPATTRIB_Y03">#REF!</definedName>
    <definedName name="_T_PLA_NPATTRIB_Y04" localSheetId="5">#REF!</definedName>
    <definedName name="_T_PLA_NPATTRIB_Y04" localSheetId="24">#REF!</definedName>
    <definedName name="_T_PLA_NPATTRIB_Y04">#REF!</definedName>
    <definedName name="_T_PLA_NPATTRIB_Y05" localSheetId="5">#REF!</definedName>
    <definedName name="_T_PLA_NPATTRIB_Y05" localSheetId="24">#REF!</definedName>
    <definedName name="_T_PLA_NPATTRIB_Y05">#REF!</definedName>
    <definedName name="_T_PLA_NPATTRIB_Y06" localSheetId="5">#REF!</definedName>
    <definedName name="_T_PLA_NPATTRIB_Y06" localSheetId="24">#REF!</definedName>
    <definedName name="_T_PLA_NPATTRIB_Y06">#REF!</definedName>
    <definedName name="_T_PLA_NPATTRIB_Y07" localSheetId="5">#REF!</definedName>
    <definedName name="_T_PLA_NPATTRIB_Y07" localSheetId="24">#REF!</definedName>
    <definedName name="_T_PLA_NPATTRIB_Y07">#REF!</definedName>
    <definedName name="_T_PLA_NPATTRIB_Y08" localSheetId="5">#REF!</definedName>
    <definedName name="_T_PLA_NPATTRIB_Y08" localSheetId="24">#REF!</definedName>
    <definedName name="_T_PLA_NPATTRIB_Y08">#REF!</definedName>
    <definedName name="_T_PLA_NPATTRIB_Y92" localSheetId="5">#REF!</definedName>
    <definedName name="_T_PLA_NPATTRIB_Y92" localSheetId="24">#REF!</definedName>
    <definedName name="_T_PLA_NPATTRIB_Y92">#REF!</definedName>
    <definedName name="_T_PLA_NPATTRIB_Y93" localSheetId="5">#REF!</definedName>
    <definedName name="_T_PLA_NPATTRIB_Y93" localSheetId="24">#REF!</definedName>
    <definedName name="_T_PLA_NPATTRIB_Y93">#REF!</definedName>
    <definedName name="_T_PLA_NPATTRIB_Y94" localSheetId="5">#REF!</definedName>
    <definedName name="_T_PLA_NPATTRIB_Y94" localSheetId="24">#REF!</definedName>
    <definedName name="_T_PLA_NPATTRIB_Y94">#REF!</definedName>
    <definedName name="_T_PLA_NPATTRIB_Y95" localSheetId="5">#REF!</definedName>
    <definedName name="_T_PLA_NPATTRIB_Y95" localSheetId="24">#REF!</definedName>
    <definedName name="_T_PLA_NPATTRIB_Y95">#REF!</definedName>
    <definedName name="_T_PLA_NPATTRIB_Y96" localSheetId="5">#REF!</definedName>
    <definedName name="_T_PLA_NPATTRIB_Y96" localSheetId="24">#REF!</definedName>
    <definedName name="_T_PLA_NPATTRIB_Y96">#REF!</definedName>
    <definedName name="_T_PLA_NPATTRIB_Y97" localSheetId="5">#REF!</definedName>
    <definedName name="_T_PLA_NPATTRIB_Y97" localSheetId="24">#REF!</definedName>
    <definedName name="_T_PLA_NPATTRIB_Y97">#REF!</definedName>
    <definedName name="_T_PLA_NPATTRIB_Y98" localSheetId="5">#REF!</definedName>
    <definedName name="_T_PLA_NPATTRIB_Y98" localSheetId="24">#REF!</definedName>
    <definedName name="_T_PLA_NPATTRIB_Y98">#REF!</definedName>
    <definedName name="_T_PLA_NPATTRIB_Y99" localSheetId="5">#REF!</definedName>
    <definedName name="_T_PLA_NPATTRIB_Y99" localSheetId="24">#REF!</definedName>
    <definedName name="_T_PLA_NPATTRIB_Y99">#REF!</definedName>
    <definedName name="_T_PLA_PBT_REPORTED_Y00" localSheetId="5">#REF!</definedName>
    <definedName name="_T_PLA_PBT_REPORTED_Y00" localSheetId="24">#REF!</definedName>
    <definedName name="_T_PLA_PBT_REPORTED_Y00">#REF!</definedName>
    <definedName name="_T_PLA_PBT_REPORTED_Y01" localSheetId="5">#REF!</definedName>
    <definedName name="_T_PLA_PBT_REPORTED_Y01" localSheetId="24">#REF!</definedName>
    <definedName name="_T_PLA_PBT_REPORTED_Y01">#REF!</definedName>
    <definedName name="_T_PLA_PBT_REPORTED_Y02" localSheetId="5">#REF!</definedName>
    <definedName name="_T_PLA_PBT_REPORTED_Y02" localSheetId="24">#REF!</definedName>
    <definedName name="_T_PLA_PBT_REPORTED_Y02">#REF!</definedName>
    <definedName name="_T_PLA_PBT_REPORTED_Y03" localSheetId="5">#REF!</definedName>
    <definedName name="_T_PLA_PBT_REPORTED_Y03" localSheetId="24">#REF!</definedName>
    <definedName name="_T_PLA_PBT_REPORTED_Y03">#REF!</definedName>
    <definedName name="_T_PLA_PBT_REPORTED_Y90" localSheetId="5">#REF!</definedName>
    <definedName name="_T_PLA_PBT_REPORTED_Y90" localSheetId="24">#REF!</definedName>
    <definedName name="_T_PLA_PBT_REPORTED_Y90">#REF!</definedName>
    <definedName name="_T_PLA_PBT_REPORTED_Y91" localSheetId="5">#REF!</definedName>
    <definedName name="_T_PLA_PBT_REPORTED_Y91" localSheetId="24">#REF!</definedName>
    <definedName name="_T_PLA_PBT_REPORTED_Y91">#REF!</definedName>
    <definedName name="_T_PLA_PBT_REPORTED_Y92" localSheetId="5">#REF!</definedName>
    <definedName name="_T_PLA_PBT_REPORTED_Y92" localSheetId="24">#REF!</definedName>
    <definedName name="_T_PLA_PBT_REPORTED_Y92">#REF!</definedName>
    <definedName name="_T_PLA_PBT_REPORTED_Y93" localSheetId="5">#REF!</definedName>
    <definedName name="_T_PLA_PBT_REPORTED_Y93" localSheetId="24">#REF!</definedName>
    <definedName name="_T_PLA_PBT_REPORTED_Y93">#REF!</definedName>
    <definedName name="_T_PLA_PBT_REPORTED_Y94" localSheetId="5">#REF!</definedName>
    <definedName name="_T_PLA_PBT_REPORTED_Y94" localSheetId="24">#REF!</definedName>
    <definedName name="_T_PLA_PBT_REPORTED_Y94">#REF!</definedName>
    <definedName name="_T_PLA_PBT_REPORTED_Y95" localSheetId="5">#REF!</definedName>
    <definedName name="_T_PLA_PBT_REPORTED_Y95" localSheetId="24">#REF!</definedName>
    <definedName name="_T_PLA_PBT_REPORTED_Y95">#REF!</definedName>
    <definedName name="_T_PLA_PBT_REPORTED_Y96" localSheetId="5">#REF!</definedName>
    <definedName name="_T_PLA_PBT_REPORTED_Y96" localSheetId="24">#REF!</definedName>
    <definedName name="_T_PLA_PBT_REPORTED_Y96">#REF!</definedName>
    <definedName name="_T_PLA_PBT_REPORTED_Y97" localSheetId="5">#REF!</definedName>
    <definedName name="_T_PLA_PBT_REPORTED_Y97" localSheetId="24">#REF!</definedName>
    <definedName name="_T_PLA_PBT_REPORTED_Y97">#REF!</definedName>
    <definedName name="_T_PLA_PBT_REPORTED_Y98" localSheetId="5">#REF!</definedName>
    <definedName name="_T_PLA_PBT_REPORTED_Y98" localSheetId="24">#REF!</definedName>
    <definedName name="_T_PLA_PBT_REPORTED_Y98">#REF!</definedName>
    <definedName name="_T_PLA_PBT_REPORTED_Y99" localSheetId="5">#REF!</definedName>
    <definedName name="_T_PLA_PBT_REPORTED_Y99" localSheetId="24">#REF!</definedName>
    <definedName name="_T_PLA_PBT_REPORTED_Y99">#REF!</definedName>
    <definedName name="_T_PLA_PBT_Y00" localSheetId="5">#REF!</definedName>
    <definedName name="_T_PLA_PBT_Y00" localSheetId="24">#REF!</definedName>
    <definedName name="_T_PLA_PBT_Y00">#REF!</definedName>
    <definedName name="_T_PLA_PBT_Y01" localSheetId="5">#REF!</definedName>
    <definedName name="_T_PLA_PBT_Y01" localSheetId="24">#REF!</definedName>
    <definedName name="_T_PLA_PBT_Y01">#REF!</definedName>
    <definedName name="_T_PLA_PBT_Y02" localSheetId="5">#REF!</definedName>
    <definedName name="_T_PLA_PBT_Y02" localSheetId="24">#REF!</definedName>
    <definedName name="_T_PLA_PBT_Y02">#REF!</definedName>
    <definedName name="_T_PLA_PBT_Y03" localSheetId="5">#REF!</definedName>
    <definedName name="_T_PLA_PBT_Y03" localSheetId="24">#REF!</definedName>
    <definedName name="_T_PLA_PBT_Y03">#REF!</definedName>
    <definedName name="_T_PLA_PBT_Y04" localSheetId="5">#REF!</definedName>
    <definedName name="_T_PLA_PBT_Y04" localSheetId="24">#REF!</definedName>
    <definedName name="_T_PLA_PBT_Y04">#REF!</definedName>
    <definedName name="_T_PLA_PBT_Y05" localSheetId="5">#REF!</definedName>
    <definedName name="_T_PLA_PBT_Y05" localSheetId="24">#REF!</definedName>
    <definedName name="_T_PLA_PBT_Y05">#REF!</definedName>
    <definedName name="_T_PLA_PBT_Y06" localSheetId="5">#REF!</definedName>
    <definedName name="_T_PLA_PBT_Y06" localSheetId="24">#REF!</definedName>
    <definedName name="_T_PLA_PBT_Y06">#REF!</definedName>
    <definedName name="_T_PLA_PBT_Y07" localSheetId="5">#REF!</definedName>
    <definedName name="_T_PLA_PBT_Y07" localSheetId="24">#REF!</definedName>
    <definedName name="_T_PLA_PBT_Y07">#REF!</definedName>
    <definedName name="_T_PLA_PBT_Y08" localSheetId="5">#REF!</definedName>
    <definedName name="_T_PLA_PBT_Y08" localSheetId="24">#REF!</definedName>
    <definedName name="_T_PLA_PBT_Y08">#REF!</definedName>
    <definedName name="_T_PLA_PBT_Y92" localSheetId="5">#REF!</definedName>
    <definedName name="_T_PLA_PBT_Y92" localSheetId="24">#REF!</definedName>
    <definedName name="_T_PLA_PBT_Y92">#REF!</definedName>
    <definedName name="_T_PLA_PBT_Y93" localSheetId="5">#REF!</definedName>
    <definedName name="_T_PLA_PBT_Y93" localSheetId="24">#REF!</definedName>
    <definedName name="_T_PLA_PBT_Y93">#REF!</definedName>
    <definedName name="_T_PLA_PBT_Y94" localSheetId="5">#REF!</definedName>
    <definedName name="_T_PLA_PBT_Y94" localSheetId="24">#REF!</definedName>
    <definedName name="_T_PLA_PBT_Y94">#REF!</definedName>
    <definedName name="_T_PLA_PBT_Y95" localSheetId="5">#REF!</definedName>
    <definedName name="_T_PLA_PBT_Y95" localSheetId="24">#REF!</definedName>
    <definedName name="_T_PLA_PBT_Y95">#REF!</definedName>
    <definedName name="_T_PLA_PBT_Y96" localSheetId="5">#REF!</definedName>
    <definedName name="_T_PLA_PBT_Y96" localSheetId="24">#REF!</definedName>
    <definedName name="_T_PLA_PBT_Y96">#REF!</definedName>
    <definedName name="_T_PLA_PBT_Y97" localSheetId="5">#REF!</definedName>
    <definedName name="_T_PLA_PBT_Y97" localSheetId="24">#REF!</definedName>
    <definedName name="_T_PLA_PBT_Y97">#REF!</definedName>
    <definedName name="_T_PLA_PBT_Y98" localSheetId="5">#REF!</definedName>
    <definedName name="_T_PLA_PBT_Y98" localSheetId="24">#REF!</definedName>
    <definedName name="_T_PLA_PBT_Y98">#REF!</definedName>
    <definedName name="_T_PLA_PBT_Y99" localSheetId="5">#REF!</definedName>
    <definedName name="_T_PLA_PBT_Y99" localSheetId="24">#REF!</definedName>
    <definedName name="_T_PLA_PBT_Y99">#REF!</definedName>
    <definedName name="_T_PLA_TAX_REPORTED_Y00" localSheetId="5">#REF!</definedName>
    <definedName name="_T_PLA_TAX_REPORTED_Y00" localSheetId="24">#REF!</definedName>
    <definedName name="_T_PLA_TAX_REPORTED_Y00">#REF!</definedName>
    <definedName name="_T_PLA_TAX_REPORTED_Y01" localSheetId="5">#REF!</definedName>
    <definedName name="_T_PLA_TAX_REPORTED_Y01" localSheetId="24">#REF!</definedName>
    <definedName name="_T_PLA_TAX_REPORTED_Y01">#REF!</definedName>
    <definedName name="_T_PLA_TAX_REPORTED_Y02" localSheetId="5">#REF!</definedName>
    <definedName name="_T_PLA_TAX_REPORTED_Y02" localSheetId="24">#REF!</definedName>
    <definedName name="_T_PLA_TAX_REPORTED_Y02">#REF!</definedName>
    <definedName name="_T_PLA_TAX_REPORTED_Y03" localSheetId="5">#REF!</definedName>
    <definedName name="_T_PLA_TAX_REPORTED_Y03" localSheetId="24">#REF!</definedName>
    <definedName name="_T_PLA_TAX_REPORTED_Y03">#REF!</definedName>
    <definedName name="_T_PLA_TAX_REPORTED_Y90" localSheetId="5">#REF!</definedName>
    <definedName name="_T_PLA_TAX_REPORTED_Y90" localSheetId="24">#REF!</definedName>
    <definedName name="_T_PLA_TAX_REPORTED_Y90">#REF!</definedName>
    <definedName name="_T_PLA_TAX_REPORTED_Y91" localSheetId="5">#REF!</definedName>
    <definedName name="_T_PLA_TAX_REPORTED_Y91" localSheetId="24">#REF!</definedName>
    <definedName name="_T_PLA_TAX_REPORTED_Y91">#REF!</definedName>
    <definedName name="_T_PLA_TAX_REPORTED_Y92" localSheetId="5">#REF!</definedName>
    <definedName name="_T_PLA_TAX_REPORTED_Y92" localSheetId="24">#REF!</definedName>
    <definedName name="_T_PLA_TAX_REPORTED_Y92">#REF!</definedName>
    <definedName name="_T_PLA_TAX_REPORTED_Y93" localSheetId="5">#REF!</definedName>
    <definedName name="_T_PLA_TAX_REPORTED_Y93" localSheetId="24">#REF!</definedName>
    <definedName name="_T_PLA_TAX_REPORTED_Y93">#REF!</definedName>
    <definedName name="_T_PLA_TAX_REPORTED_Y94" localSheetId="5">#REF!</definedName>
    <definedName name="_T_PLA_TAX_REPORTED_Y94" localSheetId="24">#REF!</definedName>
    <definedName name="_T_PLA_TAX_REPORTED_Y94">#REF!</definedName>
    <definedName name="_T_PLA_TAX_REPORTED_Y95" localSheetId="5">#REF!</definedName>
    <definedName name="_T_PLA_TAX_REPORTED_Y95" localSheetId="24">#REF!</definedName>
    <definedName name="_T_PLA_TAX_REPORTED_Y95">#REF!</definedName>
    <definedName name="_T_PLA_TAX_REPORTED_Y96" localSheetId="5">#REF!</definedName>
    <definedName name="_T_PLA_TAX_REPORTED_Y96" localSheetId="24">#REF!</definedName>
    <definedName name="_T_PLA_TAX_REPORTED_Y96">#REF!</definedName>
    <definedName name="_T_PLA_TAX_REPORTED_Y97" localSheetId="5">#REF!</definedName>
    <definedName name="_T_PLA_TAX_REPORTED_Y97" localSheetId="24">#REF!</definedName>
    <definedName name="_T_PLA_TAX_REPORTED_Y97">#REF!</definedName>
    <definedName name="_T_PLA_TAX_REPORTED_Y98" localSheetId="5">#REF!</definedName>
    <definedName name="_T_PLA_TAX_REPORTED_Y98" localSheetId="24">#REF!</definedName>
    <definedName name="_T_PLA_TAX_REPORTED_Y98">#REF!</definedName>
    <definedName name="_T_PLA_TAX_REPORTED_Y99" localSheetId="5">#REF!</definedName>
    <definedName name="_T_PLA_TAX_REPORTED_Y99" localSheetId="24">#REF!</definedName>
    <definedName name="_T_PLA_TAX_REPORTED_Y99">#REF!</definedName>
    <definedName name="_T_PLA_TAX_Y00" localSheetId="5">#REF!</definedName>
    <definedName name="_T_PLA_TAX_Y00" localSheetId="24">#REF!</definedName>
    <definedName name="_T_PLA_TAX_Y00">#REF!</definedName>
    <definedName name="_T_PLA_TAX_Y01" localSheetId="5">#REF!</definedName>
    <definedName name="_T_PLA_TAX_Y01" localSheetId="24">#REF!</definedName>
    <definedName name="_T_PLA_TAX_Y01">#REF!</definedName>
    <definedName name="_T_PLA_TAX_Y02" localSheetId="5">#REF!</definedName>
    <definedName name="_T_PLA_TAX_Y02" localSheetId="24">#REF!</definedName>
    <definedName name="_T_PLA_TAX_Y02">#REF!</definedName>
    <definedName name="_T_PLA_TAX_Y03" localSheetId="5">#REF!</definedName>
    <definedName name="_T_PLA_TAX_Y03" localSheetId="24">#REF!</definedName>
    <definedName name="_T_PLA_TAX_Y03">#REF!</definedName>
    <definedName name="_T_PLA_TAX_Y04" localSheetId="5">#REF!</definedName>
    <definedName name="_T_PLA_TAX_Y04" localSheetId="24">#REF!</definedName>
    <definedName name="_T_PLA_TAX_Y04">#REF!</definedName>
    <definedName name="_T_PLA_TAX_Y05" localSheetId="5">#REF!</definedName>
    <definedName name="_T_PLA_TAX_Y05" localSheetId="24">#REF!</definedName>
    <definedName name="_T_PLA_TAX_Y05">#REF!</definedName>
    <definedName name="_T_PLA_TAX_Y06" localSheetId="5">#REF!</definedName>
    <definedName name="_T_PLA_TAX_Y06" localSheetId="24">#REF!</definedName>
    <definedName name="_T_PLA_TAX_Y06">#REF!</definedName>
    <definedName name="_T_PLA_TAX_Y07" localSheetId="5">#REF!</definedName>
    <definedName name="_T_PLA_TAX_Y07" localSheetId="24">#REF!</definedName>
    <definedName name="_T_PLA_TAX_Y07">#REF!</definedName>
    <definedName name="_T_PLA_TAX_Y08" localSheetId="5">#REF!</definedName>
    <definedName name="_T_PLA_TAX_Y08" localSheetId="24">#REF!</definedName>
    <definedName name="_T_PLA_TAX_Y08">#REF!</definedName>
    <definedName name="_T_PLA_TAX_Y92" localSheetId="5">#REF!</definedName>
    <definedName name="_T_PLA_TAX_Y92" localSheetId="24">#REF!</definedName>
    <definedName name="_T_PLA_TAX_Y92">#REF!</definedName>
    <definedName name="_T_PLA_TAX_Y93" localSheetId="5">#REF!</definedName>
    <definedName name="_T_PLA_TAX_Y93" localSheetId="24">#REF!</definedName>
    <definedName name="_T_PLA_TAX_Y93">#REF!</definedName>
    <definedName name="_T_PLA_TAX_Y94" localSheetId="5">#REF!</definedName>
    <definedName name="_T_PLA_TAX_Y94" localSheetId="24">#REF!</definedName>
    <definedName name="_T_PLA_TAX_Y94">#REF!</definedName>
    <definedName name="_T_PLA_TAX_Y95" localSheetId="5">#REF!</definedName>
    <definedName name="_T_PLA_TAX_Y95" localSheetId="24">#REF!</definedName>
    <definedName name="_T_PLA_TAX_Y95">#REF!</definedName>
    <definedName name="_T_PLA_TAX_Y96" localSheetId="5">#REF!</definedName>
    <definedName name="_T_PLA_TAX_Y96" localSheetId="24">#REF!</definedName>
    <definedName name="_T_PLA_TAX_Y96">#REF!</definedName>
    <definedName name="_T_PLA_TAX_Y97" localSheetId="5">#REF!</definedName>
    <definedName name="_T_PLA_TAX_Y97" localSheetId="24">#REF!</definedName>
    <definedName name="_T_PLA_TAX_Y97">#REF!</definedName>
    <definedName name="_T_PLA_TAX_Y98" localSheetId="5">#REF!</definedName>
    <definedName name="_T_PLA_TAX_Y98" localSheetId="24">#REF!</definedName>
    <definedName name="_T_PLA_TAX_Y98">#REF!</definedName>
    <definedName name="_T_PLA_TAX_Y99" localSheetId="5">#REF!</definedName>
    <definedName name="_T_PLA_TAX_Y99" localSheetId="24">#REF!</definedName>
    <definedName name="_T_PLA_TAX_Y99">#REF!</definedName>
    <definedName name="_T_PLE_NPATTRIB_Y00" localSheetId="5">#REF!</definedName>
    <definedName name="_T_PLE_NPATTRIB_Y00" localSheetId="24">#REF!</definedName>
    <definedName name="_T_PLE_NPATTRIB_Y00">#REF!</definedName>
    <definedName name="_T_PLE_NPATTRIB_Y01" localSheetId="5">#REF!</definedName>
    <definedName name="_T_PLE_NPATTRIB_Y01" localSheetId="24">#REF!</definedName>
    <definedName name="_T_PLE_NPATTRIB_Y01">#REF!</definedName>
    <definedName name="_T_PLE_NPATTRIB_Y02" localSheetId="5">#REF!</definedName>
    <definedName name="_T_PLE_NPATTRIB_Y02" localSheetId="24">#REF!</definedName>
    <definedName name="_T_PLE_NPATTRIB_Y02">#REF!</definedName>
    <definedName name="_T_PLE_NPATTRIB_Y03" localSheetId="5">#REF!</definedName>
    <definedName name="_T_PLE_NPATTRIB_Y03" localSheetId="24">#REF!</definedName>
    <definedName name="_T_PLE_NPATTRIB_Y03">#REF!</definedName>
    <definedName name="_T_PLE_NPATTRIB_Y04" localSheetId="5">#REF!</definedName>
    <definedName name="_T_PLE_NPATTRIB_Y04" localSheetId="24">#REF!</definedName>
    <definedName name="_T_PLE_NPATTRIB_Y04">#REF!</definedName>
    <definedName name="_T_PLE_NPATTRIB_Y05" localSheetId="5">#REF!</definedName>
    <definedName name="_T_PLE_NPATTRIB_Y05" localSheetId="24">#REF!</definedName>
    <definedName name="_T_PLE_NPATTRIB_Y05">#REF!</definedName>
    <definedName name="_T_PLE_NPATTRIB_Y06" localSheetId="5">#REF!</definedName>
    <definedName name="_T_PLE_NPATTRIB_Y06" localSheetId="24">#REF!</definedName>
    <definedName name="_T_PLE_NPATTRIB_Y06">#REF!</definedName>
    <definedName name="_T_PLE_NPATTRIB_Y07" localSheetId="5">#REF!</definedName>
    <definedName name="_T_PLE_NPATTRIB_Y07" localSheetId="24">#REF!</definedName>
    <definedName name="_T_PLE_NPATTRIB_Y07">#REF!</definedName>
    <definedName name="_T_PLE_NPATTRIB_Y08" localSheetId="5">#REF!</definedName>
    <definedName name="_T_PLE_NPATTRIB_Y08" localSheetId="24">#REF!</definedName>
    <definedName name="_T_PLE_NPATTRIB_Y08">#REF!</definedName>
    <definedName name="_T_PLE_NPATTRIB_Y92" localSheetId="5">#REF!</definedName>
    <definedName name="_T_PLE_NPATTRIB_Y92" localSheetId="24">#REF!</definedName>
    <definedName name="_T_PLE_NPATTRIB_Y92">#REF!</definedName>
    <definedName name="_T_PLE_NPATTRIB_Y93" localSheetId="5">#REF!</definedName>
    <definedName name="_T_PLE_NPATTRIB_Y93" localSheetId="24">#REF!</definedName>
    <definedName name="_T_PLE_NPATTRIB_Y93">#REF!</definedName>
    <definedName name="_T_PLE_NPATTRIB_Y94" localSheetId="5">#REF!</definedName>
    <definedName name="_T_PLE_NPATTRIB_Y94" localSheetId="24">#REF!</definedName>
    <definedName name="_T_PLE_NPATTRIB_Y94">#REF!</definedName>
    <definedName name="_T_PLE_NPATTRIB_Y95" localSheetId="5">#REF!</definedName>
    <definedName name="_T_PLE_NPATTRIB_Y95" localSheetId="24">#REF!</definedName>
    <definedName name="_T_PLE_NPATTRIB_Y95">#REF!</definedName>
    <definedName name="_T_PLE_NPATTRIB_Y96" localSheetId="5">#REF!</definedName>
    <definedName name="_T_PLE_NPATTRIB_Y96" localSheetId="24">#REF!</definedName>
    <definedName name="_T_PLE_NPATTRIB_Y96">#REF!</definedName>
    <definedName name="_T_PLE_NPATTRIB_Y97" localSheetId="5">#REF!</definedName>
    <definedName name="_T_PLE_NPATTRIB_Y97" localSheetId="24">#REF!</definedName>
    <definedName name="_T_PLE_NPATTRIB_Y97">#REF!</definedName>
    <definedName name="_T_PLE_NPATTRIB_Y98" localSheetId="5">#REF!</definedName>
    <definedName name="_T_PLE_NPATTRIB_Y98" localSheetId="24">#REF!</definedName>
    <definedName name="_T_PLE_NPATTRIB_Y98">#REF!</definedName>
    <definedName name="_T_PLE_NPATTRIB_Y99" localSheetId="5">#REF!</definedName>
    <definedName name="_T_PLE_NPATTRIB_Y99" localSheetId="24">#REF!</definedName>
    <definedName name="_T_PLE_NPATTRIB_Y99">#REF!</definedName>
    <definedName name="_T_PLN_ADJ_Y00" localSheetId="5">#REF!</definedName>
    <definedName name="_T_PLN_ADJ_Y00" localSheetId="24">#REF!</definedName>
    <definedName name="_T_PLN_ADJ_Y00">#REF!</definedName>
    <definedName name="_T_PLN_ADJ_Y01" localSheetId="5">#REF!</definedName>
    <definedName name="_T_PLN_ADJ_Y01" localSheetId="24">#REF!</definedName>
    <definedName name="_T_PLN_ADJ_Y01">#REF!</definedName>
    <definedName name="_T_PLN_ADJ_Y02" localSheetId="5">#REF!</definedName>
    <definedName name="_T_PLN_ADJ_Y02" localSheetId="24">#REF!</definedName>
    <definedName name="_T_PLN_ADJ_Y02">#REF!</definedName>
    <definedName name="_T_PLN_ADJ_Y03" localSheetId="5">#REF!</definedName>
    <definedName name="_T_PLN_ADJ_Y03" localSheetId="24">#REF!</definedName>
    <definedName name="_T_PLN_ADJ_Y03">#REF!</definedName>
    <definedName name="_T_PLN_ADJ_Y90" localSheetId="5">#REF!</definedName>
    <definedName name="_T_PLN_ADJ_Y90" localSheetId="24">#REF!</definedName>
    <definedName name="_T_PLN_ADJ_Y90">#REF!</definedName>
    <definedName name="_T_PLN_ADJ_Y91" localSheetId="5">#REF!</definedName>
    <definedName name="_T_PLN_ADJ_Y91" localSheetId="24">#REF!</definedName>
    <definedName name="_T_PLN_ADJ_Y91">#REF!</definedName>
    <definedName name="_T_PLN_ADJ_Y92" localSheetId="5">#REF!</definedName>
    <definedName name="_T_PLN_ADJ_Y92" localSheetId="24">#REF!</definedName>
    <definedName name="_T_PLN_ADJ_Y92">#REF!</definedName>
    <definedName name="_T_PLN_ADJ_Y93" localSheetId="5">#REF!</definedName>
    <definedName name="_T_PLN_ADJ_Y93" localSheetId="24">#REF!</definedName>
    <definedName name="_T_PLN_ADJ_Y93">#REF!</definedName>
    <definedName name="_T_PLN_ADJ_Y94" localSheetId="5">#REF!</definedName>
    <definedName name="_T_PLN_ADJ_Y94" localSheetId="24">#REF!</definedName>
    <definedName name="_T_PLN_ADJ_Y94">#REF!</definedName>
    <definedName name="_T_PLN_ADJ_Y95" localSheetId="5">#REF!</definedName>
    <definedName name="_T_PLN_ADJ_Y95" localSheetId="24">#REF!</definedName>
    <definedName name="_T_PLN_ADJ_Y95">#REF!</definedName>
    <definedName name="_T_PLN_ADJ_Y96" localSheetId="5">#REF!</definedName>
    <definedName name="_T_PLN_ADJ_Y96" localSheetId="24">#REF!</definedName>
    <definedName name="_T_PLN_ADJ_Y96">#REF!</definedName>
    <definedName name="_T_PLN_ADJ_Y97" localSheetId="5">#REF!</definedName>
    <definedName name="_T_PLN_ADJ_Y97" localSheetId="24">#REF!</definedName>
    <definedName name="_T_PLN_ADJ_Y97">#REF!</definedName>
    <definedName name="_T_PLN_ADJ_Y98" localSheetId="5">#REF!</definedName>
    <definedName name="_T_PLN_ADJ_Y98" localSheetId="24">#REF!</definedName>
    <definedName name="_T_PLN_ADJ_Y98">#REF!</definedName>
    <definedName name="_T_PLN_ADJ_Y99" localSheetId="5">#REF!</definedName>
    <definedName name="_T_PLN_ADJ_Y99" localSheetId="24">#REF!</definedName>
    <definedName name="_T_PLN_ADJ_Y99">#REF!</definedName>
    <definedName name="_T_PLN_AMORT_OTHER_Y00" localSheetId="5">#REF!</definedName>
    <definedName name="_T_PLN_AMORT_OTHER_Y00" localSheetId="24">#REF!</definedName>
    <definedName name="_T_PLN_AMORT_OTHER_Y00">#REF!</definedName>
    <definedName name="_T_PLN_AMORT_OTHER_Y01" localSheetId="5">#REF!</definedName>
    <definedName name="_T_PLN_AMORT_OTHER_Y01" localSheetId="24">#REF!</definedName>
    <definedName name="_T_PLN_AMORT_OTHER_Y01">#REF!</definedName>
    <definedName name="_T_PLN_AMORT_OTHER_Y02" localSheetId="5">#REF!</definedName>
    <definedName name="_T_PLN_AMORT_OTHER_Y02" localSheetId="24">#REF!</definedName>
    <definedName name="_T_PLN_AMORT_OTHER_Y02">#REF!</definedName>
    <definedName name="_T_PLN_AMORT_OTHER_Y03" localSheetId="5">#REF!</definedName>
    <definedName name="_T_PLN_AMORT_OTHER_Y03" localSheetId="24">#REF!</definedName>
    <definedName name="_T_PLN_AMORT_OTHER_Y03">#REF!</definedName>
    <definedName name="_T_PLN_AMORT_OTHER_Y04" localSheetId="5">#REF!</definedName>
    <definedName name="_T_PLN_AMORT_OTHER_Y04" localSheetId="24">#REF!</definedName>
    <definedName name="_T_PLN_AMORT_OTHER_Y04">#REF!</definedName>
    <definedName name="_T_PLN_AMORT_OTHER_Y05" localSheetId="5">#REF!</definedName>
    <definedName name="_T_PLN_AMORT_OTHER_Y05" localSheetId="24">#REF!</definedName>
    <definedName name="_T_PLN_AMORT_OTHER_Y05">#REF!</definedName>
    <definedName name="_T_PLN_AMORT_OTHER_Y06" localSheetId="5">#REF!</definedName>
    <definedName name="_T_PLN_AMORT_OTHER_Y06" localSheetId="24">#REF!</definedName>
    <definedName name="_T_PLN_AMORT_OTHER_Y06">#REF!</definedName>
    <definedName name="_T_PLN_AMORT_OTHER_Y07" localSheetId="5">#REF!</definedName>
    <definedName name="_T_PLN_AMORT_OTHER_Y07" localSheetId="24">#REF!</definedName>
    <definedName name="_T_PLN_AMORT_OTHER_Y07">#REF!</definedName>
    <definedName name="_T_PLN_AMORT_OTHER_Y08" localSheetId="5">#REF!</definedName>
    <definedName name="_T_PLN_AMORT_OTHER_Y08" localSheetId="24">#REF!</definedName>
    <definedName name="_T_PLN_AMORT_OTHER_Y08">#REF!</definedName>
    <definedName name="_T_PLN_AMORT_OTHER_Y92" localSheetId="5">#REF!</definedName>
    <definedName name="_T_PLN_AMORT_OTHER_Y92" localSheetId="24">#REF!</definedName>
    <definedName name="_T_PLN_AMORT_OTHER_Y92">#REF!</definedName>
    <definedName name="_T_PLN_AMORT_OTHER_Y93" localSheetId="5">#REF!</definedName>
    <definedName name="_T_PLN_AMORT_OTHER_Y93" localSheetId="24">#REF!</definedName>
    <definedName name="_T_PLN_AMORT_OTHER_Y93">#REF!</definedName>
    <definedName name="_T_PLN_AMORT_OTHER_Y94" localSheetId="5">#REF!</definedName>
    <definedName name="_T_PLN_AMORT_OTHER_Y94" localSheetId="24">#REF!</definedName>
    <definedName name="_T_PLN_AMORT_OTHER_Y94">#REF!</definedName>
    <definedName name="_T_PLN_AMORT_OTHER_Y95" localSheetId="5">#REF!</definedName>
    <definedName name="_T_PLN_AMORT_OTHER_Y95" localSheetId="24">#REF!</definedName>
    <definedName name="_T_PLN_AMORT_OTHER_Y95">#REF!</definedName>
    <definedName name="_T_PLN_AMORT_OTHER_Y96" localSheetId="5">#REF!</definedName>
    <definedName name="_T_PLN_AMORT_OTHER_Y96" localSheetId="24">#REF!</definedName>
    <definedName name="_T_PLN_AMORT_OTHER_Y96">#REF!</definedName>
    <definedName name="_T_PLN_AMORT_OTHER_Y97" localSheetId="5">#REF!</definedName>
    <definedName name="_T_PLN_AMORT_OTHER_Y97" localSheetId="24">#REF!</definedName>
    <definedName name="_T_PLN_AMORT_OTHER_Y97">#REF!</definedName>
    <definedName name="_T_PLN_AMORT_OTHER_Y98" localSheetId="5">#REF!</definedName>
    <definedName name="_T_PLN_AMORT_OTHER_Y98" localSheetId="24">#REF!</definedName>
    <definedName name="_T_PLN_AMORT_OTHER_Y98">#REF!</definedName>
    <definedName name="_T_PLN_AMORT_OTHER_Y99" localSheetId="5">#REF!</definedName>
    <definedName name="_T_PLN_AMORT_OTHER_Y99" localSheetId="24">#REF!</definedName>
    <definedName name="_T_PLN_AMORT_OTHER_Y99">#REF!</definedName>
    <definedName name="_T_PLN_AMORT_OTHGW_Y00" localSheetId="5">#REF!</definedName>
    <definedName name="_T_PLN_AMORT_OTHGW_Y00" localSheetId="24">#REF!</definedName>
    <definedName name="_T_PLN_AMORT_OTHGW_Y00">#REF!</definedName>
    <definedName name="_T_PLN_AMORT_OTHGW_Y01" localSheetId="5">#REF!</definedName>
    <definedName name="_T_PLN_AMORT_OTHGW_Y01" localSheetId="24">#REF!</definedName>
    <definedName name="_T_PLN_AMORT_OTHGW_Y01">#REF!</definedName>
    <definedName name="_T_PLN_AMORT_OTHGW_Y02" localSheetId="5">#REF!</definedName>
    <definedName name="_T_PLN_AMORT_OTHGW_Y02" localSheetId="24">#REF!</definedName>
    <definedName name="_T_PLN_AMORT_OTHGW_Y02">#REF!</definedName>
    <definedName name="_T_PLN_AMORT_OTHGW_Y03" localSheetId="5">#REF!</definedName>
    <definedName name="_T_PLN_AMORT_OTHGW_Y03" localSheetId="24">#REF!</definedName>
    <definedName name="_T_PLN_AMORT_OTHGW_Y03">#REF!</definedName>
    <definedName name="_T_PLN_AMORT_OTHGW_Y04" localSheetId="5">#REF!</definedName>
    <definedName name="_T_PLN_AMORT_OTHGW_Y04" localSheetId="24">#REF!</definedName>
    <definedName name="_T_PLN_AMORT_OTHGW_Y04">#REF!</definedName>
    <definedName name="_T_PLN_AMORT_OTHGW_Y05" localSheetId="5">#REF!</definedName>
    <definedName name="_T_PLN_AMORT_OTHGW_Y05" localSheetId="24">#REF!</definedName>
    <definedName name="_T_PLN_AMORT_OTHGW_Y05">#REF!</definedName>
    <definedName name="_T_PLN_AMORT_OTHGW_Y06" localSheetId="5">#REF!</definedName>
    <definedName name="_T_PLN_AMORT_OTHGW_Y06" localSheetId="24">#REF!</definedName>
    <definedName name="_T_PLN_AMORT_OTHGW_Y06">#REF!</definedName>
    <definedName name="_T_PLN_AMORT_OTHGW_Y07" localSheetId="5">#REF!</definedName>
    <definedName name="_T_PLN_AMORT_OTHGW_Y07" localSheetId="24">#REF!</definedName>
    <definedName name="_T_PLN_AMORT_OTHGW_Y07">#REF!</definedName>
    <definedName name="_T_PLN_AMORT_OTHGW_Y08" localSheetId="5">#REF!</definedName>
    <definedName name="_T_PLN_AMORT_OTHGW_Y08" localSheetId="24">#REF!</definedName>
    <definedName name="_T_PLN_AMORT_OTHGW_Y08">#REF!</definedName>
    <definedName name="_T_PLN_AMORT_OTHGW_Y92" localSheetId="5">#REF!</definedName>
    <definedName name="_T_PLN_AMORT_OTHGW_Y92" localSheetId="24">#REF!</definedName>
    <definedName name="_T_PLN_AMORT_OTHGW_Y92">#REF!</definedName>
    <definedName name="_T_PLN_AMORT_OTHGW_Y93" localSheetId="5">#REF!</definedName>
    <definedName name="_T_PLN_AMORT_OTHGW_Y93" localSheetId="24">#REF!</definedName>
    <definedName name="_T_PLN_AMORT_OTHGW_Y93">#REF!</definedName>
    <definedName name="_T_PLN_AMORT_OTHGW_Y94" localSheetId="5">#REF!</definedName>
    <definedName name="_T_PLN_AMORT_OTHGW_Y94" localSheetId="24">#REF!</definedName>
    <definedName name="_T_PLN_AMORT_OTHGW_Y94">#REF!</definedName>
    <definedName name="_T_PLN_AMORT_OTHGW_Y95" localSheetId="5">#REF!</definedName>
    <definedName name="_T_PLN_AMORT_OTHGW_Y95" localSheetId="24">#REF!</definedName>
    <definedName name="_T_PLN_AMORT_OTHGW_Y95">#REF!</definedName>
    <definedName name="_T_PLN_AMORT_OTHGW_Y96" localSheetId="5">#REF!</definedName>
    <definedName name="_T_PLN_AMORT_OTHGW_Y96" localSheetId="24">#REF!</definedName>
    <definedName name="_T_PLN_AMORT_OTHGW_Y96">#REF!</definedName>
    <definedName name="_T_PLN_AMORT_OTHGW_Y97" localSheetId="5">#REF!</definedName>
    <definedName name="_T_PLN_AMORT_OTHGW_Y97" localSheetId="24">#REF!</definedName>
    <definedName name="_T_PLN_AMORT_OTHGW_Y97">#REF!</definedName>
    <definedName name="_T_PLN_AMORT_OTHGW_Y98" localSheetId="5">#REF!</definedName>
    <definedName name="_T_PLN_AMORT_OTHGW_Y98" localSheetId="24">#REF!</definedName>
    <definedName name="_T_PLN_AMORT_OTHGW_Y98">#REF!</definedName>
    <definedName name="_T_PLN_AMORT_OTHGW_Y99" localSheetId="5">#REF!</definedName>
    <definedName name="_T_PLN_AMORT_OTHGW_Y99" localSheetId="24">#REF!</definedName>
    <definedName name="_T_PLN_AMORT_OTHGW_Y99">#REF!</definedName>
    <definedName name="_T_PLN_AMORT_Y00" localSheetId="5">#REF!</definedName>
    <definedName name="_T_PLN_AMORT_Y00" localSheetId="24">#REF!</definedName>
    <definedName name="_T_PLN_AMORT_Y00">#REF!</definedName>
    <definedName name="_T_PLN_AMORT_Y01" localSheetId="5">#REF!</definedName>
    <definedName name="_T_PLN_AMORT_Y01" localSheetId="24">#REF!</definedName>
    <definedName name="_T_PLN_AMORT_Y01">#REF!</definedName>
    <definedName name="_T_PLN_AMORT_Y02" localSheetId="5">#REF!</definedName>
    <definedName name="_T_PLN_AMORT_Y02" localSheetId="24">#REF!</definedName>
    <definedName name="_T_PLN_AMORT_Y02">#REF!</definedName>
    <definedName name="_T_PLN_AMORT_Y90" localSheetId="5">#REF!</definedName>
    <definedName name="_T_PLN_AMORT_Y90" localSheetId="24">#REF!</definedName>
    <definedName name="_T_PLN_AMORT_Y90">#REF!</definedName>
    <definedName name="_T_PLN_AMORT_Y91" localSheetId="5">#REF!</definedName>
    <definedName name="_T_PLN_AMORT_Y91" localSheetId="24">#REF!</definedName>
    <definedName name="_T_PLN_AMORT_Y91">#REF!</definedName>
    <definedName name="_T_PLN_AMORT_Y92" localSheetId="5">#REF!</definedName>
    <definedName name="_T_PLN_AMORT_Y92" localSheetId="24">#REF!</definedName>
    <definedName name="_T_PLN_AMORT_Y92">#REF!</definedName>
    <definedName name="_T_PLN_AMORT_Y93" localSheetId="5">#REF!</definedName>
    <definedName name="_T_PLN_AMORT_Y93" localSheetId="24">#REF!</definedName>
    <definedName name="_T_PLN_AMORT_Y93">#REF!</definedName>
    <definedName name="_T_PLN_AMORT_Y94" localSheetId="5">#REF!</definedName>
    <definedName name="_T_PLN_AMORT_Y94" localSheetId="24">#REF!</definedName>
    <definedName name="_T_PLN_AMORT_Y94">#REF!</definedName>
    <definedName name="_T_PLN_AMORT_Y95" localSheetId="5">#REF!</definedName>
    <definedName name="_T_PLN_AMORT_Y95" localSheetId="24">#REF!</definedName>
    <definedName name="_T_PLN_AMORT_Y95">#REF!</definedName>
    <definedName name="_T_PLN_AMORT_Y96" localSheetId="5">#REF!</definedName>
    <definedName name="_T_PLN_AMORT_Y96" localSheetId="24">#REF!</definedName>
    <definedName name="_T_PLN_AMORT_Y96">#REF!</definedName>
    <definedName name="_T_PLN_AMORT_Y97" localSheetId="5">#REF!</definedName>
    <definedName name="_T_PLN_AMORT_Y97" localSheetId="24">#REF!</definedName>
    <definedName name="_T_PLN_AMORT_Y97">#REF!</definedName>
    <definedName name="_T_PLN_AMORT_Y98" localSheetId="5">#REF!</definedName>
    <definedName name="_T_PLN_AMORT_Y98" localSheetId="24">#REF!</definedName>
    <definedName name="_T_PLN_AMORT_Y98">#REF!</definedName>
    <definedName name="_T_PLN_AMORT_Y99" localSheetId="5">#REF!</definedName>
    <definedName name="_T_PLN_AMORT_Y99" localSheetId="24">#REF!</definedName>
    <definedName name="_T_PLN_AMORT_Y99">#REF!</definedName>
    <definedName name="_T_PLN_CAPNOTE_Y00" localSheetId="5">#REF!</definedName>
    <definedName name="_T_PLN_CAPNOTE_Y00" localSheetId="24">#REF!</definedName>
    <definedName name="_T_PLN_CAPNOTE_Y00">#REF!</definedName>
    <definedName name="_T_PLN_CAPNOTE_Y01" localSheetId="5">#REF!</definedName>
    <definedName name="_T_PLN_CAPNOTE_Y01" localSheetId="24">#REF!</definedName>
    <definedName name="_T_PLN_CAPNOTE_Y01">#REF!</definedName>
    <definedName name="_T_PLN_CAPNOTE_Y02" localSheetId="5">#REF!</definedName>
    <definedName name="_T_PLN_CAPNOTE_Y02" localSheetId="24">#REF!</definedName>
    <definedName name="_T_PLN_CAPNOTE_Y02">#REF!</definedName>
    <definedName name="_T_PLN_CAPNOTE_Y03" localSheetId="5">#REF!</definedName>
    <definedName name="_T_PLN_CAPNOTE_Y03" localSheetId="24">#REF!</definedName>
    <definedName name="_T_PLN_CAPNOTE_Y03">#REF!</definedName>
    <definedName name="_T_PLN_CAPNOTE_Y90" localSheetId="5">#REF!</definedName>
    <definedName name="_T_PLN_CAPNOTE_Y90" localSheetId="24">#REF!</definedName>
    <definedName name="_T_PLN_CAPNOTE_Y90">#REF!</definedName>
    <definedName name="_T_PLN_CAPNOTE_Y91" localSheetId="5">#REF!</definedName>
    <definedName name="_T_PLN_CAPNOTE_Y91" localSheetId="24">#REF!</definedName>
    <definedName name="_T_PLN_CAPNOTE_Y91">#REF!</definedName>
    <definedName name="_T_PLN_CAPNOTE_Y92" localSheetId="5">#REF!</definedName>
    <definedName name="_T_PLN_CAPNOTE_Y92" localSheetId="24">#REF!</definedName>
    <definedName name="_T_PLN_CAPNOTE_Y92">#REF!</definedName>
    <definedName name="_T_PLN_CAPNOTE_Y93" localSheetId="5">#REF!</definedName>
    <definedName name="_T_PLN_CAPNOTE_Y93" localSheetId="24">#REF!</definedName>
    <definedName name="_T_PLN_CAPNOTE_Y93">#REF!</definedName>
    <definedName name="_T_PLN_CAPNOTE_Y94" localSheetId="5">#REF!</definedName>
    <definedName name="_T_PLN_CAPNOTE_Y94" localSheetId="24">#REF!</definedName>
    <definedName name="_T_PLN_CAPNOTE_Y94">#REF!</definedName>
    <definedName name="_T_PLN_CAPNOTE_Y95" localSheetId="5">#REF!</definedName>
    <definedName name="_T_PLN_CAPNOTE_Y95" localSheetId="24">#REF!</definedName>
    <definedName name="_T_PLN_CAPNOTE_Y95">#REF!</definedName>
    <definedName name="_T_PLN_CAPNOTE_Y96" localSheetId="5">#REF!</definedName>
    <definedName name="_T_PLN_CAPNOTE_Y96" localSheetId="24">#REF!</definedName>
    <definedName name="_T_PLN_CAPNOTE_Y96">#REF!</definedName>
    <definedName name="_T_PLN_CAPNOTE_Y97" localSheetId="5">#REF!</definedName>
    <definedName name="_T_PLN_CAPNOTE_Y97" localSheetId="24">#REF!</definedName>
    <definedName name="_T_PLN_CAPNOTE_Y97">#REF!</definedName>
    <definedName name="_T_PLN_CAPNOTE_Y98" localSheetId="5">#REF!</definedName>
    <definedName name="_T_PLN_CAPNOTE_Y98" localSheetId="24">#REF!</definedName>
    <definedName name="_T_PLN_CAPNOTE_Y98">#REF!</definedName>
    <definedName name="_T_PLN_CAPNOTE_Y99" localSheetId="5">#REF!</definedName>
    <definedName name="_T_PLN_CAPNOTE_Y99" localSheetId="24">#REF!</definedName>
    <definedName name="_T_PLN_CAPNOTE_Y99">#REF!</definedName>
    <definedName name="_T_PLN_DEPR_Y00" localSheetId="5">#REF!</definedName>
    <definedName name="_T_PLN_DEPR_Y00" localSheetId="24">#REF!</definedName>
    <definedName name="_T_PLN_DEPR_Y00">#REF!</definedName>
    <definedName name="_T_PLN_DEPR_Y01" localSheetId="5">#REF!</definedName>
    <definedName name="_T_PLN_DEPR_Y01" localSheetId="24">#REF!</definedName>
    <definedName name="_T_PLN_DEPR_Y01">#REF!</definedName>
    <definedName name="_T_PLN_DEPR_Y02" localSheetId="5">#REF!</definedName>
    <definedName name="_T_PLN_DEPR_Y02" localSheetId="24">#REF!</definedName>
    <definedName name="_T_PLN_DEPR_Y02">#REF!</definedName>
    <definedName name="_T_PLN_DEPR_Y03" localSheetId="5">#REF!</definedName>
    <definedName name="_T_PLN_DEPR_Y03" localSheetId="24">#REF!</definedName>
    <definedName name="_T_PLN_DEPR_Y03">#REF!</definedName>
    <definedName name="_T_PLN_DEPR_Y04" localSheetId="5">#REF!</definedName>
    <definedName name="_T_PLN_DEPR_Y04" localSheetId="24">#REF!</definedName>
    <definedName name="_T_PLN_DEPR_Y04">#REF!</definedName>
    <definedName name="_T_PLN_DEPR_Y05" localSheetId="5">#REF!</definedName>
    <definedName name="_T_PLN_DEPR_Y05" localSheetId="24">#REF!</definedName>
    <definedName name="_T_PLN_DEPR_Y05">#REF!</definedName>
    <definedName name="_T_PLN_DEPR_Y06" localSheetId="5">#REF!</definedName>
    <definedName name="_T_PLN_DEPR_Y06" localSheetId="24">#REF!</definedName>
    <definedName name="_T_PLN_DEPR_Y06">#REF!</definedName>
    <definedName name="_T_PLN_DEPR_Y07" localSheetId="5">#REF!</definedName>
    <definedName name="_T_PLN_DEPR_Y07" localSheetId="24">#REF!</definedName>
    <definedName name="_T_PLN_DEPR_Y07">#REF!</definedName>
    <definedName name="_T_PLN_DEPR_Y08" localSheetId="5">#REF!</definedName>
    <definedName name="_T_PLN_DEPR_Y08" localSheetId="24">#REF!</definedName>
    <definedName name="_T_PLN_DEPR_Y08">#REF!</definedName>
    <definedName name="_T_PLN_DEPR_Y92" localSheetId="5">#REF!</definedName>
    <definedName name="_T_PLN_DEPR_Y92" localSheetId="24">#REF!</definedName>
    <definedName name="_T_PLN_DEPR_Y92">#REF!</definedName>
    <definedName name="_T_PLN_DEPR_Y93" localSheetId="5">#REF!</definedName>
    <definedName name="_T_PLN_DEPR_Y93" localSheetId="24">#REF!</definedName>
    <definedName name="_T_PLN_DEPR_Y93">#REF!</definedName>
    <definedName name="_T_PLN_DEPR_Y94" localSheetId="5">#REF!</definedName>
    <definedName name="_T_PLN_DEPR_Y94" localSheetId="24">#REF!</definedName>
    <definedName name="_T_PLN_DEPR_Y94">#REF!</definedName>
    <definedName name="_T_PLN_DEPR_Y95" localSheetId="5">#REF!</definedName>
    <definedName name="_T_PLN_DEPR_Y95" localSheetId="24">#REF!</definedName>
    <definedName name="_T_PLN_DEPR_Y95">#REF!</definedName>
    <definedName name="_T_PLN_DEPR_Y96" localSheetId="5">#REF!</definedName>
    <definedName name="_T_PLN_DEPR_Y96" localSheetId="24">#REF!</definedName>
    <definedName name="_T_PLN_DEPR_Y96">#REF!</definedName>
    <definedName name="_T_PLN_DEPR_Y97" localSheetId="5">#REF!</definedName>
    <definedName name="_T_PLN_DEPR_Y97" localSheetId="24">#REF!</definedName>
    <definedName name="_T_PLN_DEPR_Y97">#REF!</definedName>
    <definedName name="_T_PLN_DEPR_Y98" localSheetId="5">#REF!</definedName>
    <definedName name="_T_PLN_DEPR_Y98" localSheetId="24">#REF!</definedName>
    <definedName name="_T_PLN_DEPR_Y98">#REF!</definedName>
    <definedName name="_T_PLN_DEPR_Y99" localSheetId="5">#REF!</definedName>
    <definedName name="_T_PLN_DEPR_Y99" localSheetId="24">#REF!</definedName>
    <definedName name="_T_PLN_DEPR_Y99">#REF!</definedName>
    <definedName name="_T_PLN_DEPRAMORT_Y00" localSheetId="5">#REF!</definedName>
    <definedName name="_T_PLN_DEPRAMORT_Y00" localSheetId="24">#REF!</definedName>
    <definedName name="_T_PLN_DEPRAMORT_Y00">#REF!</definedName>
    <definedName name="_T_PLN_DEPRAMORT_Y01" localSheetId="5">#REF!</definedName>
    <definedName name="_T_PLN_DEPRAMORT_Y01" localSheetId="24">#REF!</definedName>
    <definedName name="_T_PLN_DEPRAMORT_Y01">#REF!</definedName>
    <definedName name="_T_PLN_DEPRAMORT_Y02" localSheetId="5">#REF!</definedName>
    <definedName name="_T_PLN_DEPRAMORT_Y02" localSheetId="24">#REF!</definedName>
    <definedName name="_T_PLN_DEPRAMORT_Y02">#REF!</definedName>
    <definedName name="_T_PLN_DEPRAMORT_Y90" localSheetId="5">#REF!</definedName>
    <definedName name="_T_PLN_DEPRAMORT_Y90" localSheetId="24">#REF!</definedName>
    <definedName name="_T_PLN_DEPRAMORT_Y90">#REF!</definedName>
    <definedName name="_T_PLN_DEPRAMORT_Y91" localSheetId="5">#REF!</definedName>
    <definedName name="_T_PLN_DEPRAMORT_Y91" localSheetId="24">#REF!</definedName>
    <definedName name="_T_PLN_DEPRAMORT_Y91">#REF!</definedName>
    <definedName name="_T_PLN_DEPRAMORT_Y92" localSheetId="5">#REF!</definedName>
    <definedName name="_T_PLN_DEPRAMORT_Y92" localSheetId="24">#REF!</definedName>
    <definedName name="_T_PLN_DEPRAMORT_Y92">#REF!</definedName>
    <definedName name="_T_PLN_DEPRAMORT_Y93" localSheetId="5">#REF!</definedName>
    <definedName name="_T_PLN_DEPRAMORT_Y93" localSheetId="24">#REF!</definedName>
    <definedName name="_T_PLN_DEPRAMORT_Y93">#REF!</definedName>
    <definedName name="_T_PLN_DEPRAMORT_Y94" localSheetId="5">#REF!</definedName>
    <definedName name="_T_PLN_DEPRAMORT_Y94" localSheetId="24">#REF!</definedName>
    <definedName name="_T_PLN_DEPRAMORT_Y94">#REF!</definedName>
    <definedName name="_T_PLN_DEPRAMORT_Y95" localSheetId="5">#REF!</definedName>
    <definedName name="_T_PLN_DEPRAMORT_Y95" localSheetId="24">#REF!</definedName>
    <definedName name="_T_PLN_DEPRAMORT_Y95">#REF!</definedName>
    <definedName name="_T_PLN_DEPRAMORT_Y96" localSheetId="5">#REF!</definedName>
    <definedName name="_T_PLN_DEPRAMORT_Y96" localSheetId="24">#REF!</definedName>
    <definedName name="_T_PLN_DEPRAMORT_Y96">#REF!</definedName>
    <definedName name="_T_PLN_DEPRAMORT_Y97" localSheetId="5">#REF!</definedName>
    <definedName name="_T_PLN_DEPRAMORT_Y97" localSheetId="24">#REF!</definedName>
    <definedName name="_T_PLN_DEPRAMORT_Y97">#REF!</definedName>
    <definedName name="_T_PLN_DEPRAMORT_Y98" localSheetId="5">#REF!</definedName>
    <definedName name="_T_PLN_DEPRAMORT_Y98" localSheetId="24">#REF!</definedName>
    <definedName name="_T_PLN_DEPRAMORT_Y98">#REF!</definedName>
    <definedName name="_T_PLN_DEPRAMORT_Y99" localSheetId="5">#REF!</definedName>
    <definedName name="_T_PLN_DEPRAMORT_Y99" localSheetId="24">#REF!</definedName>
    <definedName name="_T_PLN_DEPRAMORT_Y99">#REF!</definedName>
    <definedName name="_T_PLN_DIV_RCVD_Y00" localSheetId="5">#REF!</definedName>
    <definedName name="_T_PLN_DIV_RCVD_Y00" localSheetId="24">#REF!</definedName>
    <definedName name="_T_PLN_DIV_RCVD_Y00">#REF!</definedName>
    <definedName name="_T_PLN_DIV_RCVD_Y01" localSheetId="5">#REF!</definedName>
    <definedName name="_T_PLN_DIV_RCVD_Y01" localSheetId="24">#REF!</definedName>
    <definedName name="_T_PLN_DIV_RCVD_Y01">#REF!</definedName>
    <definedName name="_T_PLN_DIV_RCVD_Y02" localSheetId="5">#REF!</definedName>
    <definedName name="_T_PLN_DIV_RCVD_Y02" localSheetId="24">#REF!</definedName>
    <definedName name="_T_PLN_DIV_RCVD_Y02">#REF!</definedName>
    <definedName name="_T_PLN_DIV_RCVD_Y03" localSheetId="5">#REF!</definedName>
    <definedName name="_T_PLN_DIV_RCVD_Y03" localSheetId="24">#REF!</definedName>
    <definedName name="_T_PLN_DIV_RCVD_Y03">#REF!</definedName>
    <definedName name="_T_PLN_DIV_RCVD_Y04" localSheetId="5">#REF!</definedName>
    <definedName name="_T_PLN_DIV_RCVD_Y04" localSheetId="24">#REF!</definedName>
    <definedName name="_T_PLN_DIV_RCVD_Y04">#REF!</definedName>
    <definedName name="_T_PLN_DIV_RCVD_Y05" localSheetId="5">#REF!</definedName>
    <definedName name="_T_PLN_DIV_RCVD_Y05" localSheetId="24">#REF!</definedName>
    <definedName name="_T_PLN_DIV_RCVD_Y05">#REF!</definedName>
    <definedName name="_T_PLN_DIV_RCVD_Y06" localSheetId="5">#REF!</definedName>
    <definedName name="_T_PLN_DIV_RCVD_Y06" localSheetId="24">#REF!</definedName>
    <definedName name="_T_PLN_DIV_RCVD_Y06">#REF!</definedName>
    <definedName name="_T_PLN_DIV_RCVD_Y07" localSheetId="5">#REF!</definedName>
    <definedName name="_T_PLN_DIV_RCVD_Y07" localSheetId="24">#REF!</definedName>
    <definedName name="_T_PLN_DIV_RCVD_Y07">#REF!</definedName>
    <definedName name="_T_PLN_DIV_RCVD_Y08" localSheetId="5">#REF!</definedName>
    <definedName name="_T_PLN_DIV_RCVD_Y08" localSheetId="24">#REF!</definedName>
    <definedName name="_T_PLN_DIV_RCVD_Y08">#REF!</definedName>
    <definedName name="_T_PLN_DIV_RCVD_Y09" localSheetId="5">#REF!</definedName>
    <definedName name="_T_PLN_DIV_RCVD_Y09" localSheetId="24">#REF!</definedName>
    <definedName name="_T_PLN_DIV_RCVD_Y09">#REF!</definedName>
    <definedName name="_T_PLN_DIV_RCVD_Y10" localSheetId="5">#REF!</definedName>
    <definedName name="_T_PLN_DIV_RCVD_Y10" localSheetId="24">#REF!</definedName>
    <definedName name="_T_PLN_DIV_RCVD_Y10">#REF!</definedName>
    <definedName name="_T_PLN_DIV_RCVD_Y11" localSheetId="5">#REF!</definedName>
    <definedName name="_T_PLN_DIV_RCVD_Y11" localSheetId="24">#REF!</definedName>
    <definedName name="_T_PLN_DIV_RCVD_Y11">#REF!</definedName>
    <definedName name="_T_PLN_DIV_RCVD_Y12" localSheetId="5">#REF!</definedName>
    <definedName name="_T_PLN_DIV_RCVD_Y12" localSheetId="24">#REF!</definedName>
    <definedName name="_T_PLN_DIV_RCVD_Y12">#REF!</definedName>
    <definedName name="_T_PLN_DIV_RCVD_Y92" localSheetId="5">#REF!</definedName>
    <definedName name="_T_PLN_DIV_RCVD_Y92" localSheetId="24">#REF!</definedName>
    <definedName name="_T_PLN_DIV_RCVD_Y92">#REF!</definedName>
    <definedName name="_T_PLN_DIV_RCVD_Y93" localSheetId="5">#REF!</definedName>
    <definedName name="_T_PLN_DIV_RCVD_Y93" localSheetId="24">#REF!</definedName>
    <definedName name="_T_PLN_DIV_RCVD_Y93">#REF!</definedName>
    <definedName name="_T_PLN_DIV_RCVD_Y94" localSheetId="5">#REF!</definedName>
    <definedName name="_T_PLN_DIV_RCVD_Y94" localSheetId="24">#REF!</definedName>
    <definedName name="_T_PLN_DIV_RCVD_Y94">#REF!</definedName>
    <definedName name="_T_PLN_DIV_RCVD_Y95" localSheetId="5">#REF!</definedName>
    <definedName name="_T_PLN_DIV_RCVD_Y95" localSheetId="24">#REF!</definedName>
    <definedName name="_T_PLN_DIV_RCVD_Y95">#REF!</definedName>
    <definedName name="_T_PLN_DIV_RCVD_Y96" localSheetId="5">#REF!</definedName>
    <definedName name="_T_PLN_DIV_RCVD_Y96" localSheetId="24">#REF!</definedName>
    <definedName name="_T_PLN_DIV_RCVD_Y96">#REF!</definedName>
    <definedName name="_T_PLN_DIV_RCVD_Y97" localSheetId="5">#REF!</definedName>
    <definedName name="_T_PLN_DIV_RCVD_Y97" localSheetId="24">#REF!</definedName>
    <definedName name="_T_PLN_DIV_RCVD_Y97">#REF!</definedName>
    <definedName name="_T_PLN_DIV_RCVD_Y98" localSheetId="5">#REF!</definedName>
    <definedName name="_T_PLN_DIV_RCVD_Y98" localSheetId="24">#REF!</definedName>
    <definedName name="_T_PLN_DIV_RCVD_Y98">#REF!</definedName>
    <definedName name="_T_PLN_DIV_RCVD_Y99" localSheetId="5">#REF!</definedName>
    <definedName name="_T_PLN_DIV_RCVD_Y99" localSheetId="24">#REF!</definedName>
    <definedName name="_T_PLN_DIV_RCVD_Y99">#REF!</definedName>
    <definedName name="_T_PLN_EBDAIT_Y00" localSheetId="5">#REF!</definedName>
    <definedName name="_T_PLN_EBDAIT_Y00" localSheetId="24">#REF!</definedName>
    <definedName name="_T_PLN_EBDAIT_Y00">#REF!</definedName>
    <definedName name="_T_PLN_EBDAIT_Y01" localSheetId="5">#REF!</definedName>
    <definedName name="_T_PLN_EBDAIT_Y01" localSheetId="24">#REF!</definedName>
    <definedName name="_T_PLN_EBDAIT_Y01">#REF!</definedName>
    <definedName name="_T_PLN_EBDAIT_Y02" localSheetId="5">#REF!</definedName>
    <definedName name="_T_PLN_EBDAIT_Y02" localSheetId="24">#REF!</definedName>
    <definedName name="_T_PLN_EBDAIT_Y02">#REF!</definedName>
    <definedName name="_T_PLN_EBDAIT_Y03" localSheetId="5">#REF!</definedName>
    <definedName name="_T_PLN_EBDAIT_Y03" localSheetId="24">#REF!</definedName>
    <definedName name="_T_PLN_EBDAIT_Y03">#REF!</definedName>
    <definedName name="_T_PLN_EBDAIT_Y04" localSheetId="5">#REF!</definedName>
    <definedName name="_T_PLN_EBDAIT_Y04" localSheetId="24">#REF!</definedName>
    <definedName name="_T_PLN_EBDAIT_Y04">#REF!</definedName>
    <definedName name="_T_PLN_EBDAIT_Y05" localSheetId="5">#REF!</definedName>
    <definedName name="_T_PLN_EBDAIT_Y05" localSheetId="24">#REF!</definedName>
    <definedName name="_T_PLN_EBDAIT_Y05">#REF!</definedName>
    <definedName name="_T_PLN_EBDAIT_Y06" localSheetId="5">#REF!</definedName>
    <definedName name="_T_PLN_EBDAIT_Y06" localSheetId="24">#REF!</definedName>
    <definedName name="_T_PLN_EBDAIT_Y06">#REF!</definedName>
    <definedName name="_T_PLN_EBDAIT_Y07" localSheetId="5">#REF!</definedName>
    <definedName name="_T_PLN_EBDAIT_Y07" localSheetId="24">#REF!</definedName>
    <definedName name="_T_PLN_EBDAIT_Y07">#REF!</definedName>
    <definedName name="_T_PLN_EBDAIT_Y08" localSheetId="5">#REF!</definedName>
    <definedName name="_T_PLN_EBDAIT_Y08" localSheetId="24">#REF!</definedName>
    <definedName name="_T_PLN_EBDAIT_Y08">#REF!</definedName>
    <definedName name="_T_PLN_EBDAIT_Y92" localSheetId="5">#REF!</definedName>
    <definedName name="_T_PLN_EBDAIT_Y92" localSheetId="24">#REF!</definedName>
    <definedName name="_T_PLN_EBDAIT_Y92">#REF!</definedName>
    <definedName name="_T_PLN_EBDAIT_Y93" localSheetId="5">#REF!</definedName>
    <definedName name="_T_PLN_EBDAIT_Y93" localSheetId="24">#REF!</definedName>
    <definedName name="_T_PLN_EBDAIT_Y93">#REF!</definedName>
    <definedName name="_T_PLN_EBDAIT_Y94" localSheetId="5">#REF!</definedName>
    <definedName name="_T_PLN_EBDAIT_Y94" localSheetId="24">#REF!</definedName>
    <definedName name="_T_PLN_EBDAIT_Y94">#REF!</definedName>
    <definedName name="_T_PLN_EBDAIT_Y95" localSheetId="5">#REF!</definedName>
    <definedName name="_T_PLN_EBDAIT_Y95" localSheetId="24">#REF!</definedName>
    <definedName name="_T_PLN_EBDAIT_Y95">#REF!</definedName>
    <definedName name="_T_PLN_EBDAIT_Y96" localSheetId="5">#REF!</definedName>
    <definedName name="_T_PLN_EBDAIT_Y96" localSheetId="24">#REF!</definedName>
    <definedName name="_T_PLN_EBDAIT_Y96">#REF!</definedName>
    <definedName name="_T_PLN_EBDAIT_Y97" localSheetId="5">#REF!</definedName>
    <definedName name="_T_PLN_EBDAIT_Y97" localSheetId="24">#REF!</definedName>
    <definedName name="_T_PLN_EBDAIT_Y97">#REF!</definedName>
    <definedName name="_T_PLN_EBDAIT_Y98" localSheetId="5">#REF!</definedName>
    <definedName name="_T_PLN_EBDAIT_Y98" localSheetId="24">#REF!</definedName>
    <definedName name="_T_PLN_EBDAIT_Y98">#REF!</definedName>
    <definedName name="_T_PLN_EBDAIT_Y99" localSheetId="5">#REF!</definedName>
    <definedName name="_T_PLN_EBDAIT_Y99" localSheetId="24">#REF!</definedName>
    <definedName name="_T_PLN_EBDAIT_Y99">#REF!</definedName>
    <definedName name="_T_PLN_EBIT_SEG1_Y00" localSheetId="5">#REF!</definedName>
    <definedName name="_T_PLN_EBIT_SEG1_Y00" localSheetId="24">#REF!</definedName>
    <definedName name="_T_PLN_EBIT_SEG1_Y00">#REF!</definedName>
    <definedName name="_T_PLN_EBIT_SEG1_Y01" localSheetId="5">#REF!</definedName>
    <definedName name="_T_PLN_EBIT_SEG1_Y01" localSheetId="24">#REF!</definedName>
    <definedName name="_T_PLN_EBIT_SEG1_Y01">#REF!</definedName>
    <definedName name="_T_PLN_EBIT_SEG1_Y02" localSheetId="5">#REF!</definedName>
    <definedName name="_T_PLN_EBIT_SEG1_Y02" localSheetId="24">#REF!</definedName>
    <definedName name="_T_PLN_EBIT_SEG1_Y02">#REF!</definedName>
    <definedName name="_T_PLN_EBIT_SEG1_Y03" localSheetId="5">#REF!</definedName>
    <definedName name="_T_PLN_EBIT_SEG1_Y03" localSheetId="24">#REF!</definedName>
    <definedName name="_T_PLN_EBIT_SEG1_Y03">#REF!</definedName>
    <definedName name="_T_PLN_EBIT_SEG1_Y04" localSheetId="5">#REF!</definedName>
    <definedName name="_T_PLN_EBIT_SEG1_Y04" localSheetId="24">#REF!</definedName>
    <definedName name="_T_PLN_EBIT_SEG1_Y04">#REF!</definedName>
    <definedName name="_T_PLN_EBIT_SEG1_Y05" localSheetId="5">#REF!</definedName>
    <definedName name="_T_PLN_EBIT_SEG1_Y05" localSheetId="24">#REF!</definedName>
    <definedName name="_T_PLN_EBIT_SEG1_Y05">#REF!</definedName>
    <definedName name="_T_PLN_EBIT_SEG1_Y06" localSheetId="5">#REF!</definedName>
    <definedName name="_T_PLN_EBIT_SEG1_Y06" localSheetId="24">#REF!</definedName>
    <definedName name="_T_PLN_EBIT_SEG1_Y06">#REF!</definedName>
    <definedName name="_T_PLN_EBIT_SEG1_Y07" localSheetId="5">#REF!</definedName>
    <definedName name="_T_PLN_EBIT_SEG1_Y07" localSheetId="24">#REF!</definedName>
    <definedName name="_T_PLN_EBIT_SEG1_Y07">#REF!</definedName>
    <definedName name="_T_PLN_EBIT_SEG1_Y08" localSheetId="5">#REF!</definedName>
    <definedName name="_T_PLN_EBIT_SEG1_Y08" localSheetId="24">#REF!</definedName>
    <definedName name="_T_PLN_EBIT_SEG1_Y08">#REF!</definedName>
    <definedName name="_T_PLN_EBIT_SEG1_Y92" localSheetId="5">#REF!</definedName>
    <definedName name="_T_PLN_EBIT_SEG1_Y92" localSheetId="24">#REF!</definedName>
    <definedName name="_T_PLN_EBIT_SEG1_Y92">#REF!</definedName>
    <definedName name="_T_PLN_EBIT_SEG1_Y93" localSheetId="5">#REF!</definedName>
    <definedName name="_T_PLN_EBIT_SEG1_Y93" localSheetId="24">#REF!</definedName>
    <definedName name="_T_PLN_EBIT_SEG1_Y93">#REF!</definedName>
    <definedName name="_T_PLN_EBIT_SEG1_Y94" localSheetId="5">#REF!</definedName>
    <definedName name="_T_PLN_EBIT_SEG1_Y94" localSheetId="24">#REF!</definedName>
    <definedName name="_T_PLN_EBIT_SEG1_Y94">#REF!</definedName>
    <definedName name="_T_PLN_EBIT_SEG1_Y95" localSheetId="5">#REF!</definedName>
    <definedName name="_T_PLN_EBIT_SEG1_Y95" localSheetId="24">#REF!</definedName>
    <definedName name="_T_PLN_EBIT_SEG1_Y95">#REF!</definedName>
    <definedName name="_T_PLN_EBIT_SEG1_Y96" localSheetId="5">#REF!</definedName>
    <definedName name="_T_PLN_EBIT_SEG1_Y96" localSheetId="24">#REF!</definedName>
    <definedName name="_T_PLN_EBIT_SEG1_Y96">#REF!</definedName>
    <definedName name="_T_PLN_EBIT_SEG1_Y97" localSheetId="5">#REF!</definedName>
    <definedName name="_T_PLN_EBIT_SEG1_Y97" localSheetId="24">#REF!</definedName>
    <definedName name="_T_PLN_EBIT_SEG1_Y97">#REF!</definedName>
    <definedName name="_T_PLN_EBIT_SEG1_Y98" localSheetId="5">#REF!</definedName>
    <definedName name="_T_PLN_EBIT_SEG1_Y98" localSheetId="24">#REF!</definedName>
    <definedName name="_T_PLN_EBIT_SEG1_Y98">#REF!</definedName>
    <definedName name="_T_PLN_EBIT_SEG1_Y99" localSheetId="5">#REF!</definedName>
    <definedName name="_T_PLN_EBIT_SEG1_Y99" localSheetId="24">#REF!</definedName>
    <definedName name="_T_PLN_EBIT_SEG1_Y99">#REF!</definedName>
    <definedName name="_T_PLN_EBIT_SEG2_Y00" localSheetId="5">#REF!</definedName>
    <definedName name="_T_PLN_EBIT_SEG2_Y00" localSheetId="24">#REF!</definedName>
    <definedName name="_T_PLN_EBIT_SEG2_Y00">#REF!</definedName>
    <definedName name="_T_PLN_EBIT_SEG2_Y01" localSheetId="5">#REF!</definedName>
    <definedName name="_T_PLN_EBIT_SEG2_Y01" localSheetId="24">#REF!</definedName>
    <definedName name="_T_PLN_EBIT_SEG2_Y01">#REF!</definedName>
    <definedName name="_T_PLN_EBIT_SEG2_Y02" localSheetId="5">#REF!</definedName>
    <definedName name="_T_PLN_EBIT_SEG2_Y02" localSheetId="24">#REF!</definedName>
    <definedName name="_T_PLN_EBIT_SEG2_Y02">#REF!</definedName>
    <definedName name="_T_PLN_EBIT_SEG2_Y03" localSheetId="5">#REF!</definedName>
    <definedName name="_T_PLN_EBIT_SEG2_Y03" localSheetId="24">#REF!</definedName>
    <definedName name="_T_PLN_EBIT_SEG2_Y03">#REF!</definedName>
    <definedName name="_T_PLN_EBIT_SEG2_Y04" localSheetId="5">#REF!</definedName>
    <definedName name="_T_PLN_EBIT_SEG2_Y04" localSheetId="24">#REF!</definedName>
    <definedName name="_T_PLN_EBIT_SEG2_Y04">#REF!</definedName>
    <definedName name="_T_PLN_EBIT_SEG2_Y05" localSheetId="5">#REF!</definedName>
    <definedName name="_T_PLN_EBIT_SEG2_Y05" localSheetId="24">#REF!</definedName>
    <definedName name="_T_PLN_EBIT_SEG2_Y05">#REF!</definedName>
    <definedName name="_T_PLN_EBIT_SEG2_Y06" localSheetId="5">#REF!</definedName>
    <definedName name="_T_PLN_EBIT_SEG2_Y06" localSheetId="24">#REF!</definedName>
    <definedName name="_T_PLN_EBIT_SEG2_Y06">#REF!</definedName>
    <definedName name="_T_PLN_EBIT_SEG2_Y07" localSheetId="5">#REF!</definedName>
    <definedName name="_T_PLN_EBIT_SEG2_Y07" localSheetId="24">#REF!</definedName>
    <definedName name="_T_PLN_EBIT_SEG2_Y07">#REF!</definedName>
    <definedName name="_T_PLN_EBIT_SEG2_Y08" localSheetId="5">#REF!</definedName>
    <definedName name="_T_PLN_EBIT_SEG2_Y08" localSheetId="24">#REF!</definedName>
    <definedName name="_T_PLN_EBIT_SEG2_Y08">#REF!</definedName>
    <definedName name="_T_PLN_EBIT_SEG2_Y92" localSheetId="5">#REF!</definedName>
    <definedName name="_T_PLN_EBIT_SEG2_Y92" localSheetId="24">#REF!</definedName>
    <definedName name="_T_PLN_EBIT_SEG2_Y92">#REF!</definedName>
    <definedName name="_T_PLN_EBIT_SEG2_Y93" localSheetId="5">#REF!</definedName>
    <definedName name="_T_PLN_EBIT_SEG2_Y93" localSheetId="24">#REF!</definedName>
    <definedName name="_T_PLN_EBIT_SEG2_Y93">#REF!</definedName>
    <definedName name="_T_PLN_EBIT_SEG2_Y94" localSheetId="5">#REF!</definedName>
    <definedName name="_T_PLN_EBIT_SEG2_Y94" localSheetId="24">#REF!</definedName>
    <definedName name="_T_PLN_EBIT_SEG2_Y94">#REF!</definedName>
    <definedName name="_T_PLN_EBIT_SEG2_Y95" localSheetId="5">#REF!</definedName>
    <definedName name="_T_PLN_EBIT_SEG2_Y95" localSheetId="24">#REF!</definedName>
    <definedName name="_T_PLN_EBIT_SEG2_Y95">#REF!</definedName>
    <definedName name="_T_PLN_EBIT_SEG2_Y96" localSheetId="5">#REF!</definedName>
    <definedName name="_T_PLN_EBIT_SEG2_Y96" localSheetId="24">#REF!</definedName>
    <definedName name="_T_PLN_EBIT_SEG2_Y96">#REF!</definedName>
    <definedName name="_T_PLN_EBIT_SEG2_Y97" localSheetId="5">#REF!</definedName>
    <definedName name="_T_PLN_EBIT_SEG2_Y97" localSheetId="24">#REF!</definedName>
    <definedName name="_T_PLN_EBIT_SEG2_Y97">#REF!</definedName>
    <definedName name="_T_PLN_EBIT_SEG2_Y98" localSheetId="5">#REF!</definedName>
    <definedName name="_T_PLN_EBIT_SEG2_Y98" localSheetId="24">#REF!</definedName>
    <definedName name="_T_PLN_EBIT_SEG2_Y98">#REF!</definedName>
    <definedName name="_T_PLN_EBIT_SEG2_Y99" localSheetId="5">#REF!</definedName>
    <definedName name="_T_PLN_EBIT_SEG2_Y99" localSheetId="24">#REF!</definedName>
    <definedName name="_T_PLN_EBIT_SEG2_Y99">#REF!</definedName>
    <definedName name="_T_PLN_EBIT_SEG3_Y00" localSheetId="5">#REF!</definedName>
    <definedName name="_T_PLN_EBIT_SEG3_Y00" localSheetId="24">#REF!</definedName>
    <definedName name="_T_PLN_EBIT_SEG3_Y00">#REF!</definedName>
    <definedName name="_T_PLN_EBIT_SEG3_Y01" localSheetId="5">#REF!</definedName>
    <definedName name="_T_PLN_EBIT_SEG3_Y01" localSheetId="24">#REF!</definedName>
    <definedName name="_T_PLN_EBIT_SEG3_Y01">#REF!</definedName>
    <definedName name="_T_PLN_EBIT_SEG3_Y02" localSheetId="5">#REF!</definedName>
    <definedName name="_T_PLN_EBIT_SEG3_Y02" localSheetId="24">#REF!</definedName>
    <definedName name="_T_PLN_EBIT_SEG3_Y02">#REF!</definedName>
    <definedName name="_T_PLN_EBIT_SEG3_Y03" localSheetId="5">#REF!</definedName>
    <definedName name="_T_PLN_EBIT_SEG3_Y03" localSheetId="24">#REF!</definedName>
    <definedName name="_T_PLN_EBIT_SEG3_Y03">#REF!</definedName>
    <definedName name="_T_PLN_EBIT_SEG3_Y04" localSheetId="5">#REF!</definedName>
    <definedName name="_T_PLN_EBIT_SEG3_Y04" localSheetId="24">#REF!</definedName>
    <definedName name="_T_PLN_EBIT_SEG3_Y04">#REF!</definedName>
    <definedName name="_T_PLN_EBIT_SEG3_Y05" localSheetId="5">#REF!</definedName>
    <definedName name="_T_PLN_EBIT_SEG3_Y05" localSheetId="24">#REF!</definedName>
    <definedName name="_T_PLN_EBIT_SEG3_Y05">#REF!</definedName>
    <definedName name="_T_PLN_EBIT_SEG3_Y06" localSheetId="5">#REF!</definedName>
    <definedName name="_T_PLN_EBIT_SEG3_Y06" localSheetId="24">#REF!</definedName>
    <definedName name="_T_PLN_EBIT_SEG3_Y06">#REF!</definedName>
    <definedName name="_T_PLN_EBIT_SEG3_Y07" localSheetId="5">#REF!</definedName>
    <definedName name="_T_PLN_EBIT_SEG3_Y07" localSheetId="24">#REF!</definedName>
    <definedName name="_T_PLN_EBIT_SEG3_Y07">#REF!</definedName>
    <definedName name="_T_PLN_EBIT_SEG3_Y08" localSheetId="5">#REF!</definedName>
    <definedName name="_T_PLN_EBIT_SEG3_Y08" localSheetId="24">#REF!</definedName>
    <definedName name="_T_PLN_EBIT_SEG3_Y08">#REF!</definedName>
    <definedName name="_T_PLN_EBIT_SEG3_Y92" localSheetId="5">#REF!</definedName>
    <definedName name="_T_PLN_EBIT_SEG3_Y92" localSheetId="24">#REF!</definedName>
    <definedName name="_T_PLN_EBIT_SEG3_Y92">#REF!</definedName>
    <definedName name="_T_PLN_EBIT_SEG3_Y93" localSheetId="5">#REF!</definedName>
    <definedName name="_T_PLN_EBIT_SEG3_Y93" localSheetId="24">#REF!</definedName>
    <definedName name="_T_PLN_EBIT_SEG3_Y93">#REF!</definedName>
    <definedName name="_T_PLN_EBIT_SEG3_Y94" localSheetId="5">#REF!</definedName>
    <definedName name="_T_PLN_EBIT_SEG3_Y94" localSheetId="24">#REF!</definedName>
    <definedName name="_T_PLN_EBIT_SEG3_Y94">#REF!</definedName>
    <definedName name="_T_PLN_EBIT_SEG3_Y95" localSheetId="5">#REF!</definedName>
    <definedName name="_T_PLN_EBIT_SEG3_Y95" localSheetId="24">#REF!</definedName>
    <definedName name="_T_PLN_EBIT_SEG3_Y95">#REF!</definedName>
    <definedName name="_T_PLN_EBIT_SEG3_Y96" localSheetId="5">#REF!</definedName>
    <definedName name="_T_PLN_EBIT_SEG3_Y96" localSheetId="24">#REF!</definedName>
    <definedName name="_T_PLN_EBIT_SEG3_Y96">#REF!</definedName>
    <definedName name="_T_PLN_EBIT_SEG3_Y97" localSheetId="5">#REF!</definedName>
    <definedName name="_T_PLN_EBIT_SEG3_Y97" localSheetId="24">#REF!</definedName>
    <definedName name="_T_PLN_EBIT_SEG3_Y97">#REF!</definedName>
    <definedName name="_T_PLN_EBIT_SEG3_Y98" localSheetId="5">#REF!</definedName>
    <definedName name="_T_PLN_EBIT_SEG3_Y98" localSheetId="24">#REF!</definedName>
    <definedName name="_T_PLN_EBIT_SEG3_Y98">#REF!</definedName>
    <definedName name="_T_PLN_EBIT_SEG3_Y99" localSheetId="5">#REF!</definedName>
    <definedName name="_T_PLN_EBIT_SEG3_Y99" localSheetId="24">#REF!</definedName>
    <definedName name="_T_PLN_EBIT_SEG3_Y99">#REF!</definedName>
    <definedName name="_T_PLN_EBIT_SEG4_Y00" localSheetId="5">#REF!</definedName>
    <definedName name="_T_PLN_EBIT_SEG4_Y00" localSheetId="24">#REF!</definedName>
    <definedName name="_T_PLN_EBIT_SEG4_Y00">#REF!</definedName>
    <definedName name="_T_PLN_EBIT_SEG4_Y01" localSheetId="5">#REF!</definedName>
    <definedName name="_T_PLN_EBIT_SEG4_Y01" localSheetId="24">#REF!</definedName>
    <definedName name="_T_PLN_EBIT_SEG4_Y01">#REF!</definedName>
    <definedName name="_T_PLN_EBIT_SEG4_Y02" localSheetId="5">#REF!</definedName>
    <definedName name="_T_PLN_EBIT_SEG4_Y02" localSheetId="24">#REF!</definedName>
    <definedName name="_T_PLN_EBIT_SEG4_Y02">#REF!</definedName>
    <definedName name="_T_PLN_EBIT_SEG4_Y03" localSheetId="5">#REF!</definedName>
    <definedName name="_T_PLN_EBIT_SEG4_Y03" localSheetId="24">#REF!</definedName>
    <definedName name="_T_PLN_EBIT_SEG4_Y03">#REF!</definedName>
    <definedName name="_T_PLN_EBIT_SEG4_Y04" localSheetId="5">#REF!</definedName>
    <definedName name="_T_PLN_EBIT_SEG4_Y04" localSheetId="24">#REF!</definedName>
    <definedName name="_T_PLN_EBIT_SEG4_Y04">#REF!</definedName>
    <definedName name="_T_PLN_EBIT_SEG4_Y05" localSheetId="5">#REF!</definedName>
    <definedName name="_T_PLN_EBIT_SEG4_Y05" localSheetId="24">#REF!</definedName>
    <definedName name="_T_PLN_EBIT_SEG4_Y05">#REF!</definedName>
    <definedName name="_T_PLN_EBIT_SEG4_Y06" localSheetId="5">#REF!</definedName>
    <definedName name="_T_PLN_EBIT_SEG4_Y06" localSheetId="24">#REF!</definedName>
    <definedName name="_T_PLN_EBIT_SEG4_Y06">#REF!</definedName>
    <definedName name="_T_PLN_EBIT_SEG4_Y07" localSheetId="5">#REF!</definedName>
    <definedName name="_T_PLN_EBIT_SEG4_Y07" localSheetId="24">#REF!</definedName>
    <definedName name="_T_PLN_EBIT_SEG4_Y07">#REF!</definedName>
    <definedName name="_T_PLN_EBIT_SEG4_Y08" localSheetId="5">#REF!</definedName>
    <definedName name="_T_PLN_EBIT_SEG4_Y08" localSheetId="24">#REF!</definedName>
    <definedName name="_T_PLN_EBIT_SEG4_Y08">#REF!</definedName>
    <definedName name="_T_PLN_EBIT_SEG4_Y92" localSheetId="5">#REF!</definedName>
    <definedName name="_T_PLN_EBIT_SEG4_Y92" localSheetId="24">#REF!</definedName>
    <definedName name="_T_PLN_EBIT_SEG4_Y92">#REF!</definedName>
    <definedName name="_T_PLN_EBIT_SEG4_Y93" localSheetId="5">#REF!</definedName>
    <definedName name="_T_PLN_EBIT_SEG4_Y93" localSheetId="24">#REF!</definedName>
    <definedName name="_T_PLN_EBIT_SEG4_Y93">#REF!</definedName>
    <definedName name="_T_PLN_EBIT_SEG4_Y94" localSheetId="5">#REF!</definedName>
    <definedName name="_T_PLN_EBIT_SEG4_Y94" localSheetId="24">#REF!</definedName>
    <definedName name="_T_PLN_EBIT_SEG4_Y94">#REF!</definedName>
    <definedName name="_T_PLN_EBIT_SEG4_Y95" localSheetId="5">#REF!</definedName>
    <definedName name="_T_PLN_EBIT_SEG4_Y95" localSheetId="24">#REF!</definedName>
    <definedName name="_T_PLN_EBIT_SEG4_Y95">#REF!</definedName>
    <definedName name="_T_PLN_EBIT_SEG4_Y96" localSheetId="5">#REF!</definedName>
    <definedName name="_T_PLN_EBIT_SEG4_Y96" localSheetId="24">#REF!</definedName>
    <definedName name="_T_PLN_EBIT_SEG4_Y96">#REF!</definedName>
    <definedName name="_T_PLN_EBIT_SEG4_Y97" localSheetId="5">#REF!</definedName>
    <definedName name="_T_PLN_EBIT_SEG4_Y97" localSheetId="24">#REF!</definedName>
    <definedName name="_T_PLN_EBIT_SEG4_Y97">#REF!</definedName>
    <definedName name="_T_PLN_EBIT_SEG4_Y98" localSheetId="5">#REF!</definedName>
    <definedName name="_T_PLN_EBIT_SEG4_Y98" localSheetId="24">#REF!</definedName>
    <definedName name="_T_PLN_EBIT_SEG4_Y98">#REF!</definedName>
    <definedName name="_T_PLN_EBIT_SEG4_Y99" localSheetId="5">#REF!</definedName>
    <definedName name="_T_PLN_EBIT_SEG4_Y99" localSheetId="24">#REF!</definedName>
    <definedName name="_T_PLN_EBIT_SEG4_Y99">#REF!</definedName>
    <definedName name="_T_PLN_EBIT_Y00" localSheetId="5">#REF!</definedName>
    <definedName name="_T_PLN_EBIT_Y00" localSheetId="24">#REF!</definedName>
    <definedName name="_T_PLN_EBIT_Y00">#REF!</definedName>
    <definedName name="_T_PLN_EBIT_Y01" localSheetId="5">#REF!</definedName>
    <definedName name="_T_PLN_EBIT_Y01" localSheetId="24">#REF!</definedName>
    <definedName name="_T_PLN_EBIT_Y01">#REF!</definedName>
    <definedName name="_T_PLN_EBIT_Y02" localSheetId="5">#REF!</definedName>
    <definedName name="_T_PLN_EBIT_Y02" localSheetId="24">#REF!</definedName>
    <definedName name="_T_PLN_EBIT_Y02">#REF!</definedName>
    <definedName name="_T_PLN_EBIT_Y03" localSheetId="5">#REF!</definedName>
    <definedName name="_T_PLN_EBIT_Y03" localSheetId="24">#REF!</definedName>
    <definedName name="_T_PLN_EBIT_Y03">#REF!</definedName>
    <definedName name="_T_PLN_EBIT_Y04" localSheetId="5">#REF!</definedName>
    <definedName name="_T_PLN_EBIT_Y04" localSheetId="24">#REF!</definedName>
    <definedName name="_T_PLN_EBIT_Y04">#REF!</definedName>
    <definedName name="_T_PLN_EBIT_Y05" localSheetId="5">#REF!</definedName>
    <definedName name="_T_PLN_EBIT_Y05" localSheetId="24">#REF!</definedName>
    <definedName name="_T_PLN_EBIT_Y05">#REF!</definedName>
    <definedName name="_T_PLN_EBIT_Y06" localSheetId="5">#REF!</definedName>
    <definedName name="_T_PLN_EBIT_Y06" localSheetId="24">#REF!</definedName>
    <definedName name="_T_PLN_EBIT_Y06">#REF!</definedName>
    <definedName name="_T_PLN_EBIT_Y07" localSheetId="5">#REF!</definedName>
    <definedName name="_T_PLN_EBIT_Y07" localSheetId="24">#REF!</definedName>
    <definedName name="_T_PLN_EBIT_Y07">#REF!</definedName>
    <definedName name="_T_PLN_EBIT_Y08" localSheetId="5">#REF!</definedName>
    <definedName name="_T_PLN_EBIT_Y08" localSheetId="24">#REF!</definedName>
    <definedName name="_T_PLN_EBIT_Y08">#REF!</definedName>
    <definedName name="_T_PLN_EBIT_Y92" localSheetId="5">#REF!</definedName>
    <definedName name="_T_PLN_EBIT_Y92" localSheetId="24">#REF!</definedName>
    <definedName name="_T_PLN_EBIT_Y92">#REF!</definedName>
    <definedName name="_T_PLN_EBIT_Y93" localSheetId="5">#REF!</definedName>
    <definedName name="_T_PLN_EBIT_Y93" localSheetId="24">#REF!</definedName>
    <definedName name="_T_PLN_EBIT_Y93">#REF!</definedName>
    <definedName name="_T_PLN_EBIT_Y94" localSheetId="5">#REF!</definedName>
    <definedName name="_T_PLN_EBIT_Y94" localSheetId="24">#REF!</definedName>
    <definedName name="_T_PLN_EBIT_Y94">#REF!</definedName>
    <definedName name="_T_PLN_EBIT_Y95" localSheetId="5">#REF!</definedName>
    <definedName name="_T_PLN_EBIT_Y95" localSheetId="24">#REF!</definedName>
    <definedName name="_T_PLN_EBIT_Y95">#REF!</definedName>
    <definedName name="_T_PLN_EBIT_Y96" localSheetId="5">#REF!</definedName>
    <definedName name="_T_PLN_EBIT_Y96" localSheetId="24">#REF!</definedName>
    <definedName name="_T_PLN_EBIT_Y96">#REF!</definedName>
    <definedName name="_T_PLN_EBIT_Y97" localSheetId="5">#REF!</definedName>
    <definedName name="_T_PLN_EBIT_Y97" localSheetId="24">#REF!</definedName>
    <definedName name="_T_PLN_EBIT_Y97">#REF!</definedName>
    <definedName name="_T_PLN_EBIT_Y98" localSheetId="5">#REF!</definedName>
    <definedName name="_T_PLN_EBIT_Y98" localSheetId="24">#REF!</definedName>
    <definedName name="_T_PLN_EBIT_Y98">#REF!</definedName>
    <definedName name="_T_PLN_EBIT_Y99" localSheetId="5">#REF!</definedName>
    <definedName name="_T_PLN_EBIT_Y99" localSheetId="24">#REF!</definedName>
    <definedName name="_T_PLN_EBIT_Y99">#REF!</definedName>
    <definedName name="_T_PLN_EQUITYACC_Y00" localSheetId="5">#REF!</definedName>
    <definedName name="_T_PLN_EQUITYACC_Y00" localSheetId="24">#REF!</definedName>
    <definedName name="_T_PLN_EQUITYACC_Y00">#REF!</definedName>
    <definedName name="_T_PLN_EQUITYACC_Y01" localSheetId="5">#REF!</definedName>
    <definedName name="_T_PLN_EQUITYACC_Y01" localSheetId="24">#REF!</definedName>
    <definedName name="_T_PLN_EQUITYACC_Y01">#REF!</definedName>
    <definedName name="_T_PLN_EQUITYACC_Y02" localSheetId="5">#REF!</definedName>
    <definedName name="_T_PLN_EQUITYACC_Y02" localSheetId="24">#REF!</definedName>
    <definedName name="_T_PLN_EQUITYACC_Y02">#REF!</definedName>
    <definedName name="_T_PLN_EQUITYACC_Y03" localSheetId="5">#REF!</definedName>
    <definedName name="_T_PLN_EQUITYACC_Y03" localSheetId="24">#REF!</definedName>
    <definedName name="_T_PLN_EQUITYACC_Y03">#REF!</definedName>
    <definedName name="_T_PLN_EQUITYACC_Y90" localSheetId="5">#REF!</definedName>
    <definedName name="_T_PLN_EQUITYACC_Y90" localSheetId="24">#REF!</definedName>
    <definedName name="_T_PLN_EQUITYACC_Y90">#REF!</definedName>
    <definedName name="_T_PLN_EQUITYACC_Y91" localSheetId="5">#REF!</definedName>
    <definedName name="_T_PLN_EQUITYACC_Y91" localSheetId="24">#REF!</definedName>
    <definedName name="_T_PLN_EQUITYACC_Y91">#REF!</definedName>
    <definedName name="_T_PLN_EQUITYACC_Y92" localSheetId="5">#REF!</definedName>
    <definedName name="_T_PLN_EQUITYACC_Y92" localSheetId="24">#REF!</definedName>
    <definedName name="_T_PLN_EQUITYACC_Y92">#REF!</definedName>
    <definedName name="_T_PLN_EQUITYACC_Y93" localSheetId="5">#REF!</definedName>
    <definedName name="_T_PLN_EQUITYACC_Y93" localSheetId="24">#REF!</definedName>
    <definedName name="_T_PLN_EQUITYACC_Y93">#REF!</definedName>
    <definedName name="_T_PLN_EQUITYACC_Y94" localSheetId="5">#REF!</definedName>
    <definedName name="_T_PLN_EQUITYACC_Y94" localSheetId="24">#REF!</definedName>
    <definedName name="_T_PLN_EQUITYACC_Y94">#REF!</definedName>
    <definedName name="_T_PLN_EQUITYACC_Y95" localSheetId="5">#REF!</definedName>
    <definedName name="_T_PLN_EQUITYACC_Y95" localSheetId="24">#REF!</definedName>
    <definedName name="_T_PLN_EQUITYACC_Y95">#REF!</definedName>
    <definedName name="_T_PLN_EQUITYACC_Y96" localSheetId="5">#REF!</definedName>
    <definedName name="_T_PLN_EQUITYACC_Y96" localSheetId="24">#REF!</definedName>
    <definedName name="_T_PLN_EQUITYACC_Y96">#REF!</definedName>
    <definedName name="_T_PLN_EQUITYACC_Y97" localSheetId="5">#REF!</definedName>
    <definedName name="_T_PLN_EQUITYACC_Y97" localSheetId="24">#REF!</definedName>
    <definedName name="_T_PLN_EQUITYACC_Y97">#REF!</definedName>
    <definedName name="_T_PLN_EQUITYACC_Y98" localSheetId="5">#REF!</definedName>
    <definedName name="_T_PLN_EQUITYACC_Y98" localSheetId="24">#REF!</definedName>
    <definedName name="_T_PLN_EQUITYACC_Y98">#REF!</definedName>
    <definedName name="_T_PLN_EQUITYACC_Y99" localSheetId="5">#REF!</definedName>
    <definedName name="_T_PLN_EQUITYACC_Y99" localSheetId="24">#REF!</definedName>
    <definedName name="_T_PLN_EQUITYACC_Y99">#REF!</definedName>
    <definedName name="_T_PLN_EXP_OTHER_Y00" localSheetId="5">#REF!</definedName>
    <definedName name="_T_PLN_EXP_OTHER_Y00" localSheetId="24">#REF!</definedName>
    <definedName name="_T_PLN_EXP_OTHER_Y00">#REF!</definedName>
    <definedName name="_T_PLN_EXP_OTHER_Y01" localSheetId="5">#REF!</definedName>
    <definedName name="_T_PLN_EXP_OTHER_Y01" localSheetId="24">#REF!</definedName>
    <definedName name="_T_PLN_EXP_OTHER_Y01">#REF!</definedName>
    <definedName name="_T_PLN_EXP_OTHER_Y02" localSheetId="5">#REF!</definedName>
    <definedName name="_T_PLN_EXP_OTHER_Y02" localSheetId="24">#REF!</definedName>
    <definedName name="_T_PLN_EXP_OTHER_Y02">#REF!</definedName>
    <definedName name="_T_PLN_EXP_OTHER_Y03" localSheetId="5">#REF!</definedName>
    <definedName name="_T_PLN_EXP_OTHER_Y03" localSheetId="24">#REF!</definedName>
    <definedName name="_T_PLN_EXP_OTHER_Y03">#REF!</definedName>
    <definedName name="_T_PLN_EXP_OTHER_Y04" localSheetId="5">#REF!</definedName>
    <definedName name="_T_PLN_EXP_OTHER_Y04" localSheetId="24">#REF!</definedName>
    <definedName name="_T_PLN_EXP_OTHER_Y04">#REF!</definedName>
    <definedName name="_T_PLN_EXP_OTHER_Y05" localSheetId="5">#REF!</definedName>
    <definedName name="_T_PLN_EXP_OTHER_Y05" localSheetId="24">#REF!</definedName>
    <definedName name="_T_PLN_EXP_OTHER_Y05">#REF!</definedName>
    <definedName name="_T_PLN_EXP_OTHER_Y06" localSheetId="5">#REF!</definedName>
    <definedName name="_T_PLN_EXP_OTHER_Y06" localSheetId="24">#REF!</definedName>
    <definedName name="_T_PLN_EXP_OTHER_Y06">#REF!</definedName>
    <definedName name="_T_PLN_EXP_OTHER_Y07" localSheetId="5">#REF!</definedName>
    <definedName name="_T_PLN_EXP_OTHER_Y07" localSheetId="24">#REF!</definedName>
    <definedName name="_T_PLN_EXP_OTHER_Y07">#REF!</definedName>
    <definedName name="_T_PLN_EXP_OTHER_Y08" localSheetId="5">#REF!</definedName>
    <definedName name="_T_PLN_EXP_OTHER_Y08" localSheetId="24">#REF!</definedName>
    <definedName name="_T_PLN_EXP_OTHER_Y08">#REF!</definedName>
    <definedName name="_T_PLN_EXP_OTHER_Y92" localSheetId="5">#REF!</definedName>
    <definedName name="_T_PLN_EXP_OTHER_Y92" localSheetId="24">#REF!</definedName>
    <definedName name="_T_PLN_EXP_OTHER_Y92">#REF!</definedName>
    <definedName name="_T_PLN_EXP_OTHER_Y93" localSheetId="5">#REF!</definedName>
    <definedName name="_T_PLN_EXP_OTHER_Y93" localSheetId="24">#REF!</definedName>
    <definedName name="_T_PLN_EXP_OTHER_Y93">#REF!</definedName>
    <definedName name="_T_PLN_EXP_OTHER_Y94" localSheetId="5">#REF!</definedName>
    <definedName name="_T_PLN_EXP_OTHER_Y94" localSheetId="24">#REF!</definedName>
    <definedName name="_T_PLN_EXP_OTHER_Y94">#REF!</definedName>
    <definedName name="_T_PLN_EXP_OTHER_Y95" localSheetId="5">#REF!</definedName>
    <definedName name="_T_PLN_EXP_OTHER_Y95" localSheetId="24">#REF!</definedName>
    <definedName name="_T_PLN_EXP_OTHER_Y95">#REF!</definedName>
    <definedName name="_T_PLN_EXP_OTHER_Y96" localSheetId="5">#REF!</definedName>
    <definedName name="_T_PLN_EXP_OTHER_Y96" localSheetId="24">#REF!</definedName>
    <definedName name="_T_PLN_EXP_OTHER_Y96">#REF!</definedName>
    <definedName name="_T_PLN_EXP_OTHER_Y97" localSheetId="5">#REF!</definedName>
    <definedName name="_T_PLN_EXP_OTHER_Y97" localSheetId="24">#REF!</definedName>
    <definedName name="_T_PLN_EXP_OTHER_Y97">#REF!</definedName>
    <definedName name="_T_PLN_EXP_OTHER_Y98" localSheetId="5">#REF!</definedName>
    <definedName name="_T_PLN_EXP_OTHER_Y98" localSheetId="24">#REF!</definedName>
    <definedName name="_T_PLN_EXP_OTHER_Y98">#REF!</definedName>
    <definedName name="_T_PLN_EXP_OTHER_Y99" localSheetId="5">#REF!</definedName>
    <definedName name="_T_PLN_EXP_OTHER_Y99" localSheetId="24">#REF!</definedName>
    <definedName name="_T_PLN_EXP_OTHER_Y99">#REF!</definedName>
    <definedName name="_T_PLN_EXP_SUM_Y00" localSheetId="5">#REF!</definedName>
    <definedName name="_T_PLN_EXP_SUM_Y00" localSheetId="24">#REF!</definedName>
    <definedName name="_T_PLN_EXP_SUM_Y00">#REF!</definedName>
    <definedName name="_T_PLN_EXP_SUM_Y01" localSheetId="5">#REF!</definedName>
    <definedName name="_T_PLN_EXP_SUM_Y01" localSheetId="24">#REF!</definedName>
    <definedName name="_T_PLN_EXP_SUM_Y01">#REF!</definedName>
    <definedName name="_T_PLN_EXP_SUM_Y02" localSheetId="5">#REF!</definedName>
    <definedName name="_T_PLN_EXP_SUM_Y02" localSheetId="24">#REF!</definedName>
    <definedName name="_T_PLN_EXP_SUM_Y02">#REF!</definedName>
    <definedName name="_T_PLN_EXP_SUM_Y90" localSheetId="5">#REF!</definedName>
    <definedName name="_T_PLN_EXP_SUM_Y90" localSheetId="24">#REF!</definedName>
    <definedName name="_T_PLN_EXP_SUM_Y90">#REF!</definedName>
    <definedName name="_T_PLN_EXP_SUM_Y91" localSheetId="5">#REF!</definedName>
    <definedName name="_T_PLN_EXP_SUM_Y91" localSheetId="24">#REF!</definedName>
    <definedName name="_T_PLN_EXP_SUM_Y91">#REF!</definedName>
    <definedName name="_T_PLN_EXP_SUM_Y92" localSheetId="5">#REF!</definedName>
    <definedName name="_T_PLN_EXP_SUM_Y92" localSheetId="24">#REF!</definedName>
    <definedName name="_T_PLN_EXP_SUM_Y92">#REF!</definedName>
    <definedName name="_T_PLN_EXP_SUM_Y93" localSheetId="5">#REF!</definedName>
    <definedName name="_T_PLN_EXP_SUM_Y93" localSheetId="24">#REF!</definedName>
    <definedName name="_T_PLN_EXP_SUM_Y93">#REF!</definedName>
    <definedName name="_T_PLN_EXP_SUM_Y94" localSheetId="5">#REF!</definedName>
    <definedName name="_T_PLN_EXP_SUM_Y94" localSheetId="24">#REF!</definedName>
    <definedName name="_T_PLN_EXP_SUM_Y94">#REF!</definedName>
    <definedName name="_T_PLN_EXP_SUM_Y95" localSheetId="5">#REF!</definedName>
    <definedName name="_T_PLN_EXP_SUM_Y95" localSheetId="24">#REF!</definedName>
    <definedName name="_T_PLN_EXP_SUM_Y95">#REF!</definedName>
    <definedName name="_T_PLN_EXP_SUM_Y96" localSheetId="5">#REF!</definedName>
    <definedName name="_T_PLN_EXP_SUM_Y96" localSheetId="24">#REF!</definedName>
    <definedName name="_T_PLN_EXP_SUM_Y96">#REF!</definedName>
    <definedName name="_T_PLN_EXP_SUM_Y97" localSheetId="5">#REF!</definedName>
    <definedName name="_T_PLN_EXP_SUM_Y97" localSheetId="24">#REF!</definedName>
    <definedName name="_T_PLN_EXP_SUM_Y97">#REF!</definedName>
    <definedName name="_T_PLN_EXP_SUM_Y98" localSheetId="5">#REF!</definedName>
    <definedName name="_T_PLN_EXP_SUM_Y98" localSheetId="24">#REF!</definedName>
    <definedName name="_T_PLN_EXP_SUM_Y98">#REF!</definedName>
    <definedName name="_T_PLN_EXP_SUM_Y99" localSheetId="5">#REF!</definedName>
    <definedName name="_T_PLN_EXP_SUM_Y99" localSheetId="24">#REF!</definedName>
    <definedName name="_T_PLN_EXP_SUM_Y99">#REF!</definedName>
    <definedName name="_T_PLN_FIXEDASSETS_Y00" localSheetId="5">#REF!</definedName>
    <definedName name="_T_PLN_FIXEDASSETS_Y00" localSheetId="24">#REF!</definedName>
    <definedName name="_T_PLN_FIXEDASSETS_Y00">#REF!</definedName>
    <definedName name="_T_PLN_FIXEDASSETS_Y01" localSheetId="5">#REF!</definedName>
    <definedName name="_T_PLN_FIXEDASSETS_Y01" localSheetId="24">#REF!</definedName>
    <definedName name="_T_PLN_FIXEDASSETS_Y01">#REF!</definedName>
    <definedName name="_T_PLN_FIXEDASSETS_Y02" localSheetId="5">#REF!</definedName>
    <definedName name="_T_PLN_FIXEDASSETS_Y02" localSheetId="24">#REF!</definedName>
    <definedName name="_T_PLN_FIXEDASSETS_Y02">#REF!</definedName>
    <definedName name="_T_PLN_FIXEDASSETS_Y03" localSheetId="5">#REF!</definedName>
    <definedName name="_T_PLN_FIXEDASSETS_Y03" localSheetId="24">#REF!</definedName>
    <definedName name="_T_PLN_FIXEDASSETS_Y03">#REF!</definedName>
    <definedName name="_T_PLN_FIXEDASSETS_Y04" localSheetId="5">#REF!</definedName>
    <definedName name="_T_PLN_FIXEDASSETS_Y04" localSheetId="24">#REF!</definedName>
    <definedName name="_T_PLN_FIXEDASSETS_Y04">#REF!</definedName>
    <definedName name="_T_PLN_FIXEDASSETS_Y05" localSheetId="5">#REF!</definedName>
    <definedName name="_T_PLN_FIXEDASSETS_Y05" localSheetId="24">#REF!</definedName>
    <definedName name="_T_PLN_FIXEDASSETS_Y05">#REF!</definedName>
    <definedName name="_T_PLN_FIXEDASSETS_Y06" localSheetId="5">#REF!</definedName>
    <definedName name="_T_PLN_FIXEDASSETS_Y06" localSheetId="24">#REF!</definedName>
    <definedName name="_T_PLN_FIXEDASSETS_Y06">#REF!</definedName>
    <definedName name="_T_PLN_FIXEDASSETS_Y07" localSheetId="5">#REF!</definedName>
    <definedName name="_T_PLN_FIXEDASSETS_Y07" localSheetId="24">#REF!</definedName>
    <definedName name="_T_PLN_FIXEDASSETS_Y07">#REF!</definedName>
    <definedName name="_T_PLN_FIXEDASSETS_Y08" localSheetId="5">#REF!</definedName>
    <definedName name="_T_PLN_FIXEDASSETS_Y08" localSheetId="24">#REF!</definedName>
    <definedName name="_T_PLN_FIXEDASSETS_Y08">#REF!</definedName>
    <definedName name="_T_PLN_FIXEDASSETS_Y92" localSheetId="5">#REF!</definedName>
    <definedName name="_T_PLN_FIXEDASSETS_Y92" localSheetId="24">#REF!</definedName>
    <definedName name="_T_PLN_FIXEDASSETS_Y92">#REF!</definedName>
    <definedName name="_T_PLN_FIXEDASSETS_Y93" localSheetId="5">#REF!</definedName>
    <definedName name="_T_PLN_FIXEDASSETS_Y93" localSheetId="24">#REF!</definedName>
    <definedName name="_T_PLN_FIXEDASSETS_Y93">#REF!</definedName>
    <definedName name="_T_PLN_FIXEDASSETS_Y94" localSheetId="5">#REF!</definedName>
    <definedName name="_T_PLN_FIXEDASSETS_Y94" localSheetId="24">#REF!</definedName>
    <definedName name="_T_PLN_FIXEDASSETS_Y94">#REF!</definedName>
    <definedName name="_T_PLN_FIXEDASSETS_Y95" localSheetId="5">#REF!</definedName>
    <definedName name="_T_PLN_FIXEDASSETS_Y95" localSheetId="24">#REF!</definedName>
    <definedName name="_T_PLN_FIXEDASSETS_Y95">#REF!</definedName>
    <definedName name="_T_PLN_FIXEDASSETS_Y96" localSheetId="5">#REF!</definedName>
    <definedName name="_T_PLN_FIXEDASSETS_Y96" localSheetId="24">#REF!</definedName>
    <definedName name="_T_PLN_FIXEDASSETS_Y96">#REF!</definedName>
    <definedName name="_T_PLN_FIXEDASSETS_Y97" localSheetId="5">#REF!</definedName>
    <definedName name="_T_PLN_FIXEDASSETS_Y97" localSheetId="24">#REF!</definedName>
    <definedName name="_T_PLN_FIXEDASSETS_Y97">#REF!</definedName>
    <definedName name="_T_PLN_FIXEDASSETS_Y98" localSheetId="5">#REF!</definedName>
    <definedName name="_T_PLN_FIXEDASSETS_Y98" localSheetId="24">#REF!</definedName>
    <definedName name="_T_PLN_FIXEDASSETS_Y98">#REF!</definedName>
    <definedName name="_T_PLN_FIXEDASSETS_Y99" localSheetId="5">#REF!</definedName>
    <definedName name="_T_PLN_FIXEDASSETS_Y99" localSheetId="24">#REF!</definedName>
    <definedName name="_T_PLN_FIXEDASSETS_Y99">#REF!</definedName>
    <definedName name="_T_PLN_FOREX_Y00" localSheetId="5">#REF!</definedName>
    <definedName name="_T_PLN_FOREX_Y00" localSheetId="24">#REF!</definedName>
    <definedName name="_T_PLN_FOREX_Y00">#REF!</definedName>
    <definedName name="_T_PLN_FOREX_Y01" localSheetId="5">#REF!</definedName>
    <definedName name="_T_PLN_FOREX_Y01" localSheetId="24">#REF!</definedName>
    <definedName name="_T_PLN_FOREX_Y01">#REF!</definedName>
    <definedName name="_T_PLN_FOREX_Y02" localSheetId="5">#REF!</definedName>
    <definedName name="_T_PLN_FOREX_Y02" localSheetId="24">#REF!</definedName>
    <definedName name="_T_PLN_FOREX_Y02">#REF!</definedName>
    <definedName name="_T_PLN_FOREX_Y03" localSheetId="5">#REF!</definedName>
    <definedName name="_T_PLN_FOREX_Y03" localSheetId="24">#REF!</definedName>
    <definedName name="_T_PLN_FOREX_Y03">#REF!</definedName>
    <definedName name="_T_PLN_FOREX_Y04" localSheetId="5">#REF!</definedName>
    <definedName name="_T_PLN_FOREX_Y04" localSheetId="24">#REF!</definedName>
    <definedName name="_T_PLN_FOREX_Y04">#REF!</definedName>
    <definedName name="_T_PLN_FOREX_Y05" localSheetId="5">#REF!</definedName>
    <definedName name="_T_PLN_FOREX_Y05" localSheetId="24">#REF!</definedName>
    <definedName name="_T_PLN_FOREX_Y05">#REF!</definedName>
    <definedName name="_T_PLN_FOREX_Y06" localSheetId="5">#REF!</definedName>
    <definedName name="_T_PLN_FOREX_Y06" localSheetId="24">#REF!</definedName>
    <definedName name="_T_PLN_FOREX_Y06">#REF!</definedName>
    <definedName name="_T_PLN_FOREX_Y07" localSheetId="5">#REF!</definedName>
    <definedName name="_T_PLN_FOREX_Y07" localSheetId="24">#REF!</definedName>
    <definedName name="_T_PLN_FOREX_Y07">#REF!</definedName>
    <definedName name="_T_PLN_FOREX_Y08" localSheetId="5">#REF!</definedName>
    <definedName name="_T_PLN_FOREX_Y08" localSheetId="24">#REF!</definedName>
    <definedName name="_T_PLN_FOREX_Y08">#REF!</definedName>
    <definedName name="_T_PLN_FOREX_Y92" localSheetId="5">#REF!</definedName>
    <definedName name="_T_PLN_FOREX_Y92" localSheetId="24">#REF!</definedName>
    <definedName name="_T_PLN_FOREX_Y92">#REF!</definedName>
    <definedName name="_T_PLN_FOREX_Y93" localSheetId="5">#REF!</definedName>
    <definedName name="_T_PLN_FOREX_Y93" localSheetId="24">#REF!</definedName>
    <definedName name="_T_PLN_FOREX_Y93">#REF!</definedName>
    <definedName name="_T_PLN_FOREX_Y94" localSheetId="5">#REF!</definedName>
    <definedName name="_T_PLN_FOREX_Y94" localSheetId="24">#REF!</definedName>
    <definedName name="_T_PLN_FOREX_Y94">#REF!</definedName>
    <definedName name="_T_PLN_FOREX_Y95" localSheetId="5">#REF!</definedName>
    <definedName name="_T_PLN_FOREX_Y95" localSheetId="24">#REF!</definedName>
    <definedName name="_T_PLN_FOREX_Y95">#REF!</definedName>
    <definedName name="_T_PLN_FOREX_Y96" localSheetId="5">#REF!</definedName>
    <definedName name="_T_PLN_FOREX_Y96" localSheetId="24">#REF!</definedName>
    <definedName name="_T_PLN_FOREX_Y96">#REF!</definedName>
    <definedName name="_T_PLN_FOREX_Y97" localSheetId="5">#REF!</definedName>
    <definedName name="_T_PLN_FOREX_Y97" localSheetId="24">#REF!</definedName>
    <definedName name="_T_PLN_FOREX_Y97">#REF!</definedName>
    <definedName name="_T_PLN_FOREX_Y98" localSheetId="5">#REF!</definedName>
    <definedName name="_T_PLN_FOREX_Y98" localSheetId="24">#REF!</definedName>
    <definedName name="_T_PLN_FOREX_Y98">#REF!</definedName>
    <definedName name="_T_PLN_FOREX_Y99" localSheetId="5">#REF!</definedName>
    <definedName name="_T_PLN_FOREX_Y99" localSheetId="24">#REF!</definedName>
    <definedName name="_T_PLN_FOREX_Y99">#REF!</definedName>
    <definedName name="_T_PLN_FPSPROFIT_Y00" localSheetId="5">#REF!</definedName>
    <definedName name="_T_PLN_FPSPROFIT_Y00" localSheetId="24">#REF!</definedName>
    <definedName name="_T_PLN_FPSPROFIT_Y00">#REF!</definedName>
    <definedName name="_T_PLN_FPSPROFIT_Y01" localSheetId="5">#REF!</definedName>
    <definedName name="_T_PLN_FPSPROFIT_Y01" localSheetId="24">#REF!</definedName>
    <definedName name="_T_PLN_FPSPROFIT_Y01">#REF!</definedName>
    <definedName name="_T_PLN_FPSPROFIT_Y02" localSheetId="5">#REF!</definedName>
    <definedName name="_T_PLN_FPSPROFIT_Y02" localSheetId="24">#REF!</definedName>
    <definedName name="_T_PLN_FPSPROFIT_Y02">#REF!</definedName>
    <definedName name="_T_PLN_FPSPROFIT_Y03" localSheetId="5">#REF!</definedName>
    <definedName name="_T_PLN_FPSPROFIT_Y03" localSheetId="24">#REF!</definedName>
    <definedName name="_T_PLN_FPSPROFIT_Y03">#REF!</definedName>
    <definedName name="_T_PLN_FPSPROFIT_Y90" localSheetId="5">#REF!</definedName>
    <definedName name="_T_PLN_FPSPROFIT_Y90" localSheetId="24">#REF!</definedName>
    <definedName name="_T_PLN_FPSPROFIT_Y90">#REF!</definedName>
    <definedName name="_T_PLN_FPSPROFIT_Y91" localSheetId="5">#REF!</definedName>
    <definedName name="_T_PLN_FPSPROFIT_Y91" localSheetId="24">#REF!</definedName>
    <definedName name="_T_PLN_FPSPROFIT_Y91">#REF!</definedName>
    <definedName name="_T_PLN_FPSPROFIT_Y92" localSheetId="5">#REF!</definedName>
    <definedName name="_T_PLN_FPSPROFIT_Y92" localSheetId="24">#REF!</definedName>
    <definedName name="_T_PLN_FPSPROFIT_Y92">#REF!</definedName>
    <definedName name="_T_PLN_FPSPROFIT_Y93" localSheetId="5">#REF!</definedName>
    <definedName name="_T_PLN_FPSPROFIT_Y93" localSheetId="24">#REF!</definedName>
    <definedName name="_T_PLN_FPSPROFIT_Y93">#REF!</definedName>
    <definedName name="_T_PLN_FPSPROFIT_Y94" localSheetId="5">#REF!</definedName>
    <definedName name="_T_PLN_FPSPROFIT_Y94" localSheetId="24">#REF!</definedName>
    <definedName name="_T_PLN_FPSPROFIT_Y94">#REF!</definedName>
    <definedName name="_T_PLN_FPSPROFIT_Y95" localSheetId="5">#REF!</definedName>
    <definedName name="_T_PLN_FPSPROFIT_Y95" localSheetId="24">#REF!</definedName>
    <definedName name="_T_PLN_FPSPROFIT_Y95">#REF!</definedName>
    <definedName name="_T_PLN_FPSPROFIT_Y96" localSheetId="5">#REF!</definedName>
    <definedName name="_T_PLN_FPSPROFIT_Y96" localSheetId="24">#REF!</definedName>
    <definedName name="_T_PLN_FPSPROFIT_Y96">#REF!</definedName>
    <definedName name="_T_PLN_FPSPROFIT_Y97" localSheetId="5">#REF!</definedName>
    <definedName name="_T_PLN_FPSPROFIT_Y97" localSheetId="24">#REF!</definedName>
    <definedName name="_T_PLN_FPSPROFIT_Y97">#REF!</definedName>
    <definedName name="_T_PLN_FPSPROFIT_Y98" localSheetId="5">#REF!</definedName>
    <definedName name="_T_PLN_FPSPROFIT_Y98" localSheetId="24">#REF!</definedName>
    <definedName name="_T_PLN_FPSPROFIT_Y98">#REF!</definedName>
    <definedName name="_T_PLN_FPSPROFIT_Y99" localSheetId="5">#REF!</definedName>
    <definedName name="_T_PLN_FPSPROFIT_Y99" localSheetId="24">#REF!</definedName>
    <definedName name="_T_PLN_FPSPROFIT_Y99">#REF!</definedName>
    <definedName name="_T_PLN_GOODS_SOLD_Y00" localSheetId="5">#REF!</definedName>
    <definedName name="_T_PLN_GOODS_SOLD_Y00" localSheetId="24">#REF!</definedName>
    <definedName name="_T_PLN_GOODS_SOLD_Y00">#REF!</definedName>
    <definedName name="_T_PLN_GOODS_SOLD_Y01" localSheetId="5">#REF!</definedName>
    <definedName name="_T_PLN_GOODS_SOLD_Y01" localSheetId="24">#REF!</definedName>
    <definedName name="_T_PLN_GOODS_SOLD_Y01">#REF!</definedName>
    <definedName name="_T_PLN_GOODS_SOLD_Y02" localSheetId="5">#REF!</definedName>
    <definedName name="_T_PLN_GOODS_SOLD_Y02" localSheetId="24">#REF!</definedName>
    <definedName name="_T_PLN_GOODS_SOLD_Y02">#REF!</definedName>
    <definedName name="_T_PLN_GOODS_SOLD_Y03" localSheetId="5">#REF!</definedName>
    <definedName name="_T_PLN_GOODS_SOLD_Y03" localSheetId="24">#REF!</definedName>
    <definedName name="_T_PLN_GOODS_SOLD_Y03">#REF!</definedName>
    <definedName name="_T_PLN_GOODS_SOLD_Y04" localSheetId="5">#REF!</definedName>
    <definedName name="_T_PLN_GOODS_SOLD_Y04" localSheetId="24">#REF!</definedName>
    <definedName name="_T_PLN_GOODS_SOLD_Y04">#REF!</definedName>
    <definedName name="_T_PLN_GOODS_SOLD_Y05" localSheetId="5">#REF!</definedName>
    <definedName name="_T_PLN_GOODS_SOLD_Y05" localSheetId="24">#REF!</definedName>
    <definedName name="_T_PLN_GOODS_SOLD_Y05">#REF!</definedName>
    <definedName name="_T_PLN_GOODS_SOLD_Y06" localSheetId="5">#REF!</definedName>
    <definedName name="_T_PLN_GOODS_SOLD_Y06" localSheetId="24">#REF!</definedName>
    <definedName name="_T_PLN_GOODS_SOLD_Y06">#REF!</definedName>
    <definedName name="_T_PLN_GOODS_SOLD_Y07" localSheetId="5">#REF!</definedName>
    <definedName name="_T_PLN_GOODS_SOLD_Y07" localSheetId="24">#REF!</definedName>
    <definedName name="_T_PLN_GOODS_SOLD_Y07">#REF!</definedName>
    <definedName name="_T_PLN_GOODS_SOLD_Y08" localSheetId="5">#REF!</definedName>
    <definedName name="_T_PLN_GOODS_SOLD_Y08" localSheetId="24">#REF!</definedName>
    <definedName name="_T_PLN_GOODS_SOLD_Y08">#REF!</definedName>
    <definedName name="_T_PLN_GOODS_SOLD_Y92" localSheetId="5">#REF!</definedName>
    <definedName name="_T_PLN_GOODS_SOLD_Y92" localSheetId="24">#REF!</definedName>
    <definedName name="_T_PLN_GOODS_SOLD_Y92">#REF!</definedName>
    <definedName name="_T_PLN_GOODS_SOLD_Y93" localSheetId="5">#REF!</definedName>
    <definedName name="_T_PLN_GOODS_SOLD_Y93" localSheetId="24">#REF!</definedName>
    <definedName name="_T_PLN_GOODS_SOLD_Y93">#REF!</definedName>
    <definedName name="_T_PLN_GOODS_SOLD_Y94" localSheetId="5">#REF!</definedName>
    <definedName name="_T_PLN_GOODS_SOLD_Y94" localSheetId="24">#REF!</definedName>
    <definedName name="_T_PLN_GOODS_SOLD_Y94">#REF!</definedName>
    <definedName name="_T_PLN_GOODS_SOLD_Y95" localSheetId="5">#REF!</definedName>
    <definedName name="_T_PLN_GOODS_SOLD_Y95" localSheetId="24">#REF!</definedName>
    <definedName name="_T_PLN_GOODS_SOLD_Y95">#REF!</definedName>
    <definedName name="_T_PLN_GOODS_SOLD_Y96" localSheetId="5">#REF!</definedName>
    <definedName name="_T_PLN_GOODS_SOLD_Y96" localSheetId="24">#REF!</definedName>
    <definedName name="_T_PLN_GOODS_SOLD_Y96">#REF!</definedName>
    <definedName name="_T_PLN_GOODS_SOLD_Y97" localSheetId="5">#REF!</definedName>
    <definedName name="_T_PLN_GOODS_SOLD_Y97" localSheetId="24">#REF!</definedName>
    <definedName name="_T_PLN_GOODS_SOLD_Y97">#REF!</definedName>
    <definedName name="_T_PLN_GOODS_SOLD_Y98" localSheetId="5">#REF!</definedName>
    <definedName name="_T_PLN_GOODS_SOLD_Y98" localSheetId="24">#REF!</definedName>
    <definedName name="_T_PLN_GOODS_SOLD_Y98">#REF!</definedName>
    <definedName name="_T_PLN_GOODS_SOLD_Y99" localSheetId="5">#REF!</definedName>
    <definedName name="_T_PLN_GOODS_SOLD_Y99" localSheetId="24">#REF!</definedName>
    <definedName name="_T_PLN_GOODS_SOLD_Y99">#REF!</definedName>
    <definedName name="_T_PLN_INT_CAPIT_LEASES_Y00" localSheetId="5">#REF!</definedName>
    <definedName name="_T_PLN_INT_CAPIT_LEASES_Y00" localSheetId="24">#REF!</definedName>
    <definedName name="_T_PLN_INT_CAPIT_LEASES_Y00">#REF!</definedName>
    <definedName name="_T_PLN_INT_CAPIT_LEASES_Y01" localSheetId="5">#REF!</definedName>
    <definedName name="_T_PLN_INT_CAPIT_LEASES_Y01" localSheetId="24">#REF!</definedName>
    <definedName name="_T_PLN_INT_CAPIT_LEASES_Y01">#REF!</definedName>
    <definedName name="_T_PLN_INT_CAPIT_LEASES_Y02" localSheetId="5">#REF!</definedName>
    <definedName name="_T_PLN_INT_CAPIT_LEASES_Y02" localSheetId="24">#REF!</definedName>
    <definedName name="_T_PLN_INT_CAPIT_LEASES_Y02">#REF!</definedName>
    <definedName name="_T_PLN_INT_CAPIT_LEASES_Y03" localSheetId="5">#REF!</definedName>
    <definedName name="_T_PLN_INT_CAPIT_LEASES_Y03" localSheetId="24">#REF!</definedName>
    <definedName name="_T_PLN_INT_CAPIT_LEASES_Y03">#REF!</definedName>
    <definedName name="_T_PLN_INT_CAPIT_LEASES_Y04" localSheetId="5">#REF!</definedName>
    <definedName name="_T_PLN_INT_CAPIT_LEASES_Y04" localSheetId="24">#REF!</definedName>
    <definedName name="_T_PLN_INT_CAPIT_LEASES_Y04">#REF!</definedName>
    <definedName name="_T_PLN_INT_CAPIT_LEASES_Y05" localSheetId="5">#REF!</definedName>
    <definedName name="_T_PLN_INT_CAPIT_LEASES_Y05" localSheetId="24">#REF!</definedName>
    <definedName name="_T_PLN_INT_CAPIT_LEASES_Y05">#REF!</definedName>
    <definedName name="_T_PLN_INT_CAPIT_LEASES_Y06" localSheetId="5">#REF!</definedName>
    <definedName name="_T_PLN_INT_CAPIT_LEASES_Y06" localSheetId="24">#REF!</definedName>
    <definedName name="_T_PLN_INT_CAPIT_LEASES_Y06">#REF!</definedName>
    <definedName name="_T_PLN_INT_CAPIT_LEASES_Y07" localSheetId="5">#REF!</definedName>
    <definedName name="_T_PLN_INT_CAPIT_LEASES_Y07" localSheetId="24">#REF!</definedName>
    <definedName name="_T_PLN_INT_CAPIT_LEASES_Y07">#REF!</definedName>
    <definedName name="_T_PLN_INT_CAPIT_LEASES_Y08" localSheetId="5">#REF!</definedName>
    <definedName name="_T_PLN_INT_CAPIT_LEASES_Y08" localSheetId="24">#REF!</definedName>
    <definedName name="_T_PLN_INT_CAPIT_LEASES_Y08">#REF!</definedName>
    <definedName name="_T_PLN_INT_CAPIT_LEASES_Y92" localSheetId="5">#REF!</definedName>
    <definedName name="_T_PLN_INT_CAPIT_LEASES_Y92" localSheetId="24">#REF!</definedName>
    <definedName name="_T_PLN_INT_CAPIT_LEASES_Y92">#REF!</definedName>
    <definedName name="_T_PLN_INT_CAPIT_LEASES_Y93" localSheetId="5">#REF!</definedName>
    <definedName name="_T_PLN_INT_CAPIT_LEASES_Y93" localSheetId="24">#REF!</definedName>
    <definedName name="_T_PLN_INT_CAPIT_LEASES_Y93">#REF!</definedName>
    <definedName name="_T_PLN_INT_CAPIT_LEASES_Y94" localSheetId="5">#REF!</definedName>
    <definedName name="_T_PLN_INT_CAPIT_LEASES_Y94" localSheetId="24">#REF!</definedName>
    <definedName name="_T_PLN_INT_CAPIT_LEASES_Y94">#REF!</definedName>
    <definedName name="_T_PLN_INT_CAPIT_LEASES_Y95" localSheetId="5">#REF!</definedName>
    <definedName name="_T_PLN_INT_CAPIT_LEASES_Y95" localSheetId="24">#REF!</definedName>
    <definedName name="_T_PLN_INT_CAPIT_LEASES_Y95">#REF!</definedName>
    <definedName name="_T_PLN_INT_CAPIT_LEASES_Y96" localSheetId="5">#REF!</definedName>
    <definedName name="_T_PLN_INT_CAPIT_LEASES_Y96" localSheetId="24">#REF!</definedName>
    <definedName name="_T_PLN_INT_CAPIT_LEASES_Y96">#REF!</definedName>
    <definedName name="_T_PLN_INT_CAPIT_LEASES_Y97" localSheetId="5">#REF!</definedName>
    <definedName name="_T_PLN_INT_CAPIT_LEASES_Y97" localSheetId="24">#REF!</definedName>
    <definedName name="_T_PLN_INT_CAPIT_LEASES_Y97">#REF!</definedName>
    <definedName name="_T_PLN_INT_CAPIT_LEASES_Y98" localSheetId="5">#REF!</definedName>
    <definedName name="_T_PLN_INT_CAPIT_LEASES_Y98" localSheetId="24">#REF!</definedName>
    <definedName name="_T_PLN_INT_CAPIT_LEASES_Y98">#REF!</definedName>
    <definedName name="_T_PLN_INT_CAPIT_LEASES_Y99" localSheetId="5">#REF!</definedName>
    <definedName name="_T_PLN_INT_CAPIT_LEASES_Y99" localSheetId="24">#REF!</definedName>
    <definedName name="_T_PLN_INT_CAPIT_LEASES_Y99">#REF!</definedName>
    <definedName name="_T_PLN_INT_CONVERT_Y00" localSheetId="5">#REF!</definedName>
    <definedName name="_T_PLN_INT_CONVERT_Y00" localSheetId="24">#REF!</definedName>
    <definedName name="_T_PLN_INT_CONVERT_Y00">#REF!</definedName>
    <definedName name="_T_PLN_INT_CONVERT_Y01" localSheetId="5">#REF!</definedName>
    <definedName name="_T_PLN_INT_CONVERT_Y01" localSheetId="24">#REF!</definedName>
    <definedName name="_T_PLN_INT_CONVERT_Y01">#REF!</definedName>
    <definedName name="_T_PLN_INT_CONVERT_Y02" localSheetId="5">#REF!</definedName>
    <definedName name="_T_PLN_INT_CONVERT_Y02" localSheetId="24">#REF!</definedName>
    <definedName name="_T_PLN_INT_CONVERT_Y02">#REF!</definedName>
    <definedName name="_T_PLN_INT_CONVERT_Y03" localSheetId="5">#REF!</definedName>
    <definedName name="_T_PLN_INT_CONVERT_Y03" localSheetId="24">#REF!</definedName>
    <definedName name="_T_PLN_INT_CONVERT_Y03">#REF!</definedName>
    <definedName name="_T_PLN_INT_CONVERT_Y04" localSheetId="5">#REF!</definedName>
    <definedName name="_T_PLN_INT_CONVERT_Y04" localSheetId="24">#REF!</definedName>
    <definedName name="_T_PLN_INT_CONVERT_Y04">#REF!</definedName>
    <definedName name="_T_PLN_INT_CONVERT_Y05" localSheetId="5">#REF!</definedName>
    <definedName name="_T_PLN_INT_CONVERT_Y05" localSheetId="24">#REF!</definedName>
    <definedName name="_T_PLN_INT_CONVERT_Y05">#REF!</definedName>
    <definedName name="_T_PLN_INT_CONVERT_Y06" localSheetId="5">#REF!</definedName>
    <definedName name="_T_PLN_INT_CONVERT_Y06" localSheetId="24">#REF!</definedName>
    <definedName name="_T_PLN_INT_CONVERT_Y06">#REF!</definedName>
    <definedName name="_T_PLN_INT_CONVERT_Y07" localSheetId="5">#REF!</definedName>
    <definedName name="_T_PLN_INT_CONVERT_Y07" localSheetId="24">#REF!</definedName>
    <definedName name="_T_PLN_INT_CONVERT_Y07">#REF!</definedName>
    <definedName name="_T_PLN_INT_CONVERT_Y08" localSheetId="5">#REF!</definedName>
    <definedName name="_T_PLN_INT_CONVERT_Y08" localSheetId="24">#REF!</definedName>
    <definedName name="_T_PLN_INT_CONVERT_Y08">#REF!</definedName>
    <definedName name="_T_PLN_INT_CONVERT_Y92" localSheetId="5">#REF!</definedName>
    <definedName name="_T_PLN_INT_CONVERT_Y92" localSheetId="24">#REF!</definedName>
    <definedName name="_T_PLN_INT_CONVERT_Y92">#REF!</definedName>
    <definedName name="_T_PLN_INT_CONVERT_Y93" localSheetId="5">#REF!</definedName>
    <definedName name="_T_PLN_INT_CONVERT_Y93" localSheetId="24">#REF!</definedName>
    <definedName name="_T_PLN_INT_CONVERT_Y93">#REF!</definedName>
    <definedName name="_T_PLN_INT_CONVERT_Y94" localSheetId="5">#REF!</definedName>
    <definedName name="_T_PLN_INT_CONVERT_Y94" localSheetId="24">#REF!</definedName>
    <definedName name="_T_PLN_INT_CONVERT_Y94">#REF!</definedName>
    <definedName name="_T_PLN_INT_CONVERT_Y95" localSheetId="5">#REF!</definedName>
    <definedName name="_T_PLN_INT_CONVERT_Y95" localSheetId="24">#REF!</definedName>
    <definedName name="_T_PLN_INT_CONVERT_Y95">#REF!</definedName>
    <definedName name="_T_PLN_INT_CONVERT_Y96" localSheetId="5">#REF!</definedName>
    <definedName name="_T_PLN_INT_CONVERT_Y96" localSheetId="24">#REF!</definedName>
    <definedName name="_T_PLN_INT_CONVERT_Y96">#REF!</definedName>
    <definedName name="_T_PLN_INT_CONVERT_Y97" localSheetId="5">#REF!</definedName>
    <definedName name="_T_PLN_INT_CONVERT_Y97" localSheetId="24">#REF!</definedName>
    <definedName name="_T_PLN_INT_CONVERT_Y97">#REF!</definedName>
    <definedName name="_T_PLN_INT_CONVERT_Y98" localSheetId="5">#REF!</definedName>
    <definedName name="_T_PLN_INT_CONVERT_Y98" localSheetId="24">#REF!</definedName>
    <definedName name="_T_PLN_INT_CONVERT_Y98">#REF!</definedName>
    <definedName name="_T_PLN_INT_CONVERT_Y99" localSheetId="5">#REF!</definedName>
    <definedName name="_T_PLN_INT_CONVERT_Y99" localSheetId="24">#REF!</definedName>
    <definedName name="_T_PLN_INT_CONVERT_Y99">#REF!</definedName>
    <definedName name="_T_PLN_INT_OTHER_Y00" localSheetId="5">#REF!</definedName>
    <definedName name="_T_PLN_INT_OTHER_Y00" localSheetId="24">#REF!</definedName>
    <definedName name="_T_PLN_INT_OTHER_Y00">#REF!</definedName>
    <definedName name="_T_PLN_INT_OTHER_Y01" localSheetId="5">#REF!</definedName>
    <definedName name="_T_PLN_INT_OTHER_Y01" localSheetId="24">#REF!</definedName>
    <definedName name="_T_PLN_INT_OTHER_Y01">#REF!</definedName>
    <definedName name="_T_PLN_INT_OTHER_Y02" localSheetId="5">#REF!</definedName>
    <definedName name="_T_PLN_INT_OTHER_Y02" localSheetId="24">#REF!</definedName>
    <definedName name="_T_PLN_INT_OTHER_Y02">#REF!</definedName>
    <definedName name="_T_PLN_INT_OTHER_Y03" localSheetId="5">#REF!</definedName>
    <definedName name="_T_PLN_INT_OTHER_Y03" localSheetId="24">#REF!</definedName>
    <definedName name="_T_PLN_INT_OTHER_Y03">#REF!</definedName>
    <definedName name="_T_PLN_INT_OTHER_Y04" localSheetId="5">#REF!</definedName>
    <definedName name="_T_PLN_INT_OTHER_Y04" localSheetId="24">#REF!</definedName>
    <definedName name="_T_PLN_INT_OTHER_Y04">#REF!</definedName>
    <definedName name="_T_PLN_INT_OTHER_Y05" localSheetId="5">#REF!</definedName>
    <definedName name="_T_PLN_INT_OTHER_Y05" localSheetId="24">#REF!</definedName>
    <definedName name="_T_PLN_INT_OTHER_Y05">#REF!</definedName>
    <definedName name="_T_PLN_INT_OTHER_Y06" localSheetId="5">#REF!</definedName>
    <definedName name="_T_PLN_INT_OTHER_Y06" localSheetId="24">#REF!</definedName>
    <definedName name="_T_PLN_INT_OTHER_Y06">#REF!</definedName>
    <definedName name="_T_PLN_INT_OTHER_Y07" localSheetId="5">#REF!</definedName>
    <definedName name="_T_PLN_INT_OTHER_Y07" localSheetId="24">#REF!</definedName>
    <definedName name="_T_PLN_INT_OTHER_Y07">#REF!</definedName>
    <definedName name="_T_PLN_INT_OTHER_Y08" localSheetId="5">#REF!</definedName>
    <definedName name="_T_PLN_INT_OTHER_Y08" localSheetId="24">#REF!</definedName>
    <definedName name="_T_PLN_INT_OTHER_Y08">#REF!</definedName>
    <definedName name="_T_PLN_INT_OTHER_Y92" localSheetId="5">#REF!</definedName>
    <definedName name="_T_PLN_INT_OTHER_Y92" localSheetId="24">#REF!</definedName>
    <definedName name="_T_PLN_INT_OTHER_Y92">#REF!</definedName>
    <definedName name="_T_PLN_INT_OTHER_Y93" localSheetId="5">#REF!</definedName>
    <definedName name="_T_PLN_INT_OTHER_Y93" localSheetId="24">#REF!</definedName>
    <definedName name="_T_PLN_INT_OTHER_Y93">#REF!</definedName>
    <definedName name="_T_PLN_INT_OTHER_Y94" localSheetId="5">#REF!</definedName>
    <definedName name="_T_PLN_INT_OTHER_Y94" localSheetId="24">#REF!</definedName>
    <definedName name="_T_PLN_INT_OTHER_Y94">#REF!</definedName>
    <definedName name="_T_PLN_INT_OTHER_Y95" localSheetId="5">#REF!</definedName>
    <definedName name="_T_PLN_INT_OTHER_Y95" localSheetId="24">#REF!</definedName>
    <definedName name="_T_PLN_INT_OTHER_Y95">#REF!</definedName>
    <definedName name="_T_PLN_INT_OTHER_Y96" localSheetId="5">#REF!</definedName>
    <definedName name="_T_PLN_INT_OTHER_Y96" localSheetId="24">#REF!</definedName>
    <definedName name="_T_PLN_INT_OTHER_Y96">#REF!</definedName>
    <definedName name="_T_PLN_INT_OTHER_Y97" localSheetId="5">#REF!</definedName>
    <definedName name="_T_PLN_INT_OTHER_Y97" localSheetId="24">#REF!</definedName>
    <definedName name="_T_PLN_INT_OTHER_Y97">#REF!</definedName>
    <definedName name="_T_PLN_INT_OTHER_Y98" localSheetId="5">#REF!</definedName>
    <definedName name="_T_PLN_INT_OTHER_Y98" localSheetId="24">#REF!</definedName>
    <definedName name="_T_PLN_INT_OTHER_Y98">#REF!</definedName>
    <definedName name="_T_PLN_INT_OTHER_Y99" localSheetId="5">#REF!</definedName>
    <definedName name="_T_PLN_INT_OTHER_Y99" localSheetId="24">#REF!</definedName>
    <definedName name="_T_PLN_INT_OTHER_Y99">#REF!</definedName>
    <definedName name="_T_PLN_INT_PAID_Y00" localSheetId="5">#REF!</definedName>
    <definedName name="_T_PLN_INT_PAID_Y00" localSheetId="24">#REF!</definedName>
    <definedName name="_T_PLN_INT_PAID_Y00">#REF!</definedName>
    <definedName name="_T_PLN_INT_PAID_Y01" localSheetId="5">#REF!</definedName>
    <definedName name="_T_PLN_INT_PAID_Y01" localSheetId="24">#REF!</definedName>
    <definedName name="_T_PLN_INT_PAID_Y01">#REF!</definedName>
    <definedName name="_T_PLN_INT_PAID_Y02" localSheetId="5">#REF!</definedName>
    <definedName name="_T_PLN_INT_PAID_Y02" localSheetId="24">#REF!</definedName>
    <definedName name="_T_PLN_INT_PAID_Y02">#REF!</definedName>
    <definedName name="_T_PLN_INT_PAID_Y90" localSheetId="5">#REF!</definedName>
    <definedName name="_T_PLN_INT_PAID_Y90" localSheetId="24">#REF!</definedName>
    <definedName name="_T_PLN_INT_PAID_Y90">#REF!</definedName>
    <definedName name="_T_PLN_INT_PAID_Y91" localSheetId="5">#REF!</definedName>
    <definedName name="_T_PLN_INT_PAID_Y91" localSheetId="24">#REF!</definedName>
    <definedName name="_T_PLN_INT_PAID_Y91">#REF!</definedName>
    <definedName name="_T_PLN_INT_PAID_Y92" localSheetId="5">#REF!</definedName>
    <definedName name="_T_PLN_INT_PAID_Y92" localSheetId="24">#REF!</definedName>
    <definedName name="_T_PLN_INT_PAID_Y92">#REF!</definedName>
    <definedName name="_T_PLN_INT_PAID_Y93" localSheetId="5">#REF!</definedName>
    <definedName name="_T_PLN_INT_PAID_Y93" localSheetId="24">#REF!</definedName>
    <definedName name="_T_PLN_INT_PAID_Y93">#REF!</definedName>
    <definedName name="_T_PLN_INT_PAID_Y94" localSheetId="5">#REF!</definedName>
    <definedName name="_T_PLN_INT_PAID_Y94" localSheetId="24">#REF!</definedName>
    <definedName name="_T_PLN_INT_PAID_Y94">#REF!</definedName>
    <definedName name="_T_PLN_INT_PAID_Y95" localSheetId="5">#REF!</definedName>
    <definedName name="_T_PLN_INT_PAID_Y95" localSheetId="24">#REF!</definedName>
    <definedName name="_T_PLN_INT_PAID_Y95">#REF!</definedName>
    <definedName name="_T_PLN_INT_PAID_Y96" localSheetId="5">#REF!</definedName>
    <definedName name="_T_PLN_INT_PAID_Y96" localSheetId="24">#REF!</definedName>
    <definedName name="_T_PLN_INT_PAID_Y96">#REF!</definedName>
    <definedName name="_T_PLN_INT_PAID_Y97" localSheetId="5">#REF!</definedName>
    <definedName name="_T_PLN_INT_PAID_Y97" localSheetId="24">#REF!</definedName>
    <definedName name="_T_PLN_INT_PAID_Y97">#REF!</definedName>
    <definedName name="_T_PLN_INT_PAID_Y98" localSheetId="5">#REF!</definedName>
    <definedName name="_T_PLN_INT_PAID_Y98" localSheetId="24">#REF!</definedName>
    <definedName name="_T_PLN_INT_PAID_Y98">#REF!</definedName>
    <definedName name="_T_PLN_INT_PAID_Y99" localSheetId="5">#REF!</definedName>
    <definedName name="_T_PLN_INT_PAID_Y99" localSheetId="24">#REF!</definedName>
    <definedName name="_T_PLN_INT_PAID_Y99">#REF!</definedName>
    <definedName name="_T_PLN_INT_PLNET_Y00" localSheetId="5">#REF!</definedName>
    <definedName name="_T_PLN_INT_PLNET_Y00" localSheetId="24">#REF!</definedName>
    <definedName name="_T_PLN_INT_PLNET_Y00">#REF!</definedName>
    <definedName name="_T_PLN_INT_PLNET_Y01" localSheetId="5">#REF!</definedName>
    <definedName name="_T_PLN_INT_PLNET_Y01" localSheetId="24">#REF!</definedName>
    <definedName name="_T_PLN_INT_PLNET_Y01">#REF!</definedName>
    <definedName name="_T_PLN_INT_PLNET_Y02" localSheetId="5">#REF!</definedName>
    <definedName name="_T_PLN_INT_PLNET_Y02" localSheetId="24">#REF!</definedName>
    <definedName name="_T_PLN_INT_PLNET_Y02">#REF!</definedName>
    <definedName name="_T_PLN_INT_PLNET_Y90" localSheetId="5">#REF!</definedName>
    <definedName name="_T_PLN_INT_PLNET_Y90" localSheetId="24">#REF!</definedName>
    <definedName name="_T_PLN_INT_PLNET_Y90">#REF!</definedName>
    <definedName name="_T_PLN_INT_PLNET_Y91" localSheetId="5">#REF!</definedName>
    <definedName name="_T_PLN_INT_PLNET_Y91" localSheetId="24">#REF!</definedName>
    <definedName name="_T_PLN_INT_PLNET_Y91">#REF!</definedName>
    <definedName name="_T_PLN_INT_PLNET_Y92" localSheetId="5">#REF!</definedName>
    <definedName name="_T_PLN_INT_PLNET_Y92" localSheetId="24">#REF!</definedName>
    <definedName name="_T_PLN_INT_PLNET_Y92">#REF!</definedName>
    <definedName name="_T_PLN_INT_PLNET_Y93" localSheetId="5">#REF!</definedName>
    <definedName name="_T_PLN_INT_PLNET_Y93" localSheetId="24">#REF!</definedName>
    <definedName name="_T_PLN_INT_PLNET_Y93">#REF!</definedName>
    <definedName name="_T_PLN_INT_PLNET_Y94" localSheetId="5">#REF!</definedName>
    <definedName name="_T_PLN_INT_PLNET_Y94" localSheetId="24">#REF!</definedName>
    <definedName name="_T_PLN_INT_PLNET_Y94">#REF!</definedName>
    <definedName name="_T_PLN_INT_PLNET_Y95" localSheetId="5">#REF!</definedName>
    <definedName name="_T_PLN_INT_PLNET_Y95" localSheetId="24">#REF!</definedName>
    <definedName name="_T_PLN_INT_PLNET_Y95">#REF!</definedName>
    <definedName name="_T_PLN_INT_PLNET_Y96" localSheetId="5">#REF!</definedName>
    <definedName name="_T_PLN_INT_PLNET_Y96" localSheetId="24">#REF!</definedName>
    <definedName name="_T_PLN_INT_PLNET_Y96">#REF!</definedName>
    <definedName name="_T_PLN_INT_PLNET_Y97" localSheetId="5">#REF!</definedName>
    <definedName name="_T_PLN_INT_PLNET_Y97" localSheetId="24">#REF!</definedName>
    <definedName name="_T_PLN_INT_PLNET_Y97">#REF!</definedName>
    <definedName name="_T_PLN_INT_PLNET_Y98" localSheetId="5">#REF!</definedName>
    <definedName name="_T_PLN_INT_PLNET_Y98" localSheetId="24">#REF!</definedName>
    <definedName name="_T_PLN_INT_PLNET_Y98">#REF!</definedName>
    <definedName name="_T_PLN_INT_PLNET_Y99" localSheetId="5">#REF!</definedName>
    <definedName name="_T_PLN_INT_PLNET_Y99" localSheetId="24">#REF!</definedName>
    <definedName name="_T_PLN_INT_PLNET_Y99">#REF!</definedName>
    <definedName name="_T_PLN_INT_RCVD_Y00" localSheetId="5">#REF!</definedName>
    <definedName name="_T_PLN_INT_RCVD_Y00" localSheetId="24">#REF!</definedName>
    <definedName name="_T_PLN_INT_RCVD_Y00">#REF!</definedName>
    <definedName name="_T_PLN_INT_RCVD_Y01" localSheetId="5">#REF!</definedName>
    <definedName name="_T_PLN_INT_RCVD_Y01" localSheetId="24">#REF!</definedName>
    <definedName name="_T_PLN_INT_RCVD_Y01">#REF!</definedName>
    <definedName name="_T_PLN_INT_RCVD_Y02" localSheetId="5">#REF!</definedName>
    <definedName name="_T_PLN_INT_RCVD_Y02" localSheetId="24">#REF!</definedName>
    <definedName name="_T_PLN_INT_RCVD_Y02">#REF!</definedName>
    <definedName name="_T_PLN_INT_RCVD_Y03" localSheetId="5">#REF!</definedName>
    <definedName name="_T_PLN_INT_RCVD_Y03" localSheetId="24">#REF!</definedName>
    <definedName name="_T_PLN_INT_RCVD_Y03">#REF!</definedName>
    <definedName name="_T_PLN_INT_RCVD_Y04" localSheetId="5">#REF!</definedName>
    <definedName name="_T_PLN_INT_RCVD_Y04" localSheetId="24">#REF!</definedName>
    <definedName name="_T_PLN_INT_RCVD_Y04">#REF!</definedName>
    <definedName name="_T_PLN_INT_RCVD_Y05" localSheetId="5">#REF!</definedName>
    <definedName name="_T_PLN_INT_RCVD_Y05" localSheetId="24">#REF!</definedName>
    <definedName name="_T_PLN_INT_RCVD_Y05">#REF!</definedName>
    <definedName name="_T_PLN_INT_RCVD_Y06" localSheetId="5">#REF!</definedName>
    <definedName name="_T_PLN_INT_RCVD_Y06" localSheetId="24">#REF!</definedName>
    <definedName name="_T_PLN_INT_RCVD_Y06">#REF!</definedName>
    <definedName name="_T_PLN_INT_RCVD_Y07" localSheetId="5">#REF!</definedName>
    <definedName name="_T_PLN_INT_RCVD_Y07" localSheetId="24">#REF!</definedName>
    <definedName name="_T_PLN_INT_RCVD_Y07">#REF!</definedName>
    <definedName name="_T_PLN_INT_RCVD_Y08" localSheetId="5">#REF!</definedName>
    <definedName name="_T_PLN_INT_RCVD_Y08" localSheetId="24">#REF!</definedName>
    <definedName name="_T_PLN_INT_RCVD_Y08">#REF!</definedName>
    <definedName name="_T_PLN_INT_RCVD_Y92" localSheetId="5">#REF!</definedName>
    <definedName name="_T_PLN_INT_RCVD_Y92" localSheetId="24">#REF!</definedName>
    <definedName name="_T_PLN_INT_RCVD_Y92">#REF!</definedName>
    <definedName name="_T_PLN_INT_RCVD_Y93" localSheetId="5">#REF!</definedName>
    <definedName name="_T_PLN_INT_RCVD_Y93" localSheetId="24">#REF!</definedName>
    <definedName name="_T_PLN_INT_RCVD_Y93">#REF!</definedName>
    <definedName name="_T_PLN_INT_RCVD_Y94" localSheetId="5">#REF!</definedName>
    <definedName name="_T_PLN_INT_RCVD_Y94" localSheetId="24">#REF!</definedName>
    <definedName name="_T_PLN_INT_RCVD_Y94">#REF!</definedName>
    <definedName name="_T_PLN_INT_RCVD_Y95" localSheetId="5">#REF!</definedName>
    <definedName name="_T_PLN_INT_RCVD_Y95" localSheetId="24">#REF!</definedName>
    <definedName name="_T_PLN_INT_RCVD_Y95">#REF!</definedName>
    <definedName name="_T_PLN_INT_RCVD_Y96" localSheetId="5">#REF!</definedName>
    <definedName name="_T_PLN_INT_RCVD_Y96" localSheetId="24">#REF!</definedName>
    <definedName name="_T_PLN_INT_RCVD_Y96">#REF!</definedName>
    <definedName name="_T_PLN_INT_RCVD_Y97" localSheetId="5">#REF!</definedName>
    <definedName name="_T_PLN_INT_RCVD_Y97" localSheetId="24">#REF!</definedName>
    <definedName name="_T_PLN_INT_RCVD_Y97">#REF!</definedName>
    <definedName name="_T_PLN_INT_RCVD_Y98" localSheetId="5">#REF!</definedName>
    <definedName name="_T_PLN_INT_RCVD_Y98" localSheetId="24">#REF!</definedName>
    <definedName name="_T_PLN_INT_RCVD_Y98">#REF!</definedName>
    <definedName name="_T_PLN_INT_RCVD_Y99" localSheetId="5">#REF!</definedName>
    <definedName name="_T_PLN_INT_RCVD_Y99" localSheetId="24">#REF!</definedName>
    <definedName name="_T_PLN_INT_RCVD_Y99">#REF!</definedName>
    <definedName name="_T_PLN_MINOR_Y00" localSheetId="5">#REF!</definedName>
    <definedName name="_T_PLN_MINOR_Y00" localSheetId="24">#REF!</definedName>
    <definedName name="_T_PLN_MINOR_Y00">#REF!</definedName>
    <definedName name="_T_PLN_MINOR_Y01" localSheetId="5">#REF!</definedName>
    <definedName name="_T_PLN_MINOR_Y01" localSheetId="24">#REF!</definedName>
    <definedName name="_T_PLN_MINOR_Y01">#REF!</definedName>
    <definedName name="_T_PLN_MINOR_Y02" localSheetId="5">#REF!</definedName>
    <definedName name="_T_PLN_MINOR_Y02" localSheetId="24">#REF!</definedName>
    <definedName name="_T_PLN_MINOR_Y02">#REF!</definedName>
    <definedName name="_T_PLN_MINOR_Y03" localSheetId="5">#REF!</definedName>
    <definedName name="_T_PLN_MINOR_Y03" localSheetId="24">#REF!</definedName>
    <definedName name="_T_PLN_MINOR_Y03">#REF!</definedName>
    <definedName name="_T_PLN_MINOR_Y04" localSheetId="5">#REF!</definedName>
    <definedName name="_T_PLN_MINOR_Y04" localSheetId="24">#REF!</definedName>
    <definedName name="_T_PLN_MINOR_Y04">#REF!</definedName>
    <definedName name="_T_PLN_MINOR_Y05" localSheetId="5">#REF!</definedName>
    <definedName name="_T_PLN_MINOR_Y05" localSheetId="24">#REF!</definedName>
    <definedName name="_T_PLN_MINOR_Y05">#REF!</definedName>
    <definedName name="_T_PLN_MINOR_Y06" localSheetId="5">#REF!</definedName>
    <definedName name="_T_PLN_MINOR_Y06" localSheetId="24">#REF!</definedName>
    <definedName name="_T_PLN_MINOR_Y06">#REF!</definedName>
    <definedName name="_T_PLN_MINOR_Y07" localSheetId="5">#REF!</definedName>
    <definedName name="_T_PLN_MINOR_Y07" localSheetId="24">#REF!</definedName>
    <definedName name="_T_PLN_MINOR_Y07">#REF!</definedName>
    <definedName name="_T_PLN_MINOR_Y08" localSheetId="5">#REF!</definedName>
    <definedName name="_T_PLN_MINOR_Y08" localSheetId="24">#REF!</definedName>
    <definedName name="_T_PLN_MINOR_Y08">#REF!</definedName>
    <definedName name="_T_PLN_MINOR_Y92" localSheetId="5">#REF!</definedName>
    <definedName name="_T_PLN_MINOR_Y92" localSheetId="24">#REF!</definedName>
    <definedName name="_T_PLN_MINOR_Y92">#REF!</definedName>
    <definedName name="_T_PLN_MINOR_Y93" localSheetId="5">#REF!</definedName>
    <definedName name="_T_PLN_MINOR_Y93" localSheetId="24">#REF!</definedName>
    <definedName name="_T_PLN_MINOR_Y93">#REF!</definedName>
    <definedName name="_T_PLN_MINOR_Y94" localSheetId="5">#REF!</definedName>
    <definedName name="_T_PLN_MINOR_Y94" localSheetId="24">#REF!</definedName>
    <definedName name="_T_PLN_MINOR_Y94">#REF!</definedName>
    <definedName name="_T_PLN_MINOR_Y95" localSheetId="5">#REF!</definedName>
    <definedName name="_T_PLN_MINOR_Y95" localSheetId="24">#REF!</definedName>
    <definedName name="_T_PLN_MINOR_Y95">#REF!</definedName>
    <definedName name="_T_PLN_MINOR_Y96" localSheetId="5">#REF!</definedName>
    <definedName name="_T_PLN_MINOR_Y96" localSheetId="24">#REF!</definedName>
    <definedName name="_T_PLN_MINOR_Y96">#REF!</definedName>
    <definedName name="_T_PLN_MINOR_Y97" localSheetId="5">#REF!</definedName>
    <definedName name="_T_PLN_MINOR_Y97" localSheetId="24">#REF!</definedName>
    <definedName name="_T_PLN_MINOR_Y97">#REF!</definedName>
    <definedName name="_T_PLN_MINOR_Y98" localSheetId="5">#REF!</definedName>
    <definedName name="_T_PLN_MINOR_Y98" localSheetId="24">#REF!</definedName>
    <definedName name="_T_PLN_MINOR_Y98">#REF!</definedName>
    <definedName name="_T_PLN_MINOR_Y99" localSheetId="5">#REF!</definedName>
    <definedName name="_T_PLN_MINOR_Y99" localSheetId="24">#REF!</definedName>
    <definedName name="_T_PLN_MINOR_Y99">#REF!</definedName>
    <definedName name="_T_PLN_NPAT_Y00" localSheetId="5">#REF!</definedName>
    <definedName name="_T_PLN_NPAT_Y00" localSheetId="24">#REF!</definedName>
    <definedName name="_T_PLN_NPAT_Y00">#REF!</definedName>
    <definedName name="_T_PLN_NPAT_Y01" localSheetId="5">#REF!</definedName>
    <definedName name="_T_PLN_NPAT_Y01" localSheetId="24">#REF!</definedName>
    <definedName name="_T_PLN_NPAT_Y01">#REF!</definedName>
    <definedName name="_T_PLN_NPAT_Y02" localSheetId="5">#REF!</definedName>
    <definedName name="_T_PLN_NPAT_Y02" localSheetId="24">#REF!</definedName>
    <definedName name="_T_PLN_NPAT_Y02">#REF!</definedName>
    <definedName name="_T_PLN_NPAT_Y03" localSheetId="5">#REF!</definedName>
    <definedName name="_T_PLN_NPAT_Y03" localSheetId="24">#REF!</definedName>
    <definedName name="_T_PLN_NPAT_Y03">#REF!</definedName>
    <definedName name="_T_PLN_NPAT_Y04" localSheetId="5">#REF!</definedName>
    <definedName name="_T_PLN_NPAT_Y04" localSheetId="24">#REF!</definedName>
    <definedName name="_T_PLN_NPAT_Y04">#REF!</definedName>
    <definedName name="_T_PLN_NPAT_Y05" localSheetId="5">#REF!</definedName>
    <definedName name="_T_PLN_NPAT_Y05" localSheetId="24">#REF!</definedName>
    <definedName name="_T_PLN_NPAT_Y05">#REF!</definedName>
    <definedName name="_T_PLN_NPAT_Y06" localSheetId="5">#REF!</definedName>
    <definedName name="_T_PLN_NPAT_Y06" localSheetId="24">#REF!</definedName>
    <definedName name="_T_PLN_NPAT_Y06">#REF!</definedName>
    <definedName name="_T_PLN_NPAT_Y07" localSheetId="5">#REF!</definedName>
    <definedName name="_T_PLN_NPAT_Y07" localSheetId="24">#REF!</definedName>
    <definedName name="_T_PLN_NPAT_Y07">#REF!</definedName>
    <definedName name="_T_PLN_NPAT_Y08" localSheetId="5">#REF!</definedName>
    <definedName name="_T_PLN_NPAT_Y08" localSheetId="24">#REF!</definedName>
    <definedName name="_T_PLN_NPAT_Y08">#REF!</definedName>
    <definedName name="_T_PLN_NPAT_Y92" localSheetId="5">#REF!</definedName>
    <definedName name="_T_PLN_NPAT_Y92" localSheetId="24">#REF!</definedName>
    <definedName name="_T_PLN_NPAT_Y92">#REF!</definedName>
    <definedName name="_T_PLN_NPAT_Y93" localSheetId="5">#REF!</definedName>
    <definedName name="_T_PLN_NPAT_Y93" localSheetId="24">#REF!</definedName>
    <definedName name="_T_PLN_NPAT_Y93">#REF!</definedName>
    <definedName name="_T_PLN_NPAT_Y94" localSheetId="5">#REF!</definedName>
    <definedName name="_T_PLN_NPAT_Y94" localSheetId="24">#REF!</definedName>
    <definedName name="_T_PLN_NPAT_Y94">#REF!</definedName>
    <definedName name="_T_PLN_NPAT_Y95" localSheetId="5">#REF!</definedName>
    <definedName name="_T_PLN_NPAT_Y95" localSheetId="24">#REF!</definedName>
    <definedName name="_T_PLN_NPAT_Y95">#REF!</definedName>
    <definedName name="_T_PLN_NPAT_Y96" localSheetId="5">#REF!</definedName>
    <definedName name="_T_PLN_NPAT_Y96" localSheetId="24">#REF!</definedName>
    <definedName name="_T_PLN_NPAT_Y96">#REF!</definedName>
    <definedName name="_T_PLN_NPAT_Y97" localSheetId="5">#REF!</definedName>
    <definedName name="_T_PLN_NPAT_Y97" localSheetId="24">#REF!</definedName>
    <definedName name="_T_PLN_NPAT_Y97">#REF!</definedName>
    <definedName name="_T_PLN_NPAT_Y98" localSheetId="5">#REF!</definedName>
    <definedName name="_T_PLN_NPAT_Y98" localSheetId="24">#REF!</definedName>
    <definedName name="_T_PLN_NPAT_Y98">#REF!</definedName>
    <definedName name="_T_PLN_NPAT_Y99" localSheetId="5">#REF!</definedName>
    <definedName name="_T_PLN_NPAT_Y99" localSheetId="24">#REF!</definedName>
    <definedName name="_T_PLN_NPAT_Y99">#REF!</definedName>
    <definedName name="_T_PLN_NPATTRIB_Y00" localSheetId="5">#REF!</definedName>
    <definedName name="_T_PLN_NPATTRIB_Y00" localSheetId="24">#REF!</definedName>
    <definedName name="_T_PLN_NPATTRIB_Y00">#REF!</definedName>
    <definedName name="_T_PLN_NPATTRIB_Y01" localSheetId="5">#REF!</definedName>
    <definedName name="_T_PLN_NPATTRIB_Y01" localSheetId="24">#REF!</definedName>
    <definedName name="_T_PLN_NPATTRIB_Y01">#REF!</definedName>
    <definedName name="_T_PLN_NPATTRIB_Y02" localSheetId="5">#REF!</definedName>
    <definedName name="_T_PLN_NPATTRIB_Y02" localSheetId="24">#REF!</definedName>
    <definedName name="_T_PLN_NPATTRIB_Y02">#REF!</definedName>
    <definedName name="_T_PLN_NPATTRIB_Y03" localSheetId="5">#REF!</definedName>
    <definedName name="_T_PLN_NPATTRIB_Y03" localSheetId="24">#REF!</definedName>
    <definedName name="_T_PLN_NPATTRIB_Y03">#REF!</definedName>
    <definedName name="_T_PLN_NPATTRIB_Y04" localSheetId="5">#REF!</definedName>
    <definedName name="_T_PLN_NPATTRIB_Y04" localSheetId="24">#REF!</definedName>
    <definedName name="_T_PLN_NPATTRIB_Y04">#REF!</definedName>
    <definedName name="_T_PLN_NPATTRIB_Y05" localSheetId="5">#REF!</definedName>
    <definedName name="_T_PLN_NPATTRIB_Y05" localSheetId="24">#REF!</definedName>
    <definedName name="_T_PLN_NPATTRIB_Y05">#REF!</definedName>
    <definedName name="_T_PLN_NPATTRIB_Y06" localSheetId="5">#REF!</definedName>
    <definedName name="_T_PLN_NPATTRIB_Y06" localSheetId="24">#REF!</definedName>
    <definedName name="_T_PLN_NPATTRIB_Y06">#REF!</definedName>
    <definedName name="_T_PLN_NPATTRIB_Y07" localSheetId="5">#REF!</definedName>
    <definedName name="_T_PLN_NPATTRIB_Y07" localSheetId="24">#REF!</definedName>
    <definedName name="_T_PLN_NPATTRIB_Y07">#REF!</definedName>
    <definedName name="_T_PLN_NPATTRIB_Y08" localSheetId="5">#REF!</definedName>
    <definedName name="_T_PLN_NPATTRIB_Y08" localSheetId="24">#REF!</definedName>
    <definedName name="_T_PLN_NPATTRIB_Y08">#REF!</definedName>
    <definedName name="_T_PLN_NPATTRIB_Y92" localSheetId="5">#REF!</definedName>
    <definedName name="_T_PLN_NPATTRIB_Y92" localSheetId="24">#REF!</definedName>
    <definedName name="_T_PLN_NPATTRIB_Y92">#REF!</definedName>
    <definedName name="_T_PLN_NPATTRIB_Y93" localSheetId="5">#REF!</definedName>
    <definedName name="_T_PLN_NPATTRIB_Y93" localSheetId="24">#REF!</definedName>
    <definedName name="_T_PLN_NPATTRIB_Y93">#REF!</definedName>
    <definedName name="_T_PLN_NPATTRIB_Y94" localSheetId="5">#REF!</definedName>
    <definedName name="_T_PLN_NPATTRIB_Y94" localSheetId="24">#REF!</definedName>
    <definedName name="_T_PLN_NPATTRIB_Y94">#REF!</definedName>
    <definedName name="_T_PLN_NPATTRIB_Y95" localSheetId="5">#REF!</definedName>
    <definedName name="_T_PLN_NPATTRIB_Y95" localSheetId="24">#REF!</definedName>
    <definedName name="_T_PLN_NPATTRIB_Y95">#REF!</definedName>
    <definedName name="_T_PLN_NPATTRIB_Y96" localSheetId="5">#REF!</definedName>
    <definedName name="_T_PLN_NPATTRIB_Y96" localSheetId="24">#REF!</definedName>
    <definedName name="_T_PLN_NPATTRIB_Y96">#REF!</definedName>
    <definedName name="_T_PLN_NPATTRIB_Y97" localSheetId="5">#REF!</definedName>
    <definedName name="_T_PLN_NPATTRIB_Y97" localSheetId="24">#REF!</definedName>
    <definedName name="_T_PLN_NPATTRIB_Y97">#REF!</definedName>
    <definedName name="_T_PLN_NPATTRIB_Y98" localSheetId="5">#REF!</definedName>
    <definedName name="_T_PLN_NPATTRIB_Y98" localSheetId="24">#REF!</definedName>
    <definedName name="_T_PLN_NPATTRIB_Y98">#REF!</definedName>
    <definedName name="_T_PLN_NPATTRIB_Y99" localSheetId="5">#REF!</definedName>
    <definedName name="_T_PLN_NPATTRIB_Y99" localSheetId="24">#REF!</definedName>
    <definedName name="_T_PLN_NPATTRIB_Y99">#REF!</definedName>
    <definedName name="_T_PLN_PAT_Y00" localSheetId="5">#REF!</definedName>
    <definedName name="_T_PLN_PAT_Y00" localSheetId="24">#REF!</definedName>
    <definedName name="_T_PLN_PAT_Y00">#REF!</definedName>
    <definedName name="_T_PLN_PAT_Y01" localSheetId="5">#REF!</definedName>
    <definedName name="_T_PLN_PAT_Y01" localSheetId="24">#REF!</definedName>
    <definedName name="_T_PLN_PAT_Y01">#REF!</definedName>
    <definedName name="_T_PLN_PAT_Y02" localSheetId="5">#REF!</definedName>
    <definedName name="_T_PLN_PAT_Y02" localSheetId="24">#REF!</definedName>
    <definedName name="_T_PLN_PAT_Y02">#REF!</definedName>
    <definedName name="_T_PLN_PAT_Y03" localSheetId="5">#REF!</definedName>
    <definedName name="_T_PLN_PAT_Y03" localSheetId="24">#REF!</definedName>
    <definedName name="_T_PLN_PAT_Y03">#REF!</definedName>
    <definedName name="_T_PLN_PAT_Y04" localSheetId="5">#REF!</definedName>
    <definedName name="_T_PLN_PAT_Y04" localSheetId="24">#REF!</definedName>
    <definedName name="_T_PLN_PAT_Y04">#REF!</definedName>
    <definedName name="_T_PLN_PAT_Y05" localSheetId="5">#REF!</definedName>
    <definedName name="_T_PLN_PAT_Y05" localSheetId="24">#REF!</definedName>
    <definedName name="_T_PLN_PAT_Y05">#REF!</definedName>
    <definedName name="_T_PLN_PAT_Y06" localSheetId="5">#REF!</definedName>
    <definedName name="_T_PLN_PAT_Y06" localSheetId="24">#REF!</definedName>
    <definedName name="_T_PLN_PAT_Y06">#REF!</definedName>
    <definedName name="_T_PLN_PAT_Y07" localSheetId="5">#REF!</definedName>
    <definedName name="_T_PLN_PAT_Y07" localSheetId="24">#REF!</definedName>
    <definedName name="_T_PLN_PAT_Y07">#REF!</definedName>
    <definedName name="_T_PLN_PAT_Y08" localSheetId="5">#REF!</definedName>
    <definedName name="_T_PLN_PAT_Y08" localSheetId="24">#REF!</definedName>
    <definedName name="_T_PLN_PAT_Y08">#REF!</definedName>
    <definedName name="_T_PLN_PAT_Y92" localSheetId="5">#REF!</definedName>
    <definedName name="_T_PLN_PAT_Y92" localSheetId="24">#REF!</definedName>
    <definedName name="_T_PLN_PAT_Y92">#REF!</definedName>
    <definedName name="_T_PLN_PAT_Y93" localSheetId="5">#REF!</definedName>
    <definedName name="_T_PLN_PAT_Y93" localSheetId="24">#REF!</definedName>
    <definedName name="_T_PLN_PAT_Y93">#REF!</definedName>
    <definedName name="_T_PLN_PAT_Y94" localSheetId="5">#REF!</definedName>
    <definedName name="_T_PLN_PAT_Y94" localSheetId="24">#REF!</definedName>
    <definedName name="_T_PLN_PAT_Y94">#REF!</definedName>
    <definedName name="_T_PLN_PAT_Y95" localSheetId="5">#REF!</definedName>
    <definedName name="_T_PLN_PAT_Y95" localSheetId="24">#REF!</definedName>
    <definedName name="_T_PLN_PAT_Y95">#REF!</definedName>
    <definedName name="_T_PLN_PAT_Y96" localSheetId="5">#REF!</definedName>
    <definedName name="_T_PLN_PAT_Y96" localSheetId="24">#REF!</definedName>
    <definedName name="_T_PLN_PAT_Y96">#REF!</definedName>
    <definedName name="_T_PLN_PAT_Y97" localSheetId="5">#REF!</definedName>
    <definedName name="_T_PLN_PAT_Y97" localSheetId="24">#REF!</definedName>
    <definedName name="_T_PLN_PAT_Y97">#REF!</definedName>
    <definedName name="_T_PLN_PAT_Y98" localSheetId="5">#REF!</definedName>
    <definedName name="_T_PLN_PAT_Y98" localSheetId="24">#REF!</definedName>
    <definedName name="_T_PLN_PAT_Y98">#REF!</definedName>
    <definedName name="_T_PLN_PAT_Y99" localSheetId="5">#REF!</definedName>
    <definedName name="_T_PLN_PAT_Y99" localSheetId="24">#REF!</definedName>
    <definedName name="_T_PLN_PAT_Y99">#REF!</definedName>
    <definedName name="_T_PLN_PBT_Y00" localSheetId="5">#REF!</definedName>
    <definedName name="_T_PLN_PBT_Y00" localSheetId="24">#REF!</definedName>
    <definedName name="_T_PLN_PBT_Y00">#REF!</definedName>
    <definedName name="_T_PLN_PBT_Y01" localSheetId="5">#REF!</definedName>
    <definedName name="_T_PLN_PBT_Y01" localSheetId="24">#REF!</definedName>
    <definedName name="_T_PLN_PBT_Y01">#REF!</definedName>
    <definedName name="_T_PLN_PBT_Y02" localSheetId="5">#REF!</definedName>
    <definedName name="_T_PLN_PBT_Y02" localSheetId="24">#REF!</definedName>
    <definedName name="_T_PLN_PBT_Y02">#REF!</definedName>
    <definedName name="_T_PLN_PBT_Y03" localSheetId="5">#REF!</definedName>
    <definedName name="_T_PLN_PBT_Y03" localSheetId="24">#REF!</definedName>
    <definedName name="_T_PLN_PBT_Y03">#REF!</definedName>
    <definedName name="_T_PLN_PBT_Y04" localSheetId="5">#REF!</definedName>
    <definedName name="_T_PLN_PBT_Y04" localSheetId="24">#REF!</definedName>
    <definedName name="_T_PLN_PBT_Y04">#REF!</definedName>
    <definedName name="_T_PLN_PBT_Y05" localSheetId="5">#REF!</definedName>
    <definedName name="_T_PLN_PBT_Y05" localSheetId="24">#REF!</definedName>
    <definedName name="_T_PLN_PBT_Y05">#REF!</definedName>
    <definedName name="_T_PLN_PBT_Y06" localSheetId="5">#REF!</definedName>
    <definedName name="_T_PLN_PBT_Y06" localSheetId="24">#REF!</definedName>
    <definedName name="_T_PLN_PBT_Y06">#REF!</definedName>
    <definedName name="_T_PLN_PBT_Y07" localSheetId="5">#REF!</definedName>
    <definedName name="_T_PLN_PBT_Y07" localSheetId="24">#REF!</definedName>
    <definedName name="_T_PLN_PBT_Y07">#REF!</definedName>
    <definedName name="_T_PLN_PBT_Y08" localSheetId="5">#REF!</definedName>
    <definedName name="_T_PLN_PBT_Y08" localSheetId="24">#REF!</definedName>
    <definedName name="_T_PLN_PBT_Y08">#REF!</definedName>
    <definedName name="_T_PLN_PBT_Y92" localSheetId="5">#REF!</definedName>
    <definedName name="_T_PLN_PBT_Y92" localSheetId="24">#REF!</definedName>
    <definedName name="_T_PLN_PBT_Y92">#REF!</definedName>
    <definedName name="_T_PLN_PBT_Y93" localSheetId="5">#REF!</definedName>
    <definedName name="_T_PLN_PBT_Y93" localSheetId="24">#REF!</definedName>
    <definedName name="_T_PLN_PBT_Y93">#REF!</definedName>
    <definedName name="_T_PLN_PBT_Y94" localSheetId="5">#REF!</definedName>
    <definedName name="_T_PLN_PBT_Y94" localSheetId="24">#REF!</definedName>
    <definedName name="_T_PLN_PBT_Y94">#REF!</definedName>
    <definedName name="_T_PLN_PBT_Y95" localSheetId="5">#REF!</definedName>
    <definedName name="_T_PLN_PBT_Y95" localSheetId="24">#REF!</definedName>
    <definedName name="_T_PLN_PBT_Y95">#REF!</definedName>
    <definedName name="_T_PLN_PBT_Y96" localSheetId="5">#REF!</definedName>
    <definedName name="_T_PLN_PBT_Y96" localSheetId="24">#REF!</definedName>
    <definedName name="_T_PLN_PBT_Y96">#REF!</definedName>
    <definedName name="_T_PLN_PBT_Y97" localSheetId="5">#REF!</definedName>
    <definedName name="_T_PLN_PBT_Y97" localSheetId="24">#REF!</definedName>
    <definedName name="_T_PLN_PBT_Y97">#REF!</definedName>
    <definedName name="_T_PLN_PBT_Y98" localSheetId="5">#REF!</definedName>
    <definedName name="_T_PLN_PBT_Y98" localSheetId="24">#REF!</definedName>
    <definedName name="_T_PLN_PBT_Y98">#REF!</definedName>
    <definedName name="_T_PLN_PBT_Y99" localSheetId="5">#REF!</definedName>
    <definedName name="_T_PLN_PBT_Y99" localSheetId="24">#REF!</definedName>
    <definedName name="_T_PLN_PBT_Y99">#REF!</definedName>
    <definedName name="_T_PLN_PREF_SUM_Y00" localSheetId="5">#REF!</definedName>
    <definedName name="_T_PLN_PREF_SUM_Y00" localSheetId="24">#REF!</definedName>
    <definedName name="_T_PLN_PREF_SUM_Y00">#REF!</definedName>
    <definedName name="_T_PLN_PREF_SUM_Y01" localSheetId="5">#REF!</definedName>
    <definedName name="_T_PLN_PREF_SUM_Y01" localSheetId="24">#REF!</definedName>
    <definedName name="_T_PLN_PREF_SUM_Y01">#REF!</definedName>
    <definedName name="_T_PLN_PREF_SUM_Y02" localSheetId="5">#REF!</definedName>
    <definedName name="_T_PLN_PREF_SUM_Y02" localSheetId="24">#REF!</definedName>
    <definedName name="_T_PLN_PREF_SUM_Y02">#REF!</definedName>
    <definedName name="_T_PLN_PREF_SUM_Y03" localSheetId="5">#REF!</definedName>
    <definedName name="_T_PLN_PREF_SUM_Y03" localSheetId="24">#REF!</definedName>
    <definedName name="_T_PLN_PREF_SUM_Y03">#REF!</definedName>
    <definedName name="_T_PLN_PREF_SUM_Y04" localSheetId="5">#REF!</definedName>
    <definedName name="_T_PLN_PREF_SUM_Y04" localSheetId="24">#REF!</definedName>
    <definedName name="_T_PLN_PREF_SUM_Y04">#REF!</definedName>
    <definedName name="_T_PLN_PREF_SUM_Y05" localSheetId="5">#REF!</definedName>
    <definedName name="_T_PLN_PREF_SUM_Y05" localSheetId="24">#REF!</definedName>
    <definedName name="_T_PLN_PREF_SUM_Y05">#REF!</definedName>
    <definedName name="_T_PLN_PREF_SUM_Y06" localSheetId="5">#REF!</definedName>
    <definedName name="_T_PLN_PREF_SUM_Y06" localSheetId="24">#REF!</definedName>
    <definedName name="_T_PLN_PREF_SUM_Y06">#REF!</definedName>
    <definedName name="_T_PLN_PREF_SUM_Y07" localSheetId="5">#REF!</definedName>
    <definedName name="_T_PLN_PREF_SUM_Y07" localSheetId="24">#REF!</definedName>
    <definedName name="_T_PLN_PREF_SUM_Y07">#REF!</definedName>
    <definedName name="_T_PLN_PREF_SUM_Y08" localSheetId="5">#REF!</definedName>
    <definedName name="_T_PLN_PREF_SUM_Y08" localSheetId="24">#REF!</definedName>
    <definedName name="_T_PLN_PREF_SUM_Y08">#REF!</definedName>
    <definedName name="_T_PLN_PREF_SUM_Y92" localSheetId="5">#REF!</definedName>
    <definedName name="_T_PLN_PREF_SUM_Y92" localSheetId="24">#REF!</definedName>
    <definedName name="_T_PLN_PREF_SUM_Y92">#REF!</definedName>
    <definedName name="_T_PLN_PREF_SUM_Y93" localSheetId="5">#REF!</definedName>
    <definedName name="_T_PLN_PREF_SUM_Y93" localSheetId="24">#REF!</definedName>
    <definedName name="_T_PLN_PREF_SUM_Y93">#REF!</definedName>
    <definedName name="_T_PLN_PREF_SUM_Y94" localSheetId="5">#REF!</definedName>
    <definedName name="_T_PLN_PREF_SUM_Y94" localSheetId="24">#REF!</definedName>
    <definedName name="_T_PLN_PREF_SUM_Y94">#REF!</definedName>
    <definedName name="_T_PLN_PREF_SUM_Y95" localSheetId="5">#REF!</definedName>
    <definedName name="_T_PLN_PREF_SUM_Y95" localSheetId="24">#REF!</definedName>
    <definedName name="_T_PLN_PREF_SUM_Y95">#REF!</definedName>
    <definedName name="_T_PLN_PREF_SUM_Y96" localSheetId="5">#REF!</definedName>
    <definedName name="_T_PLN_PREF_SUM_Y96" localSheetId="24">#REF!</definedName>
    <definedName name="_T_PLN_PREF_SUM_Y96">#REF!</definedName>
    <definedName name="_T_PLN_PREF_SUM_Y97" localSheetId="5">#REF!</definedName>
    <definedName name="_T_PLN_PREF_SUM_Y97" localSheetId="24">#REF!</definedName>
    <definedName name="_T_PLN_PREF_SUM_Y97">#REF!</definedName>
    <definedName name="_T_PLN_PREF_SUM_Y98" localSheetId="5">#REF!</definedName>
    <definedName name="_T_PLN_PREF_SUM_Y98" localSheetId="24">#REF!</definedName>
    <definedName name="_T_PLN_PREF_SUM_Y98">#REF!</definedName>
    <definedName name="_T_PLN_PREF_SUM_Y99" localSheetId="5">#REF!</definedName>
    <definedName name="_T_PLN_PREF_SUM_Y99" localSheetId="24">#REF!</definedName>
    <definedName name="_T_PLN_PREF_SUM_Y99">#REF!</definedName>
    <definedName name="_T_PLN_PROFITDISTR_Y00" localSheetId="5">#REF!</definedName>
    <definedName name="_T_PLN_PROFITDISTR_Y00" localSheetId="24">#REF!</definedName>
    <definedName name="_T_PLN_PROFITDISTR_Y00">#REF!</definedName>
    <definedName name="_T_PLN_PROFITDISTR_Y01" localSheetId="5">#REF!</definedName>
    <definedName name="_T_PLN_PROFITDISTR_Y01" localSheetId="24">#REF!</definedName>
    <definedName name="_T_PLN_PROFITDISTR_Y01">#REF!</definedName>
    <definedName name="_T_PLN_PROFITDISTR_Y02" localSheetId="5">#REF!</definedName>
    <definedName name="_T_PLN_PROFITDISTR_Y02" localSheetId="24">#REF!</definedName>
    <definedName name="_T_PLN_PROFITDISTR_Y02">#REF!</definedName>
    <definedName name="_T_PLN_PROFITDISTR_Y90" localSheetId="5">#REF!</definedName>
    <definedName name="_T_PLN_PROFITDISTR_Y90" localSheetId="24">#REF!</definedName>
    <definedName name="_T_PLN_PROFITDISTR_Y90">#REF!</definedName>
    <definedName name="_T_PLN_PROFITDISTR_Y91" localSheetId="5">#REF!</definedName>
    <definedName name="_T_PLN_PROFITDISTR_Y91" localSheetId="24">#REF!</definedName>
    <definedName name="_T_PLN_PROFITDISTR_Y91">#REF!</definedName>
    <definedName name="_T_PLN_PROFITDISTR_Y92" localSheetId="5">#REF!</definedName>
    <definedName name="_T_PLN_PROFITDISTR_Y92" localSheetId="24">#REF!</definedName>
    <definedName name="_T_PLN_PROFITDISTR_Y92">#REF!</definedName>
    <definedName name="_T_PLN_PROFITDISTR_Y93" localSheetId="5">#REF!</definedName>
    <definedName name="_T_PLN_PROFITDISTR_Y93" localSheetId="24">#REF!</definedName>
    <definedName name="_T_PLN_PROFITDISTR_Y93">#REF!</definedName>
    <definedName name="_T_PLN_PROFITDISTR_Y94" localSheetId="5">#REF!</definedName>
    <definedName name="_T_PLN_PROFITDISTR_Y94" localSheetId="24">#REF!</definedName>
    <definedName name="_T_PLN_PROFITDISTR_Y94">#REF!</definedName>
    <definedName name="_T_PLN_PROFITDISTR_Y95" localSheetId="5">#REF!</definedName>
    <definedName name="_T_PLN_PROFITDISTR_Y95" localSheetId="24">#REF!</definedName>
    <definedName name="_T_PLN_PROFITDISTR_Y95">#REF!</definedName>
    <definedName name="_T_PLN_PROFITDISTR_Y96" localSheetId="5">#REF!</definedName>
    <definedName name="_T_PLN_PROFITDISTR_Y96" localSheetId="24">#REF!</definedName>
    <definedName name="_T_PLN_PROFITDISTR_Y96">#REF!</definedName>
    <definedName name="_T_PLN_PROFITDISTR_Y97" localSheetId="5">#REF!</definedName>
    <definedName name="_T_PLN_PROFITDISTR_Y97" localSheetId="24">#REF!</definedName>
    <definedName name="_T_PLN_PROFITDISTR_Y97">#REF!</definedName>
    <definedName name="_T_PLN_PROFITDISTR_Y98" localSheetId="5">#REF!</definedName>
    <definedName name="_T_PLN_PROFITDISTR_Y98" localSheetId="24">#REF!</definedName>
    <definedName name="_T_PLN_PROFITDISTR_Y98">#REF!</definedName>
    <definedName name="_T_PLN_PROFITDISTR_Y99" localSheetId="5">#REF!</definedName>
    <definedName name="_T_PLN_PROFITDISTR_Y99" localSheetId="24">#REF!</definedName>
    <definedName name="_T_PLN_PROFITDISTR_Y99">#REF!</definedName>
    <definedName name="_T_PLN_PROV_Y00" localSheetId="5">#REF!</definedName>
    <definedName name="_T_PLN_PROV_Y00" localSheetId="24">#REF!</definedName>
    <definedName name="_T_PLN_PROV_Y00">#REF!</definedName>
    <definedName name="_T_PLN_PROV_Y01" localSheetId="5">#REF!</definedName>
    <definedName name="_T_PLN_PROV_Y01" localSheetId="24">#REF!</definedName>
    <definedName name="_T_PLN_PROV_Y01">#REF!</definedName>
    <definedName name="_T_PLN_PROV_Y02" localSheetId="5">#REF!</definedName>
    <definedName name="_T_PLN_PROV_Y02" localSheetId="24">#REF!</definedName>
    <definedName name="_T_PLN_PROV_Y02">#REF!</definedName>
    <definedName name="_T_PLN_PROV_Y03" localSheetId="5">#REF!</definedName>
    <definedName name="_T_PLN_PROV_Y03" localSheetId="24">#REF!</definedName>
    <definedName name="_T_PLN_PROV_Y03">#REF!</definedName>
    <definedName name="_T_PLN_PROV_Y04" localSheetId="5">#REF!</definedName>
    <definedName name="_T_PLN_PROV_Y04" localSheetId="24">#REF!</definedName>
    <definedName name="_T_PLN_PROV_Y04">#REF!</definedName>
    <definedName name="_T_PLN_PROV_Y05" localSheetId="5">#REF!</definedName>
    <definedName name="_T_PLN_PROV_Y05" localSheetId="24">#REF!</definedName>
    <definedName name="_T_PLN_PROV_Y05">#REF!</definedName>
    <definedName name="_T_PLN_PROV_Y06" localSheetId="5">#REF!</definedName>
    <definedName name="_T_PLN_PROV_Y06" localSheetId="24">#REF!</definedName>
    <definedName name="_T_PLN_PROV_Y06">#REF!</definedName>
    <definedName name="_T_PLN_PROV_Y07" localSheetId="5">#REF!</definedName>
    <definedName name="_T_PLN_PROV_Y07" localSheetId="24">#REF!</definedName>
    <definedName name="_T_PLN_PROV_Y07">#REF!</definedName>
    <definedName name="_T_PLN_PROV_Y08" localSheetId="5">#REF!</definedName>
    <definedName name="_T_PLN_PROV_Y08" localSheetId="24">#REF!</definedName>
    <definedName name="_T_PLN_PROV_Y08">#REF!</definedName>
    <definedName name="_T_PLN_PROV_Y92" localSheetId="5">#REF!</definedName>
    <definedName name="_T_PLN_PROV_Y92" localSheetId="24">#REF!</definedName>
    <definedName name="_T_PLN_PROV_Y92">#REF!</definedName>
    <definedName name="_T_PLN_PROV_Y93" localSheetId="5">#REF!</definedName>
    <definedName name="_T_PLN_PROV_Y93" localSheetId="24">#REF!</definedName>
    <definedName name="_T_PLN_PROV_Y93">#REF!</definedName>
    <definedName name="_T_PLN_PROV_Y94" localSheetId="5">#REF!</definedName>
    <definedName name="_T_PLN_PROV_Y94" localSheetId="24">#REF!</definedName>
    <definedName name="_T_PLN_PROV_Y94">#REF!</definedName>
    <definedName name="_T_PLN_PROV_Y95" localSheetId="5">#REF!</definedName>
    <definedName name="_T_PLN_PROV_Y95" localSheetId="24">#REF!</definedName>
    <definedName name="_T_PLN_PROV_Y95">#REF!</definedName>
    <definedName name="_T_PLN_PROV_Y96" localSheetId="5">#REF!</definedName>
    <definedName name="_T_PLN_PROV_Y96" localSheetId="24">#REF!</definedName>
    <definedName name="_T_PLN_PROV_Y96">#REF!</definedName>
    <definedName name="_T_PLN_PROV_Y97" localSheetId="5">#REF!</definedName>
    <definedName name="_T_PLN_PROV_Y97" localSheetId="24">#REF!</definedName>
    <definedName name="_T_PLN_PROV_Y97">#REF!</definedName>
    <definedName name="_T_PLN_PROV_Y98" localSheetId="5">#REF!</definedName>
    <definedName name="_T_PLN_PROV_Y98" localSheetId="24">#REF!</definedName>
    <definedName name="_T_PLN_PROV_Y98">#REF!</definedName>
    <definedName name="_T_PLN_PROV_Y99" localSheetId="5">#REF!</definedName>
    <definedName name="_T_PLN_PROV_Y99" localSheetId="24">#REF!</definedName>
    <definedName name="_T_PLN_PROV_Y99">#REF!</definedName>
    <definedName name="_T_PLN_RD_Y00" localSheetId="5">#REF!</definedName>
    <definedName name="_T_PLN_RD_Y00" localSheetId="24">#REF!</definedName>
    <definedName name="_T_PLN_RD_Y00">#REF!</definedName>
    <definedName name="_T_PLN_RD_Y01" localSheetId="5">#REF!</definedName>
    <definedName name="_T_PLN_RD_Y01" localSheetId="24">#REF!</definedName>
    <definedName name="_T_PLN_RD_Y01">#REF!</definedName>
    <definedName name="_T_PLN_RD_Y02" localSheetId="5">#REF!</definedName>
    <definedName name="_T_PLN_RD_Y02" localSheetId="24">#REF!</definedName>
    <definedName name="_T_PLN_RD_Y02">#REF!</definedName>
    <definedName name="_T_PLN_RD_Y03" localSheetId="5">#REF!</definedName>
    <definedName name="_T_PLN_RD_Y03" localSheetId="24">#REF!</definedName>
    <definedName name="_T_PLN_RD_Y03">#REF!</definedName>
    <definedName name="_T_PLN_RD_Y04" localSheetId="5">#REF!</definedName>
    <definedName name="_T_PLN_RD_Y04" localSheetId="24">#REF!</definedName>
    <definedName name="_T_PLN_RD_Y04">#REF!</definedName>
    <definedName name="_T_PLN_RD_Y05" localSheetId="5">#REF!</definedName>
    <definedName name="_T_PLN_RD_Y05" localSheetId="24">#REF!</definedName>
    <definedName name="_T_PLN_RD_Y05">#REF!</definedName>
    <definedName name="_T_PLN_RD_Y06" localSheetId="5">#REF!</definedName>
    <definedName name="_T_PLN_RD_Y06" localSheetId="24">#REF!</definedName>
    <definedName name="_T_PLN_RD_Y06">#REF!</definedName>
    <definedName name="_T_PLN_RD_Y07" localSheetId="5">#REF!</definedName>
    <definedName name="_T_PLN_RD_Y07" localSheetId="24">#REF!</definedName>
    <definedName name="_T_PLN_RD_Y07">#REF!</definedName>
    <definedName name="_T_PLN_RD_Y08" localSheetId="5">#REF!</definedName>
    <definedName name="_T_PLN_RD_Y08" localSheetId="24">#REF!</definedName>
    <definedName name="_T_PLN_RD_Y08">#REF!</definedName>
    <definedName name="_T_PLN_RD_Y92" localSheetId="5">#REF!</definedName>
    <definedName name="_T_PLN_RD_Y92" localSheetId="24">#REF!</definedName>
    <definedName name="_T_PLN_RD_Y92">#REF!</definedName>
    <definedName name="_T_PLN_RD_Y93" localSheetId="5">#REF!</definedName>
    <definedName name="_T_PLN_RD_Y93" localSheetId="24">#REF!</definedName>
    <definedName name="_T_PLN_RD_Y93">#REF!</definedName>
    <definedName name="_T_PLN_RD_Y94" localSheetId="5">#REF!</definedName>
    <definedName name="_T_PLN_RD_Y94" localSheetId="24">#REF!</definedName>
    <definedName name="_T_PLN_RD_Y94">#REF!</definedName>
    <definedName name="_T_PLN_RD_Y95" localSheetId="5">#REF!</definedName>
    <definedName name="_T_PLN_RD_Y95" localSheetId="24">#REF!</definedName>
    <definedName name="_T_PLN_RD_Y95">#REF!</definedName>
    <definedName name="_T_PLN_RD_Y96" localSheetId="5">#REF!</definedName>
    <definedName name="_T_PLN_RD_Y96" localSheetId="24">#REF!</definedName>
    <definedName name="_T_PLN_RD_Y96">#REF!</definedName>
    <definedName name="_T_PLN_RD_Y97" localSheetId="5">#REF!</definedName>
    <definedName name="_T_PLN_RD_Y97" localSheetId="24">#REF!</definedName>
    <definedName name="_T_PLN_RD_Y97">#REF!</definedName>
    <definedName name="_T_PLN_RD_Y98" localSheetId="5">#REF!</definedName>
    <definedName name="_T_PLN_RD_Y98" localSheetId="24">#REF!</definedName>
    <definedName name="_T_PLN_RD_Y98">#REF!</definedName>
    <definedName name="_T_PLN_RD_Y99" localSheetId="5">#REF!</definedName>
    <definedName name="_T_PLN_RD_Y99" localSheetId="24">#REF!</definedName>
    <definedName name="_T_PLN_RD_Y99">#REF!</definedName>
    <definedName name="_T_PLN_REPPROFIT_Y00" localSheetId="5">#REF!</definedName>
    <definedName name="_T_PLN_REPPROFIT_Y00" localSheetId="24">#REF!</definedName>
    <definedName name="_T_PLN_REPPROFIT_Y00">#REF!</definedName>
    <definedName name="_T_PLN_REPPROFIT_Y01" localSheetId="5">#REF!</definedName>
    <definedName name="_T_PLN_REPPROFIT_Y01" localSheetId="24">#REF!</definedName>
    <definedName name="_T_PLN_REPPROFIT_Y01">#REF!</definedName>
    <definedName name="_T_PLN_REPPROFIT_Y02" localSheetId="5">#REF!</definedName>
    <definedName name="_T_PLN_REPPROFIT_Y02" localSheetId="24">#REF!</definedName>
    <definedName name="_T_PLN_REPPROFIT_Y02">#REF!</definedName>
    <definedName name="_T_PLN_REPPROFIT_Y90" localSheetId="5">#REF!</definedName>
    <definedName name="_T_PLN_REPPROFIT_Y90" localSheetId="24">#REF!</definedName>
    <definedName name="_T_PLN_REPPROFIT_Y90">#REF!</definedName>
    <definedName name="_T_PLN_REPPROFIT_Y91" localSheetId="5">#REF!</definedName>
    <definedName name="_T_PLN_REPPROFIT_Y91" localSheetId="24">#REF!</definedName>
    <definedName name="_T_PLN_REPPROFIT_Y91">#REF!</definedName>
    <definedName name="_T_PLN_REPPROFIT_Y92" localSheetId="5">#REF!</definedName>
    <definedName name="_T_PLN_REPPROFIT_Y92" localSheetId="24">#REF!</definedName>
    <definedName name="_T_PLN_REPPROFIT_Y92">#REF!</definedName>
    <definedName name="_T_PLN_REPPROFIT_Y93" localSheetId="5">#REF!</definedName>
    <definedName name="_T_PLN_REPPROFIT_Y93" localSheetId="24">#REF!</definedName>
    <definedName name="_T_PLN_REPPROFIT_Y93">#REF!</definedName>
    <definedName name="_T_PLN_REPPROFIT_Y94" localSheetId="5">#REF!</definedName>
    <definedName name="_T_PLN_REPPROFIT_Y94" localSheetId="24">#REF!</definedName>
    <definedName name="_T_PLN_REPPROFIT_Y94">#REF!</definedName>
    <definedName name="_T_PLN_REPPROFIT_Y95" localSheetId="5">#REF!</definedName>
    <definedName name="_T_PLN_REPPROFIT_Y95" localSheetId="24">#REF!</definedName>
    <definedName name="_T_PLN_REPPROFIT_Y95">#REF!</definedName>
    <definedName name="_T_PLN_REPPROFIT_Y96" localSheetId="5">#REF!</definedName>
    <definedName name="_T_PLN_REPPROFIT_Y96" localSheetId="24">#REF!</definedName>
    <definedName name="_T_PLN_REPPROFIT_Y96">#REF!</definedName>
    <definedName name="_T_PLN_REPPROFIT_Y97" localSheetId="5">#REF!</definedName>
    <definedName name="_T_PLN_REPPROFIT_Y97" localSheetId="24">#REF!</definedName>
    <definedName name="_T_PLN_REPPROFIT_Y97">#REF!</definedName>
    <definedName name="_T_PLN_REPPROFIT_Y98" localSheetId="5">#REF!</definedName>
    <definedName name="_T_PLN_REPPROFIT_Y98" localSheetId="24">#REF!</definedName>
    <definedName name="_T_PLN_REPPROFIT_Y98">#REF!</definedName>
    <definedName name="_T_PLN_REPPROFIT_Y99" localSheetId="5">#REF!</definedName>
    <definedName name="_T_PLN_REPPROFIT_Y99" localSheetId="24">#REF!</definedName>
    <definedName name="_T_PLN_REPPROFIT_Y99">#REF!</definedName>
    <definedName name="_T_PLN_REV_OTHER_Y00" localSheetId="5">#REF!</definedName>
    <definedName name="_T_PLN_REV_OTHER_Y00" localSheetId="24">#REF!</definedName>
    <definedName name="_T_PLN_REV_OTHER_Y00">#REF!</definedName>
    <definedName name="_T_PLN_REV_OTHER_Y01" localSheetId="5">#REF!</definedName>
    <definedName name="_T_PLN_REV_OTHER_Y01" localSheetId="24">#REF!</definedName>
    <definedName name="_T_PLN_REV_OTHER_Y01">#REF!</definedName>
    <definedName name="_T_PLN_REV_OTHER_Y02" localSheetId="5">#REF!</definedName>
    <definedName name="_T_PLN_REV_OTHER_Y02" localSheetId="24">#REF!</definedName>
    <definedName name="_T_PLN_REV_OTHER_Y02">#REF!</definedName>
    <definedName name="_T_PLN_REV_OTHER_Y03" localSheetId="5">#REF!</definedName>
    <definedName name="_T_PLN_REV_OTHER_Y03" localSheetId="24">#REF!</definedName>
    <definedName name="_T_PLN_REV_OTHER_Y03">#REF!</definedName>
    <definedName name="_T_PLN_REV_OTHER_Y04" localSheetId="5">#REF!</definedName>
    <definedName name="_T_PLN_REV_OTHER_Y04" localSheetId="24">#REF!</definedName>
    <definedName name="_T_PLN_REV_OTHER_Y04">#REF!</definedName>
    <definedName name="_T_PLN_REV_OTHER_Y05" localSheetId="5">#REF!</definedName>
    <definedName name="_T_PLN_REV_OTHER_Y05" localSheetId="24">#REF!</definedName>
    <definedName name="_T_PLN_REV_OTHER_Y05">#REF!</definedName>
    <definedName name="_T_PLN_REV_OTHER_Y06" localSheetId="5">#REF!</definedName>
    <definedName name="_T_PLN_REV_OTHER_Y06" localSheetId="24">#REF!</definedName>
    <definedName name="_T_PLN_REV_OTHER_Y06">#REF!</definedName>
    <definedName name="_T_PLN_REV_OTHER_Y07" localSheetId="5">#REF!</definedName>
    <definedName name="_T_PLN_REV_OTHER_Y07" localSheetId="24">#REF!</definedName>
    <definedName name="_T_PLN_REV_OTHER_Y07">#REF!</definedName>
    <definedName name="_T_PLN_REV_OTHER_Y08" localSheetId="5">#REF!</definedName>
    <definedName name="_T_PLN_REV_OTHER_Y08" localSheetId="24">#REF!</definedName>
    <definedName name="_T_PLN_REV_OTHER_Y08">#REF!</definedName>
    <definedName name="_T_PLN_REV_OTHER_Y92" localSheetId="5">#REF!</definedName>
    <definedName name="_T_PLN_REV_OTHER_Y92" localSheetId="24">#REF!</definedName>
    <definedName name="_T_PLN_REV_OTHER_Y92">#REF!</definedName>
    <definedName name="_T_PLN_REV_OTHER_Y93" localSheetId="5">#REF!</definedName>
    <definedName name="_T_PLN_REV_OTHER_Y93" localSheetId="24">#REF!</definedName>
    <definedName name="_T_PLN_REV_OTHER_Y93">#REF!</definedName>
    <definedName name="_T_PLN_REV_OTHER_Y94" localSheetId="5">#REF!</definedName>
    <definedName name="_T_PLN_REV_OTHER_Y94" localSheetId="24">#REF!</definedName>
    <definedName name="_T_PLN_REV_OTHER_Y94">#REF!</definedName>
    <definedName name="_T_PLN_REV_OTHER_Y95" localSheetId="5">#REF!</definedName>
    <definedName name="_T_PLN_REV_OTHER_Y95" localSheetId="24">#REF!</definedName>
    <definedName name="_T_PLN_REV_OTHER_Y95">#REF!</definedName>
    <definedName name="_T_PLN_REV_OTHER_Y96" localSheetId="5">#REF!</definedName>
    <definedName name="_T_PLN_REV_OTHER_Y96" localSheetId="24">#REF!</definedName>
    <definedName name="_T_PLN_REV_OTHER_Y96">#REF!</definedName>
    <definedName name="_T_PLN_REV_OTHER_Y97" localSheetId="5">#REF!</definedName>
    <definedName name="_T_PLN_REV_OTHER_Y97" localSheetId="24">#REF!</definedName>
    <definedName name="_T_PLN_REV_OTHER_Y97">#REF!</definedName>
    <definedName name="_T_PLN_REV_OTHER_Y98" localSheetId="5">#REF!</definedName>
    <definedName name="_T_PLN_REV_OTHER_Y98" localSheetId="24">#REF!</definedName>
    <definedName name="_T_PLN_REV_OTHER_Y98">#REF!</definedName>
    <definedName name="_T_PLN_REV_OTHER_Y99" localSheetId="5">#REF!</definedName>
    <definedName name="_T_PLN_REV_OTHER_Y99" localSheetId="24">#REF!</definedName>
    <definedName name="_T_PLN_REV_OTHER_Y99">#REF!</definedName>
    <definedName name="_T_PLN_REV_SUM_Y00" localSheetId="5">#REF!</definedName>
    <definedName name="_T_PLN_REV_SUM_Y00" localSheetId="24">#REF!</definedName>
    <definedName name="_T_PLN_REV_SUM_Y00">#REF!</definedName>
    <definedName name="_T_PLN_REV_SUM_Y01" localSheetId="5">#REF!</definedName>
    <definedName name="_T_PLN_REV_SUM_Y01" localSheetId="24">#REF!</definedName>
    <definedName name="_T_PLN_REV_SUM_Y01">#REF!</definedName>
    <definedName name="_T_PLN_REV_SUM_Y02" localSheetId="5">#REF!</definedName>
    <definedName name="_T_PLN_REV_SUM_Y02" localSheetId="24">#REF!</definedName>
    <definedName name="_T_PLN_REV_SUM_Y02">#REF!</definedName>
    <definedName name="_T_PLN_REV_SUM_Y90" localSheetId="5">#REF!</definedName>
    <definedName name="_T_PLN_REV_SUM_Y90" localSheetId="24">#REF!</definedName>
    <definedName name="_T_PLN_REV_SUM_Y90">#REF!</definedName>
    <definedName name="_T_PLN_REV_SUM_Y91" localSheetId="5">#REF!</definedName>
    <definedName name="_T_PLN_REV_SUM_Y91" localSheetId="24">#REF!</definedName>
    <definedName name="_T_PLN_REV_SUM_Y91">#REF!</definedName>
    <definedName name="_T_PLN_REV_SUM_Y92" localSheetId="5">#REF!</definedName>
    <definedName name="_T_PLN_REV_SUM_Y92" localSheetId="24">#REF!</definedName>
    <definedName name="_T_PLN_REV_SUM_Y92">#REF!</definedName>
    <definedName name="_T_PLN_REV_SUM_Y93" localSheetId="5">#REF!</definedName>
    <definedName name="_T_PLN_REV_SUM_Y93" localSheetId="24">#REF!</definedName>
    <definedName name="_T_PLN_REV_SUM_Y93">#REF!</definedName>
    <definedName name="_T_PLN_REV_SUM_Y94" localSheetId="5">#REF!</definedName>
    <definedName name="_T_PLN_REV_SUM_Y94" localSheetId="24">#REF!</definedName>
    <definedName name="_T_PLN_REV_SUM_Y94">#REF!</definedName>
    <definedName name="_T_PLN_REV_SUM_Y95" localSheetId="5">#REF!</definedName>
    <definedName name="_T_PLN_REV_SUM_Y95" localSheetId="24">#REF!</definedName>
    <definedName name="_T_PLN_REV_SUM_Y95">#REF!</definedName>
    <definedName name="_T_PLN_REV_SUM_Y96" localSheetId="5">#REF!</definedName>
    <definedName name="_T_PLN_REV_SUM_Y96" localSheetId="24">#REF!</definedName>
    <definedName name="_T_PLN_REV_SUM_Y96">#REF!</definedName>
    <definedName name="_T_PLN_REV_SUM_Y97" localSheetId="5">#REF!</definedName>
    <definedName name="_T_PLN_REV_SUM_Y97" localSheetId="24">#REF!</definedName>
    <definedName name="_T_PLN_REV_SUM_Y97">#REF!</definedName>
    <definedName name="_T_PLN_REV_SUM_Y98" localSheetId="5">#REF!</definedName>
    <definedName name="_T_PLN_REV_SUM_Y98" localSheetId="24">#REF!</definedName>
    <definedName name="_T_PLN_REV_SUM_Y98">#REF!</definedName>
    <definedName name="_T_PLN_REV_SUM_Y99" localSheetId="5">#REF!</definedName>
    <definedName name="_T_PLN_REV_SUM_Y99" localSheetId="24">#REF!</definedName>
    <definedName name="_T_PLN_REV_SUM_Y99">#REF!</definedName>
    <definedName name="_T_PLN_ROYAL_Y00" localSheetId="5">#REF!</definedName>
    <definedName name="_T_PLN_ROYAL_Y00" localSheetId="24">#REF!</definedName>
    <definedName name="_T_PLN_ROYAL_Y00">#REF!</definedName>
    <definedName name="_T_PLN_ROYAL_Y01" localSheetId="5">#REF!</definedName>
    <definedName name="_T_PLN_ROYAL_Y01" localSheetId="24">#REF!</definedName>
    <definedName name="_T_PLN_ROYAL_Y01">#REF!</definedName>
    <definedName name="_T_PLN_ROYAL_Y02" localSheetId="5">#REF!</definedName>
    <definedName name="_T_PLN_ROYAL_Y02" localSheetId="24">#REF!</definedName>
    <definedName name="_T_PLN_ROYAL_Y02">#REF!</definedName>
    <definedName name="_T_PLN_ROYAL_Y03" localSheetId="5">#REF!</definedName>
    <definedName name="_T_PLN_ROYAL_Y03" localSheetId="24">#REF!</definedName>
    <definedName name="_T_PLN_ROYAL_Y03">#REF!</definedName>
    <definedName name="_T_PLN_ROYAL_Y90" localSheetId="5">#REF!</definedName>
    <definedName name="_T_PLN_ROYAL_Y90" localSheetId="24">#REF!</definedName>
    <definedName name="_T_PLN_ROYAL_Y90">#REF!</definedName>
    <definedName name="_T_PLN_ROYAL_Y91" localSheetId="5">#REF!</definedName>
    <definedName name="_T_PLN_ROYAL_Y91" localSheetId="24">#REF!</definedName>
    <definedName name="_T_PLN_ROYAL_Y91">#REF!</definedName>
    <definedName name="_T_PLN_ROYAL_Y92" localSheetId="5">#REF!</definedName>
    <definedName name="_T_PLN_ROYAL_Y92" localSheetId="24">#REF!</definedName>
    <definedName name="_T_PLN_ROYAL_Y92">#REF!</definedName>
    <definedName name="_T_PLN_ROYAL_Y93" localSheetId="5">#REF!</definedName>
    <definedName name="_T_PLN_ROYAL_Y93" localSheetId="24">#REF!</definedName>
    <definedName name="_T_PLN_ROYAL_Y93">#REF!</definedName>
    <definedName name="_T_PLN_ROYAL_Y94" localSheetId="5">#REF!</definedName>
    <definedName name="_T_PLN_ROYAL_Y94" localSheetId="24">#REF!</definedName>
    <definedName name="_T_PLN_ROYAL_Y94">#REF!</definedName>
    <definedName name="_T_PLN_ROYAL_Y95" localSheetId="5">#REF!</definedName>
    <definedName name="_T_PLN_ROYAL_Y95" localSheetId="24">#REF!</definedName>
    <definedName name="_T_PLN_ROYAL_Y95">#REF!</definedName>
    <definedName name="_T_PLN_ROYAL_Y96" localSheetId="5">#REF!</definedName>
    <definedName name="_T_PLN_ROYAL_Y96" localSheetId="24">#REF!</definedName>
    <definedName name="_T_PLN_ROYAL_Y96">#REF!</definedName>
    <definedName name="_T_PLN_ROYAL_Y97" localSheetId="5">#REF!</definedName>
    <definedName name="_T_PLN_ROYAL_Y97" localSheetId="24">#REF!</definedName>
    <definedName name="_T_PLN_ROYAL_Y97">#REF!</definedName>
    <definedName name="_T_PLN_ROYAL_Y98" localSheetId="5">#REF!</definedName>
    <definedName name="_T_PLN_ROYAL_Y98" localSheetId="24">#REF!</definedName>
    <definedName name="_T_PLN_ROYAL_Y98">#REF!</definedName>
    <definedName name="_T_PLN_ROYAL_Y99" localSheetId="5">#REF!</definedName>
    <definedName name="_T_PLN_ROYAL_Y99" localSheetId="24">#REF!</definedName>
    <definedName name="_T_PLN_ROYAL_Y99">#REF!</definedName>
    <definedName name="_T_PLN_RTRANS_Y00" localSheetId="5">#REF!</definedName>
    <definedName name="_T_PLN_RTRANS_Y00" localSheetId="24">#REF!</definedName>
    <definedName name="_T_PLN_RTRANS_Y00">#REF!</definedName>
    <definedName name="_T_PLN_RTRANS_Y01" localSheetId="5">#REF!</definedName>
    <definedName name="_T_PLN_RTRANS_Y01" localSheetId="24">#REF!</definedName>
    <definedName name="_T_PLN_RTRANS_Y01">#REF!</definedName>
    <definedName name="_T_PLN_RTRANS_Y02" localSheetId="5">#REF!</definedName>
    <definedName name="_T_PLN_RTRANS_Y02" localSheetId="24">#REF!</definedName>
    <definedName name="_T_PLN_RTRANS_Y02">#REF!</definedName>
    <definedName name="_T_PLN_RTRANS_Y03" localSheetId="5">#REF!</definedName>
    <definedName name="_T_PLN_RTRANS_Y03" localSheetId="24">#REF!</definedName>
    <definedName name="_T_PLN_RTRANS_Y03">#REF!</definedName>
    <definedName name="_T_PLN_RTRANS_Y90" localSheetId="5">#REF!</definedName>
    <definedName name="_T_PLN_RTRANS_Y90" localSheetId="24">#REF!</definedName>
    <definedName name="_T_PLN_RTRANS_Y90">#REF!</definedName>
    <definedName name="_T_PLN_RTRANS_Y91" localSheetId="5">#REF!</definedName>
    <definedName name="_T_PLN_RTRANS_Y91" localSheetId="24">#REF!</definedName>
    <definedName name="_T_PLN_RTRANS_Y91">#REF!</definedName>
    <definedName name="_T_PLN_RTRANS_Y92" localSheetId="5">#REF!</definedName>
    <definedName name="_T_PLN_RTRANS_Y92" localSheetId="24">#REF!</definedName>
    <definedName name="_T_PLN_RTRANS_Y92">#REF!</definedName>
    <definedName name="_T_PLN_RTRANS_Y93" localSheetId="5">#REF!</definedName>
    <definedName name="_T_PLN_RTRANS_Y93" localSheetId="24">#REF!</definedName>
    <definedName name="_T_PLN_RTRANS_Y93">#REF!</definedName>
    <definedName name="_T_PLN_RTRANS_Y94" localSheetId="5">#REF!</definedName>
    <definedName name="_T_PLN_RTRANS_Y94" localSheetId="24">#REF!</definedName>
    <definedName name="_T_PLN_RTRANS_Y94">#REF!</definedName>
    <definedName name="_T_PLN_RTRANS_Y95" localSheetId="5">#REF!</definedName>
    <definedName name="_T_PLN_RTRANS_Y95" localSheetId="24">#REF!</definedName>
    <definedName name="_T_PLN_RTRANS_Y95">#REF!</definedName>
    <definedName name="_T_PLN_RTRANS_Y96" localSheetId="5">#REF!</definedName>
    <definedName name="_T_PLN_RTRANS_Y96" localSheetId="24">#REF!</definedName>
    <definedName name="_T_PLN_RTRANS_Y96">#REF!</definedName>
    <definedName name="_T_PLN_RTRANS_Y97" localSheetId="5">#REF!</definedName>
    <definedName name="_T_PLN_RTRANS_Y97" localSheetId="24">#REF!</definedName>
    <definedName name="_T_PLN_RTRANS_Y97">#REF!</definedName>
    <definedName name="_T_PLN_RTRANS_Y98" localSheetId="5">#REF!</definedName>
    <definedName name="_T_PLN_RTRANS_Y98" localSheetId="24">#REF!</definedName>
    <definedName name="_T_PLN_RTRANS_Y98">#REF!</definedName>
    <definedName name="_T_PLN_RTRANS_Y99" localSheetId="5">#REF!</definedName>
    <definedName name="_T_PLN_RTRANS_Y99" localSheetId="24">#REF!</definedName>
    <definedName name="_T_PLN_RTRANS_Y99">#REF!</definedName>
    <definedName name="_T_PLN_SALES_SEG1_Y00" localSheetId="5">#REF!</definedName>
    <definedName name="_T_PLN_SALES_SEG1_Y00" localSheetId="24">#REF!</definedName>
    <definedName name="_T_PLN_SALES_SEG1_Y00">#REF!</definedName>
    <definedName name="_T_PLN_SALES_SEG1_Y01" localSheetId="5">#REF!</definedName>
    <definedName name="_T_PLN_SALES_SEG1_Y01" localSheetId="24">#REF!</definedName>
    <definedName name="_T_PLN_SALES_SEG1_Y01">#REF!</definedName>
    <definedName name="_T_PLN_SALES_SEG1_Y02" localSheetId="5">#REF!</definedName>
    <definedName name="_T_PLN_SALES_SEG1_Y02" localSheetId="24">#REF!</definedName>
    <definedName name="_T_PLN_SALES_SEG1_Y02">#REF!</definedName>
    <definedName name="_T_PLN_SALES_SEG1_Y03" localSheetId="5">#REF!</definedName>
    <definedName name="_T_PLN_SALES_SEG1_Y03" localSheetId="24">#REF!</definedName>
    <definedName name="_T_PLN_SALES_SEG1_Y03">#REF!</definedName>
    <definedName name="_T_PLN_SALES_SEG1_Y04" localSheetId="5">#REF!</definedName>
    <definedName name="_T_PLN_SALES_SEG1_Y04" localSheetId="24">#REF!</definedName>
    <definedName name="_T_PLN_SALES_SEG1_Y04">#REF!</definedName>
    <definedName name="_T_PLN_SALES_SEG1_Y05" localSheetId="5">#REF!</definedName>
    <definedName name="_T_PLN_SALES_SEG1_Y05" localSheetId="24">#REF!</definedName>
    <definedName name="_T_PLN_SALES_SEG1_Y05">#REF!</definedName>
    <definedName name="_T_PLN_SALES_SEG1_Y06" localSheetId="5">#REF!</definedName>
    <definedName name="_T_PLN_SALES_SEG1_Y06" localSheetId="24">#REF!</definedName>
    <definedName name="_T_PLN_SALES_SEG1_Y06">#REF!</definedName>
    <definedName name="_T_PLN_SALES_SEG1_Y07" localSheetId="5">#REF!</definedName>
    <definedName name="_T_PLN_SALES_SEG1_Y07" localSheetId="24">#REF!</definedName>
    <definedName name="_T_PLN_SALES_SEG1_Y07">#REF!</definedName>
    <definedName name="_T_PLN_SALES_SEG1_Y08" localSheetId="5">#REF!</definedName>
    <definedName name="_T_PLN_SALES_SEG1_Y08" localSheetId="24">#REF!</definedName>
    <definedName name="_T_PLN_SALES_SEG1_Y08">#REF!</definedName>
    <definedName name="_T_PLN_SALES_SEG1_Y92" localSheetId="5">#REF!</definedName>
    <definedName name="_T_PLN_SALES_SEG1_Y92" localSheetId="24">#REF!</definedName>
    <definedName name="_T_PLN_SALES_SEG1_Y92">#REF!</definedName>
    <definedName name="_T_PLN_SALES_SEG1_Y93" localSheetId="5">#REF!</definedName>
    <definedName name="_T_PLN_SALES_SEG1_Y93" localSheetId="24">#REF!</definedName>
    <definedName name="_T_PLN_SALES_SEG1_Y93">#REF!</definedName>
    <definedName name="_T_PLN_SALES_SEG1_Y94" localSheetId="5">#REF!</definedName>
    <definedName name="_T_PLN_SALES_SEG1_Y94" localSheetId="24">#REF!</definedName>
    <definedName name="_T_PLN_SALES_SEG1_Y94">#REF!</definedName>
    <definedName name="_T_PLN_SALES_SEG1_Y95" localSheetId="5">#REF!</definedName>
    <definedName name="_T_PLN_SALES_SEG1_Y95" localSheetId="24">#REF!</definedName>
    <definedName name="_T_PLN_SALES_SEG1_Y95">#REF!</definedName>
    <definedName name="_T_PLN_SALES_SEG1_Y96" localSheetId="5">#REF!</definedName>
    <definedName name="_T_PLN_SALES_SEG1_Y96" localSheetId="24">#REF!</definedName>
    <definedName name="_T_PLN_SALES_SEG1_Y96">#REF!</definedName>
    <definedName name="_T_PLN_SALES_SEG1_Y97" localSheetId="5">#REF!</definedName>
    <definedName name="_T_PLN_SALES_SEG1_Y97" localSheetId="24">#REF!</definedName>
    <definedName name="_T_PLN_SALES_SEG1_Y97">#REF!</definedName>
    <definedName name="_T_PLN_SALES_SEG1_Y98" localSheetId="5">#REF!</definedName>
    <definedName name="_T_PLN_SALES_SEG1_Y98" localSheetId="24">#REF!</definedName>
    <definedName name="_T_PLN_SALES_SEG1_Y98">#REF!</definedName>
    <definedName name="_T_PLN_SALES_SEG1_Y99" localSheetId="5">#REF!</definedName>
    <definedName name="_T_PLN_SALES_SEG1_Y99" localSheetId="24">#REF!</definedName>
    <definedName name="_T_PLN_SALES_SEG1_Y99">#REF!</definedName>
    <definedName name="_T_PLN_SALES_SEG2_Y00" localSheetId="5">#REF!</definedName>
    <definedName name="_T_PLN_SALES_SEG2_Y00" localSheetId="24">#REF!</definedName>
    <definedName name="_T_PLN_SALES_SEG2_Y00">#REF!</definedName>
    <definedName name="_T_PLN_SALES_SEG2_Y01" localSheetId="5">#REF!</definedName>
    <definedName name="_T_PLN_SALES_SEG2_Y01" localSheetId="24">#REF!</definedName>
    <definedName name="_T_PLN_SALES_SEG2_Y01">#REF!</definedName>
    <definedName name="_T_PLN_SALES_SEG2_Y02" localSheetId="5">#REF!</definedName>
    <definedName name="_T_PLN_SALES_SEG2_Y02" localSheetId="24">#REF!</definedName>
    <definedName name="_T_PLN_SALES_SEG2_Y02">#REF!</definedName>
    <definedName name="_T_PLN_SALES_SEG2_Y03" localSheetId="5">#REF!</definedName>
    <definedName name="_T_PLN_SALES_SEG2_Y03" localSheetId="24">#REF!</definedName>
    <definedName name="_T_PLN_SALES_SEG2_Y03">#REF!</definedName>
    <definedName name="_T_PLN_SALES_SEG2_Y04" localSheetId="5">#REF!</definedName>
    <definedName name="_T_PLN_SALES_SEG2_Y04" localSheetId="24">#REF!</definedName>
    <definedName name="_T_PLN_SALES_SEG2_Y04">#REF!</definedName>
    <definedName name="_T_PLN_SALES_SEG2_Y05" localSheetId="5">#REF!</definedName>
    <definedName name="_T_PLN_SALES_SEG2_Y05" localSheetId="24">#REF!</definedName>
    <definedName name="_T_PLN_SALES_SEG2_Y05">#REF!</definedName>
    <definedName name="_T_PLN_SALES_SEG2_Y06" localSheetId="5">#REF!</definedName>
    <definedName name="_T_PLN_SALES_SEG2_Y06" localSheetId="24">#REF!</definedName>
    <definedName name="_T_PLN_SALES_SEG2_Y06">#REF!</definedName>
    <definedName name="_T_PLN_SALES_SEG2_Y07" localSheetId="5">#REF!</definedName>
    <definedName name="_T_PLN_SALES_SEG2_Y07" localSheetId="24">#REF!</definedName>
    <definedName name="_T_PLN_SALES_SEG2_Y07">#REF!</definedName>
    <definedName name="_T_PLN_SALES_SEG2_Y08" localSheetId="5">#REF!</definedName>
    <definedName name="_T_PLN_SALES_SEG2_Y08" localSheetId="24">#REF!</definedName>
    <definedName name="_T_PLN_SALES_SEG2_Y08">#REF!</definedName>
    <definedName name="_T_PLN_SALES_SEG2_Y92" localSheetId="5">#REF!</definedName>
    <definedName name="_T_PLN_SALES_SEG2_Y92" localSheetId="24">#REF!</definedName>
    <definedName name="_T_PLN_SALES_SEG2_Y92">#REF!</definedName>
    <definedName name="_T_PLN_SALES_SEG2_Y93" localSheetId="5">#REF!</definedName>
    <definedName name="_T_PLN_SALES_SEG2_Y93" localSheetId="24">#REF!</definedName>
    <definedName name="_T_PLN_SALES_SEG2_Y93">#REF!</definedName>
    <definedName name="_T_PLN_SALES_SEG2_Y94" localSheetId="5">#REF!</definedName>
    <definedName name="_T_PLN_SALES_SEG2_Y94" localSheetId="24">#REF!</definedName>
    <definedName name="_T_PLN_SALES_SEG2_Y94">#REF!</definedName>
    <definedName name="_T_PLN_SALES_SEG2_Y95" localSheetId="5">#REF!</definedName>
    <definedName name="_T_PLN_SALES_SEG2_Y95" localSheetId="24">#REF!</definedName>
    <definedName name="_T_PLN_SALES_SEG2_Y95">#REF!</definedName>
    <definedName name="_T_PLN_SALES_SEG2_Y96" localSheetId="5">#REF!</definedName>
    <definedName name="_T_PLN_SALES_SEG2_Y96" localSheetId="24">#REF!</definedName>
    <definedName name="_T_PLN_SALES_SEG2_Y96">#REF!</definedName>
    <definedName name="_T_PLN_SALES_SEG2_Y97" localSheetId="5">#REF!</definedName>
    <definedName name="_T_PLN_SALES_SEG2_Y97" localSheetId="24">#REF!</definedName>
    <definedName name="_T_PLN_SALES_SEG2_Y97">#REF!</definedName>
    <definedName name="_T_PLN_SALES_SEG2_Y98" localSheetId="5">#REF!</definedName>
    <definedName name="_T_PLN_SALES_SEG2_Y98" localSheetId="24">#REF!</definedName>
    <definedName name="_T_PLN_SALES_SEG2_Y98">#REF!</definedName>
    <definedName name="_T_PLN_SALES_SEG2_Y99" localSheetId="5">#REF!</definedName>
    <definedName name="_T_PLN_SALES_SEG2_Y99" localSheetId="24">#REF!</definedName>
    <definedName name="_T_PLN_SALES_SEG2_Y99">#REF!</definedName>
    <definedName name="_T_PLN_SALES_SEG3_Y00" localSheetId="5">#REF!</definedName>
    <definedName name="_T_PLN_SALES_SEG3_Y00" localSheetId="24">#REF!</definedName>
    <definedName name="_T_PLN_SALES_SEG3_Y00">#REF!</definedName>
    <definedName name="_T_PLN_SALES_SEG3_Y01" localSheetId="5">#REF!</definedName>
    <definedName name="_T_PLN_SALES_SEG3_Y01" localSheetId="24">#REF!</definedName>
    <definedName name="_T_PLN_SALES_SEG3_Y01">#REF!</definedName>
    <definedName name="_T_PLN_SALES_SEG3_Y02" localSheetId="5">#REF!</definedName>
    <definedName name="_T_PLN_SALES_SEG3_Y02" localSheetId="24">#REF!</definedName>
    <definedName name="_T_PLN_SALES_SEG3_Y02">#REF!</definedName>
    <definedName name="_T_PLN_SALES_SEG3_Y03" localSheetId="5">#REF!</definedName>
    <definedName name="_T_PLN_SALES_SEG3_Y03" localSheetId="24">#REF!</definedName>
    <definedName name="_T_PLN_SALES_SEG3_Y03">#REF!</definedName>
    <definedName name="_T_PLN_SALES_SEG3_Y04" localSheetId="5">#REF!</definedName>
    <definedName name="_T_PLN_SALES_SEG3_Y04" localSheetId="24">#REF!</definedName>
    <definedName name="_T_PLN_SALES_SEG3_Y04">#REF!</definedName>
    <definedName name="_T_PLN_SALES_SEG3_Y05" localSheetId="5">#REF!</definedName>
    <definedName name="_T_PLN_SALES_SEG3_Y05" localSheetId="24">#REF!</definedName>
    <definedName name="_T_PLN_SALES_SEG3_Y05">#REF!</definedName>
    <definedName name="_T_PLN_SALES_SEG3_Y06" localSheetId="5">#REF!</definedName>
    <definedName name="_T_PLN_SALES_SEG3_Y06" localSheetId="24">#REF!</definedName>
    <definedName name="_T_PLN_SALES_SEG3_Y06">#REF!</definedName>
    <definedName name="_T_PLN_SALES_SEG3_Y07" localSheetId="5">#REF!</definedName>
    <definedName name="_T_PLN_SALES_SEG3_Y07" localSheetId="24">#REF!</definedName>
    <definedName name="_T_PLN_SALES_SEG3_Y07">#REF!</definedName>
    <definedName name="_T_PLN_SALES_SEG3_Y08" localSheetId="5">#REF!</definedName>
    <definedName name="_T_PLN_SALES_SEG3_Y08" localSheetId="24">#REF!</definedName>
    <definedName name="_T_PLN_SALES_SEG3_Y08">#REF!</definedName>
    <definedName name="_T_PLN_SALES_SEG3_Y92" localSheetId="5">#REF!</definedName>
    <definedName name="_T_PLN_SALES_SEG3_Y92" localSheetId="24">#REF!</definedName>
    <definedName name="_T_PLN_SALES_SEG3_Y92">#REF!</definedName>
    <definedName name="_T_PLN_SALES_SEG3_Y93" localSheetId="5">#REF!</definedName>
    <definedName name="_T_PLN_SALES_SEG3_Y93" localSheetId="24">#REF!</definedName>
    <definedName name="_T_PLN_SALES_SEG3_Y93">#REF!</definedName>
    <definedName name="_T_PLN_SALES_SEG3_Y94" localSheetId="5">#REF!</definedName>
    <definedName name="_T_PLN_SALES_SEG3_Y94" localSheetId="24">#REF!</definedName>
    <definedName name="_T_PLN_SALES_SEG3_Y94">#REF!</definedName>
    <definedName name="_T_PLN_SALES_SEG3_Y95" localSheetId="5">#REF!</definedName>
    <definedName name="_T_PLN_SALES_SEG3_Y95" localSheetId="24">#REF!</definedName>
    <definedName name="_T_PLN_SALES_SEG3_Y95">#REF!</definedName>
    <definedName name="_T_PLN_SALES_SEG3_Y96" localSheetId="5">#REF!</definedName>
    <definedName name="_T_PLN_SALES_SEG3_Y96" localSheetId="24">#REF!</definedName>
    <definedName name="_T_PLN_SALES_SEG3_Y96">#REF!</definedName>
    <definedName name="_T_PLN_SALES_SEG3_Y97" localSheetId="5">#REF!</definedName>
    <definedName name="_T_PLN_SALES_SEG3_Y97" localSheetId="24">#REF!</definedName>
    <definedName name="_T_PLN_SALES_SEG3_Y97">#REF!</definedName>
    <definedName name="_T_PLN_SALES_SEG3_Y98" localSheetId="5">#REF!</definedName>
    <definedName name="_T_PLN_SALES_SEG3_Y98" localSheetId="24">#REF!</definedName>
    <definedName name="_T_PLN_SALES_SEG3_Y98">#REF!</definedName>
    <definedName name="_T_PLN_SALES_SEG3_Y99" localSheetId="5">#REF!</definedName>
    <definedName name="_T_PLN_SALES_SEG3_Y99" localSheetId="24">#REF!</definedName>
    <definedName name="_T_PLN_SALES_SEG3_Y99">#REF!</definedName>
    <definedName name="_T_PLN_SALES_Y00" localSheetId="5">#REF!</definedName>
    <definedName name="_T_PLN_SALES_Y00" localSheetId="24">#REF!</definedName>
    <definedName name="_T_PLN_SALES_Y00">#REF!</definedName>
    <definedName name="_T_PLN_SALES_Y01" localSheetId="5">#REF!</definedName>
    <definedName name="_T_PLN_SALES_Y01" localSheetId="24">#REF!</definedName>
    <definedName name="_T_PLN_SALES_Y01">#REF!</definedName>
    <definedName name="_T_PLN_SALES_Y02" localSheetId="5">#REF!</definedName>
    <definedName name="_T_PLN_SALES_Y02" localSheetId="24">#REF!</definedName>
    <definedName name="_T_PLN_SALES_Y02">#REF!</definedName>
    <definedName name="_T_PLN_SALES_Y03" localSheetId="5">#REF!</definedName>
    <definedName name="_T_PLN_SALES_Y03" localSheetId="24">#REF!</definedName>
    <definedName name="_T_PLN_SALES_Y03">#REF!</definedName>
    <definedName name="_T_PLN_SALES_Y04" localSheetId="5">#REF!</definedName>
    <definedName name="_T_PLN_SALES_Y04" localSheetId="24">#REF!</definedName>
    <definedName name="_T_PLN_SALES_Y04">#REF!</definedName>
    <definedName name="_T_PLN_SALES_Y05" localSheetId="5">#REF!</definedName>
    <definedName name="_T_PLN_SALES_Y05" localSheetId="24">#REF!</definedName>
    <definedName name="_T_PLN_SALES_Y05">#REF!</definedName>
    <definedName name="_T_PLN_SALES_Y06" localSheetId="5">#REF!</definedName>
    <definedName name="_T_PLN_SALES_Y06" localSheetId="24">#REF!</definedName>
    <definedName name="_T_PLN_SALES_Y06">#REF!</definedName>
    <definedName name="_T_PLN_SALES_Y07" localSheetId="5">#REF!</definedName>
    <definedName name="_T_PLN_SALES_Y07" localSheetId="24">#REF!</definedName>
    <definedName name="_T_PLN_SALES_Y07">#REF!</definedName>
    <definedName name="_T_PLN_SALES_Y08" localSheetId="5">#REF!</definedName>
    <definedName name="_T_PLN_SALES_Y08" localSheetId="24">#REF!</definedName>
    <definedName name="_T_PLN_SALES_Y08">#REF!</definedName>
    <definedName name="_T_PLN_SALES_Y92" localSheetId="5">#REF!</definedName>
    <definedName name="_T_PLN_SALES_Y92" localSheetId="24">#REF!</definedName>
    <definedName name="_T_PLN_SALES_Y92">#REF!</definedName>
    <definedName name="_T_PLN_SALES_Y93" localSheetId="5">#REF!</definedName>
    <definedName name="_T_PLN_SALES_Y93" localSheetId="24">#REF!</definedName>
    <definedName name="_T_PLN_SALES_Y93">#REF!</definedName>
    <definedName name="_T_PLN_SALES_Y94" localSheetId="5">#REF!</definedName>
    <definedName name="_T_PLN_SALES_Y94" localSheetId="24">#REF!</definedName>
    <definedName name="_T_PLN_SALES_Y94">#REF!</definedName>
    <definedName name="_T_PLN_SALES_Y95" localSheetId="5">#REF!</definedName>
    <definedName name="_T_PLN_SALES_Y95" localSheetId="24">#REF!</definedName>
    <definedName name="_T_PLN_SALES_Y95">#REF!</definedName>
    <definedName name="_T_PLN_SALES_Y96" localSheetId="5">#REF!</definedName>
    <definedName name="_T_PLN_SALES_Y96" localSheetId="24">#REF!</definedName>
    <definedName name="_T_PLN_SALES_Y96">#REF!</definedName>
    <definedName name="_T_PLN_SALES_Y97" localSheetId="5">#REF!</definedName>
    <definedName name="_T_PLN_SALES_Y97" localSheetId="24">#REF!</definedName>
    <definedName name="_T_PLN_SALES_Y97">#REF!</definedName>
    <definedName name="_T_PLN_SALES_Y98" localSheetId="5">#REF!</definedName>
    <definedName name="_T_PLN_SALES_Y98" localSheetId="24">#REF!</definedName>
    <definedName name="_T_PLN_SALES_Y98">#REF!</definedName>
    <definedName name="_T_PLN_SALES_Y99" localSheetId="5">#REF!</definedName>
    <definedName name="_T_PLN_SALES_Y99" localSheetId="24">#REF!</definedName>
    <definedName name="_T_PLN_SALES_Y99">#REF!</definedName>
    <definedName name="_T_PLN_TAX_Y00" localSheetId="5">#REF!</definedName>
    <definedName name="_T_PLN_TAX_Y00" localSheetId="24">#REF!</definedName>
    <definedName name="_T_PLN_TAX_Y00">#REF!</definedName>
    <definedName name="_T_PLN_TAX_Y01" localSheetId="5">#REF!</definedName>
    <definedName name="_T_PLN_TAX_Y01" localSheetId="24">#REF!</definedName>
    <definedName name="_T_PLN_TAX_Y01">#REF!</definedName>
    <definedName name="_T_PLN_TAX_Y02" localSheetId="5">#REF!</definedName>
    <definedName name="_T_PLN_TAX_Y02" localSheetId="24">#REF!</definedName>
    <definedName name="_T_PLN_TAX_Y02">#REF!</definedName>
    <definedName name="_T_PLN_TAX_Y03" localSheetId="5">#REF!</definedName>
    <definedName name="_T_PLN_TAX_Y03" localSheetId="24">#REF!</definedName>
    <definedName name="_T_PLN_TAX_Y03">#REF!</definedName>
    <definedName name="_T_PLN_TAX_Y04" localSheetId="5">#REF!</definedName>
    <definedName name="_T_PLN_TAX_Y04" localSheetId="24">#REF!</definedName>
    <definedName name="_T_PLN_TAX_Y04">#REF!</definedName>
    <definedName name="_T_PLN_TAX_Y05" localSheetId="5">#REF!</definedName>
    <definedName name="_T_PLN_TAX_Y05" localSheetId="24">#REF!</definedName>
    <definedName name="_T_PLN_TAX_Y05">#REF!</definedName>
    <definedName name="_T_PLN_TAX_Y06" localSheetId="5">#REF!</definedName>
    <definedName name="_T_PLN_TAX_Y06" localSheetId="24">#REF!</definedName>
    <definedName name="_T_PLN_TAX_Y06">#REF!</definedName>
    <definedName name="_T_PLN_TAX_Y07" localSheetId="5">#REF!</definedName>
    <definedName name="_T_PLN_TAX_Y07" localSheetId="24">#REF!</definedName>
    <definedName name="_T_PLN_TAX_Y07">#REF!</definedName>
    <definedName name="_T_PLN_TAX_Y08" localSheetId="5">#REF!</definedName>
    <definedName name="_T_PLN_TAX_Y08" localSheetId="24">#REF!</definedName>
    <definedName name="_T_PLN_TAX_Y08">#REF!</definedName>
    <definedName name="_T_PLN_TAX_Y92" localSheetId="5">#REF!</definedName>
    <definedName name="_T_PLN_TAX_Y92" localSheetId="24">#REF!</definedName>
    <definedName name="_T_PLN_TAX_Y92">#REF!</definedName>
    <definedName name="_T_PLN_TAX_Y93" localSheetId="5">#REF!</definedName>
    <definedName name="_T_PLN_TAX_Y93" localSheetId="24">#REF!</definedName>
    <definedName name="_T_PLN_TAX_Y93">#REF!</definedName>
    <definedName name="_T_PLN_TAX_Y94" localSheetId="5">#REF!</definedName>
    <definedName name="_T_PLN_TAX_Y94" localSheetId="24">#REF!</definedName>
    <definedName name="_T_PLN_TAX_Y94">#REF!</definedName>
    <definedName name="_T_PLN_TAX_Y95" localSheetId="5">#REF!</definedName>
    <definedName name="_T_PLN_TAX_Y95" localSheetId="24">#REF!</definedName>
    <definedName name="_T_PLN_TAX_Y95">#REF!</definedName>
    <definedName name="_T_PLN_TAX_Y96" localSheetId="5">#REF!</definedName>
    <definedName name="_T_PLN_TAX_Y96" localSheetId="24">#REF!</definedName>
    <definedName name="_T_PLN_TAX_Y96">#REF!</definedName>
    <definedName name="_T_PLN_TAX_Y97" localSheetId="5">#REF!</definedName>
    <definedName name="_T_PLN_TAX_Y97" localSheetId="24">#REF!</definedName>
    <definedName name="_T_PLN_TAX_Y97">#REF!</definedName>
    <definedName name="_T_PLN_TAX_Y98" localSheetId="5">#REF!</definedName>
    <definedName name="_T_PLN_TAX_Y98" localSheetId="24">#REF!</definedName>
    <definedName name="_T_PLN_TAX_Y98">#REF!</definedName>
    <definedName name="_T_PLN_TAX_Y99" localSheetId="5">#REF!</definedName>
    <definedName name="_T_PLN_TAX_Y99" localSheetId="24">#REF!</definedName>
    <definedName name="_T_PLN_TAX_Y99">#REF!</definedName>
    <definedName name="_T_PROJECT_BETA_12" localSheetId="5">#REF!</definedName>
    <definedName name="_T_PROJECT_BETA_12" localSheetId="24">#REF!</definedName>
    <definedName name="_T_PROJECT_BETA_12">#REF!</definedName>
    <definedName name="_T_REP_CURRENCY" localSheetId="5">#REF!</definedName>
    <definedName name="_T_REP_CURRENCY" localSheetId="24">#REF!</definedName>
    <definedName name="_T_REP_CURRENCY">#REF!</definedName>
    <definedName name="_T_REPORT_DATE_NEXT" localSheetId="5">#REF!</definedName>
    <definedName name="_T_REPORT_DATE_NEXT" localSheetId="24">#REF!</definedName>
    <definedName name="_T_REPORT_DATE_NEXT">#REF!</definedName>
    <definedName name="_T_REPORT_DATE_USED" localSheetId="5">#REF!</definedName>
    <definedName name="_T_REPORT_DATE_USED" localSheetId="24">#REF!</definedName>
    <definedName name="_T_REPORT_DATE_USED">#REF!</definedName>
    <definedName name="_T_REPORTED_DATE_PREVIOUS" localSheetId="5">#REF!</definedName>
    <definedName name="_T_REPORTED_DATE_PREVIOUS" localSheetId="24">#REF!</definedName>
    <definedName name="_T_REPORTED_DATE_PREVIOUS">#REF!</definedName>
    <definedName name="_T_SCN_SOI_Y00" localSheetId="5">#REF!</definedName>
    <definedName name="_T_SCN_SOI_Y00" localSheetId="24">#REF!</definedName>
    <definedName name="_T_SCN_SOI_Y00">#REF!</definedName>
    <definedName name="_T_SCN_SOI_Y01" localSheetId="5">#REF!</definedName>
    <definedName name="_T_SCN_SOI_Y01" localSheetId="24">#REF!</definedName>
    <definedName name="_T_SCN_SOI_Y01">#REF!</definedName>
    <definedName name="_T_SCN_SOI_Y02" localSheetId="5">#REF!</definedName>
    <definedName name="_T_SCN_SOI_Y02" localSheetId="24">#REF!</definedName>
    <definedName name="_T_SCN_SOI_Y02">#REF!</definedName>
    <definedName name="_T_SCN_SOI_Y03" localSheetId="5">#REF!</definedName>
    <definedName name="_T_SCN_SOI_Y03" localSheetId="24">#REF!</definedName>
    <definedName name="_T_SCN_SOI_Y03">#REF!</definedName>
    <definedName name="_T_SCN_SOI_Y04" localSheetId="5">#REF!</definedName>
    <definedName name="_T_SCN_SOI_Y04" localSheetId="24">#REF!</definedName>
    <definedName name="_T_SCN_SOI_Y04">#REF!</definedName>
    <definedName name="_T_SCN_SOI_Y05" localSheetId="5">#REF!</definedName>
    <definedName name="_T_SCN_SOI_Y05" localSheetId="24">#REF!</definedName>
    <definedName name="_T_SCN_SOI_Y05">#REF!</definedName>
    <definedName name="_T_SCN_SOI_Y06" localSheetId="5">#REF!</definedName>
    <definedName name="_T_SCN_SOI_Y06" localSheetId="24">#REF!</definedName>
    <definedName name="_T_SCN_SOI_Y06">#REF!</definedName>
    <definedName name="_T_SCN_SOI_Y07" localSheetId="5">#REF!</definedName>
    <definedName name="_T_SCN_SOI_Y07" localSheetId="24">#REF!</definedName>
    <definedName name="_T_SCN_SOI_Y07">#REF!</definedName>
    <definedName name="_T_SCN_SOI_Y08" localSheetId="5">#REF!</definedName>
    <definedName name="_T_SCN_SOI_Y08" localSheetId="24">#REF!</definedName>
    <definedName name="_T_SCN_SOI_Y08">#REF!</definedName>
    <definedName name="_T_SCN_SOI_Y92" localSheetId="5">#REF!</definedName>
    <definedName name="_T_SCN_SOI_Y92" localSheetId="24">#REF!</definedName>
    <definedName name="_T_SCN_SOI_Y92">#REF!</definedName>
    <definedName name="_T_SCN_SOI_Y93" localSheetId="5">#REF!</definedName>
    <definedName name="_T_SCN_SOI_Y93" localSheetId="24">#REF!</definedName>
    <definedName name="_T_SCN_SOI_Y93">#REF!</definedName>
    <definedName name="_T_SCN_SOI_Y94" localSheetId="5">#REF!</definedName>
    <definedName name="_T_SCN_SOI_Y94" localSheetId="24">#REF!</definedName>
    <definedName name="_T_SCN_SOI_Y94">#REF!</definedName>
    <definedName name="_T_SCN_SOI_Y95" localSheetId="5">#REF!</definedName>
    <definedName name="_T_SCN_SOI_Y95" localSheetId="24">#REF!</definedName>
    <definedName name="_T_SCN_SOI_Y95">#REF!</definedName>
    <definedName name="_T_SCN_SOI_Y96" localSheetId="5">#REF!</definedName>
    <definedName name="_T_SCN_SOI_Y96" localSheetId="24">#REF!</definedName>
    <definedName name="_T_SCN_SOI_Y96">#REF!</definedName>
    <definedName name="_T_SCN_SOI_Y97" localSheetId="5">#REF!</definedName>
    <definedName name="_T_SCN_SOI_Y97" localSheetId="24">#REF!</definedName>
    <definedName name="_T_SCN_SOI_Y97">#REF!</definedName>
    <definedName name="_T_SCN_SOI_Y98" localSheetId="5">#REF!</definedName>
    <definedName name="_T_SCN_SOI_Y98" localSheetId="24">#REF!</definedName>
    <definedName name="_T_SCN_SOI_Y98">#REF!</definedName>
    <definedName name="_T_SCN_SOI_Y99" localSheetId="5">#REF!</definedName>
    <definedName name="_T_SCN_SOI_Y99" localSheetId="24">#REF!</definedName>
    <definedName name="_T_SCN_SOI_Y99">#REF!</definedName>
    <definedName name="_T_SCN_WAOI_Y00" localSheetId="5">#REF!</definedName>
    <definedName name="_T_SCN_WAOI_Y00" localSheetId="24">#REF!</definedName>
    <definedName name="_T_SCN_WAOI_Y00">#REF!</definedName>
    <definedName name="_T_SCN_WAOI_Y01" localSheetId="5">#REF!</definedName>
    <definedName name="_T_SCN_WAOI_Y01" localSheetId="24">#REF!</definedName>
    <definedName name="_T_SCN_WAOI_Y01">#REF!</definedName>
    <definedName name="_T_SCN_WAOI_Y02" localSheetId="5">#REF!</definedName>
    <definedName name="_T_SCN_WAOI_Y02" localSheetId="24">#REF!</definedName>
    <definedName name="_T_SCN_WAOI_Y02">#REF!</definedName>
    <definedName name="_T_SCN_WAOI_Y03" localSheetId="5">#REF!</definedName>
    <definedName name="_T_SCN_WAOI_Y03" localSheetId="24">#REF!</definedName>
    <definedName name="_T_SCN_WAOI_Y03">#REF!</definedName>
    <definedName name="_T_SCN_WAOI_Y04" localSheetId="5">#REF!</definedName>
    <definedName name="_T_SCN_WAOI_Y04" localSheetId="24">#REF!</definedName>
    <definedName name="_T_SCN_WAOI_Y04">#REF!</definedName>
    <definedName name="_T_SCN_WAOI_Y05" localSheetId="5">#REF!</definedName>
    <definedName name="_T_SCN_WAOI_Y05" localSheetId="24">#REF!</definedName>
    <definedName name="_T_SCN_WAOI_Y05">#REF!</definedName>
    <definedName name="_T_SCN_WAOI_Y06" localSheetId="5">#REF!</definedName>
    <definedName name="_T_SCN_WAOI_Y06" localSheetId="24">#REF!</definedName>
    <definedName name="_T_SCN_WAOI_Y06">#REF!</definedName>
    <definedName name="_T_SCN_WAOI_Y07" localSheetId="5">#REF!</definedName>
    <definedName name="_T_SCN_WAOI_Y07" localSheetId="24">#REF!</definedName>
    <definedName name="_T_SCN_WAOI_Y07">#REF!</definedName>
    <definedName name="_T_SCN_WAOI_Y08" localSheetId="5">#REF!</definedName>
    <definedName name="_T_SCN_WAOI_Y08" localSheetId="24">#REF!</definedName>
    <definedName name="_T_SCN_WAOI_Y08">#REF!</definedName>
    <definedName name="_T_SCN_WAOI_Y92" localSheetId="5">#REF!</definedName>
    <definedName name="_T_SCN_WAOI_Y92" localSheetId="24">#REF!</definedName>
    <definedName name="_T_SCN_WAOI_Y92">#REF!</definedName>
    <definedName name="_T_SCN_WAOI_Y93" localSheetId="5">#REF!</definedName>
    <definedName name="_T_SCN_WAOI_Y93" localSheetId="24">#REF!</definedName>
    <definedName name="_T_SCN_WAOI_Y93">#REF!</definedName>
    <definedName name="_T_SCN_WAOI_Y94" localSheetId="5">#REF!</definedName>
    <definedName name="_T_SCN_WAOI_Y94" localSheetId="24">#REF!</definedName>
    <definedName name="_T_SCN_WAOI_Y94">#REF!</definedName>
    <definedName name="_T_SCN_WAOI_Y95" localSheetId="5">#REF!</definedName>
    <definedName name="_T_SCN_WAOI_Y95" localSheetId="24">#REF!</definedName>
    <definedName name="_T_SCN_WAOI_Y95">#REF!</definedName>
    <definedName name="_T_SCN_WAOI_Y96" localSheetId="5">#REF!</definedName>
    <definedName name="_T_SCN_WAOI_Y96" localSheetId="24">#REF!</definedName>
    <definedName name="_T_SCN_WAOI_Y96">#REF!</definedName>
    <definedName name="_T_SCN_WAOI_Y97" localSheetId="5">#REF!</definedName>
    <definedName name="_T_SCN_WAOI_Y97" localSheetId="24">#REF!</definedName>
    <definedName name="_T_SCN_WAOI_Y97">#REF!</definedName>
    <definedName name="_T_SCN_WAOI_Y98" localSheetId="5">#REF!</definedName>
    <definedName name="_T_SCN_WAOI_Y98" localSheetId="24">#REF!</definedName>
    <definedName name="_T_SCN_WAOI_Y98">#REF!</definedName>
    <definedName name="_T_SCN_WAOI_Y99" localSheetId="5">#REF!</definedName>
    <definedName name="_T_SCN_WAOI_Y99" localSheetId="24">#REF!</definedName>
    <definedName name="_T_SCN_WAOI_Y99">#REF!</definedName>
    <definedName name="_T_SCP_SOI_Y00" localSheetId="5">#REF!</definedName>
    <definedName name="_T_SCP_SOI_Y00" localSheetId="24">#REF!</definedName>
    <definedName name="_T_SCP_SOI_Y00">#REF!</definedName>
    <definedName name="_T_SCP_SOI_Y01" localSheetId="5">#REF!</definedName>
    <definedName name="_T_SCP_SOI_Y01" localSheetId="24">#REF!</definedName>
    <definedName name="_T_SCP_SOI_Y01">#REF!</definedName>
    <definedName name="_T_SCP_SOI_Y02" localSheetId="5">#REF!</definedName>
    <definedName name="_T_SCP_SOI_Y02" localSheetId="24">#REF!</definedName>
    <definedName name="_T_SCP_SOI_Y02">#REF!</definedName>
    <definedName name="_T_SCP_SOI_Y03" localSheetId="5">#REF!</definedName>
    <definedName name="_T_SCP_SOI_Y03" localSheetId="24">#REF!</definedName>
    <definedName name="_T_SCP_SOI_Y03">#REF!</definedName>
    <definedName name="_T_SCP_SOI_Y04" localSheetId="5">#REF!</definedName>
    <definedName name="_T_SCP_SOI_Y04" localSheetId="24">#REF!</definedName>
    <definedName name="_T_SCP_SOI_Y04">#REF!</definedName>
    <definedName name="_T_SCP_SOI_Y05" localSheetId="5">#REF!</definedName>
    <definedName name="_T_SCP_SOI_Y05" localSheetId="24">#REF!</definedName>
    <definedName name="_T_SCP_SOI_Y05">#REF!</definedName>
    <definedName name="_T_SCP_SOI_Y06" localSheetId="5">#REF!</definedName>
    <definedName name="_T_SCP_SOI_Y06" localSheetId="24">#REF!</definedName>
    <definedName name="_T_SCP_SOI_Y06">#REF!</definedName>
    <definedName name="_T_SCP_SOI_Y07" localSheetId="5">#REF!</definedName>
    <definedName name="_T_SCP_SOI_Y07" localSheetId="24">#REF!</definedName>
    <definedName name="_T_SCP_SOI_Y07">#REF!</definedName>
    <definedName name="_T_SCP_SOI_Y08" localSheetId="5">#REF!</definedName>
    <definedName name="_T_SCP_SOI_Y08" localSheetId="24">#REF!</definedName>
    <definedName name="_T_SCP_SOI_Y08">#REF!</definedName>
    <definedName name="_T_SCP_SOI_Y92" localSheetId="5">#REF!</definedName>
    <definedName name="_T_SCP_SOI_Y92" localSheetId="24">#REF!</definedName>
    <definedName name="_T_SCP_SOI_Y92">#REF!</definedName>
    <definedName name="_T_SCP_SOI_Y93" localSheetId="5">#REF!</definedName>
    <definedName name="_T_SCP_SOI_Y93" localSheetId="24">#REF!</definedName>
    <definedName name="_T_SCP_SOI_Y93">#REF!</definedName>
    <definedName name="_T_SCP_SOI_Y94" localSheetId="5">#REF!</definedName>
    <definedName name="_T_SCP_SOI_Y94" localSheetId="24">#REF!</definedName>
    <definedName name="_T_SCP_SOI_Y94">#REF!</definedName>
    <definedName name="_T_SCP_SOI_Y95" localSheetId="5">#REF!</definedName>
    <definedName name="_T_SCP_SOI_Y95" localSheetId="24">#REF!</definedName>
    <definedName name="_T_SCP_SOI_Y95">#REF!</definedName>
    <definedName name="_T_SCP_SOI_Y96" localSheetId="5">#REF!</definedName>
    <definedName name="_T_SCP_SOI_Y96" localSheetId="24">#REF!</definedName>
    <definedName name="_T_SCP_SOI_Y96">#REF!</definedName>
    <definedName name="_T_SCP_SOI_Y97" localSheetId="5">#REF!</definedName>
    <definedName name="_T_SCP_SOI_Y97" localSheetId="24">#REF!</definedName>
    <definedName name="_T_SCP_SOI_Y97">#REF!</definedName>
    <definedName name="_T_SCP_SOI_Y98" localSheetId="5">#REF!</definedName>
    <definedName name="_T_SCP_SOI_Y98" localSheetId="24">#REF!</definedName>
    <definedName name="_T_SCP_SOI_Y98">#REF!</definedName>
    <definedName name="_T_SCP_SOI_Y99" localSheetId="5">#REF!</definedName>
    <definedName name="_T_SCP_SOI_Y99" localSheetId="24">#REF!</definedName>
    <definedName name="_T_SCP_SOI_Y99">#REF!</definedName>
    <definedName name="_T_SCP_WAOI_Y00" localSheetId="5">#REF!</definedName>
    <definedName name="_T_SCP_WAOI_Y00" localSheetId="24">#REF!</definedName>
    <definedName name="_T_SCP_WAOI_Y00">#REF!</definedName>
    <definedName name="_T_SCP_WAOI_Y01" localSheetId="5">#REF!</definedName>
    <definedName name="_T_SCP_WAOI_Y01" localSheetId="24">#REF!</definedName>
    <definedName name="_T_SCP_WAOI_Y01">#REF!</definedName>
    <definedName name="_T_SCP_WAOI_Y02" localSheetId="5">#REF!</definedName>
    <definedName name="_T_SCP_WAOI_Y02" localSheetId="24">#REF!</definedName>
    <definedName name="_T_SCP_WAOI_Y02">#REF!</definedName>
    <definedName name="_T_SCP_WAOI_Y03" localSheetId="5">#REF!</definedName>
    <definedName name="_T_SCP_WAOI_Y03" localSheetId="24">#REF!</definedName>
    <definedName name="_T_SCP_WAOI_Y03">#REF!</definedName>
    <definedName name="_T_SCP_WAOI_Y04" localSheetId="5">#REF!</definedName>
    <definedName name="_T_SCP_WAOI_Y04" localSheetId="24">#REF!</definedName>
    <definedName name="_T_SCP_WAOI_Y04">#REF!</definedName>
    <definedName name="_T_SCP_WAOI_Y05" localSheetId="5">#REF!</definedName>
    <definedName name="_T_SCP_WAOI_Y05" localSheetId="24">#REF!</definedName>
    <definedName name="_T_SCP_WAOI_Y05">#REF!</definedName>
    <definedName name="_T_SCP_WAOI_Y06" localSheetId="5">#REF!</definedName>
    <definedName name="_T_SCP_WAOI_Y06" localSheetId="24">#REF!</definedName>
    <definedName name="_T_SCP_WAOI_Y06">#REF!</definedName>
    <definedName name="_T_SCP_WAOI_Y07" localSheetId="5">#REF!</definedName>
    <definedName name="_T_SCP_WAOI_Y07" localSheetId="24">#REF!</definedName>
    <definedName name="_T_SCP_WAOI_Y07">#REF!</definedName>
    <definedName name="_T_SCP_WAOI_Y08" localSheetId="5">#REF!</definedName>
    <definedName name="_T_SCP_WAOI_Y08" localSheetId="24">#REF!</definedName>
    <definedName name="_T_SCP_WAOI_Y08">#REF!</definedName>
    <definedName name="_T_SCP_WAOI_Y92" localSheetId="5">#REF!</definedName>
    <definedName name="_T_SCP_WAOI_Y92" localSheetId="24">#REF!</definedName>
    <definedName name="_T_SCP_WAOI_Y92">#REF!</definedName>
    <definedName name="_T_SCP_WAOI_Y93" localSheetId="5">#REF!</definedName>
    <definedName name="_T_SCP_WAOI_Y93" localSheetId="24">#REF!</definedName>
    <definedName name="_T_SCP_WAOI_Y93">#REF!</definedName>
    <definedName name="_T_SCP_WAOI_Y94" localSheetId="5">#REF!</definedName>
    <definedName name="_T_SCP_WAOI_Y94" localSheetId="24">#REF!</definedName>
    <definedName name="_T_SCP_WAOI_Y94">#REF!</definedName>
    <definedName name="_T_SCP_WAOI_Y95" localSheetId="5">#REF!</definedName>
    <definedName name="_T_SCP_WAOI_Y95" localSheetId="24">#REF!</definedName>
    <definedName name="_T_SCP_WAOI_Y95">#REF!</definedName>
    <definedName name="_T_SCP_WAOI_Y96" localSheetId="5">#REF!</definedName>
    <definedName name="_T_SCP_WAOI_Y96" localSheetId="24">#REF!</definedName>
    <definedName name="_T_SCP_WAOI_Y96">#REF!</definedName>
    <definedName name="_T_SCP_WAOI_Y97" localSheetId="5">#REF!</definedName>
    <definedName name="_T_SCP_WAOI_Y97" localSheetId="24">#REF!</definedName>
    <definedName name="_T_SCP_WAOI_Y97">#REF!</definedName>
    <definedName name="_T_SCP_WAOI_Y98" localSheetId="5">#REF!</definedName>
    <definedName name="_T_SCP_WAOI_Y98" localSheetId="24">#REF!</definedName>
    <definedName name="_T_SCP_WAOI_Y98">#REF!</definedName>
    <definedName name="_T_SCP_WAOI_Y99" localSheetId="5">#REF!</definedName>
    <definedName name="_T_SCP_WAOI_Y99" localSheetId="24">#REF!</definedName>
    <definedName name="_T_SCP_WAOI_Y99">#REF!</definedName>
    <definedName name="_T_SD_FTEE_Y00" localSheetId="5">#REF!</definedName>
    <definedName name="_T_SD_FTEE_Y00" localSheetId="24">#REF!</definedName>
    <definedName name="_T_SD_FTEE_Y00">#REF!</definedName>
    <definedName name="_T_SD_FTEE_Y01" localSheetId="5">#REF!</definedName>
    <definedName name="_T_SD_FTEE_Y01" localSheetId="24">#REF!</definedName>
    <definedName name="_T_SD_FTEE_Y01">#REF!</definedName>
    <definedName name="_T_SD_FTEE_Y02" localSheetId="5">#REF!</definedName>
    <definedName name="_T_SD_FTEE_Y02" localSheetId="24">#REF!</definedName>
    <definedName name="_T_SD_FTEE_Y02">#REF!</definedName>
    <definedName name="_T_SD_FTEE_Y03" localSheetId="5">#REF!</definedName>
    <definedName name="_T_SD_FTEE_Y03" localSheetId="24">#REF!</definedName>
    <definedName name="_T_SD_FTEE_Y03">#REF!</definedName>
    <definedName name="_T_SD_FTEE_Y04" localSheetId="5">#REF!</definedName>
    <definedName name="_T_SD_FTEE_Y04" localSheetId="24">#REF!</definedName>
    <definedName name="_T_SD_FTEE_Y04">#REF!</definedName>
    <definedName name="_T_SD_FTEE_Y05" localSheetId="5">#REF!</definedName>
    <definedName name="_T_SD_FTEE_Y05" localSheetId="24">#REF!</definedName>
    <definedName name="_T_SD_FTEE_Y05">#REF!</definedName>
    <definedName name="_T_SD_FTEE_Y06" localSheetId="5">#REF!</definedName>
    <definedName name="_T_SD_FTEE_Y06" localSheetId="24">#REF!</definedName>
    <definedName name="_T_SD_FTEE_Y06">#REF!</definedName>
    <definedName name="_T_SD_FTEE_Y07" localSheetId="5">#REF!</definedName>
    <definedName name="_T_SD_FTEE_Y07" localSheetId="24">#REF!</definedName>
    <definedName name="_T_SD_FTEE_Y07">#REF!</definedName>
    <definedName name="_T_SD_FTEE_Y09" localSheetId="5">#REF!</definedName>
    <definedName name="_T_SD_FTEE_Y09" localSheetId="24">#REF!</definedName>
    <definedName name="_T_SD_FTEE_Y09">#REF!</definedName>
    <definedName name="_T_SD_FTEE_Y90" localSheetId="5">#REF!</definedName>
    <definedName name="_T_SD_FTEE_Y90" localSheetId="24">#REF!</definedName>
    <definedName name="_T_SD_FTEE_Y90">#REF!</definedName>
    <definedName name="_T_SD_FTEE_Y91" localSheetId="5">#REF!</definedName>
    <definedName name="_T_SD_FTEE_Y91" localSheetId="24">#REF!</definedName>
    <definedName name="_T_SD_FTEE_Y91">#REF!</definedName>
    <definedName name="_T_SD_FTEE_Y92" localSheetId="5">#REF!</definedName>
    <definedName name="_T_SD_FTEE_Y92" localSheetId="24">#REF!</definedName>
    <definedName name="_T_SD_FTEE_Y92">#REF!</definedName>
    <definedName name="_T_SD_FTEE_Y93" localSheetId="5">#REF!</definedName>
    <definedName name="_T_SD_FTEE_Y93" localSheetId="24">#REF!</definedName>
    <definedName name="_T_SD_FTEE_Y93">#REF!</definedName>
    <definedName name="_T_SD_FTEE_Y94" localSheetId="5">#REF!</definedName>
    <definedName name="_T_SD_FTEE_Y94" localSheetId="24">#REF!</definedName>
    <definedName name="_T_SD_FTEE_Y94">#REF!</definedName>
    <definedName name="_T_SD_FTEE_Y95" localSheetId="5">#REF!</definedName>
    <definedName name="_T_SD_FTEE_Y95" localSheetId="24">#REF!</definedName>
    <definedName name="_T_SD_FTEE_Y95">#REF!</definedName>
    <definedName name="_T_SD_FTEE_Y96" localSheetId="5">#REF!</definedName>
    <definedName name="_T_SD_FTEE_Y96" localSheetId="24">#REF!</definedName>
    <definedName name="_T_SD_FTEE_Y96">#REF!</definedName>
    <definedName name="_T_SD_FTEE_Y97" localSheetId="5">#REF!</definedName>
    <definedName name="_T_SD_FTEE_Y97" localSheetId="24">#REF!</definedName>
    <definedName name="_T_SD_FTEE_Y97">#REF!</definedName>
    <definedName name="_T_SD_FTEE_Y98" localSheetId="5">#REF!</definedName>
    <definedName name="_T_SD_FTEE_Y98" localSheetId="24">#REF!</definedName>
    <definedName name="_T_SD_FTEE_Y98">#REF!</definedName>
    <definedName name="_T_SD_FTEE_Y99" localSheetId="5">#REF!</definedName>
    <definedName name="_T_SD_FTEE_Y99" localSheetId="24">#REF!</definedName>
    <definedName name="_T_SD_FTEE_Y99">#REF!</definedName>
    <definedName name="_T_SO_DIV_RAW_Y00" localSheetId="5">#REF!</definedName>
    <definedName name="_T_SO_DIV_RAW_Y00" localSheetId="24">#REF!</definedName>
    <definedName name="_T_SO_DIV_RAW_Y00">#REF!</definedName>
    <definedName name="_T_SO_DIV_RAW_Y01" localSheetId="5">#REF!</definedName>
    <definedName name="_T_SO_DIV_RAW_Y01" localSheetId="24">#REF!</definedName>
    <definedName name="_T_SO_DIV_RAW_Y01">#REF!</definedName>
    <definedName name="_T_SO_DIV_RAW_Y02" localSheetId="5">#REF!</definedName>
    <definedName name="_T_SO_DIV_RAW_Y02" localSheetId="24">#REF!</definedName>
    <definedName name="_T_SO_DIV_RAW_Y02">#REF!</definedName>
    <definedName name="_T_SO_DIV_RAW_Y03" localSheetId="5">#REF!</definedName>
    <definedName name="_T_SO_DIV_RAW_Y03" localSheetId="24">#REF!</definedName>
    <definedName name="_T_SO_DIV_RAW_Y03">#REF!</definedName>
    <definedName name="_T_SO_DIV_RAW_Y90" localSheetId="5">#REF!</definedName>
    <definedName name="_T_SO_DIV_RAW_Y90" localSheetId="24">#REF!</definedName>
    <definedName name="_T_SO_DIV_RAW_Y90">#REF!</definedName>
    <definedName name="_T_SO_DIV_RAW_Y91" localSheetId="5">#REF!</definedName>
    <definedName name="_T_SO_DIV_RAW_Y91" localSheetId="24">#REF!</definedName>
    <definedName name="_T_SO_DIV_RAW_Y91">#REF!</definedName>
    <definedName name="_T_SO_DIV_RAW_Y92" localSheetId="5">#REF!</definedName>
    <definedName name="_T_SO_DIV_RAW_Y92" localSheetId="24">#REF!</definedName>
    <definedName name="_T_SO_DIV_RAW_Y92">#REF!</definedName>
    <definedName name="_T_SO_DIV_RAW_Y93" localSheetId="5">#REF!</definedName>
    <definedName name="_T_SO_DIV_RAW_Y93" localSheetId="24">#REF!</definedName>
    <definedName name="_T_SO_DIV_RAW_Y93">#REF!</definedName>
    <definedName name="_T_SO_DIV_RAW_Y94" localSheetId="5">#REF!</definedName>
    <definedName name="_T_SO_DIV_RAW_Y94" localSheetId="24">#REF!</definedName>
    <definedName name="_T_SO_DIV_RAW_Y94">#REF!</definedName>
    <definedName name="_T_SO_DIV_RAW_Y95" localSheetId="5">#REF!</definedName>
    <definedName name="_T_SO_DIV_RAW_Y95" localSheetId="24">#REF!</definedName>
    <definedName name="_T_SO_DIV_RAW_Y95">#REF!</definedName>
    <definedName name="_T_SO_DIV_RAW_Y96" localSheetId="5">#REF!</definedName>
    <definedName name="_T_SO_DIV_RAW_Y96" localSheetId="24">#REF!</definedName>
    <definedName name="_T_SO_DIV_RAW_Y96">#REF!</definedName>
    <definedName name="_T_SO_DIV_RAW_Y97" localSheetId="5">#REF!</definedName>
    <definedName name="_T_SO_DIV_RAW_Y97" localSheetId="24">#REF!</definedName>
    <definedName name="_T_SO_DIV_RAW_Y97">#REF!</definedName>
    <definedName name="_T_SO_DIV_RAW_Y98" localSheetId="5">#REF!</definedName>
    <definedName name="_T_SO_DIV_RAW_Y98" localSheetId="24">#REF!</definedName>
    <definedName name="_T_SO_DIV_RAW_Y98">#REF!</definedName>
    <definedName name="_T_SO_DIV_RAW_Y99" localSheetId="5">#REF!</definedName>
    <definedName name="_T_SO_DIV_RAW_Y99" localSheetId="24">#REF!</definedName>
    <definedName name="_T_SO_DIV_RAW_Y99">#REF!</definedName>
    <definedName name="_T_SO_DIV_SP_Y00" localSheetId="5">#REF!</definedName>
    <definedName name="_T_SO_DIV_SP_Y00" localSheetId="24">#REF!</definedName>
    <definedName name="_T_SO_DIV_SP_Y00">#REF!</definedName>
    <definedName name="_T_SO_DIV_SP_Y01" localSheetId="5">#REF!</definedName>
    <definedName name="_T_SO_DIV_SP_Y01" localSheetId="24">#REF!</definedName>
    <definedName name="_T_SO_DIV_SP_Y01">#REF!</definedName>
    <definedName name="_T_SO_DIV_SP_Y02" localSheetId="5">#REF!</definedName>
    <definedName name="_T_SO_DIV_SP_Y02" localSheetId="24">#REF!</definedName>
    <definedName name="_T_SO_DIV_SP_Y02">#REF!</definedName>
    <definedName name="_T_SO_DIV_SP_Y03" localSheetId="5">#REF!</definedName>
    <definedName name="_T_SO_DIV_SP_Y03" localSheetId="24">#REF!</definedName>
    <definedName name="_T_SO_DIV_SP_Y03">#REF!</definedName>
    <definedName name="_T_SO_DIV_SP_Y90" localSheetId="5">#REF!</definedName>
    <definedName name="_T_SO_DIV_SP_Y90" localSheetId="24">#REF!</definedName>
    <definedName name="_T_SO_DIV_SP_Y90">#REF!</definedName>
    <definedName name="_T_SO_DIV_SP_Y91" localSheetId="5">#REF!</definedName>
    <definedName name="_T_SO_DIV_SP_Y91" localSheetId="24">#REF!</definedName>
    <definedName name="_T_SO_DIV_SP_Y91">#REF!</definedName>
    <definedName name="_T_SO_DIV_SP_Y92" localSheetId="5">#REF!</definedName>
    <definedName name="_T_SO_DIV_SP_Y92" localSheetId="24">#REF!</definedName>
    <definedName name="_T_SO_DIV_SP_Y92">#REF!</definedName>
    <definedName name="_T_SO_DIV_SP_Y93" localSheetId="5">#REF!</definedName>
    <definedName name="_T_SO_DIV_SP_Y93" localSheetId="24">#REF!</definedName>
    <definedName name="_T_SO_DIV_SP_Y93">#REF!</definedName>
    <definedName name="_T_SO_DIV_SP_Y94" localSheetId="5">#REF!</definedName>
    <definedName name="_T_SO_DIV_SP_Y94" localSheetId="24">#REF!</definedName>
    <definedName name="_T_SO_DIV_SP_Y94">#REF!</definedName>
    <definedName name="_T_SO_DIV_SP_Y95" localSheetId="5">#REF!</definedName>
    <definedName name="_T_SO_DIV_SP_Y95" localSheetId="24">#REF!</definedName>
    <definedName name="_T_SO_DIV_SP_Y95">#REF!</definedName>
    <definedName name="_T_SO_DIV_SP_Y96" localSheetId="5">#REF!</definedName>
    <definedName name="_T_SO_DIV_SP_Y96" localSheetId="24">#REF!</definedName>
    <definedName name="_T_SO_DIV_SP_Y96">#REF!</definedName>
    <definedName name="_T_SO_DIV_SP_Y97" localSheetId="5">#REF!</definedName>
    <definedName name="_T_SO_DIV_SP_Y97" localSheetId="24">#REF!</definedName>
    <definedName name="_T_SO_DIV_SP_Y97">#REF!</definedName>
    <definedName name="_T_SO_DIV_SP_Y98" localSheetId="5">#REF!</definedName>
    <definedName name="_T_SO_DIV_SP_Y98" localSheetId="24">#REF!</definedName>
    <definedName name="_T_SO_DIV_SP_Y98">#REF!</definedName>
    <definedName name="_T_SO_DIV_SP_Y99" localSheetId="5">#REF!</definedName>
    <definedName name="_T_SO_DIV_SP_Y99" localSheetId="24">#REF!</definedName>
    <definedName name="_T_SO_DIV_SP_Y99">#REF!</definedName>
    <definedName name="_T_SO_DIV_Y00" localSheetId="5">#REF!</definedName>
    <definedName name="_T_SO_DIV_Y00" localSheetId="24">#REF!</definedName>
    <definedName name="_T_SO_DIV_Y00">#REF!</definedName>
    <definedName name="_T_SO_DIV_Y01" localSheetId="5">#REF!</definedName>
    <definedName name="_T_SO_DIV_Y01" localSheetId="24">#REF!</definedName>
    <definedName name="_T_SO_DIV_Y01">#REF!</definedName>
    <definedName name="_T_SO_DIV_Y02" localSheetId="5">#REF!</definedName>
    <definedName name="_T_SO_DIV_Y02" localSheetId="24">#REF!</definedName>
    <definedName name="_T_SO_DIV_Y02">#REF!</definedName>
    <definedName name="_T_SO_DIV_Y03" localSheetId="5">#REF!</definedName>
    <definedName name="_T_SO_DIV_Y03" localSheetId="24">#REF!</definedName>
    <definedName name="_T_SO_DIV_Y03">#REF!</definedName>
    <definedName name="_T_SO_DIV_Y04" localSheetId="5">#REF!</definedName>
    <definedName name="_T_SO_DIV_Y04" localSheetId="24">#REF!</definedName>
    <definedName name="_T_SO_DIV_Y04">#REF!</definedName>
    <definedName name="_T_SO_DIV_Y05" localSheetId="5">#REF!</definedName>
    <definedName name="_T_SO_DIV_Y05" localSheetId="24">#REF!</definedName>
    <definedName name="_T_SO_DIV_Y05">#REF!</definedName>
    <definedName name="_T_SO_DIV_Y06" localSheetId="5">#REF!</definedName>
    <definedName name="_T_SO_DIV_Y06" localSheetId="24">#REF!</definedName>
    <definedName name="_T_SO_DIV_Y06">#REF!</definedName>
    <definedName name="_T_SO_DIV_Y07" localSheetId="5">#REF!</definedName>
    <definedName name="_T_SO_DIV_Y07" localSheetId="24">#REF!</definedName>
    <definedName name="_T_SO_DIV_Y07">#REF!</definedName>
    <definedName name="_T_SO_DIV_Y08" localSheetId="5">#REF!</definedName>
    <definedName name="_T_SO_DIV_Y08" localSheetId="24">#REF!</definedName>
    <definedName name="_T_SO_DIV_Y08">#REF!</definedName>
    <definedName name="_T_SO_DIV_Y92" localSheetId="5">#REF!</definedName>
    <definedName name="_T_SO_DIV_Y92" localSheetId="24">#REF!</definedName>
    <definedName name="_T_SO_DIV_Y92">#REF!</definedName>
    <definedName name="_T_SO_DIV_Y93" localSheetId="5">#REF!</definedName>
    <definedName name="_T_SO_DIV_Y93" localSheetId="24">#REF!</definedName>
    <definedName name="_T_SO_DIV_Y93">#REF!</definedName>
    <definedName name="_T_SO_DIV_Y94" localSheetId="5">#REF!</definedName>
    <definedName name="_T_SO_DIV_Y94" localSheetId="24">#REF!</definedName>
    <definedName name="_T_SO_DIV_Y94">#REF!</definedName>
    <definedName name="_T_SO_DIV_Y95" localSheetId="5">#REF!</definedName>
    <definedName name="_T_SO_DIV_Y95" localSheetId="24">#REF!</definedName>
    <definedName name="_T_SO_DIV_Y95">#REF!</definedName>
    <definedName name="_T_SO_DIV_Y96" localSheetId="5">#REF!</definedName>
    <definedName name="_T_SO_DIV_Y96" localSheetId="24">#REF!</definedName>
    <definedName name="_T_SO_DIV_Y96">#REF!</definedName>
    <definedName name="_T_SO_DIV_Y97" localSheetId="5">#REF!</definedName>
    <definedName name="_T_SO_DIV_Y97" localSheetId="24">#REF!</definedName>
    <definedName name="_T_SO_DIV_Y97">#REF!</definedName>
    <definedName name="_T_SO_DIV_Y98" localSheetId="5">#REF!</definedName>
    <definedName name="_T_SO_DIV_Y98" localSheetId="24">#REF!</definedName>
    <definedName name="_T_SO_DIV_Y98">#REF!</definedName>
    <definedName name="_T_SO_DIV_Y99" localSheetId="5">#REF!</definedName>
    <definedName name="_T_SO_DIV_Y99" localSheetId="24">#REF!</definedName>
    <definedName name="_T_SO_DIV_Y99">#REF!</definedName>
    <definedName name="_T_SO_FDIV_Y00" localSheetId="5">#REF!</definedName>
    <definedName name="_T_SO_FDIV_Y00" localSheetId="24">#REF!</definedName>
    <definedName name="_T_SO_FDIV_Y00">#REF!</definedName>
    <definedName name="_T_SO_FDIV_Y01" localSheetId="5">#REF!</definedName>
    <definedName name="_T_SO_FDIV_Y01" localSheetId="24">#REF!</definedName>
    <definedName name="_T_SO_FDIV_Y01">#REF!</definedName>
    <definedName name="_T_SO_FDIV_Y02" localSheetId="5">#REF!</definedName>
    <definedName name="_T_SO_FDIV_Y02" localSheetId="24">#REF!</definedName>
    <definedName name="_T_SO_FDIV_Y02">#REF!</definedName>
    <definedName name="_T_SO_FDIV_Y03" localSheetId="5">#REF!</definedName>
    <definedName name="_T_SO_FDIV_Y03" localSheetId="24">#REF!</definedName>
    <definedName name="_T_SO_FDIV_Y03">#REF!</definedName>
    <definedName name="_T_SO_FDIV_Y90" localSheetId="5">#REF!</definedName>
    <definedName name="_T_SO_FDIV_Y90" localSheetId="24">#REF!</definedName>
    <definedName name="_T_SO_FDIV_Y90">#REF!</definedName>
    <definedName name="_T_SO_FDIV_Y91" localSheetId="5">#REF!</definedName>
    <definedName name="_T_SO_FDIV_Y91" localSheetId="24">#REF!</definedName>
    <definedName name="_T_SO_FDIV_Y91">#REF!</definedName>
    <definedName name="_T_SO_FDIV_Y92" localSheetId="5">#REF!</definedName>
    <definedName name="_T_SO_FDIV_Y92" localSheetId="24">#REF!</definedName>
    <definedName name="_T_SO_FDIV_Y92">#REF!</definedName>
    <definedName name="_T_SO_FDIV_Y93" localSheetId="5">#REF!</definedName>
    <definedName name="_T_SO_FDIV_Y93" localSheetId="24">#REF!</definedName>
    <definedName name="_T_SO_FDIV_Y93">#REF!</definedName>
    <definedName name="_T_SO_FDIV_Y94" localSheetId="5">#REF!</definedName>
    <definedName name="_T_SO_FDIV_Y94" localSheetId="24">#REF!</definedName>
    <definedName name="_T_SO_FDIV_Y94">#REF!</definedName>
    <definedName name="_T_SO_FDIV_Y95" localSheetId="5">#REF!</definedName>
    <definedName name="_T_SO_FDIV_Y95" localSheetId="24">#REF!</definedName>
    <definedName name="_T_SO_FDIV_Y95">#REF!</definedName>
    <definedName name="_T_SO_FDIV_Y96" localSheetId="5">#REF!</definedName>
    <definedName name="_T_SO_FDIV_Y96" localSheetId="24">#REF!</definedName>
    <definedName name="_T_SO_FDIV_Y96">#REF!</definedName>
    <definedName name="_T_SO_FDIV_Y97" localSheetId="5">#REF!</definedName>
    <definedName name="_T_SO_FDIV_Y97" localSheetId="24">#REF!</definedName>
    <definedName name="_T_SO_FDIV_Y97">#REF!</definedName>
    <definedName name="_T_SO_FDIV_Y98" localSheetId="5">#REF!</definedName>
    <definedName name="_T_SO_FDIV_Y98" localSheetId="24">#REF!</definedName>
    <definedName name="_T_SO_FDIV_Y98">#REF!</definedName>
    <definedName name="_T_SO_FDIV_Y99" localSheetId="5">#REF!</definedName>
    <definedName name="_T_SO_FDIV_Y99" localSheetId="24">#REF!</definedName>
    <definedName name="_T_SO_FDIV_Y99">#REF!</definedName>
    <definedName name="_T_SO_FRANKING_Y00" localSheetId="5">#REF!</definedName>
    <definedName name="_T_SO_FRANKING_Y00" localSheetId="24">#REF!</definedName>
    <definedName name="_T_SO_FRANKING_Y00">#REF!</definedName>
    <definedName name="_T_SO_FRANKING_Y01" localSheetId="5">#REF!</definedName>
    <definedName name="_T_SO_FRANKING_Y01" localSheetId="24">#REF!</definedName>
    <definedName name="_T_SO_FRANKING_Y01">#REF!</definedName>
    <definedName name="_T_SO_FRANKING_Y02" localSheetId="5">#REF!</definedName>
    <definedName name="_T_SO_FRANKING_Y02" localSheetId="24">#REF!</definedName>
    <definedName name="_T_SO_FRANKING_Y02">#REF!</definedName>
    <definedName name="_T_SO_FRANKING_Y03" localSheetId="5">#REF!</definedName>
    <definedName name="_T_SO_FRANKING_Y03" localSheetId="24">#REF!</definedName>
    <definedName name="_T_SO_FRANKING_Y03">#REF!</definedName>
    <definedName name="_T_SO_FRANKING_Y04" localSheetId="5">#REF!</definedName>
    <definedName name="_T_SO_FRANKING_Y04" localSheetId="24">#REF!</definedName>
    <definedName name="_T_SO_FRANKING_Y04">#REF!</definedName>
    <definedName name="_T_SO_FRANKING_Y05" localSheetId="5">#REF!</definedName>
    <definedName name="_T_SO_FRANKING_Y05" localSheetId="24">#REF!</definedName>
    <definedName name="_T_SO_FRANKING_Y05">#REF!</definedName>
    <definedName name="_T_SO_FRANKING_Y06" localSheetId="5">#REF!</definedName>
    <definedName name="_T_SO_FRANKING_Y06" localSheetId="24">#REF!</definedName>
    <definedName name="_T_SO_FRANKING_Y06">#REF!</definedName>
    <definedName name="_T_SO_FRANKING_Y07" localSheetId="5">#REF!</definedName>
    <definedName name="_T_SO_FRANKING_Y07" localSheetId="24">#REF!</definedName>
    <definedName name="_T_SO_FRANKING_Y07">#REF!</definedName>
    <definedName name="_T_SO_FRANKING_Y08" localSheetId="5">#REF!</definedName>
    <definedName name="_T_SO_FRANKING_Y08" localSheetId="24">#REF!</definedName>
    <definedName name="_T_SO_FRANKING_Y08">#REF!</definedName>
    <definedName name="_T_SO_FRANKING_Y92" localSheetId="5">#REF!</definedName>
    <definedName name="_T_SO_FRANKING_Y92" localSheetId="24">#REF!</definedName>
    <definedName name="_T_SO_FRANKING_Y92">#REF!</definedName>
    <definedName name="_T_SO_FRANKING_Y93" localSheetId="5">#REF!</definedName>
    <definedName name="_T_SO_FRANKING_Y93" localSheetId="24">#REF!</definedName>
    <definedName name="_T_SO_FRANKING_Y93">#REF!</definedName>
    <definedName name="_T_SO_FRANKING_Y94" localSheetId="5">#REF!</definedName>
    <definedName name="_T_SO_FRANKING_Y94" localSheetId="24">#REF!</definedName>
    <definedName name="_T_SO_FRANKING_Y94">#REF!</definedName>
    <definedName name="_T_SO_FRANKING_Y95" localSheetId="5">#REF!</definedName>
    <definedName name="_T_SO_FRANKING_Y95" localSheetId="24">#REF!</definedName>
    <definedName name="_T_SO_FRANKING_Y95">#REF!</definedName>
    <definedName name="_T_SO_FRANKING_Y96" localSheetId="5">#REF!</definedName>
    <definedName name="_T_SO_FRANKING_Y96" localSheetId="24">#REF!</definedName>
    <definedName name="_T_SO_FRANKING_Y96">#REF!</definedName>
    <definedName name="_T_SO_FRANKING_Y97" localSheetId="5">#REF!</definedName>
    <definedName name="_T_SO_FRANKING_Y97" localSheetId="24">#REF!</definedName>
    <definedName name="_T_SO_FRANKING_Y97">#REF!</definedName>
    <definedName name="_T_SO_FRANKING_Y98" localSheetId="5">#REF!</definedName>
    <definedName name="_T_SO_FRANKING_Y98" localSheetId="24">#REF!</definedName>
    <definedName name="_T_SO_FRANKING_Y98">#REF!</definedName>
    <definedName name="_T_SO_FRANKING_Y99" localSheetId="5">#REF!</definedName>
    <definedName name="_T_SO_FRANKING_Y99" localSheetId="24">#REF!</definedName>
    <definedName name="_T_SO_FRANKING_Y99">#REF!</definedName>
    <definedName name="_T_SO_IDIV_Y00" localSheetId="5">#REF!</definedName>
    <definedName name="_T_SO_IDIV_Y00" localSheetId="24">#REF!</definedName>
    <definedName name="_T_SO_IDIV_Y00">#REF!</definedName>
    <definedName name="_T_SO_IDIV_Y01" localSheetId="5">#REF!</definedName>
    <definedName name="_T_SO_IDIV_Y01" localSheetId="24">#REF!</definedName>
    <definedName name="_T_SO_IDIV_Y01">#REF!</definedName>
    <definedName name="_T_SO_IDIV_Y02" localSheetId="5">#REF!</definedName>
    <definedName name="_T_SO_IDIV_Y02" localSheetId="24">#REF!</definedName>
    <definedName name="_T_SO_IDIV_Y02">#REF!</definedName>
    <definedName name="_T_SO_IDIV_Y03" localSheetId="5">#REF!</definedName>
    <definedName name="_T_SO_IDIV_Y03" localSheetId="24">#REF!</definedName>
    <definedName name="_T_SO_IDIV_Y03">#REF!</definedName>
    <definedName name="_T_SO_IDIV_Y90" localSheetId="5">#REF!</definedName>
    <definedName name="_T_SO_IDIV_Y90" localSheetId="24">#REF!</definedName>
    <definedName name="_T_SO_IDIV_Y90">#REF!</definedName>
    <definedName name="_T_SO_IDIV_Y91" localSheetId="5">#REF!</definedName>
    <definedName name="_T_SO_IDIV_Y91" localSheetId="24">#REF!</definedName>
    <definedName name="_T_SO_IDIV_Y91">#REF!</definedName>
    <definedName name="_T_SO_IDIV_Y92" localSheetId="5">#REF!</definedName>
    <definedName name="_T_SO_IDIV_Y92" localSheetId="24">#REF!</definedName>
    <definedName name="_T_SO_IDIV_Y92">#REF!</definedName>
    <definedName name="_T_SO_IDIV_Y93" localSheetId="5">#REF!</definedName>
    <definedName name="_T_SO_IDIV_Y93" localSheetId="24">#REF!</definedName>
    <definedName name="_T_SO_IDIV_Y93">#REF!</definedName>
    <definedName name="_T_SO_IDIV_Y94" localSheetId="5">#REF!</definedName>
    <definedName name="_T_SO_IDIV_Y94" localSheetId="24">#REF!</definedName>
    <definedName name="_T_SO_IDIV_Y94">#REF!</definedName>
    <definedName name="_T_SO_IDIV_Y95" localSheetId="5">#REF!</definedName>
    <definedName name="_T_SO_IDIV_Y95" localSheetId="24">#REF!</definedName>
    <definedName name="_T_SO_IDIV_Y95">#REF!</definedName>
    <definedName name="_T_SO_IDIV_Y96" localSheetId="5">#REF!</definedName>
    <definedName name="_T_SO_IDIV_Y96" localSheetId="24">#REF!</definedName>
    <definedName name="_T_SO_IDIV_Y96">#REF!</definedName>
    <definedName name="_T_SO_IDIV_Y97" localSheetId="5">#REF!</definedName>
    <definedName name="_T_SO_IDIV_Y97" localSheetId="24">#REF!</definedName>
    <definedName name="_T_SO_IDIV_Y97">#REF!</definedName>
    <definedName name="_T_SO_IDIV_Y98" localSheetId="5">#REF!</definedName>
    <definedName name="_T_SO_IDIV_Y98" localSheetId="24">#REF!</definedName>
    <definedName name="_T_SO_IDIV_Y98">#REF!</definedName>
    <definedName name="_T_SO_IDIV_Y99" localSheetId="5">#REF!</definedName>
    <definedName name="_T_SO_IDIV_Y99" localSheetId="24">#REF!</definedName>
    <definedName name="_T_SO_IDIV_Y99">#REF!</definedName>
    <definedName name="_T_SO_SOI_UNDILUTED_Y00" localSheetId="5">#REF!</definedName>
    <definedName name="_T_SO_SOI_UNDILUTED_Y00" localSheetId="24">#REF!</definedName>
    <definedName name="_T_SO_SOI_UNDILUTED_Y00">#REF!</definedName>
    <definedName name="_T_SO_SOI_UNDILUTED_Y01" localSheetId="5">#REF!</definedName>
    <definedName name="_T_SO_SOI_UNDILUTED_Y01" localSheetId="24">#REF!</definedName>
    <definedName name="_T_SO_SOI_UNDILUTED_Y01">#REF!</definedName>
    <definedName name="_T_SO_SOI_UNDILUTED_Y02" localSheetId="5">#REF!</definedName>
    <definedName name="_T_SO_SOI_UNDILUTED_Y02" localSheetId="24">#REF!</definedName>
    <definedName name="_T_SO_SOI_UNDILUTED_Y02">#REF!</definedName>
    <definedName name="_T_SO_SOI_UNDILUTED_Y03" localSheetId="5">#REF!</definedName>
    <definedName name="_T_SO_SOI_UNDILUTED_Y03" localSheetId="24">#REF!</definedName>
    <definedName name="_T_SO_SOI_UNDILUTED_Y03">#REF!</definedName>
    <definedName name="_T_SO_SOI_UNDILUTED_Y90" localSheetId="5">#REF!</definedName>
    <definedName name="_T_SO_SOI_UNDILUTED_Y90" localSheetId="24">#REF!</definedName>
    <definedName name="_T_SO_SOI_UNDILUTED_Y90">#REF!</definedName>
    <definedName name="_T_SO_SOI_UNDILUTED_Y91" localSheetId="5">#REF!</definedName>
    <definedName name="_T_SO_SOI_UNDILUTED_Y91" localSheetId="24">#REF!</definedName>
    <definedName name="_T_SO_SOI_UNDILUTED_Y91">#REF!</definedName>
    <definedName name="_T_SO_SOI_UNDILUTED_Y92" localSheetId="5">#REF!</definedName>
    <definedName name="_T_SO_SOI_UNDILUTED_Y92" localSheetId="24">#REF!</definedName>
    <definedName name="_T_SO_SOI_UNDILUTED_Y92">#REF!</definedName>
    <definedName name="_T_SO_SOI_UNDILUTED_Y93" localSheetId="5">#REF!</definedName>
    <definedName name="_T_SO_SOI_UNDILUTED_Y93" localSheetId="24">#REF!</definedName>
    <definedName name="_T_SO_SOI_UNDILUTED_Y93">#REF!</definedName>
    <definedName name="_T_SO_SOI_UNDILUTED_Y94" localSheetId="5">#REF!</definedName>
    <definedName name="_T_SO_SOI_UNDILUTED_Y94" localSheetId="24">#REF!</definedName>
    <definedName name="_T_SO_SOI_UNDILUTED_Y94">#REF!</definedName>
    <definedName name="_T_SO_SOI_UNDILUTED_Y95" localSheetId="5">#REF!</definedName>
    <definedName name="_T_SO_SOI_UNDILUTED_Y95" localSheetId="24">#REF!</definedName>
    <definedName name="_T_SO_SOI_UNDILUTED_Y95">#REF!</definedName>
    <definedName name="_T_SO_SOI_UNDILUTED_Y96" localSheetId="5">#REF!</definedName>
    <definedName name="_T_SO_SOI_UNDILUTED_Y96" localSheetId="24">#REF!</definedName>
    <definedName name="_T_SO_SOI_UNDILUTED_Y96">#REF!</definedName>
    <definedName name="_T_SO_SOI_UNDILUTED_Y97" localSheetId="5">#REF!</definedName>
    <definedName name="_T_SO_SOI_UNDILUTED_Y97" localSheetId="24">#REF!</definedName>
    <definedName name="_T_SO_SOI_UNDILUTED_Y97">#REF!</definedName>
    <definedName name="_T_SO_SOI_UNDILUTED_Y98" localSheetId="5">#REF!</definedName>
    <definedName name="_T_SO_SOI_UNDILUTED_Y98" localSheetId="24">#REF!</definedName>
    <definedName name="_T_SO_SOI_UNDILUTED_Y98">#REF!</definedName>
    <definedName name="_T_SO_SOI_UNDILUTED_Y99" localSheetId="5">#REF!</definedName>
    <definedName name="_T_SO_SOI_UNDILUTED_Y99" localSheetId="24">#REF!</definedName>
    <definedName name="_T_SO_SOI_UNDILUTED_Y99">#REF!</definedName>
    <definedName name="_T_SO_SOI_Y00" localSheetId="5">#REF!</definedName>
    <definedName name="_T_SO_SOI_Y00" localSheetId="24">#REF!</definedName>
    <definedName name="_T_SO_SOI_Y00">#REF!</definedName>
    <definedName name="_T_SO_SOI_Y01" localSheetId="5">#REF!</definedName>
    <definedName name="_T_SO_SOI_Y01" localSheetId="24">#REF!</definedName>
    <definedName name="_T_SO_SOI_Y01">#REF!</definedName>
    <definedName name="_T_SO_SOI_Y02" localSheetId="5">#REF!</definedName>
    <definedName name="_T_SO_SOI_Y02" localSheetId="24">#REF!</definedName>
    <definedName name="_T_SO_SOI_Y02">#REF!</definedName>
    <definedName name="_T_SO_SOI_Y03" localSheetId="5">#REF!</definedName>
    <definedName name="_T_SO_SOI_Y03" localSheetId="24">#REF!</definedName>
    <definedName name="_T_SO_SOI_Y03">#REF!</definedName>
    <definedName name="_T_SO_SOI_Y04" localSheetId="5">#REF!</definedName>
    <definedName name="_T_SO_SOI_Y04" localSheetId="24">#REF!</definedName>
    <definedName name="_T_SO_SOI_Y04">#REF!</definedName>
    <definedName name="_T_SO_SOI_Y05" localSheetId="5">#REF!</definedName>
    <definedName name="_T_SO_SOI_Y05" localSheetId="24">#REF!</definedName>
    <definedName name="_T_SO_SOI_Y05">#REF!</definedName>
    <definedName name="_T_SO_SOI_Y06" localSheetId="5">#REF!</definedName>
    <definedName name="_T_SO_SOI_Y06" localSheetId="24">#REF!</definedName>
    <definedName name="_T_SO_SOI_Y06">#REF!</definedName>
    <definedName name="_T_SO_SOI_Y07" localSheetId="5">#REF!</definedName>
    <definedName name="_T_SO_SOI_Y07" localSheetId="24">#REF!</definedName>
    <definedName name="_T_SO_SOI_Y07">#REF!</definedName>
    <definedName name="_T_SO_SOI_Y08" localSheetId="5">#REF!</definedName>
    <definedName name="_T_SO_SOI_Y08" localSheetId="24">#REF!</definedName>
    <definedName name="_T_SO_SOI_Y08">#REF!</definedName>
    <definedName name="_T_SO_SOI_Y92" localSheetId="5">#REF!</definedName>
    <definedName name="_T_SO_SOI_Y92" localSheetId="24">#REF!</definedName>
    <definedName name="_T_SO_SOI_Y92">#REF!</definedName>
    <definedName name="_T_SO_SOI_Y93" localSheetId="5">#REF!</definedName>
    <definedName name="_T_SO_SOI_Y93" localSheetId="24">#REF!</definedName>
    <definedName name="_T_SO_SOI_Y93">#REF!</definedName>
    <definedName name="_T_SO_SOI_Y94" localSheetId="5">#REF!</definedName>
    <definedName name="_T_SO_SOI_Y94" localSheetId="24">#REF!</definedName>
    <definedName name="_T_SO_SOI_Y94">#REF!</definedName>
    <definedName name="_T_SO_SOI_Y95" localSheetId="5">#REF!</definedName>
    <definedName name="_T_SO_SOI_Y95" localSheetId="24">#REF!</definedName>
    <definedName name="_T_SO_SOI_Y95">#REF!</definedName>
    <definedName name="_T_SO_SOI_Y96" localSheetId="5">#REF!</definedName>
    <definedName name="_T_SO_SOI_Y96" localSheetId="24">#REF!</definedName>
    <definedName name="_T_SO_SOI_Y96">#REF!</definedName>
    <definedName name="_T_SO_SOI_Y97" localSheetId="5">#REF!</definedName>
    <definedName name="_T_SO_SOI_Y97" localSheetId="24">#REF!</definedName>
    <definedName name="_T_SO_SOI_Y97">#REF!</definedName>
    <definedName name="_T_SO_SOI_Y98" localSheetId="5">#REF!</definedName>
    <definedName name="_T_SO_SOI_Y98" localSheetId="24">#REF!</definedName>
    <definedName name="_T_SO_SOI_Y98">#REF!</definedName>
    <definedName name="_T_SO_SOI_Y99" localSheetId="5">#REF!</definedName>
    <definedName name="_T_SO_SOI_Y99" localSheetId="24">#REF!</definedName>
    <definedName name="_T_SO_SOI_Y99">#REF!</definedName>
    <definedName name="_T_SO_WAOI_Y00" localSheetId="5">#REF!</definedName>
    <definedName name="_T_SO_WAOI_Y00" localSheetId="24">#REF!</definedName>
    <definedName name="_T_SO_WAOI_Y00">#REF!</definedName>
    <definedName name="_T_SO_WAOI_Y01" localSheetId="5">#REF!</definedName>
    <definedName name="_T_SO_WAOI_Y01" localSheetId="24">#REF!</definedName>
    <definedName name="_T_SO_WAOI_Y01">#REF!</definedName>
    <definedName name="_T_SO_WAOI_Y02" localSheetId="5">#REF!</definedName>
    <definedName name="_T_SO_WAOI_Y02" localSheetId="24">#REF!</definedName>
    <definedName name="_T_SO_WAOI_Y02">#REF!</definedName>
    <definedName name="_T_SO_WAOI_Y03" localSheetId="5">#REF!</definedName>
    <definedName name="_T_SO_WAOI_Y03" localSheetId="24">#REF!</definedName>
    <definedName name="_T_SO_WAOI_Y03">#REF!</definedName>
    <definedName name="_T_SO_WAOI_Y04" localSheetId="5">#REF!</definedName>
    <definedName name="_T_SO_WAOI_Y04" localSheetId="24">#REF!</definedName>
    <definedName name="_T_SO_WAOI_Y04">#REF!</definedName>
    <definedName name="_T_SO_WAOI_Y05" localSheetId="5">#REF!</definedName>
    <definedName name="_T_SO_WAOI_Y05" localSheetId="24">#REF!</definedName>
    <definedName name="_T_SO_WAOI_Y05">#REF!</definedName>
    <definedName name="_T_SO_WAOI_Y06" localSheetId="5">#REF!</definedName>
    <definedName name="_T_SO_WAOI_Y06" localSheetId="24">#REF!</definedName>
    <definedName name="_T_SO_WAOI_Y06">#REF!</definedName>
    <definedName name="_T_SO_WAOI_Y07" localSheetId="5">#REF!</definedName>
    <definedName name="_T_SO_WAOI_Y07" localSheetId="24">#REF!</definedName>
    <definedName name="_T_SO_WAOI_Y07">#REF!</definedName>
    <definedName name="_T_SO_WAOI_Y08" localSheetId="5">#REF!</definedName>
    <definedName name="_T_SO_WAOI_Y08" localSheetId="24">#REF!</definedName>
    <definedName name="_T_SO_WAOI_Y08">#REF!</definedName>
    <definedName name="_T_SO_WAOI_Y92" localSheetId="5">#REF!</definedName>
    <definedName name="_T_SO_WAOI_Y92" localSheetId="24">#REF!</definedName>
    <definedName name="_T_SO_WAOI_Y92">#REF!</definedName>
    <definedName name="_T_SO_WAOI_Y93" localSheetId="5">#REF!</definedName>
    <definedName name="_T_SO_WAOI_Y93" localSheetId="24">#REF!</definedName>
    <definedName name="_T_SO_WAOI_Y93">#REF!</definedName>
    <definedName name="_T_SO_WAOI_Y94" localSheetId="5">#REF!</definedName>
    <definedName name="_T_SO_WAOI_Y94" localSheetId="24">#REF!</definedName>
    <definedName name="_T_SO_WAOI_Y94">#REF!</definedName>
    <definedName name="_T_SO_WAOI_Y95" localSheetId="5">#REF!</definedName>
    <definedName name="_T_SO_WAOI_Y95" localSheetId="24">#REF!</definedName>
    <definedName name="_T_SO_WAOI_Y95">#REF!</definedName>
    <definedName name="_T_SO_WAOI_Y96" localSheetId="5">#REF!</definedName>
    <definedName name="_T_SO_WAOI_Y96" localSheetId="24">#REF!</definedName>
    <definedName name="_T_SO_WAOI_Y96">#REF!</definedName>
    <definedName name="_T_SO_WAOI_Y97" localSheetId="5">#REF!</definedName>
    <definedName name="_T_SO_WAOI_Y97" localSheetId="24">#REF!</definedName>
    <definedName name="_T_SO_WAOI_Y97">#REF!</definedName>
    <definedName name="_T_SO_WAOI_Y98" localSheetId="5">#REF!</definedName>
    <definedName name="_T_SO_WAOI_Y98" localSheetId="24">#REF!</definedName>
    <definedName name="_T_SO_WAOI_Y98">#REF!</definedName>
    <definedName name="_T_SO_WAOI_Y99" localSheetId="5">#REF!</definedName>
    <definedName name="_T_SO_WAOI_Y99" localSheetId="24">#REF!</definedName>
    <definedName name="_T_SO_WAOI_Y99">#REF!</definedName>
    <definedName name="_T_SOC_SOI_Y00" localSheetId="5">#REF!</definedName>
    <definedName name="_T_SOC_SOI_Y00" localSheetId="24">#REF!</definedName>
    <definedName name="_T_SOC_SOI_Y00">#REF!</definedName>
    <definedName name="_T_SOC_SOI_Y01" localSheetId="5">#REF!</definedName>
    <definedName name="_T_SOC_SOI_Y01" localSheetId="24">#REF!</definedName>
    <definedName name="_T_SOC_SOI_Y01">#REF!</definedName>
    <definedName name="_T_SOC_SOI_Y02" localSheetId="5">#REF!</definedName>
    <definedName name="_T_SOC_SOI_Y02" localSheetId="24">#REF!</definedName>
    <definedName name="_T_SOC_SOI_Y02">#REF!</definedName>
    <definedName name="_T_SOC_SOI_Y03" localSheetId="5">#REF!</definedName>
    <definedName name="_T_SOC_SOI_Y03" localSheetId="24">#REF!</definedName>
    <definedName name="_T_SOC_SOI_Y03">#REF!</definedName>
    <definedName name="_T_SOC_SOI_Y90" localSheetId="5">#REF!</definedName>
    <definedName name="_T_SOC_SOI_Y90" localSheetId="24">#REF!</definedName>
    <definedName name="_T_SOC_SOI_Y90">#REF!</definedName>
    <definedName name="_T_SOC_SOI_Y91" localSheetId="5">#REF!</definedName>
    <definedName name="_T_SOC_SOI_Y91" localSheetId="24">#REF!</definedName>
    <definedName name="_T_SOC_SOI_Y91">#REF!</definedName>
    <definedName name="_T_SOC_SOI_Y92" localSheetId="5">#REF!</definedName>
    <definedName name="_T_SOC_SOI_Y92" localSheetId="24">#REF!</definedName>
    <definedName name="_T_SOC_SOI_Y92">#REF!</definedName>
    <definedName name="_T_SOC_SOI_Y93" localSheetId="5">#REF!</definedName>
    <definedName name="_T_SOC_SOI_Y93" localSheetId="24">#REF!</definedName>
    <definedName name="_T_SOC_SOI_Y93">#REF!</definedName>
    <definedName name="_T_SOC_SOI_Y94" localSheetId="5">#REF!</definedName>
    <definedName name="_T_SOC_SOI_Y94" localSheetId="24">#REF!</definedName>
    <definedName name="_T_SOC_SOI_Y94">#REF!</definedName>
    <definedName name="_T_SOC_SOI_Y95" localSheetId="5">#REF!</definedName>
    <definedName name="_T_SOC_SOI_Y95" localSheetId="24">#REF!</definedName>
    <definedName name="_T_SOC_SOI_Y95">#REF!</definedName>
    <definedName name="_T_SOC_SOI_Y96" localSheetId="5">#REF!</definedName>
    <definedName name="_T_SOC_SOI_Y96" localSheetId="24">#REF!</definedName>
    <definedName name="_T_SOC_SOI_Y96">#REF!</definedName>
    <definedName name="_T_SOC_SOI_Y97" localSheetId="5">#REF!</definedName>
    <definedName name="_T_SOC_SOI_Y97" localSheetId="24">#REF!</definedName>
    <definedName name="_T_SOC_SOI_Y97">#REF!</definedName>
    <definedName name="_T_SOC_SOI_Y98" localSheetId="5">#REF!</definedName>
    <definedName name="_T_SOC_SOI_Y98" localSheetId="24">#REF!</definedName>
    <definedName name="_T_SOC_SOI_Y98">#REF!</definedName>
    <definedName name="_T_SOC_SOI_Y99" localSheetId="5">#REF!</definedName>
    <definedName name="_T_SOC_SOI_Y99" localSheetId="24">#REF!</definedName>
    <definedName name="_T_SOC_SOI_Y99">#REF!</definedName>
    <definedName name="_T_SOC_WAOI_Y00" localSheetId="5">#REF!</definedName>
    <definedName name="_T_SOC_WAOI_Y00" localSheetId="24">#REF!</definedName>
    <definedName name="_T_SOC_WAOI_Y00">#REF!</definedName>
    <definedName name="_T_SOC_WAOI_Y01" localSheetId="5">#REF!</definedName>
    <definedName name="_T_SOC_WAOI_Y01" localSheetId="24">#REF!</definedName>
    <definedName name="_T_SOC_WAOI_Y01">#REF!</definedName>
    <definedName name="_T_SOC_WAOI_Y02" localSheetId="5">#REF!</definedName>
    <definedName name="_T_SOC_WAOI_Y02" localSheetId="24">#REF!</definedName>
    <definedName name="_T_SOC_WAOI_Y02">#REF!</definedName>
    <definedName name="_T_SOC_WAOI_Y03" localSheetId="5">#REF!</definedName>
    <definedName name="_T_SOC_WAOI_Y03" localSheetId="24">#REF!</definedName>
    <definedName name="_T_SOC_WAOI_Y03">#REF!</definedName>
    <definedName name="_T_SOC_WAOI_Y90" localSheetId="5">#REF!</definedName>
    <definedName name="_T_SOC_WAOI_Y90" localSheetId="24">#REF!</definedName>
    <definedName name="_T_SOC_WAOI_Y90">#REF!</definedName>
    <definedName name="_T_SOC_WAOI_Y91" localSheetId="5">#REF!</definedName>
    <definedName name="_T_SOC_WAOI_Y91" localSheetId="24">#REF!</definedName>
    <definedName name="_T_SOC_WAOI_Y91">#REF!</definedName>
    <definedName name="_T_SOC_WAOI_Y92" localSheetId="5">#REF!</definedName>
    <definedName name="_T_SOC_WAOI_Y92" localSheetId="24">#REF!</definedName>
    <definedName name="_T_SOC_WAOI_Y92">#REF!</definedName>
    <definedName name="_T_SOC_WAOI_Y93" localSheetId="5">#REF!</definedName>
    <definedName name="_T_SOC_WAOI_Y93" localSheetId="24">#REF!</definedName>
    <definedName name="_T_SOC_WAOI_Y93">#REF!</definedName>
    <definedName name="_T_SOC_WAOI_Y94" localSheetId="5">#REF!</definedName>
    <definedName name="_T_SOC_WAOI_Y94" localSheetId="24">#REF!</definedName>
    <definedName name="_T_SOC_WAOI_Y94">#REF!</definedName>
    <definedName name="_T_SOC_WAOI_Y95" localSheetId="5">#REF!</definedName>
    <definedName name="_T_SOC_WAOI_Y95" localSheetId="24">#REF!</definedName>
    <definedName name="_T_SOC_WAOI_Y95">#REF!</definedName>
    <definedName name="_T_SOC_WAOI_Y96" localSheetId="5">#REF!</definedName>
    <definedName name="_T_SOC_WAOI_Y96" localSheetId="24">#REF!</definedName>
    <definedName name="_T_SOC_WAOI_Y96">#REF!</definedName>
    <definedName name="_T_SOC_WAOI_Y97" localSheetId="5">#REF!</definedName>
    <definedName name="_T_SOC_WAOI_Y97" localSheetId="24">#REF!</definedName>
    <definedName name="_T_SOC_WAOI_Y97">#REF!</definedName>
    <definedName name="_T_SOC_WAOI_Y98" localSheetId="5">#REF!</definedName>
    <definedName name="_T_SOC_WAOI_Y98" localSheetId="24">#REF!</definedName>
    <definedName name="_T_SOC_WAOI_Y98">#REF!</definedName>
    <definedName name="_T_SOC_WAOI_Y99" localSheetId="5">#REF!</definedName>
    <definedName name="_T_SOC_WAOI_Y99" localSheetId="24">#REF!</definedName>
    <definedName name="_T_SOC_WAOI_Y99">#REF!</definedName>
    <definedName name="_T_SOP_SOI_Y00" localSheetId="5">#REF!</definedName>
    <definedName name="_T_SOP_SOI_Y00" localSheetId="24">#REF!</definedName>
    <definedName name="_T_SOP_SOI_Y00">#REF!</definedName>
    <definedName name="_T_SOP_SOI_Y01" localSheetId="5">#REF!</definedName>
    <definedName name="_T_SOP_SOI_Y01" localSheetId="24">#REF!</definedName>
    <definedName name="_T_SOP_SOI_Y01">#REF!</definedName>
    <definedName name="_T_SOP_SOI_Y02" localSheetId="5">#REF!</definedName>
    <definedName name="_T_SOP_SOI_Y02" localSheetId="24">#REF!</definedName>
    <definedName name="_T_SOP_SOI_Y02">#REF!</definedName>
    <definedName name="_T_SOP_SOI_Y03" localSheetId="5">#REF!</definedName>
    <definedName name="_T_SOP_SOI_Y03" localSheetId="24">#REF!</definedName>
    <definedName name="_T_SOP_SOI_Y03">#REF!</definedName>
    <definedName name="_T_SOP_SOI_Y04" localSheetId="5">#REF!</definedName>
    <definedName name="_T_SOP_SOI_Y04" localSheetId="24">#REF!</definedName>
    <definedName name="_T_SOP_SOI_Y04">#REF!</definedName>
    <definedName name="_T_SOP_SOI_Y05" localSheetId="5">#REF!</definedName>
    <definedName name="_T_SOP_SOI_Y05" localSheetId="24">#REF!</definedName>
    <definedName name="_T_SOP_SOI_Y05">#REF!</definedName>
    <definedName name="_T_SOP_SOI_Y06" localSheetId="5">#REF!</definedName>
    <definedName name="_T_SOP_SOI_Y06" localSheetId="24">#REF!</definedName>
    <definedName name="_T_SOP_SOI_Y06">#REF!</definedName>
    <definedName name="_T_SOP_SOI_Y07" localSheetId="5">#REF!</definedName>
    <definedName name="_T_SOP_SOI_Y07" localSheetId="24">#REF!</definedName>
    <definedName name="_T_SOP_SOI_Y07">#REF!</definedName>
    <definedName name="_T_SOP_SOI_Y08" localSheetId="5">#REF!</definedName>
    <definedName name="_T_SOP_SOI_Y08" localSheetId="24">#REF!</definedName>
    <definedName name="_T_SOP_SOI_Y08">#REF!</definedName>
    <definedName name="_T_SOP_SOI_Y92" localSheetId="5">#REF!</definedName>
    <definedName name="_T_SOP_SOI_Y92" localSheetId="24">#REF!</definedName>
    <definedName name="_T_SOP_SOI_Y92">#REF!</definedName>
    <definedName name="_T_SOP_SOI_Y93" localSheetId="5">#REF!</definedName>
    <definedName name="_T_SOP_SOI_Y93" localSheetId="24">#REF!</definedName>
    <definedName name="_T_SOP_SOI_Y93">#REF!</definedName>
    <definedName name="_T_SOP_SOI_Y94" localSheetId="5">#REF!</definedName>
    <definedName name="_T_SOP_SOI_Y94" localSheetId="24">#REF!</definedName>
    <definedName name="_T_SOP_SOI_Y94">#REF!</definedName>
    <definedName name="_T_SOP_SOI_Y95" localSheetId="5">#REF!</definedName>
    <definedName name="_T_SOP_SOI_Y95" localSheetId="24">#REF!</definedName>
    <definedName name="_T_SOP_SOI_Y95">#REF!</definedName>
    <definedName name="_T_SOP_SOI_Y96" localSheetId="5">#REF!</definedName>
    <definedName name="_T_SOP_SOI_Y96" localSheetId="24">#REF!</definedName>
    <definedName name="_T_SOP_SOI_Y96">#REF!</definedName>
    <definedName name="_T_SOP_SOI_Y97" localSheetId="5">#REF!</definedName>
    <definedName name="_T_SOP_SOI_Y97" localSheetId="24">#REF!</definedName>
    <definedName name="_T_SOP_SOI_Y97">#REF!</definedName>
    <definedName name="_T_SOP_SOI_Y98" localSheetId="5">#REF!</definedName>
    <definedName name="_T_SOP_SOI_Y98" localSheetId="24">#REF!</definedName>
    <definedName name="_T_SOP_SOI_Y98">#REF!</definedName>
    <definedName name="_T_SOP_SOI_Y99" localSheetId="5">#REF!</definedName>
    <definedName name="_T_SOP_SOI_Y99" localSheetId="24">#REF!</definedName>
    <definedName name="_T_SOP_SOI_Y99">#REF!</definedName>
    <definedName name="_T_SOP_WAOI_Y00" localSheetId="5">#REF!</definedName>
    <definedName name="_T_SOP_WAOI_Y00" localSheetId="24">#REF!</definedName>
    <definedName name="_T_SOP_WAOI_Y00">#REF!</definedName>
    <definedName name="_T_SOP_WAOI_Y01" localSheetId="5">#REF!</definedName>
    <definedName name="_T_SOP_WAOI_Y01" localSheetId="24">#REF!</definedName>
    <definedName name="_T_SOP_WAOI_Y01">#REF!</definedName>
    <definedName name="_T_SOP_WAOI_Y02" localSheetId="5">#REF!</definedName>
    <definedName name="_T_SOP_WAOI_Y02" localSheetId="24">#REF!</definedName>
    <definedName name="_T_SOP_WAOI_Y02">#REF!</definedName>
    <definedName name="_T_SOP_WAOI_Y03" localSheetId="5">#REF!</definedName>
    <definedName name="_T_SOP_WAOI_Y03" localSheetId="24">#REF!</definedName>
    <definedName name="_T_SOP_WAOI_Y03">#REF!</definedName>
    <definedName name="_T_SOP_WAOI_Y04" localSheetId="5">#REF!</definedName>
    <definedName name="_T_SOP_WAOI_Y04" localSheetId="24">#REF!</definedName>
    <definedName name="_T_SOP_WAOI_Y04">#REF!</definedName>
    <definedName name="_T_SOP_WAOI_Y05" localSheetId="5">#REF!</definedName>
    <definedName name="_T_SOP_WAOI_Y05" localSheetId="24">#REF!</definedName>
    <definedName name="_T_SOP_WAOI_Y05">#REF!</definedName>
    <definedName name="_T_SOP_WAOI_Y06" localSheetId="5">#REF!</definedName>
    <definedName name="_T_SOP_WAOI_Y06" localSheetId="24">#REF!</definedName>
    <definedName name="_T_SOP_WAOI_Y06">#REF!</definedName>
    <definedName name="_T_SOP_WAOI_Y07" localSheetId="5">#REF!</definedName>
    <definedName name="_T_SOP_WAOI_Y07" localSheetId="24">#REF!</definedName>
    <definedName name="_T_SOP_WAOI_Y07">#REF!</definedName>
    <definedName name="_T_SOP_WAOI_Y08" localSheetId="5">#REF!</definedName>
    <definedName name="_T_SOP_WAOI_Y08" localSheetId="24">#REF!</definedName>
    <definedName name="_T_SOP_WAOI_Y08">#REF!</definedName>
    <definedName name="_T_SOP_WAOI_Y92" localSheetId="5">#REF!</definedName>
    <definedName name="_T_SOP_WAOI_Y92" localSheetId="24">#REF!</definedName>
    <definedName name="_T_SOP_WAOI_Y92">#REF!</definedName>
    <definedName name="_T_SOP_WAOI_Y93" localSheetId="5">#REF!</definedName>
    <definedName name="_T_SOP_WAOI_Y93" localSheetId="24">#REF!</definedName>
    <definedName name="_T_SOP_WAOI_Y93">#REF!</definedName>
    <definedName name="_T_SOP_WAOI_Y94" localSheetId="5">#REF!</definedName>
    <definedName name="_T_SOP_WAOI_Y94" localSheetId="24">#REF!</definedName>
    <definedName name="_T_SOP_WAOI_Y94">#REF!</definedName>
    <definedName name="_T_SOP_WAOI_Y95" localSheetId="5">#REF!</definedName>
    <definedName name="_T_SOP_WAOI_Y95" localSheetId="24">#REF!</definedName>
    <definedName name="_T_SOP_WAOI_Y95">#REF!</definedName>
    <definedName name="_T_SOP_WAOI_Y96" localSheetId="5">#REF!</definedName>
    <definedName name="_T_SOP_WAOI_Y96" localSheetId="24">#REF!</definedName>
    <definedName name="_T_SOP_WAOI_Y96">#REF!</definedName>
    <definedName name="_T_SOP_WAOI_Y97" localSheetId="5">#REF!</definedName>
    <definedName name="_T_SOP_WAOI_Y97" localSheetId="24">#REF!</definedName>
    <definedName name="_T_SOP_WAOI_Y97">#REF!</definedName>
    <definedName name="_T_SOP_WAOI_Y98" localSheetId="5">#REF!</definedName>
    <definedName name="_T_SOP_WAOI_Y98" localSheetId="24">#REF!</definedName>
    <definedName name="_T_SOP_WAOI_Y98">#REF!</definedName>
    <definedName name="_T_SOP_WAOI_Y99" localSheetId="5">#REF!</definedName>
    <definedName name="_T_SOP_WAOI_Y99" localSheetId="24">#REF!</definedName>
    <definedName name="_T_SOP_WAOI_Y99">#REF!</definedName>
    <definedName name="_T_SPACE_Y00" localSheetId="5">#REF!</definedName>
    <definedName name="_T_SPACE_Y00" localSheetId="24">#REF!</definedName>
    <definedName name="_T_SPACE_Y00">#REF!</definedName>
    <definedName name="_T_SPACE_Y01" localSheetId="5">#REF!</definedName>
    <definedName name="_T_SPACE_Y01" localSheetId="24">#REF!</definedName>
    <definedName name="_T_SPACE_Y01">#REF!</definedName>
    <definedName name="_T_SPACE_Y02" localSheetId="5">#REF!</definedName>
    <definedName name="_T_SPACE_Y02" localSheetId="24">#REF!</definedName>
    <definedName name="_T_SPACE_Y02">#REF!</definedName>
    <definedName name="_T_SPACE_Y03" localSheetId="5">#REF!</definedName>
    <definedName name="_T_SPACE_Y03" localSheetId="24">#REF!</definedName>
    <definedName name="_T_SPACE_Y03">#REF!</definedName>
    <definedName name="_T_SPACE_Y90" localSheetId="5">#REF!</definedName>
    <definedName name="_T_SPACE_Y90" localSheetId="24">#REF!</definedName>
    <definedName name="_T_SPACE_Y90">#REF!</definedName>
    <definedName name="_T_SPACE_Y91" localSheetId="5">#REF!</definedName>
    <definedName name="_T_SPACE_Y91" localSheetId="24">#REF!</definedName>
    <definedName name="_T_SPACE_Y91">#REF!</definedName>
    <definedName name="_T_SPACE_Y92" localSheetId="5">#REF!</definedName>
    <definedName name="_T_SPACE_Y92" localSheetId="24">#REF!</definedName>
    <definedName name="_T_SPACE_Y92">#REF!</definedName>
    <definedName name="_T_SPACE_Y93" localSheetId="5">#REF!</definedName>
    <definedName name="_T_SPACE_Y93" localSheetId="24">#REF!</definedName>
    <definedName name="_T_SPACE_Y93">#REF!</definedName>
    <definedName name="_T_SPACE_Y94" localSheetId="5">#REF!</definedName>
    <definedName name="_T_SPACE_Y94" localSheetId="24">#REF!</definedName>
    <definedName name="_T_SPACE_Y94">#REF!</definedName>
    <definedName name="_T_SPACE_Y95" localSheetId="5">#REF!</definedName>
    <definedName name="_T_SPACE_Y95" localSheetId="24">#REF!</definedName>
    <definedName name="_T_SPACE_Y95">#REF!</definedName>
    <definedName name="_T_SPACE_Y96" localSheetId="5">#REF!</definedName>
    <definedName name="_T_SPACE_Y96" localSheetId="24">#REF!</definedName>
    <definedName name="_T_SPACE_Y96">#REF!</definedName>
    <definedName name="_T_SPACE_Y97" localSheetId="5">#REF!</definedName>
    <definedName name="_T_SPACE_Y97" localSheetId="24">#REF!</definedName>
    <definedName name="_T_SPACE_Y97">#REF!</definedName>
    <definedName name="_T_SPACE_Y98" localSheetId="5">#REF!</definedName>
    <definedName name="_T_SPACE_Y98" localSheetId="24">#REF!</definedName>
    <definedName name="_T_SPACE_Y98">#REF!</definedName>
    <definedName name="_T_SPACE_Y99" localSheetId="5">#REF!</definedName>
    <definedName name="_T_SPACE_Y99" localSheetId="24">#REF!</definedName>
    <definedName name="_T_SPACE_Y99">#REF!</definedName>
    <definedName name="_T_SPP_SOI_Y00" localSheetId="5">#REF!</definedName>
    <definedName name="_T_SPP_SOI_Y00" localSheetId="24">#REF!</definedName>
    <definedName name="_T_SPP_SOI_Y00">#REF!</definedName>
    <definedName name="_T_SPP_SOI_Y01" localSheetId="5">#REF!</definedName>
    <definedName name="_T_SPP_SOI_Y01" localSheetId="24">#REF!</definedName>
    <definedName name="_T_SPP_SOI_Y01">#REF!</definedName>
    <definedName name="_T_SPP_SOI_Y02" localSheetId="5">#REF!</definedName>
    <definedName name="_T_SPP_SOI_Y02" localSheetId="24">#REF!</definedName>
    <definedName name="_T_SPP_SOI_Y02">#REF!</definedName>
    <definedName name="_T_SPP_SOI_Y03" localSheetId="5">#REF!</definedName>
    <definedName name="_T_SPP_SOI_Y03" localSheetId="24">#REF!</definedName>
    <definedName name="_T_SPP_SOI_Y03">#REF!</definedName>
    <definedName name="_T_SPP_SOI_Y04" localSheetId="5">#REF!</definedName>
    <definedName name="_T_SPP_SOI_Y04" localSheetId="24">#REF!</definedName>
    <definedName name="_T_SPP_SOI_Y04">#REF!</definedName>
    <definedName name="_T_SPP_SOI_Y05" localSheetId="5">#REF!</definedName>
    <definedName name="_T_SPP_SOI_Y05" localSheetId="24">#REF!</definedName>
    <definedName name="_T_SPP_SOI_Y05">#REF!</definedName>
    <definedName name="_T_SPP_SOI_Y06" localSheetId="5">#REF!</definedName>
    <definedName name="_T_SPP_SOI_Y06" localSheetId="24">#REF!</definedName>
    <definedName name="_T_SPP_SOI_Y06">#REF!</definedName>
    <definedName name="_T_SPP_SOI_Y07" localSheetId="5">#REF!</definedName>
    <definedName name="_T_SPP_SOI_Y07" localSheetId="24">#REF!</definedName>
    <definedName name="_T_SPP_SOI_Y07">#REF!</definedName>
    <definedName name="_T_SPP_SOI_Y08" localSheetId="5">#REF!</definedName>
    <definedName name="_T_SPP_SOI_Y08" localSheetId="24">#REF!</definedName>
    <definedName name="_T_SPP_SOI_Y08">#REF!</definedName>
    <definedName name="_T_SPP_SOI_Y92" localSheetId="5">#REF!</definedName>
    <definedName name="_T_SPP_SOI_Y92" localSheetId="24">#REF!</definedName>
    <definedName name="_T_SPP_SOI_Y92">#REF!</definedName>
    <definedName name="_T_SPP_SOI_Y93" localSheetId="5">#REF!</definedName>
    <definedName name="_T_SPP_SOI_Y93" localSheetId="24">#REF!</definedName>
    <definedName name="_T_SPP_SOI_Y93">#REF!</definedName>
    <definedName name="_T_SPP_SOI_Y94" localSheetId="5">#REF!</definedName>
    <definedName name="_T_SPP_SOI_Y94" localSheetId="24">#REF!</definedName>
    <definedName name="_T_SPP_SOI_Y94">#REF!</definedName>
    <definedName name="_T_SPP_SOI_Y95" localSheetId="5">#REF!</definedName>
    <definedName name="_T_SPP_SOI_Y95" localSheetId="24">#REF!</definedName>
    <definedName name="_T_SPP_SOI_Y95">#REF!</definedName>
    <definedName name="_T_SPP_SOI_Y96" localSheetId="5">#REF!</definedName>
    <definedName name="_T_SPP_SOI_Y96" localSheetId="24">#REF!</definedName>
    <definedName name="_T_SPP_SOI_Y96">#REF!</definedName>
    <definedName name="_T_SPP_SOI_Y97" localSheetId="5">#REF!</definedName>
    <definedName name="_T_SPP_SOI_Y97" localSheetId="24">#REF!</definedName>
    <definedName name="_T_SPP_SOI_Y97">#REF!</definedName>
    <definedName name="_T_SPP_SOI_Y98" localSheetId="5">#REF!</definedName>
    <definedName name="_T_SPP_SOI_Y98" localSheetId="24">#REF!</definedName>
    <definedName name="_T_SPP_SOI_Y98">#REF!</definedName>
    <definedName name="_T_SPP_SOI_Y99" localSheetId="5">#REF!</definedName>
    <definedName name="_T_SPP_SOI_Y99" localSheetId="24">#REF!</definedName>
    <definedName name="_T_SPP_SOI_Y99">#REF!</definedName>
    <definedName name="_T_SPP_WAOI_Y00" localSheetId="5">#REF!</definedName>
    <definedName name="_T_SPP_WAOI_Y00" localSheetId="24">#REF!</definedName>
    <definedName name="_T_SPP_WAOI_Y00">#REF!</definedName>
    <definedName name="_T_SPP_WAOI_Y01" localSheetId="5">#REF!</definedName>
    <definedName name="_T_SPP_WAOI_Y01" localSheetId="24">#REF!</definedName>
    <definedName name="_T_SPP_WAOI_Y01">#REF!</definedName>
    <definedName name="_T_SPP_WAOI_Y02" localSheetId="5">#REF!</definedName>
    <definedName name="_T_SPP_WAOI_Y02" localSheetId="24">#REF!</definedName>
    <definedName name="_T_SPP_WAOI_Y02">#REF!</definedName>
    <definedName name="_T_SPP_WAOI_Y03" localSheetId="5">#REF!</definedName>
    <definedName name="_T_SPP_WAOI_Y03" localSheetId="24">#REF!</definedName>
    <definedName name="_T_SPP_WAOI_Y03">#REF!</definedName>
    <definedName name="_T_SPP_WAOI_Y04" localSheetId="5">#REF!</definedName>
    <definedName name="_T_SPP_WAOI_Y04" localSheetId="24">#REF!</definedName>
    <definedName name="_T_SPP_WAOI_Y04">#REF!</definedName>
    <definedName name="_T_SPP_WAOI_Y05" localSheetId="5">#REF!</definedName>
    <definedName name="_T_SPP_WAOI_Y05" localSheetId="24">#REF!</definedName>
    <definedName name="_T_SPP_WAOI_Y05">#REF!</definedName>
    <definedName name="_T_SPP_WAOI_Y06" localSheetId="5">#REF!</definedName>
    <definedName name="_T_SPP_WAOI_Y06" localSheetId="24">#REF!</definedName>
    <definedName name="_T_SPP_WAOI_Y06">#REF!</definedName>
    <definedName name="_T_SPP_WAOI_Y92" localSheetId="5">#REF!</definedName>
    <definedName name="_T_SPP_WAOI_Y92" localSheetId="24">#REF!</definedName>
    <definedName name="_T_SPP_WAOI_Y92">#REF!</definedName>
    <definedName name="_T_SPP_WAOI_Y93" localSheetId="5">#REF!</definedName>
    <definedName name="_T_SPP_WAOI_Y93" localSheetId="24">#REF!</definedName>
    <definedName name="_T_SPP_WAOI_Y93">#REF!</definedName>
    <definedName name="_T_SPP_WAOI_Y94" localSheetId="5">#REF!</definedName>
    <definedName name="_T_SPP_WAOI_Y94" localSheetId="24">#REF!</definedName>
    <definedName name="_T_SPP_WAOI_Y94">#REF!</definedName>
    <definedName name="_T_SPP_WAOI_Y95" localSheetId="5">#REF!</definedName>
    <definedName name="_T_SPP_WAOI_Y95" localSheetId="24">#REF!</definedName>
    <definedName name="_T_SPP_WAOI_Y95">#REF!</definedName>
    <definedName name="_T_SPP_WAOI_Y96" localSheetId="5">#REF!</definedName>
    <definedName name="_T_SPP_WAOI_Y96" localSheetId="24">#REF!</definedName>
    <definedName name="_T_SPP_WAOI_Y96">#REF!</definedName>
    <definedName name="_T_SPP_WAOI_Y97" localSheetId="5">#REF!</definedName>
    <definedName name="_T_SPP_WAOI_Y97" localSheetId="24">#REF!</definedName>
    <definedName name="_T_SPP_WAOI_Y97">#REF!</definedName>
    <definedName name="_T_SPP_WAOI_Y98" localSheetId="5">#REF!</definedName>
    <definedName name="_T_SPP_WAOI_Y98" localSheetId="24">#REF!</definedName>
    <definedName name="_T_SPP_WAOI_Y98">#REF!</definedName>
    <definedName name="_T_SPP_WAOI_Y99" localSheetId="5">#REF!</definedName>
    <definedName name="_T_SPP_WAOI_Y99" localSheetId="24">#REF!</definedName>
    <definedName name="_T_SPP_WAOI_Y99">#REF!</definedName>
    <definedName name="_T_SS_FULLY_DIAL_PE_RAW_Y00" localSheetId="5">#REF!</definedName>
    <definedName name="_T_SS_FULLY_DIAL_PE_RAW_Y00" localSheetId="24">#REF!</definedName>
    <definedName name="_T_SS_FULLY_DIAL_PE_RAW_Y00">#REF!</definedName>
    <definedName name="_T_SS_FULLY_DIAL_PE_RAW_Y01" localSheetId="5">#REF!</definedName>
    <definedName name="_T_SS_FULLY_DIAL_PE_RAW_Y01" localSheetId="24">#REF!</definedName>
    <definedName name="_T_SS_FULLY_DIAL_PE_RAW_Y01">#REF!</definedName>
    <definedName name="_T_SS_FULLY_DIAL_PE_RAW_Y02" localSheetId="5">#REF!</definedName>
    <definedName name="_T_SS_FULLY_DIAL_PE_RAW_Y02" localSheetId="24">#REF!</definedName>
    <definedName name="_T_SS_FULLY_DIAL_PE_RAW_Y02">#REF!</definedName>
    <definedName name="_T_SS_FULLY_DIAL_PE_RAW_Y03" localSheetId="5">#REF!</definedName>
    <definedName name="_T_SS_FULLY_DIAL_PE_RAW_Y03" localSheetId="24">#REF!</definedName>
    <definedName name="_T_SS_FULLY_DIAL_PE_RAW_Y03">#REF!</definedName>
    <definedName name="_T_SS_FULLY_DIAL_PE_RAW_Y90" localSheetId="5">#REF!</definedName>
    <definedName name="_T_SS_FULLY_DIAL_PE_RAW_Y90" localSheetId="24">#REF!</definedName>
    <definedName name="_T_SS_FULLY_DIAL_PE_RAW_Y90">#REF!</definedName>
    <definedName name="_T_SS_FULLY_DIAL_PE_RAW_Y91" localSheetId="5">#REF!</definedName>
    <definedName name="_T_SS_FULLY_DIAL_PE_RAW_Y91" localSheetId="24">#REF!</definedName>
    <definedName name="_T_SS_FULLY_DIAL_PE_RAW_Y91">#REF!</definedName>
    <definedName name="_T_SS_FULLY_DIAL_PE_RAW_Y92" localSheetId="5">#REF!</definedName>
    <definedName name="_T_SS_FULLY_DIAL_PE_RAW_Y92" localSheetId="24">#REF!</definedName>
    <definedName name="_T_SS_FULLY_DIAL_PE_RAW_Y92">#REF!</definedName>
    <definedName name="_T_SS_FULLY_DIAL_PE_RAW_Y93" localSheetId="5">#REF!</definedName>
    <definedName name="_T_SS_FULLY_DIAL_PE_RAW_Y93" localSheetId="24">#REF!</definedName>
    <definedName name="_T_SS_FULLY_DIAL_PE_RAW_Y93">#REF!</definedName>
    <definedName name="_T_SS_FULLY_DIAL_PE_RAW_Y94" localSheetId="5">#REF!</definedName>
    <definedName name="_T_SS_FULLY_DIAL_PE_RAW_Y94" localSheetId="24">#REF!</definedName>
    <definedName name="_T_SS_FULLY_DIAL_PE_RAW_Y94">#REF!</definedName>
    <definedName name="_T_SS_FULLY_DIAL_PE_RAW_Y95" localSheetId="5">#REF!</definedName>
    <definedName name="_T_SS_FULLY_DIAL_PE_RAW_Y95" localSheetId="24">#REF!</definedName>
    <definedName name="_T_SS_FULLY_DIAL_PE_RAW_Y95">#REF!</definedName>
    <definedName name="_T_SS_FULLY_DIAL_PE_RAW_Y96" localSheetId="5">#REF!</definedName>
    <definedName name="_T_SS_FULLY_DIAL_PE_RAW_Y96" localSheetId="24">#REF!</definedName>
    <definedName name="_T_SS_FULLY_DIAL_PE_RAW_Y96">#REF!</definedName>
    <definedName name="_T_SS_FULLY_DIAL_PE_RAW_Y97" localSheetId="5">#REF!</definedName>
    <definedName name="_T_SS_FULLY_DIAL_PE_RAW_Y97" localSheetId="24">#REF!</definedName>
    <definedName name="_T_SS_FULLY_DIAL_PE_RAW_Y97">#REF!</definedName>
    <definedName name="_T_SS_FULLY_DIAL_PE_RAW_Y98" localSheetId="5">#REF!</definedName>
    <definedName name="_T_SS_FULLY_DIAL_PE_RAW_Y98" localSheetId="24">#REF!</definedName>
    <definedName name="_T_SS_FULLY_DIAL_PE_RAW_Y98">#REF!</definedName>
    <definedName name="_T_SS_FULLY_DIAL_PE_RAW_Y99" localSheetId="5">#REF!</definedName>
    <definedName name="_T_SS_FULLY_DIAL_PE_RAW_Y99" localSheetId="24">#REF!</definedName>
    <definedName name="_T_SS_FULLY_DIAL_PE_RAW_Y99">#REF!</definedName>
    <definedName name="_T_SS_FULLY_DIAL_PE_Y00" localSheetId="5">#REF!</definedName>
    <definedName name="_T_SS_FULLY_DIAL_PE_Y00" localSheetId="24">#REF!</definedName>
    <definedName name="_T_SS_FULLY_DIAL_PE_Y00">#REF!</definedName>
    <definedName name="_T_SS_FULLY_DIAL_PE_Y01" localSheetId="5">#REF!</definedName>
    <definedName name="_T_SS_FULLY_DIAL_PE_Y01" localSheetId="24">#REF!</definedName>
    <definedName name="_T_SS_FULLY_DIAL_PE_Y01">#REF!</definedName>
    <definedName name="_T_SS_FULLY_DIAL_PE_Y02" localSheetId="5">#REF!</definedName>
    <definedName name="_T_SS_FULLY_DIAL_PE_Y02" localSheetId="24">#REF!</definedName>
    <definedName name="_T_SS_FULLY_DIAL_PE_Y02">#REF!</definedName>
    <definedName name="_T_SS_FULLY_DIAL_PE_Y03" localSheetId="5">#REF!</definedName>
    <definedName name="_T_SS_FULLY_DIAL_PE_Y03" localSheetId="24">#REF!</definedName>
    <definedName name="_T_SS_FULLY_DIAL_PE_Y03">#REF!</definedName>
    <definedName name="_T_SS_FULLY_DIAL_PE_Y90" localSheetId="5">#REF!</definedName>
    <definedName name="_T_SS_FULLY_DIAL_PE_Y90" localSheetId="24">#REF!</definedName>
    <definedName name="_T_SS_FULLY_DIAL_PE_Y90">#REF!</definedName>
    <definedName name="_T_SS_FULLY_DIAL_PE_Y91" localSheetId="5">#REF!</definedName>
    <definedName name="_T_SS_FULLY_DIAL_PE_Y91" localSheetId="24">#REF!</definedName>
    <definedName name="_T_SS_FULLY_DIAL_PE_Y91">#REF!</definedName>
    <definedName name="_T_SS_FULLY_DIAL_PE_Y92" localSheetId="5">#REF!</definedName>
    <definedName name="_T_SS_FULLY_DIAL_PE_Y92" localSheetId="24">#REF!</definedName>
    <definedName name="_T_SS_FULLY_DIAL_PE_Y92">#REF!</definedName>
    <definedName name="_T_SS_FULLY_DIAL_PE_Y93" localSheetId="5">#REF!</definedName>
    <definedName name="_T_SS_FULLY_DIAL_PE_Y93" localSheetId="24">#REF!</definedName>
    <definedName name="_T_SS_FULLY_DIAL_PE_Y93">#REF!</definedName>
    <definedName name="_T_SS_FULLY_DIAL_PE_Y94" localSheetId="5">#REF!</definedName>
    <definedName name="_T_SS_FULLY_DIAL_PE_Y94" localSheetId="24">#REF!</definedName>
    <definedName name="_T_SS_FULLY_DIAL_PE_Y94">#REF!</definedName>
    <definedName name="_T_SS_FULLY_DIAL_PE_Y95" localSheetId="5">#REF!</definedName>
    <definedName name="_T_SS_FULLY_DIAL_PE_Y95" localSheetId="24">#REF!</definedName>
    <definedName name="_T_SS_FULLY_DIAL_PE_Y95">#REF!</definedName>
    <definedName name="_T_SS_FULLY_DIAL_PE_Y96" localSheetId="5">#REF!</definedName>
    <definedName name="_T_SS_FULLY_DIAL_PE_Y96" localSheetId="24">#REF!</definedName>
    <definedName name="_T_SS_FULLY_DIAL_PE_Y96">#REF!</definedName>
    <definedName name="_T_SS_FULLY_DIAL_PE_Y97" localSheetId="5">#REF!</definedName>
    <definedName name="_T_SS_FULLY_DIAL_PE_Y97" localSheetId="24">#REF!</definedName>
    <definedName name="_T_SS_FULLY_DIAL_PE_Y97">#REF!</definedName>
    <definedName name="_T_SS_FULLY_DIAL_PE_Y98" localSheetId="5">#REF!</definedName>
    <definedName name="_T_SS_FULLY_DIAL_PE_Y98" localSheetId="24">#REF!</definedName>
    <definedName name="_T_SS_FULLY_DIAL_PE_Y98">#REF!</definedName>
    <definedName name="_T_SS_FULLY_DIAL_PE_Y99" localSheetId="5">#REF!</definedName>
    <definedName name="_T_SS_FULLY_DIAL_PE_Y99" localSheetId="24">#REF!</definedName>
    <definedName name="_T_SS_FULLY_DIAL_PE_Y99">#REF!</definedName>
    <definedName name="_T_SS_FULLY_DIAL_WA_RAW_Y00" localSheetId="5">#REF!</definedName>
    <definedName name="_T_SS_FULLY_DIAL_WA_RAW_Y00" localSheetId="24">#REF!</definedName>
    <definedName name="_T_SS_FULLY_DIAL_WA_RAW_Y00">#REF!</definedName>
    <definedName name="_T_SS_FULLY_DIAL_WA_RAW_Y01" localSheetId="5">#REF!</definedName>
    <definedName name="_T_SS_FULLY_DIAL_WA_RAW_Y01" localSheetId="24">#REF!</definedName>
    <definedName name="_T_SS_FULLY_DIAL_WA_RAW_Y01">#REF!</definedName>
    <definedName name="_T_SS_FULLY_DIAL_WA_RAW_Y02" localSheetId="5">#REF!</definedName>
    <definedName name="_T_SS_FULLY_DIAL_WA_RAW_Y02" localSheetId="24">#REF!</definedName>
    <definedName name="_T_SS_FULLY_DIAL_WA_RAW_Y02">#REF!</definedName>
    <definedName name="_T_SS_FULLY_DIAL_WA_RAW_Y03" localSheetId="5">#REF!</definedName>
    <definedName name="_T_SS_FULLY_DIAL_WA_RAW_Y03" localSheetId="24">#REF!</definedName>
    <definedName name="_T_SS_FULLY_DIAL_WA_RAW_Y03">#REF!</definedName>
    <definedName name="_T_SS_FULLY_DIAL_WA_RAW_Y90" localSheetId="5">#REF!</definedName>
    <definedName name="_T_SS_FULLY_DIAL_WA_RAW_Y90" localSheetId="24">#REF!</definedName>
    <definedName name="_T_SS_FULLY_DIAL_WA_RAW_Y90">#REF!</definedName>
    <definedName name="_T_SS_FULLY_DIAL_WA_RAW_Y91" localSheetId="5">#REF!</definedName>
    <definedName name="_T_SS_FULLY_DIAL_WA_RAW_Y91" localSheetId="24">#REF!</definedName>
    <definedName name="_T_SS_FULLY_DIAL_WA_RAW_Y91">#REF!</definedName>
    <definedName name="_T_SS_FULLY_DIAL_WA_RAW_Y92" localSheetId="5">#REF!</definedName>
    <definedName name="_T_SS_FULLY_DIAL_WA_RAW_Y92" localSheetId="24">#REF!</definedName>
    <definedName name="_T_SS_FULLY_DIAL_WA_RAW_Y92">#REF!</definedName>
    <definedName name="_T_SS_FULLY_DIAL_WA_RAW_Y93" localSheetId="5">#REF!</definedName>
    <definedName name="_T_SS_FULLY_DIAL_WA_RAW_Y93" localSheetId="24">#REF!</definedName>
    <definedName name="_T_SS_FULLY_DIAL_WA_RAW_Y93">#REF!</definedName>
    <definedName name="_T_SS_FULLY_DIAL_WA_RAW_Y94" localSheetId="5">#REF!</definedName>
    <definedName name="_T_SS_FULLY_DIAL_WA_RAW_Y94" localSheetId="24">#REF!</definedName>
    <definedName name="_T_SS_FULLY_DIAL_WA_RAW_Y94">#REF!</definedName>
    <definedName name="_T_SS_FULLY_DIAL_WA_RAW_Y95" localSheetId="5">#REF!</definedName>
    <definedName name="_T_SS_FULLY_DIAL_WA_RAW_Y95" localSheetId="24">#REF!</definedName>
    <definedName name="_T_SS_FULLY_DIAL_WA_RAW_Y95">#REF!</definedName>
    <definedName name="_T_SS_FULLY_DIAL_WA_RAW_Y96" localSheetId="5">#REF!</definedName>
    <definedName name="_T_SS_FULLY_DIAL_WA_RAW_Y96" localSheetId="24">#REF!</definedName>
    <definedName name="_T_SS_FULLY_DIAL_WA_RAW_Y96">#REF!</definedName>
    <definedName name="_T_SS_FULLY_DIAL_WA_RAW_Y97" localSheetId="5">#REF!</definedName>
    <definedName name="_T_SS_FULLY_DIAL_WA_RAW_Y97" localSheetId="24">#REF!</definedName>
    <definedName name="_T_SS_FULLY_DIAL_WA_RAW_Y97">#REF!</definedName>
    <definedName name="_T_SS_FULLY_DIAL_WA_RAW_Y98" localSheetId="5">#REF!</definedName>
    <definedName name="_T_SS_FULLY_DIAL_WA_RAW_Y98" localSheetId="24">#REF!</definedName>
    <definedName name="_T_SS_FULLY_DIAL_WA_RAW_Y98">#REF!</definedName>
    <definedName name="_T_SS_FULLY_DIAL_WA_RAW_Y99" localSheetId="5">#REF!</definedName>
    <definedName name="_T_SS_FULLY_DIAL_WA_RAW_Y99" localSheetId="24">#REF!</definedName>
    <definedName name="_T_SS_FULLY_DIAL_WA_RAW_Y99">#REF!</definedName>
    <definedName name="_T_SS_FULLY_DIAL_WA_Y00" localSheetId="5">#REF!</definedName>
    <definedName name="_T_SS_FULLY_DIAL_WA_Y00" localSheetId="24">#REF!</definedName>
    <definedName name="_T_SS_FULLY_DIAL_WA_Y00">#REF!</definedName>
    <definedName name="_T_SS_FULLY_DIAL_WA_Y01" localSheetId="5">#REF!</definedName>
    <definedName name="_T_SS_FULLY_DIAL_WA_Y01" localSheetId="24">#REF!</definedName>
    <definedName name="_T_SS_FULLY_DIAL_WA_Y01">#REF!</definedName>
    <definedName name="_T_SS_FULLY_DIAL_WA_Y02" localSheetId="5">#REF!</definedName>
    <definedName name="_T_SS_FULLY_DIAL_WA_Y02" localSheetId="24">#REF!</definedName>
    <definedName name="_T_SS_FULLY_DIAL_WA_Y02">#REF!</definedName>
    <definedName name="_T_SS_FULLY_DIAL_WA_Y03" localSheetId="5">#REF!</definedName>
    <definedName name="_T_SS_FULLY_DIAL_WA_Y03" localSheetId="24">#REF!</definedName>
    <definedName name="_T_SS_FULLY_DIAL_WA_Y03">#REF!</definedName>
    <definedName name="_T_SS_FULLY_DIAL_WA_Y90" localSheetId="5">#REF!</definedName>
    <definedName name="_T_SS_FULLY_DIAL_WA_Y90" localSheetId="24">#REF!</definedName>
    <definedName name="_T_SS_FULLY_DIAL_WA_Y90">#REF!</definedName>
    <definedName name="_T_SS_FULLY_DIAL_WA_Y91" localSheetId="5">#REF!</definedName>
    <definedName name="_T_SS_FULLY_DIAL_WA_Y91" localSheetId="24">#REF!</definedName>
    <definedName name="_T_SS_FULLY_DIAL_WA_Y91">#REF!</definedName>
    <definedName name="_T_SS_FULLY_DIAL_WA_Y92" localSheetId="5">#REF!</definedName>
    <definedName name="_T_SS_FULLY_DIAL_WA_Y92" localSheetId="24">#REF!</definedName>
    <definedName name="_T_SS_FULLY_DIAL_WA_Y92">#REF!</definedName>
    <definedName name="_T_SS_FULLY_DIAL_WA_Y93" localSheetId="5">#REF!</definedName>
    <definedName name="_T_SS_FULLY_DIAL_WA_Y93" localSheetId="24">#REF!</definedName>
    <definedName name="_T_SS_FULLY_DIAL_WA_Y93">#REF!</definedName>
    <definedName name="_T_SS_FULLY_DIAL_WA_Y94" localSheetId="5">#REF!</definedName>
    <definedName name="_T_SS_FULLY_DIAL_WA_Y94" localSheetId="24">#REF!</definedName>
    <definedName name="_T_SS_FULLY_DIAL_WA_Y94">#REF!</definedName>
    <definedName name="_T_SS_FULLY_DIAL_WA_Y95" localSheetId="5">#REF!</definedName>
    <definedName name="_T_SS_FULLY_DIAL_WA_Y95" localSheetId="24">#REF!</definedName>
    <definedName name="_T_SS_FULLY_DIAL_WA_Y95">#REF!</definedName>
    <definedName name="_T_SS_FULLY_DIAL_WA_Y96" localSheetId="5">#REF!</definedName>
    <definedName name="_T_SS_FULLY_DIAL_WA_Y96" localSheetId="24">#REF!</definedName>
    <definedName name="_T_SS_FULLY_DIAL_WA_Y96">#REF!</definedName>
    <definedName name="_T_SS_FULLY_DIAL_WA_Y97" localSheetId="5">#REF!</definedName>
    <definedName name="_T_SS_FULLY_DIAL_WA_Y97" localSheetId="24">#REF!</definedName>
    <definedName name="_T_SS_FULLY_DIAL_WA_Y97">#REF!</definedName>
    <definedName name="_T_SS_FULLY_DIAL_WA_Y98" localSheetId="5">#REF!</definedName>
    <definedName name="_T_SS_FULLY_DIAL_WA_Y98" localSheetId="24">#REF!</definedName>
    <definedName name="_T_SS_FULLY_DIAL_WA_Y98">#REF!</definedName>
    <definedName name="_T_SS_FULLY_DIAL_WA_Y99" localSheetId="5">#REF!</definedName>
    <definedName name="_T_SS_FULLY_DIAL_WA_Y99" localSheetId="24">#REF!</definedName>
    <definedName name="_T_SS_FULLY_DIAL_WA_Y99">#REF!</definedName>
    <definedName name="_T_SS_TOT_DIAL_WA_Y00" localSheetId="5">#REF!</definedName>
    <definedName name="_T_SS_TOT_DIAL_WA_Y00" localSheetId="24">#REF!</definedName>
    <definedName name="_T_SS_TOT_DIAL_WA_Y00">#REF!</definedName>
    <definedName name="_T_SS_TOT_DIAL_WA_Y01" localSheetId="5">#REF!</definedName>
    <definedName name="_T_SS_TOT_DIAL_WA_Y01" localSheetId="24">#REF!</definedName>
    <definedName name="_T_SS_TOT_DIAL_WA_Y01">#REF!</definedName>
    <definedName name="_T_SS_TOT_DIAL_WA_Y02" localSheetId="5">#REF!</definedName>
    <definedName name="_T_SS_TOT_DIAL_WA_Y02" localSheetId="24">#REF!</definedName>
    <definedName name="_T_SS_TOT_DIAL_WA_Y02">#REF!</definedName>
    <definedName name="_T_SS_TOT_DIAL_WA_Y03" localSheetId="5">#REF!</definedName>
    <definedName name="_T_SS_TOT_DIAL_WA_Y03" localSheetId="24">#REF!</definedName>
    <definedName name="_T_SS_TOT_DIAL_WA_Y03">#REF!</definedName>
    <definedName name="_T_SS_TOT_DIAL_WA_Y04" localSheetId="5">#REF!</definedName>
    <definedName name="_T_SS_TOT_DIAL_WA_Y04" localSheetId="24">#REF!</definedName>
    <definedName name="_T_SS_TOT_DIAL_WA_Y04">#REF!</definedName>
    <definedName name="_T_SS_TOT_DIAL_WA_Y05" localSheetId="5">#REF!</definedName>
    <definedName name="_T_SS_TOT_DIAL_WA_Y05" localSheetId="24">#REF!</definedName>
    <definedName name="_T_SS_TOT_DIAL_WA_Y05">#REF!</definedName>
    <definedName name="_T_SS_TOT_DIAL_WA_Y06" localSheetId="5">#REF!</definedName>
    <definedName name="_T_SS_TOT_DIAL_WA_Y06" localSheetId="24">#REF!</definedName>
    <definedName name="_T_SS_TOT_DIAL_WA_Y06">#REF!</definedName>
    <definedName name="_T_SS_TOT_DIAL_WA_Y07" localSheetId="5">#REF!</definedName>
    <definedName name="_T_SS_TOT_DIAL_WA_Y07" localSheetId="24">#REF!</definedName>
    <definedName name="_T_SS_TOT_DIAL_WA_Y07">#REF!</definedName>
    <definedName name="_T_SS_TOT_DIAL_WA_Y08" localSheetId="5">#REF!</definedName>
    <definedName name="_T_SS_TOT_DIAL_WA_Y08" localSheetId="24">#REF!</definedName>
    <definedName name="_T_SS_TOT_DIAL_WA_Y08">#REF!</definedName>
    <definedName name="_T_SS_TOT_DIAL_WA_Y92" localSheetId="5">#REF!</definedName>
    <definedName name="_T_SS_TOT_DIAL_WA_Y92" localSheetId="24">#REF!</definedName>
    <definedName name="_T_SS_TOT_DIAL_WA_Y92">#REF!</definedName>
    <definedName name="_T_SS_TOT_DIAL_WA_Y93" localSheetId="5">#REF!</definedName>
    <definedName name="_T_SS_TOT_DIAL_WA_Y93" localSheetId="24">#REF!</definedName>
    <definedName name="_T_SS_TOT_DIAL_WA_Y93">#REF!</definedName>
    <definedName name="_T_SS_TOT_DIAL_WA_Y94" localSheetId="5">#REF!</definedName>
    <definedName name="_T_SS_TOT_DIAL_WA_Y94" localSheetId="24">#REF!</definedName>
    <definedName name="_T_SS_TOT_DIAL_WA_Y94">#REF!</definedName>
    <definedName name="_T_SS_TOT_DIAL_WA_Y95" localSheetId="5">#REF!</definedName>
    <definedName name="_T_SS_TOT_DIAL_WA_Y95" localSheetId="24">#REF!</definedName>
    <definedName name="_T_SS_TOT_DIAL_WA_Y95">#REF!</definedName>
    <definedName name="_T_SS_TOT_DIAL_WA_Y96" localSheetId="5">#REF!</definedName>
    <definedName name="_T_SS_TOT_DIAL_WA_Y96" localSheetId="24">#REF!</definedName>
    <definedName name="_T_SS_TOT_DIAL_WA_Y96">#REF!</definedName>
    <definedName name="_T_SS_TOT_DIAL_WA_Y97" localSheetId="5">#REF!</definedName>
    <definedName name="_T_SS_TOT_DIAL_WA_Y97" localSheetId="24">#REF!</definedName>
    <definedName name="_T_SS_TOT_DIAL_WA_Y97">#REF!</definedName>
    <definedName name="_T_SS_TOT_DIAL_WA_Y98" localSheetId="5">#REF!</definedName>
    <definedName name="_T_SS_TOT_DIAL_WA_Y98" localSheetId="24">#REF!</definedName>
    <definedName name="_T_SS_TOT_DIAL_WA_Y98">#REF!</definedName>
    <definedName name="_T_SS_TOT_DIAL_WA_Y99" localSheetId="5">#REF!</definedName>
    <definedName name="_T_SS_TOT_DIAL_WA_Y99" localSheetId="24">#REF!</definedName>
    <definedName name="_T_SS_TOT_DIAL_WA_Y99">#REF!</definedName>
    <definedName name="_T_TAX_RATE_Y00" localSheetId="5">#REF!</definedName>
    <definedName name="_T_TAX_RATE_Y00" localSheetId="24">#REF!</definedName>
    <definedName name="_T_TAX_RATE_Y00">#REF!</definedName>
    <definedName name="_T_TAX_RATE_Y01" localSheetId="5">#REF!</definedName>
    <definedName name="_T_TAX_RATE_Y01" localSheetId="24">#REF!</definedName>
    <definedName name="_T_TAX_RATE_Y01">#REF!</definedName>
    <definedName name="_T_TAX_RATE_Y02" localSheetId="5">#REF!</definedName>
    <definedName name="_T_TAX_RATE_Y02" localSheetId="24">#REF!</definedName>
    <definedName name="_T_TAX_RATE_Y02">#REF!</definedName>
    <definedName name="_T_TAX_RATE_Y03" localSheetId="5">#REF!</definedName>
    <definedName name="_T_TAX_RATE_Y03" localSheetId="24">#REF!</definedName>
    <definedName name="_T_TAX_RATE_Y03">#REF!</definedName>
    <definedName name="_T_TAX_RATE_Y04" localSheetId="5">#REF!</definedName>
    <definedName name="_T_TAX_RATE_Y04" localSheetId="24">#REF!</definedName>
    <definedName name="_T_TAX_RATE_Y04">#REF!</definedName>
    <definedName name="_T_TAX_RATE_Y05" localSheetId="5">#REF!</definedName>
    <definedName name="_T_TAX_RATE_Y05" localSheetId="24">#REF!</definedName>
    <definedName name="_T_TAX_RATE_Y05">#REF!</definedName>
    <definedName name="_T_TAX_RATE_Y06" localSheetId="5">#REF!</definedName>
    <definedName name="_T_TAX_RATE_Y06" localSheetId="24">#REF!</definedName>
    <definedName name="_T_TAX_RATE_Y06">#REF!</definedName>
    <definedName name="_T_TAX_RATE_Y07" localSheetId="5">#REF!</definedName>
    <definedName name="_T_TAX_RATE_Y07" localSheetId="24">#REF!</definedName>
    <definedName name="_T_TAX_RATE_Y07">#REF!</definedName>
    <definedName name="_T_TAX_RATE_Y08" localSheetId="5">#REF!</definedName>
    <definedName name="_T_TAX_RATE_Y08" localSheetId="24">#REF!</definedName>
    <definedName name="_T_TAX_RATE_Y08">#REF!</definedName>
    <definedName name="_T_TAX_RATE_Y92" localSheetId="5">#REF!</definedName>
    <definedName name="_T_TAX_RATE_Y92" localSheetId="24">#REF!</definedName>
    <definedName name="_T_TAX_RATE_Y92">#REF!</definedName>
    <definedName name="_T_TAX_RATE_Y93" localSheetId="5">#REF!</definedName>
    <definedName name="_T_TAX_RATE_Y93" localSheetId="24">#REF!</definedName>
    <definedName name="_T_TAX_RATE_Y93">#REF!</definedName>
    <definedName name="_T_TAX_RATE_Y94" localSheetId="5">#REF!</definedName>
    <definedName name="_T_TAX_RATE_Y94" localSheetId="24">#REF!</definedName>
    <definedName name="_T_TAX_RATE_Y94">#REF!</definedName>
    <definedName name="_T_TAX_RATE_Y95" localSheetId="5">#REF!</definedName>
    <definedName name="_T_TAX_RATE_Y95" localSheetId="24">#REF!</definedName>
    <definedName name="_T_TAX_RATE_Y95">#REF!</definedName>
    <definedName name="_T_TAX_RATE_Y96" localSheetId="5">#REF!</definedName>
    <definedName name="_T_TAX_RATE_Y96" localSheetId="24">#REF!</definedName>
    <definedName name="_T_TAX_RATE_Y96">#REF!</definedName>
    <definedName name="_T_TAX_RATE_Y97" localSheetId="5">#REF!</definedName>
    <definedName name="_T_TAX_RATE_Y97" localSheetId="24">#REF!</definedName>
    <definedName name="_T_TAX_RATE_Y97">#REF!</definedName>
    <definedName name="_T_TAX_RATE_Y98" localSheetId="5">#REF!</definedName>
    <definedName name="_T_TAX_RATE_Y98" localSheetId="24">#REF!</definedName>
    <definedName name="_T_TAX_RATE_Y98">#REF!</definedName>
    <definedName name="_T_TAX_RATE_Y99" localSheetId="5">#REF!</definedName>
    <definedName name="_T_TAX_RATE_Y99" localSheetId="24">#REF!</definedName>
    <definedName name="_T_TAX_RATE_Y99">#REF!</definedName>
    <definedName name="_T_VDF_ACC_NONRECURLOSSES_Y00" localSheetId="5">#REF!</definedName>
    <definedName name="_T_VDF_ACC_NONRECURLOSSES_Y00" localSheetId="24">#REF!</definedName>
    <definedName name="_T_VDF_ACC_NONRECURLOSSES_Y00">#REF!</definedName>
    <definedName name="_T_VDF_ACC_NONRECURLOSSES_Y01" localSheetId="5">#REF!</definedName>
    <definedName name="_T_VDF_ACC_NONRECURLOSSES_Y01" localSheetId="24">#REF!</definedName>
    <definedName name="_T_VDF_ACC_NONRECURLOSSES_Y01">#REF!</definedName>
    <definedName name="_T_VDF_ACC_NONRECURLOSSES_Y02" localSheetId="5">#REF!</definedName>
    <definedName name="_T_VDF_ACC_NONRECURLOSSES_Y02" localSheetId="24">#REF!</definedName>
    <definedName name="_T_VDF_ACC_NONRECURLOSSES_Y02">#REF!</definedName>
    <definedName name="_T_VDF_ACC_NONRECURLOSSES_Y03" localSheetId="5">#REF!</definedName>
    <definedName name="_T_VDF_ACC_NONRECURLOSSES_Y03" localSheetId="24">#REF!</definedName>
    <definedName name="_T_VDF_ACC_NONRECURLOSSES_Y03">#REF!</definedName>
    <definedName name="_T_VDF_ACC_NONRECURLOSSES_Y04" localSheetId="5">#REF!</definedName>
    <definedName name="_T_VDF_ACC_NONRECURLOSSES_Y04" localSheetId="24">#REF!</definedName>
    <definedName name="_T_VDF_ACC_NONRECURLOSSES_Y04">#REF!</definedName>
    <definedName name="_T_VDF_ACC_NONRECURLOSSES_Y05" localSheetId="5">#REF!</definedName>
    <definedName name="_T_VDF_ACC_NONRECURLOSSES_Y05" localSheetId="24">#REF!</definedName>
    <definedName name="_T_VDF_ACC_NONRECURLOSSES_Y05">#REF!</definedName>
    <definedName name="_T_VDF_ACC_NONRECURLOSSES_Y06" localSheetId="5">#REF!</definedName>
    <definedName name="_T_VDF_ACC_NONRECURLOSSES_Y06" localSheetId="24">#REF!</definedName>
    <definedName name="_T_VDF_ACC_NONRECURLOSSES_Y06">#REF!</definedName>
    <definedName name="_T_VDF_ACC_NONRECURLOSSES_Y07" localSheetId="5">#REF!</definedName>
    <definedName name="_T_VDF_ACC_NONRECURLOSSES_Y07" localSheetId="24">#REF!</definedName>
    <definedName name="_T_VDF_ACC_NONRECURLOSSES_Y07">#REF!</definedName>
    <definedName name="_T_VDF_ACC_NONRECURLOSSES_Y09" localSheetId="5">#REF!</definedName>
    <definedName name="_T_VDF_ACC_NONRECURLOSSES_Y09" localSheetId="24">#REF!</definedName>
    <definedName name="_T_VDF_ACC_NONRECURLOSSES_Y09">#REF!</definedName>
    <definedName name="_T_VDF_ACC_NONRECURLOSSES_Y90" localSheetId="5">#REF!</definedName>
    <definedName name="_T_VDF_ACC_NONRECURLOSSES_Y90" localSheetId="24">#REF!</definedName>
    <definedName name="_T_VDF_ACC_NONRECURLOSSES_Y90">#REF!</definedName>
    <definedName name="_T_VDF_ACC_NONRECURLOSSES_Y91" localSheetId="5">#REF!</definedName>
    <definedName name="_T_VDF_ACC_NONRECURLOSSES_Y91" localSheetId="24">#REF!</definedName>
    <definedName name="_T_VDF_ACC_NONRECURLOSSES_Y91">#REF!</definedName>
    <definedName name="_T_VDF_ACC_NONRECURLOSSES_Y92" localSheetId="5">#REF!</definedName>
    <definedName name="_T_VDF_ACC_NONRECURLOSSES_Y92" localSheetId="24">#REF!</definedName>
    <definedName name="_T_VDF_ACC_NONRECURLOSSES_Y92">#REF!</definedName>
    <definedName name="_T_VDF_ACC_NONRECURLOSSES_Y93" localSheetId="5">#REF!</definedName>
    <definedName name="_T_VDF_ACC_NONRECURLOSSES_Y93" localSheetId="24">#REF!</definedName>
    <definedName name="_T_VDF_ACC_NONRECURLOSSES_Y93">#REF!</definedName>
    <definedName name="_T_VDF_ACC_NONRECURLOSSES_Y94" localSheetId="5">#REF!</definedName>
    <definedName name="_T_VDF_ACC_NONRECURLOSSES_Y94" localSheetId="24">#REF!</definedName>
    <definedName name="_T_VDF_ACC_NONRECURLOSSES_Y94">#REF!</definedName>
    <definedName name="_T_VDF_ACC_NONRECURLOSSES_Y95" localSheetId="5">#REF!</definedName>
    <definedName name="_T_VDF_ACC_NONRECURLOSSES_Y95" localSheetId="24">#REF!</definedName>
    <definedName name="_T_VDF_ACC_NONRECURLOSSES_Y95">#REF!</definedName>
    <definedName name="_T_VDF_ACC_NONRECURLOSSES_Y96" localSheetId="5">#REF!</definedName>
    <definedName name="_T_VDF_ACC_NONRECURLOSSES_Y96" localSheetId="24">#REF!</definedName>
    <definedName name="_T_VDF_ACC_NONRECURLOSSES_Y96">#REF!</definedName>
    <definedName name="_T_VDF_ACC_NONRECURLOSSES_Y97" localSheetId="5">#REF!</definedName>
    <definedName name="_T_VDF_ACC_NONRECURLOSSES_Y97" localSheetId="24">#REF!</definedName>
    <definedName name="_T_VDF_ACC_NONRECURLOSSES_Y97">#REF!</definedName>
    <definedName name="_T_VDF_ACC_NONRECURLOSSES_Y98" localSheetId="5">#REF!</definedName>
    <definedName name="_T_VDF_ACC_NONRECURLOSSES_Y98" localSheetId="24">#REF!</definedName>
    <definedName name="_T_VDF_ACC_NONRECURLOSSES_Y98">#REF!</definedName>
    <definedName name="_T_VDF_ACC_NONRECURLOSSES_Y99" localSheetId="5">#REF!</definedName>
    <definedName name="_T_VDF_ACC_NONRECURLOSSES_Y99" localSheetId="24">#REF!</definedName>
    <definedName name="_T_VDF_ACC_NONRECURLOSSES_Y99">#REF!</definedName>
    <definedName name="_T_VDF_AFTER_TAX_CHARGES_Y00" localSheetId="5">#REF!</definedName>
    <definedName name="_T_VDF_AFTER_TAX_CHARGES_Y00" localSheetId="24">#REF!</definedName>
    <definedName name="_T_VDF_AFTER_TAX_CHARGES_Y00">#REF!</definedName>
    <definedName name="_T_VDF_AFTER_TAX_CHARGES_Y01" localSheetId="5">#REF!</definedName>
    <definedName name="_T_VDF_AFTER_TAX_CHARGES_Y01" localSheetId="24">#REF!</definedName>
    <definedName name="_T_VDF_AFTER_TAX_CHARGES_Y01">#REF!</definedName>
    <definedName name="_T_VDF_AFTER_TAX_CHARGES_Y02" localSheetId="5">#REF!</definedName>
    <definedName name="_T_VDF_AFTER_TAX_CHARGES_Y02" localSheetId="24">#REF!</definedName>
    <definedName name="_T_VDF_AFTER_TAX_CHARGES_Y02">#REF!</definedName>
    <definedName name="_T_VDF_AFTER_TAX_CHARGES_Y03" localSheetId="5">#REF!</definedName>
    <definedName name="_T_VDF_AFTER_TAX_CHARGES_Y03" localSheetId="24">#REF!</definedName>
    <definedName name="_T_VDF_AFTER_TAX_CHARGES_Y03">#REF!</definedName>
    <definedName name="_T_VDF_AFTER_TAX_CHARGES_Y04" localSheetId="5">#REF!</definedName>
    <definedName name="_T_VDF_AFTER_TAX_CHARGES_Y04" localSheetId="24">#REF!</definedName>
    <definedName name="_T_VDF_AFTER_TAX_CHARGES_Y04">#REF!</definedName>
    <definedName name="_T_VDF_AFTER_TAX_CHARGES_Y05" localSheetId="5">#REF!</definedName>
    <definedName name="_T_VDF_AFTER_TAX_CHARGES_Y05" localSheetId="24">#REF!</definedName>
    <definedName name="_T_VDF_AFTER_TAX_CHARGES_Y05">#REF!</definedName>
    <definedName name="_T_VDF_AFTER_TAX_CHARGES_Y06" localSheetId="5">#REF!</definedName>
    <definedName name="_T_VDF_AFTER_TAX_CHARGES_Y06" localSheetId="24">#REF!</definedName>
    <definedName name="_T_VDF_AFTER_TAX_CHARGES_Y06">#REF!</definedName>
    <definedName name="_T_VDF_AFTER_TAX_CHARGES_Y07" localSheetId="5">#REF!</definedName>
    <definedName name="_T_VDF_AFTER_TAX_CHARGES_Y07" localSheetId="24">#REF!</definedName>
    <definedName name="_T_VDF_AFTER_TAX_CHARGES_Y07">#REF!</definedName>
    <definedName name="_T_VDF_AFTER_TAX_CHARGES_Y09" localSheetId="5">#REF!</definedName>
    <definedName name="_T_VDF_AFTER_TAX_CHARGES_Y09" localSheetId="24">#REF!</definedName>
    <definedName name="_T_VDF_AFTER_TAX_CHARGES_Y09">#REF!</definedName>
    <definedName name="_T_VDF_AFTER_TAX_CHARGES_Y90" localSheetId="5">#REF!</definedName>
    <definedName name="_T_VDF_AFTER_TAX_CHARGES_Y90" localSheetId="24">#REF!</definedName>
    <definedName name="_T_VDF_AFTER_TAX_CHARGES_Y90">#REF!</definedName>
    <definedName name="_T_VDF_AFTER_TAX_CHARGES_Y91" localSheetId="5">#REF!</definedName>
    <definedName name="_T_VDF_AFTER_TAX_CHARGES_Y91" localSheetId="24">#REF!</definedName>
    <definedName name="_T_VDF_AFTER_TAX_CHARGES_Y91">#REF!</definedName>
    <definedName name="_T_VDF_AFTER_TAX_CHARGES_Y92" localSheetId="5">#REF!</definedName>
    <definedName name="_T_VDF_AFTER_TAX_CHARGES_Y92" localSheetId="24">#REF!</definedName>
    <definedName name="_T_VDF_AFTER_TAX_CHARGES_Y92">#REF!</definedName>
    <definedName name="_T_VDF_AFTER_TAX_CHARGES_Y93" localSheetId="5">#REF!</definedName>
    <definedName name="_T_VDF_AFTER_TAX_CHARGES_Y93" localSheetId="24">#REF!</definedName>
    <definedName name="_T_VDF_AFTER_TAX_CHARGES_Y93">#REF!</definedName>
    <definedName name="_T_VDF_AFTER_TAX_CHARGES_Y94" localSheetId="5">#REF!</definedName>
    <definedName name="_T_VDF_AFTER_TAX_CHARGES_Y94" localSheetId="24">#REF!</definedName>
    <definedName name="_T_VDF_AFTER_TAX_CHARGES_Y94">#REF!</definedName>
    <definedName name="_T_VDF_AFTER_TAX_CHARGES_Y95" localSheetId="5">#REF!</definedName>
    <definedName name="_T_VDF_AFTER_TAX_CHARGES_Y95" localSheetId="24">#REF!</definedName>
    <definedName name="_T_VDF_AFTER_TAX_CHARGES_Y95">#REF!</definedName>
    <definedName name="_T_VDF_AFTER_TAX_CHARGES_Y96" localSheetId="5">#REF!</definedName>
    <definedName name="_T_VDF_AFTER_TAX_CHARGES_Y96" localSheetId="24">#REF!</definedName>
    <definedName name="_T_VDF_AFTER_TAX_CHARGES_Y96">#REF!</definedName>
    <definedName name="_T_VDF_AFTER_TAX_CHARGES_Y97" localSheetId="5">#REF!</definedName>
    <definedName name="_T_VDF_AFTER_TAX_CHARGES_Y97" localSheetId="24">#REF!</definedName>
    <definedName name="_T_VDF_AFTER_TAX_CHARGES_Y97">#REF!</definedName>
    <definedName name="_T_VDF_AFTER_TAX_CHARGES_Y98" localSheetId="5">#REF!</definedName>
    <definedName name="_T_VDF_AFTER_TAX_CHARGES_Y98" localSheetId="24">#REF!</definedName>
    <definedName name="_T_VDF_AFTER_TAX_CHARGES_Y98">#REF!</definedName>
    <definedName name="_T_VDF_AFTER_TAX_CHARGES_Y99" localSheetId="5">#REF!</definedName>
    <definedName name="_T_VDF_AFTER_TAX_CHARGES_Y99" localSheetId="24">#REF!</definedName>
    <definedName name="_T_VDF_AFTER_TAX_CHARGES_Y99">#REF!</definedName>
    <definedName name="_T_VDF_BV_UCS_Y00" localSheetId="5">#REF!</definedName>
    <definedName name="_T_VDF_BV_UCS_Y00" localSheetId="24">#REF!</definedName>
    <definedName name="_T_VDF_BV_UCS_Y00">#REF!</definedName>
    <definedName name="_T_VDF_BV_UCS_Y01" localSheetId="5">#REF!</definedName>
    <definedName name="_T_VDF_BV_UCS_Y01" localSheetId="24">#REF!</definedName>
    <definedName name="_T_VDF_BV_UCS_Y01">#REF!</definedName>
    <definedName name="_T_VDF_BV_UCS_Y02" localSheetId="5">#REF!</definedName>
    <definedName name="_T_VDF_BV_UCS_Y02" localSheetId="24">#REF!</definedName>
    <definedName name="_T_VDF_BV_UCS_Y02">#REF!</definedName>
    <definedName name="_T_VDF_BV_UCS_Y03" localSheetId="5">#REF!</definedName>
    <definedName name="_T_VDF_BV_UCS_Y03" localSheetId="24">#REF!</definedName>
    <definedName name="_T_VDF_BV_UCS_Y03">#REF!</definedName>
    <definedName name="_T_VDF_BV_UCS_Y04" localSheetId="5">#REF!</definedName>
    <definedName name="_T_VDF_BV_UCS_Y04" localSheetId="24">#REF!</definedName>
    <definedName name="_T_VDF_BV_UCS_Y04">#REF!</definedName>
    <definedName name="_T_VDF_BV_UCS_Y05" localSheetId="5">#REF!</definedName>
    <definedName name="_T_VDF_BV_UCS_Y05" localSheetId="24">#REF!</definedName>
    <definedName name="_T_VDF_BV_UCS_Y05">#REF!</definedName>
    <definedName name="_T_VDF_BV_UCS_Y06" localSheetId="5">#REF!</definedName>
    <definedName name="_T_VDF_BV_UCS_Y06" localSheetId="24">#REF!</definedName>
    <definedName name="_T_VDF_BV_UCS_Y06">#REF!</definedName>
    <definedName name="_T_VDF_BV_UCS_Y07" localSheetId="5">#REF!</definedName>
    <definedName name="_T_VDF_BV_UCS_Y07" localSheetId="24">#REF!</definedName>
    <definedName name="_T_VDF_BV_UCS_Y07">#REF!</definedName>
    <definedName name="_T_VDF_BV_UCS_Y09" localSheetId="5">#REF!</definedName>
    <definedName name="_T_VDF_BV_UCS_Y09" localSheetId="24">#REF!</definedName>
    <definedName name="_T_VDF_BV_UCS_Y09">#REF!</definedName>
    <definedName name="_T_VDF_BV_UCS_Y90" localSheetId="5">#REF!</definedName>
    <definedName name="_T_VDF_BV_UCS_Y90" localSheetId="24">#REF!</definedName>
    <definedName name="_T_VDF_BV_UCS_Y90">#REF!</definedName>
    <definedName name="_T_VDF_BV_UCS_Y91" localSheetId="5">#REF!</definedName>
    <definedName name="_T_VDF_BV_UCS_Y91" localSheetId="24">#REF!</definedName>
    <definedName name="_T_VDF_BV_UCS_Y91">#REF!</definedName>
    <definedName name="_T_VDF_BV_UCS_Y92" localSheetId="5">#REF!</definedName>
    <definedName name="_T_VDF_BV_UCS_Y92" localSheetId="24">#REF!</definedName>
    <definedName name="_T_VDF_BV_UCS_Y92">#REF!</definedName>
    <definedName name="_T_VDF_BV_UCS_Y93" localSheetId="5">#REF!</definedName>
    <definedName name="_T_VDF_BV_UCS_Y93" localSheetId="24">#REF!</definedName>
    <definedName name="_T_VDF_BV_UCS_Y93">#REF!</definedName>
    <definedName name="_T_VDF_BV_UCS_Y94" localSheetId="5">#REF!</definedName>
    <definedName name="_T_VDF_BV_UCS_Y94" localSheetId="24">#REF!</definedName>
    <definedName name="_T_VDF_BV_UCS_Y94">#REF!</definedName>
    <definedName name="_T_VDF_BV_UCS_Y95" localSheetId="5">#REF!</definedName>
    <definedName name="_T_VDF_BV_UCS_Y95" localSheetId="24">#REF!</definedName>
    <definedName name="_T_VDF_BV_UCS_Y95">#REF!</definedName>
    <definedName name="_T_VDF_BV_UCS_Y96" localSheetId="5">#REF!</definedName>
    <definedName name="_T_VDF_BV_UCS_Y96" localSheetId="24">#REF!</definedName>
    <definedName name="_T_VDF_BV_UCS_Y96">#REF!</definedName>
    <definedName name="_T_VDF_BV_UCS_Y97" localSheetId="5">#REF!</definedName>
    <definedName name="_T_VDF_BV_UCS_Y97" localSheetId="24">#REF!</definedName>
    <definedName name="_T_VDF_BV_UCS_Y97">#REF!</definedName>
    <definedName name="_T_VDF_BV_UCS_Y98" localSheetId="5">#REF!</definedName>
    <definedName name="_T_VDF_BV_UCS_Y98" localSheetId="24">#REF!</definedName>
    <definedName name="_T_VDF_BV_UCS_Y98">#REF!</definedName>
    <definedName name="_T_VDF_BV_UCS_Y99" localSheetId="5">#REF!</definedName>
    <definedName name="_T_VDF_BV_UCS_Y99" localSheetId="24">#REF!</definedName>
    <definedName name="_T_VDF_BV_UCS_Y99">#REF!</definedName>
    <definedName name="_T_VDF_CAPLEASES" localSheetId="5">#REF!</definedName>
    <definedName name="_T_VDF_CAPLEASES" localSheetId="24">#REF!</definedName>
    <definedName name="_T_VDF_CAPLEASES">#REF!</definedName>
    <definedName name="_T_VDF_CASH_EXCESS" localSheetId="5">#REF!</definedName>
    <definedName name="_T_VDF_CASH_EXCESS" localSheetId="24">#REF!</definedName>
    <definedName name="_T_VDF_CASH_EXCESS">#REF!</definedName>
    <definedName name="_T_VDF_CASH_OP_TAXES_Y00" localSheetId="5">#REF!</definedName>
    <definedName name="_T_VDF_CASH_OP_TAXES_Y00" localSheetId="24">#REF!</definedName>
    <definedName name="_T_VDF_CASH_OP_TAXES_Y00">#REF!</definedName>
    <definedName name="_T_VDF_CASH_OP_TAXES_Y01" localSheetId="5">#REF!</definedName>
    <definedName name="_T_VDF_CASH_OP_TAXES_Y01" localSheetId="24">#REF!</definedName>
    <definedName name="_T_VDF_CASH_OP_TAXES_Y01">#REF!</definedName>
    <definedName name="_T_VDF_CASH_OP_TAXES_Y02" localSheetId="5">#REF!</definedName>
    <definedName name="_T_VDF_CASH_OP_TAXES_Y02" localSheetId="24">#REF!</definedName>
    <definedName name="_T_VDF_CASH_OP_TAXES_Y02">#REF!</definedName>
    <definedName name="_T_VDF_CASH_OP_TAXES_Y03" localSheetId="5">#REF!</definedName>
    <definedName name="_T_VDF_CASH_OP_TAXES_Y03" localSheetId="24">#REF!</definedName>
    <definedName name="_T_VDF_CASH_OP_TAXES_Y03">#REF!</definedName>
    <definedName name="_T_VDF_CASH_OP_TAXES_Y04" localSheetId="5">#REF!</definedName>
    <definedName name="_T_VDF_CASH_OP_TAXES_Y04" localSheetId="24">#REF!</definedName>
    <definedName name="_T_VDF_CASH_OP_TAXES_Y04">#REF!</definedName>
    <definedName name="_T_VDF_CASH_OP_TAXES_Y05" localSheetId="5">#REF!</definedName>
    <definedName name="_T_VDF_CASH_OP_TAXES_Y05" localSheetId="24">#REF!</definedName>
    <definedName name="_T_VDF_CASH_OP_TAXES_Y05">#REF!</definedName>
    <definedName name="_T_VDF_CASH_OP_TAXES_Y06" localSheetId="5">#REF!</definedName>
    <definedName name="_T_VDF_CASH_OP_TAXES_Y06" localSheetId="24">#REF!</definedName>
    <definedName name="_T_VDF_CASH_OP_TAXES_Y06">#REF!</definedName>
    <definedName name="_T_VDF_CASH_OP_TAXES_Y07" localSheetId="5">#REF!</definedName>
    <definedName name="_T_VDF_CASH_OP_TAXES_Y07" localSheetId="24">#REF!</definedName>
    <definedName name="_T_VDF_CASH_OP_TAXES_Y07">#REF!</definedName>
    <definedName name="_T_VDF_CASH_OP_TAXES_Y09" localSheetId="5">#REF!</definedName>
    <definedName name="_T_VDF_CASH_OP_TAXES_Y09" localSheetId="24">#REF!</definedName>
    <definedName name="_T_VDF_CASH_OP_TAXES_Y09">#REF!</definedName>
    <definedName name="_T_VDF_CASH_OP_TAXES_Y90" localSheetId="5">#REF!</definedName>
    <definedName name="_T_VDF_CASH_OP_TAXES_Y90" localSheetId="24">#REF!</definedName>
    <definedName name="_T_VDF_CASH_OP_TAXES_Y90">#REF!</definedName>
    <definedName name="_T_VDF_CASH_OP_TAXES_Y91" localSheetId="5">#REF!</definedName>
    <definedName name="_T_VDF_CASH_OP_TAXES_Y91" localSheetId="24">#REF!</definedName>
    <definedName name="_T_VDF_CASH_OP_TAXES_Y91">#REF!</definedName>
    <definedName name="_T_VDF_CASH_OP_TAXES_Y92" localSheetId="5">#REF!</definedName>
    <definedName name="_T_VDF_CASH_OP_TAXES_Y92" localSheetId="24">#REF!</definedName>
    <definedName name="_T_VDF_CASH_OP_TAXES_Y92">#REF!</definedName>
    <definedName name="_T_VDF_CASH_OP_TAXES_Y93" localSheetId="5">#REF!</definedName>
    <definedName name="_T_VDF_CASH_OP_TAXES_Y93" localSheetId="24">#REF!</definedName>
    <definedName name="_T_VDF_CASH_OP_TAXES_Y93">#REF!</definedName>
    <definedName name="_T_VDF_CASH_OP_TAXES_Y94" localSheetId="5">#REF!</definedName>
    <definedName name="_T_VDF_CASH_OP_TAXES_Y94" localSheetId="24">#REF!</definedName>
    <definedName name="_T_VDF_CASH_OP_TAXES_Y94">#REF!</definedName>
    <definedName name="_T_VDF_CASH_OP_TAXES_Y95" localSheetId="5">#REF!</definedName>
    <definedName name="_T_VDF_CASH_OP_TAXES_Y95" localSheetId="24">#REF!</definedName>
    <definedName name="_T_VDF_CASH_OP_TAXES_Y95">#REF!</definedName>
    <definedName name="_T_VDF_CASH_OP_TAXES_Y96" localSheetId="5">#REF!</definedName>
    <definedName name="_T_VDF_CASH_OP_TAXES_Y96" localSheetId="24">#REF!</definedName>
    <definedName name="_T_VDF_CASH_OP_TAXES_Y96">#REF!</definedName>
    <definedName name="_T_VDF_CASH_OP_TAXES_Y97" localSheetId="5">#REF!</definedName>
    <definedName name="_T_VDF_CASH_OP_TAXES_Y97" localSheetId="24">#REF!</definedName>
    <definedName name="_T_VDF_CASH_OP_TAXES_Y97">#REF!</definedName>
    <definedName name="_T_VDF_CASH_OP_TAXES_Y98" localSheetId="5">#REF!</definedName>
    <definedName name="_T_VDF_CASH_OP_TAXES_Y98" localSheetId="24">#REF!</definedName>
    <definedName name="_T_VDF_CASH_OP_TAXES_Y98">#REF!</definedName>
    <definedName name="_T_VDF_CASH_OP_TAXES_Y99" localSheetId="5">#REF!</definedName>
    <definedName name="_T_VDF_CASH_OP_TAXES_Y99" localSheetId="24">#REF!</definedName>
    <definedName name="_T_VDF_CASH_OP_TAXES_Y99">#REF!</definedName>
    <definedName name="_T_VDF_CASH_REQ" localSheetId="5">#REF!</definedName>
    <definedName name="_T_VDF_CASH_REQ" localSheetId="24">#REF!</definedName>
    <definedName name="_T_VDF_CASH_REQ">#REF!</definedName>
    <definedName name="_T_VDF_CLEASE_PROJ_FIN_Y00" localSheetId="5">#REF!</definedName>
    <definedName name="_T_VDF_CLEASE_PROJ_FIN_Y00" localSheetId="24">#REF!</definedName>
    <definedName name="_T_VDF_CLEASE_PROJ_FIN_Y00">#REF!</definedName>
    <definedName name="_T_VDF_CLEASE_PROJ_FIN_Y01" localSheetId="5">#REF!</definedName>
    <definedName name="_T_VDF_CLEASE_PROJ_FIN_Y01" localSheetId="24">#REF!</definedName>
    <definedName name="_T_VDF_CLEASE_PROJ_FIN_Y01">#REF!</definedName>
    <definedName name="_T_VDF_CLEASE_PROJ_FIN_Y02" localSheetId="5">#REF!</definedName>
    <definedName name="_T_VDF_CLEASE_PROJ_FIN_Y02" localSheetId="24">#REF!</definedName>
    <definedName name="_T_VDF_CLEASE_PROJ_FIN_Y02">#REF!</definedName>
    <definedName name="_T_VDF_CLEASE_PROJ_FIN_Y03" localSheetId="5">#REF!</definedName>
    <definedName name="_T_VDF_CLEASE_PROJ_FIN_Y03" localSheetId="24">#REF!</definedName>
    <definedName name="_T_VDF_CLEASE_PROJ_FIN_Y03">#REF!</definedName>
    <definedName name="_T_VDF_CLEASE_PROJ_FIN_Y04" localSheetId="5">#REF!</definedName>
    <definedName name="_T_VDF_CLEASE_PROJ_FIN_Y04" localSheetId="24">#REF!</definedName>
    <definedName name="_T_VDF_CLEASE_PROJ_FIN_Y04">#REF!</definedName>
    <definedName name="_T_VDF_CLEASE_PROJ_FIN_Y05" localSheetId="5">#REF!</definedName>
    <definedName name="_T_VDF_CLEASE_PROJ_FIN_Y05" localSheetId="24">#REF!</definedName>
    <definedName name="_T_VDF_CLEASE_PROJ_FIN_Y05">#REF!</definedName>
    <definedName name="_T_VDF_CLEASE_PROJ_FIN_Y06" localSheetId="5">#REF!</definedName>
    <definedName name="_T_VDF_CLEASE_PROJ_FIN_Y06" localSheetId="24">#REF!</definedName>
    <definedName name="_T_VDF_CLEASE_PROJ_FIN_Y06">#REF!</definedName>
    <definedName name="_T_VDF_CLEASE_PROJ_FIN_Y07" localSheetId="5">#REF!</definedName>
    <definedName name="_T_VDF_CLEASE_PROJ_FIN_Y07" localSheetId="24">#REF!</definedName>
    <definedName name="_T_VDF_CLEASE_PROJ_FIN_Y07">#REF!</definedName>
    <definedName name="_T_VDF_CLEASE_PROJ_FIN_Y09" localSheetId="5">#REF!</definedName>
    <definedName name="_T_VDF_CLEASE_PROJ_FIN_Y09" localSheetId="24">#REF!</definedName>
    <definedName name="_T_VDF_CLEASE_PROJ_FIN_Y09">#REF!</definedName>
    <definedName name="_T_VDF_CLEASE_PROJ_FIN_Y90" localSheetId="5">#REF!</definedName>
    <definedName name="_T_VDF_CLEASE_PROJ_FIN_Y90" localSheetId="24">#REF!</definedName>
    <definedName name="_T_VDF_CLEASE_PROJ_FIN_Y90">#REF!</definedName>
    <definedName name="_T_VDF_CLEASE_PROJ_FIN_Y91" localSheetId="5">#REF!</definedName>
    <definedName name="_T_VDF_CLEASE_PROJ_FIN_Y91" localSheetId="24">#REF!</definedName>
    <definedName name="_T_VDF_CLEASE_PROJ_FIN_Y91">#REF!</definedName>
    <definedName name="_T_VDF_CLEASE_PROJ_FIN_Y92" localSheetId="5">#REF!</definedName>
    <definedName name="_T_VDF_CLEASE_PROJ_FIN_Y92" localSheetId="24">#REF!</definedName>
    <definedName name="_T_VDF_CLEASE_PROJ_FIN_Y92">#REF!</definedName>
    <definedName name="_T_VDF_CLEASE_PROJ_FIN_Y93" localSheetId="5">#REF!</definedName>
    <definedName name="_T_VDF_CLEASE_PROJ_FIN_Y93" localSheetId="24">#REF!</definedName>
    <definedName name="_T_VDF_CLEASE_PROJ_FIN_Y93">#REF!</definedName>
    <definedName name="_T_VDF_CLEASE_PROJ_FIN_Y94" localSheetId="5">#REF!</definedName>
    <definedName name="_T_VDF_CLEASE_PROJ_FIN_Y94" localSheetId="24">#REF!</definedName>
    <definedName name="_T_VDF_CLEASE_PROJ_FIN_Y94">#REF!</definedName>
    <definedName name="_T_VDF_CLEASE_PROJ_FIN_Y95" localSheetId="5">#REF!</definedName>
    <definedName name="_T_VDF_CLEASE_PROJ_FIN_Y95" localSheetId="24">#REF!</definedName>
    <definedName name="_T_VDF_CLEASE_PROJ_FIN_Y95">#REF!</definedName>
    <definedName name="_T_VDF_CLEASE_PROJ_FIN_Y96" localSheetId="5">#REF!</definedName>
    <definedName name="_T_VDF_CLEASE_PROJ_FIN_Y96" localSheetId="24">#REF!</definedName>
    <definedName name="_T_VDF_CLEASE_PROJ_FIN_Y96">#REF!</definedName>
    <definedName name="_T_VDF_CLEASE_PROJ_FIN_Y97" localSheetId="5">#REF!</definedName>
    <definedName name="_T_VDF_CLEASE_PROJ_FIN_Y97" localSheetId="24">#REF!</definedName>
    <definedName name="_T_VDF_CLEASE_PROJ_FIN_Y97">#REF!</definedName>
    <definedName name="_T_VDF_CLEASE_PROJ_FIN_Y98" localSheetId="5">#REF!</definedName>
    <definedName name="_T_VDF_CLEASE_PROJ_FIN_Y98" localSheetId="24">#REF!</definedName>
    <definedName name="_T_VDF_CLEASE_PROJ_FIN_Y98">#REF!</definedName>
    <definedName name="_T_VDF_CLEASE_PROJ_FIN_Y99" localSheetId="5">#REF!</definedName>
    <definedName name="_T_VDF_CLEASE_PROJ_FIN_Y99" localSheetId="24">#REF!</definedName>
    <definedName name="_T_VDF_CLEASE_PROJ_FIN_Y99">#REF!</definedName>
    <definedName name="_T_VDF_CLEASE_PROJ1_Y00" localSheetId="5">#REF!</definedName>
    <definedName name="_T_VDF_CLEASE_PROJ1_Y00" localSheetId="24">#REF!</definedName>
    <definedName name="_T_VDF_CLEASE_PROJ1_Y00">#REF!</definedName>
    <definedName name="_T_VDF_CLEASE_PROJ1_Y01" localSheetId="5">#REF!</definedName>
    <definedName name="_T_VDF_CLEASE_PROJ1_Y01" localSheetId="24">#REF!</definedName>
    <definedName name="_T_VDF_CLEASE_PROJ1_Y01">#REF!</definedName>
    <definedName name="_T_VDF_CLEASE_PROJ1_Y02" localSheetId="5">#REF!</definedName>
    <definedName name="_T_VDF_CLEASE_PROJ1_Y02" localSheetId="24">#REF!</definedName>
    <definedName name="_T_VDF_CLEASE_PROJ1_Y02">#REF!</definedName>
    <definedName name="_T_VDF_CLEASE_PROJ1_Y03" localSheetId="5">#REF!</definedName>
    <definedName name="_T_VDF_CLEASE_PROJ1_Y03" localSheetId="24">#REF!</definedName>
    <definedName name="_T_VDF_CLEASE_PROJ1_Y03">#REF!</definedName>
    <definedName name="_T_VDF_CLEASE_PROJ1_Y04" localSheetId="5">#REF!</definedName>
    <definedName name="_T_VDF_CLEASE_PROJ1_Y04" localSheetId="24">#REF!</definedName>
    <definedName name="_T_VDF_CLEASE_PROJ1_Y04">#REF!</definedName>
    <definedName name="_T_VDF_CLEASE_PROJ1_Y05" localSheetId="5">#REF!</definedName>
    <definedName name="_T_VDF_CLEASE_PROJ1_Y05" localSheetId="24">#REF!</definedName>
    <definedName name="_T_VDF_CLEASE_PROJ1_Y05">#REF!</definedName>
    <definedName name="_T_VDF_CLEASE_PROJ1_Y06" localSheetId="5">#REF!</definedName>
    <definedName name="_T_VDF_CLEASE_PROJ1_Y06" localSheetId="24">#REF!</definedName>
    <definedName name="_T_VDF_CLEASE_PROJ1_Y06">#REF!</definedName>
    <definedName name="_T_VDF_CLEASE_PROJ1_Y07" localSheetId="5">#REF!</definedName>
    <definedName name="_T_VDF_CLEASE_PROJ1_Y07" localSheetId="24">#REF!</definedName>
    <definedName name="_T_VDF_CLEASE_PROJ1_Y07">#REF!</definedName>
    <definedName name="_T_VDF_CLEASE_PROJ1_Y09" localSheetId="5">#REF!</definedName>
    <definedName name="_T_VDF_CLEASE_PROJ1_Y09" localSheetId="24">#REF!</definedName>
    <definedName name="_T_VDF_CLEASE_PROJ1_Y09">#REF!</definedName>
    <definedName name="_T_VDF_CLEASE_PROJ1_Y90" localSheetId="5">#REF!</definedName>
    <definedName name="_T_VDF_CLEASE_PROJ1_Y90" localSheetId="24">#REF!</definedName>
    <definedName name="_T_VDF_CLEASE_PROJ1_Y90">#REF!</definedName>
    <definedName name="_T_VDF_CLEASE_PROJ1_Y91" localSheetId="5">#REF!</definedName>
    <definedName name="_T_VDF_CLEASE_PROJ1_Y91" localSheetId="24">#REF!</definedName>
    <definedName name="_T_VDF_CLEASE_PROJ1_Y91">#REF!</definedName>
    <definedName name="_T_VDF_CLEASE_PROJ1_Y92" localSheetId="5">#REF!</definedName>
    <definedName name="_T_VDF_CLEASE_PROJ1_Y92" localSheetId="24">#REF!</definedName>
    <definedName name="_T_VDF_CLEASE_PROJ1_Y92">#REF!</definedName>
    <definedName name="_T_VDF_CLEASE_PROJ1_Y93" localSheetId="5">#REF!</definedName>
    <definedName name="_T_VDF_CLEASE_PROJ1_Y93" localSheetId="24">#REF!</definedName>
    <definedName name="_T_VDF_CLEASE_PROJ1_Y93">#REF!</definedName>
    <definedName name="_T_VDF_CLEASE_PROJ1_Y94" localSheetId="5">#REF!</definedName>
    <definedName name="_T_VDF_CLEASE_PROJ1_Y94" localSheetId="24">#REF!</definedName>
    <definedName name="_T_VDF_CLEASE_PROJ1_Y94">#REF!</definedName>
    <definedName name="_T_VDF_CLEASE_PROJ1_Y95" localSheetId="5">#REF!</definedName>
    <definedName name="_T_VDF_CLEASE_PROJ1_Y95" localSheetId="24">#REF!</definedName>
    <definedName name="_T_VDF_CLEASE_PROJ1_Y95">#REF!</definedName>
    <definedName name="_T_VDF_CLEASE_PROJ1_Y96" localSheetId="5">#REF!</definedName>
    <definedName name="_T_VDF_CLEASE_PROJ1_Y96" localSheetId="24">#REF!</definedName>
    <definedName name="_T_VDF_CLEASE_PROJ1_Y96">#REF!</definedName>
    <definedName name="_T_VDF_CLEASE_PROJ1_Y97" localSheetId="5">#REF!</definedName>
    <definedName name="_T_VDF_CLEASE_PROJ1_Y97" localSheetId="24">#REF!</definedName>
    <definedName name="_T_VDF_CLEASE_PROJ1_Y97">#REF!</definedName>
    <definedName name="_T_VDF_CLEASE_PROJ1_Y98" localSheetId="5">#REF!</definedName>
    <definedName name="_T_VDF_CLEASE_PROJ1_Y98" localSheetId="24">#REF!</definedName>
    <definedName name="_T_VDF_CLEASE_PROJ1_Y98">#REF!</definedName>
    <definedName name="_T_VDF_CLEASE_PROJ1_Y99" localSheetId="5">#REF!</definedName>
    <definedName name="_T_VDF_CLEASE_PROJ1_Y99" localSheetId="24">#REF!</definedName>
    <definedName name="_T_VDF_CLEASE_PROJ1_Y99">#REF!</definedName>
    <definedName name="_T_VDF_CLEASE_PROJ2_Y00" localSheetId="5">#REF!</definedName>
    <definedName name="_T_VDF_CLEASE_PROJ2_Y00" localSheetId="24">#REF!</definedName>
    <definedName name="_T_VDF_CLEASE_PROJ2_Y00">#REF!</definedName>
    <definedName name="_T_VDF_CLEASE_PROJ2_Y01" localSheetId="5">#REF!</definedName>
    <definedName name="_T_VDF_CLEASE_PROJ2_Y01" localSheetId="24">#REF!</definedName>
    <definedName name="_T_VDF_CLEASE_PROJ2_Y01">#REF!</definedName>
    <definedName name="_T_VDF_CLEASE_PROJ2_Y02" localSheetId="5">#REF!</definedName>
    <definedName name="_T_VDF_CLEASE_PROJ2_Y02" localSheetId="24">#REF!</definedName>
    <definedName name="_T_VDF_CLEASE_PROJ2_Y02">#REF!</definedName>
    <definedName name="_T_VDF_CLEASE_PROJ2_Y03" localSheetId="5">#REF!</definedName>
    <definedName name="_T_VDF_CLEASE_PROJ2_Y03" localSheetId="24">#REF!</definedName>
    <definedName name="_T_VDF_CLEASE_PROJ2_Y03">#REF!</definedName>
    <definedName name="_T_VDF_CLEASE_PROJ2_Y04" localSheetId="5">#REF!</definedName>
    <definedName name="_T_VDF_CLEASE_PROJ2_Y04" localSheetId="24">#REF!</definedName>
    <definedName name="_T_VDF_CLEASE_PROJ2_Y04">#REF!</definedName>
    <definedName name="_T_VDF_CLEASE_PROJ2_Y05" localSheetId="5">#REF!</definedName>
    <definedName name="_T_VDF_CLEASE_PROJ2_Y05" localSheetId="24">#REF!</definedName>
    <definedName name="_T_VDF_CLEASE_PROJ2_Y05">#REF!</definedName>
    <definedName name="_T_VDF_CLEASE_PROJ2_Y06" localSheetId="5">#REF!</definedName>
    <definedName name="_T_VDF_CLEASE_PROJ2_Y06" localSheetId="24">#REF!</definedName>
    <definedName name="_T_VDF_CLEASE_PROJ2_Y06">#REF!</definedName>
    <definedName name="_T_VDF_CLEASE_PROJ2_Y07" localSheetId="5">#REF!</definedName>
    <definedName name="_T_VDF_CLEASE_PROJ2_Y07" localSheetId="24">#REF!</definedName>
    <definedName name="_T_VDF_CLEASE_PROJ2_Y07">#REF!</definedName>
    <definedName name="_T_VDF_CLEASE_PROJ2_Y09" localSheetId="5">#REF!</definedName>
    <definedName name="_T_VDF_CLEASE_PROJ2_Y09" localSheetId="24">#REF!</definedName>
    <definedName name="_T_VDF_CLEASE_PROJ2_Y09">#REF!</definedName>
    <definedName name="_T_VDF_CLEASE_PROJ2_Y90" localSheetId="5">#REF!</definedName>
    <definedName name="_T_VDF_CLEASE_PROJ2_Y90" localSheetId="24">#REF!</definedName>
    <definedName name="_T_VDF_CLEASE_PROJ2_Y90">#REF!</definedName>
    <definedName name="_T_VDF_CLEASE_PROJ2_Y91" localSheetId="5">#REF!</definedName>
    <definedName name="_T_VDF_CLEASE_PROJ2_Y91" localSheetId="24">#REF!</definedName>
    <definedName name="_T_VDF_CLEASE_PROJ2_Y91">#REF!</definedName>
    <definedName name="_T_VDF_CLEASE_PROJ2_Y92" localSheetId="5">#REF!</definedName>
    <definedName name="_T_VDF_CLEASE_PROJ2_Y92" localSheetId="24">#REF!</definedName>
    <definedName name="_T_VDF_CLEASE_PROJ2_Y92">#REF!</definedName>
    <definedName name="_T_VDF_CLEASE_PROJ2_Y93" localSheetId="5">#REF!</definedName>
    <definedName name="_T_VDF_CLEASE_PROJ2_Y93" localSheetId="24">#REF!</definedName>
    <definedName name="_T_VDF_CLEASE_PROJ2_Y93">#REF!</definedName>
    <definedName name="_T_VDF_CLEASE_PROJ2_Y94" localSheetId="5">#REF!</definedName>
    <definedName name="_T_VDF_CLEASE_PROJ2_Y94" localSheetId="24">#REF!</definedName>
    <definedName name="_T_VDF_CLEASE_PROJ2_Y94">#REF!</definedName>
    <definedName name="_T_VDF_CLEASE_PROJ2_Y95" localSheetId="5">#REF!</definedName>
    <definedName name="_T_VDF_CLEASE_PROJ2_Y95" localSheetId="24">#REF!</definedName>
    <definedName name="_T_VDF_CLEASE_PROJ2_Y95">#REF!</definedName>
    <definedName name="_T_VDF_CLEASE_PROJ2_Y96" localSheetId="5">#REF!</definedName>
    <definedName name="_T_VDF_CLEASE_PROJ2_Y96" localSheetId="24">#REF!</definedName>
    <definedName name="_T_VDF_CLEASE_PROJ2_Y96">#REF!</definedName>
    <definedName name="_T_VDF_CLEASE_PROJ2_Y97" localSheetId="5">#REF!</definedName>
    <definedName name="_T_VDF_CLEASE_PROJ2_Y97" localSheetId="24">#REF!</definedName>
    <definedName name="_T_VDF_CLEASE_PROJ2_Y97">#REF!</definedName>
    <definedName name="_T_VDF_CLEASE_PROJ2_Y98" localSheetId="5">#REF!</definedName>
    <definedName name="_T_VDF_CLEASE_PROJ2_Y98" localSheetId="24">#REF!</definedName>
    <definedName name="_T_VDF_CLEASE_PROJ2_Y98">#REF!</definedName>
    <definedName name="_T_VDF_CLEASE_PROJ2_Y99" localSheetId="5">#REF!</definedName>
    <definedName name="_T_VDF_CLEASE_PROJ2_Y99" localSheetId="24">#REF!</definedName>
    <definedName name="_T_VDF_CLEASE_PROJ2_Y99">#REF!</definedName>
    <definedName name="_T_VDF_CLEASE_PROJ3_Y00" localSheetId="5">#REF!</definedName>
    <definedName name="_T_VDF_CLEASE_PROJ3_Y00" localSheetId="24">#REF!</definedName>
    <definedName name="_T_VDF_CLEASE_PROJ3_Y00">#REF!</definedName>
    <definedName name="_T_VDF_CLEASE_PROJ3_Y01" localSheetId="5">#REF!</definedName>
    <definedName name="_T_VDF_CLEASE_PROJ3_Y01" localSheetId="24">#REF!</definedName>
    <definedName name="_T_VDF_CLEASE_PROJ3_Y01">#REF!</definedName>
    <definedName name="_T_VDF_CLEASE_PROJ3_Y02" localSheetId="5">#REF!</definedName>
    <definedName name="_T_VDF_CLEASE_PROJ3_Y02" localSheetId="24">#REF!</definedName>
    <definedName name="_T_VDF_CLEASE_PROJ3_Y02">#REF!</definedName>
    <definedName name="_T_VDF_CLEASE_PROJ3_Y03" localSheetId="5">#REF!</definedName>
    <definedName name="_T_VDF_CLEASE_PROJ3_Y03" localSheetId="24">#REF!</definedName>
    <definedName name="_T_VDF_CLEASE_PROJ3_Y03">#REF!</definedName>
    <definedName name="_T_VDF_CLEASE_PROJ3_Y04" localSheetId="5">#REF!</definedName>
    <definedName name="_T_VDF_CLEASE_PROJ3_Y04" localSheetId="24">#REF!</definedName>
    <definedName name="_T_VDF_CLEASE_PROJ3_Y04">#REF!</definedName>
    <definedName name="_T_VDF_CLEASE_PROJ3_Y05" localSheetId="5">#REF!</definedName>
    <definedName name="_T_VDF_CLEASE_PROJ3_Y05" localSheetId="24">#REF!</definedName>
    <definedName name="_T_VDF_CLEASE_PROJ3_Y05">#REF!</definedName>
    <definedName name="_T_VDF_CLEASE_PROJ3_Y06" localSheetId="5">#REF!</definedName>
    <definedName name="_T_VDF_CLEASE_PROJ3_Y06" localSheetId="24">#REF!</definedName>
    <definedName name="_T_VDF_CLEASE_PROJ3_Y06">#REF!</definedName>
    <definedName name="_T_VDF_CLEASE_PROJ3_Y07" localSheetId="5">#REF!</definedName>
    <definedName name="_T_VDF_CLEASE_PROJ3_Y07" localSheetId="24">#REF!</definedName>
    <definedName name="_T_VDF_CLEASE_PROJ3_Y07">#REF!</definedName>
    <definedName name="_T_VDF_CLEASE_PROJ3_Y09" localSheetId="5">#REF!</definedName>
    <definedName name="_T_VDF_CLEASE_PROJ3_Y09" localSheetId="24">#REF!</definedName>
    <definedName name="_T_VDF_CLEASE_PROJ3_Y09">#REF!</definedName>
    <definedName name="_T_VDF_CLEASE_PROJ3_Y90" localSheetId="5">#REF!</definedName>
    <definedName name="_T_VDF_CLEASE_PROJ3_Y90" localSheetId="24">#REF!</definedName>
    <definedName name="_T_VDF_CLEASE_PROJ3_Y90">#REF!</definedName>
    <definedName name="_T_VDF_CLEASE_PROJ3_Y91" localSheetId="5">#REF!</definedName>
    <definedName name="_T_VDF_CLEASE_PROJ3_Y91" localSheetId="24">#REF!</definedName>
    <definedName name="_T_VDF_CLEASE_PROJ3_Y91">#REF!</definedName>
    <definedName name="_T_VDF_CLEASE_PROJ3_Y92" localSheetId="5">#REF!</definedName>
    <definedName name="_T_VDF_CLEASE_PROJ3_Y92" localSheetId="24">#REF!</definedName>
    <definedName name="_T_VDF_CLEASE_PROJ3_Y92">#REF!</definedName>
    <definedName name="_T_VDF_CLEASE_PROJ3_Y93" localSheetId="5">#REF!</definedName>
    <definedName name="_T_VDF_CLEASE_PROJ3_Y93" localSheetId="24">#REF!</definedName>
    <definedName name="_T_VDF_CLEASE_PROJ3_Y93">#REF!</definedName>
    <definedName name="_T_VDF_CLEASE_PROJ3_Y94" localSheetId="5">#REF!</definedName>
    <definedName name="_T_VDF_CLEASE_PROJ3_Y94" localSheetId="24">#REF!</definedName>
    <definedName name="_T_VDF_CLEASE_PROJ3_Y94">#REF!</definedName>
    <definedName name="_T_VDF_CLEASE_PROJ3_Y95" localSheetId="5">#REF!</definedName>
    <definedName name="_T_VDF_CLEASE_PROJ3_Y95" localSheetId="24">#REF!</definedName>
    <definedName name="_T_VDF_CLEASE_PROJ3_Y95">#REF!</definedName>
    <definedName name="_T_VDF_CLEASE_PROJ3_Y96" localSheetId="5">#REF!</definedName>
    <definedName name="_T_VDF_CLEASE_PROJ3_Y96" localSheetId="24">#REF!</definedName>
    <definedName name="_T_VDF_CLEASE_PROJ3_Y96">#REF!</definedName>
    <definedName name="_T_VDF_CLEASE_PROJ3_Y97" localSheetId="5">#REF!</definedName>
    <definedName name="_T_VDF_CLEASE_PROJ3_Y97" localSheetId="24">#REF!</definedName>
    <definedName name="_T_VDF_CLEASE_PROJ3_Y97">#REF!</definedName>
    <definedName name="_T_VDF_CLEASE_PROJ3_Y98" localSheetId="5">#REF!</definedName>
    <definedName name="_T_VDF_CLEASE_PROJ3_Y98" localSheetId="24">#REF!</definedName>
    <definedName name="_T_VDF_CLEASE_PROJ3_Y98">#REF!</definedName>
    <definedName name="_T_VDF_CLEASE_PROJ3_Y99" localSheetId="5">#REF!</definedName>
    <definedName name="_T_VDF_CLEASE_PROJ3_Y99" localSheetId="24">#REF!</definedName>
    <definedName name="_T_VDF_CLEASE_PROJ3_Y99">#REF!</definedName>
    <definedName name="_T_VDF_CLEASE_PROJ4_Y00" localSheetId="5">#REF!</definedName>
    <definedName name="_T_VDF_CLEASE_PROJ4_Y00" localSheetId="24">#REF!</definedName>
    <definedName name="_T_VDF_CLEASE_PROJ4_Y00">#REF!</definedName>
    <definedName name="_T_VDF_CLEASE_PROJ4_Y01" localSheetId="5">#REF!</definedName>
    <definedName name="_T_VDF_CLEASE_PROJ4_Y01" localSheetId="24">#REF!</definedName>
    <definedName name="_T_VDF_CLEASE_PROJ4_Y01">#REF!</definedName>
    <definedName name="_T_VDF_CLEASE_PROJ4_Y02" localSheetId="5">#REF!</definedName>
    <definedName name="_T_VDF_CLEASE_PROJ4_Y02" localSheetId="24">#REF!</definedName>
    <definedName name="_T_VDF_CLEASE_PROJ4_Y02">#REF!</definedName>
    <definedName name="_T_VDF_CLEASE_PROJ4_Y03" localSheetId="5">#REF!</definedName>
    <definedName name="_T_VDF_CLEASE_PROJ4_Y03" localSheetId="24">#REF!</definedName>
    <definedName name="_T_VDF_CLEASE_PROJ4_Y03">#REF!</definedName>
    <definedName name="_T_VDF_CLEASE_PROJ4_Y04" localSheetId="5">#REF!</definedName>
    <definedName name="_T_VDF_CLEASE_PROJ4_Y04" localSheetId="24">#REF!</definedName>
    <definedName name="_T_VDF_CLEASE_PROJ4_Y04">#REF!</definedName>
    <definedName name="_T_VDF_CLEASE_PROJ4_Y05" localSheetId="5">#REF!</definedName>
    <definedName name="_T_VDF_CLEASE_PROJ4_Y05" localSheetId="24">#REF!</definedName>
    <definedName name="_T_VDF_CLEASE_PROJ4_Y05">#REF!</definedName>
    <definedName name="_T_VDF_CLEASE_PROJ4_Y06" localSheetId="5">#REF!</definedName>
    <definedName name="_T_VDF_CLEASE_PROJ4_Y06" localSheetId="24">#REF!</definedName>
    <definedName name="_T_VDF_CLEASE_PROJ4_Y06">#REF!</definedName>
    <definedName name="_T_VDF_CLEASE_PROJ4_Y07" localSheetId="5">#REF!</definedName>
    <definedName name="_T_VDF_CLEASE_PROJ4_Y07" localSheetId="24">#REF!</definedName>
    <definedName name="_T_VDF_CLEASE_PROJ4_Y07">#REF!</definedName>
    <definedName name="_T_VDF_CLEASE_PROJ4_Y09" localSheetId="5">#REF!</definedName>
    <definedName name="_T_VDF_CLEASE_PROJ4_Y09" localSheetId="24">#REF!</definedName>
    <definedName name="_T_VDF_CLEASE_PROJ4_Y09">#REF!</definedName>
    <definedName name="_T_VDF_CLEASE_PROJ4_Y90" localSheetId="5">#REF!</definedName>
    <definedName name="_T_VDF_CLEASE_PROJ4_Y90" localSheetId="24">#REF!</definedName>
    <definedName name="_T_VDF_CLEASE_PROJ4_Y90">#REF!</definedName>
    <definedName name="_T_VDF_CLEASE_PROJ4_Y91" localSheetId="5">#REF!</definedName>
    <definedName name="_T_VDF_CLEASE_PROJ4_Y91" localSheetId="24">#REF!</definedName>
    <definedName name="_T_VDF_CLEASE_PROJ4_Y91">#REF!</definedName>
    <definedName name="_T_VDF_CLEASE_PROJ4_Y92" localSheetId="5">#REF!</definedName>
    <definedName name="_T_VDF_CLEASE_PROJ4_Y92" localSheetId="24">#REF!</definedName>
    <definedName name="_T_VDF_CLEASE_PROJ4_Y92">#REF!</definedName>
    <definedName name="_T_VDF_CLEASE_PROJ4_Y93" localSheetId="5">#REF!</definedName>
    <definedName name="_T_VDF_CLEASE_PROJ4_Y93" localSheetId="24">#REF!</definedName>
    <definedName name="_T_VDF_CLEASE_PROJ4_Y93">#REF!</definedName>
    <definedName name="_T_VDF_CLEASE_PROJ4_Y94" localSheetId="5">#REF!</definedName>
    <definedName name="_T_VDF_CLEASE_PROJ4_Y94" localSheetId="24">#REF!</definedName>
    <definedName name="_T_VDF_CLEASE_PROJ4_Y94">#REF!</definedName>
    <definedName name="_T_VDF_CLEASE_PROJ4_Y95" localSheetId="5">#REF!</definedName>
    <definedName name="_T_VDF_CLEASE_PROJ4_Y95" localSheetId="24">#REF!</definedName>
    <definedName name="_T_VDF_CLEASE_PROJ4_Y95">#REF!</definedName>
    <definedName name="_T_VDF_CLEASE_PROJ4_Y96" localSheetId="5">#REF!</definedName>
    <definedName name="_T_VDF_CLEASE_PROJ4_Y96" localSheetId="24">#REF!</definedName>
    <definedName name="_T_VDF_CLEASE_PROJ4_Y96">#REF!</definedName>
    <definedName name="_T_VDF_CLEASE_PROJ4_Y97" localSheetId="5">#REF!</definedName>
    <definedName name="_T_VDF_CLEASE_PROJ4_Y97" localSheetId="24">#REF!</definedName>
    <definedName name="_T_VDF_CLEASE_PROJ4_Y97">#REF!</definedName>
    <definedName name="_T_VDF_CLEASE_PROJ4_Y98" localSheetId="5">#REF!</definedName>
    <definedName name="_T_VDF_CLEASE_PROJ4_Y98" localSheetId="24">#REF!</definedName>
    <definedName name="_T_VDF_CLEASE_PROJ4_Y98">#REF!</definedName>
    <definedName name="_T_VDF_CLEASE_PROJ4_Y99" localSheetId="5">#REF!</definedName>
    <definedName name="_T_VDF_CLEASE_PROJ4_Y99" localSheetId="24">#REF!</definedName>
    <definedName name="_T_VDF_CLEASE_PROJ4_Y99">#REF!</definedName>
    <definedName name="_T_VDF_CLEASE_PROJ5_Y00" localSheetId="5">#REF!</definedName>
    <definedName name="_T_VDF_CLEASE_PROJ5_Y00" localSheetId="24">#REF!</definedName>
    <definedName name="_T_VDF_CLEASE_PROJ5_Y00">#REF!</definedName>
    <definedName name="_T_VDF_CLEASE_PROJ5_Y01" localSheetId="5">#REF!</definedName>
    <definedName name="_T_VDF_CLEASE_PROJ5_Y01" localSheetId="24">#REF!</definedName>
    <definedName name="_T_VDF_CLEASE_PROJ5_Y01">#REF!</definedName>
    <definedName name="_T_VDF_CLEASE_PROJ5_Y02" localSheetId="5">#REF!</definedName>
    <definedName name="_T_VDF_CLEASE_PROJ5_Y02" localSheetId="24">#REF!</definedName>
    <definedName name="_T_VDF_CLEASE_PROJ5_Y02">#REF!</definedName>
    <definedName name="_T_VDF_CLEASE_PROJ5_Y03" localSheetId="5">#REF!</definedName>
    <definedName name="_T_VDF_CLEASE_PROJ5_Y03" localSheetId="24">#REF!</definedName>
    <definedName name="_T_VDF_CLEASE_PROJ5_Y03">#REF!</definedName>
    <definedName name="_T_VDF_CLEASE_PROJ5_Y04" localSheetId="5">#REF!</definedName>
    <definedName name="_T_VDF_CLEASE_PROJ5_Y04" localSheetId="24">#REF!</definedName>
    <definedName name="_T_VDF_CLEASE_PROJ5_Y04">#REF!</definedName>
    <definedName name="_T_VDF_CLEASE_PROJ5_Y05" localSheetId="5">#REF!</definedName>
    <definedName name="_T_VDF_CLEASE_PROJ5_Y05" localSheetId="24">#REF!</definedName>
    <definedName name="_T_VDF_CLEASE_PROJ5_Y05">#REF!</definedName>
    <definedName name="_T_VDF_CLEASE_PROJ5_Y06" localSheetId="5">#REF!</definedName>
    <definedName name="_T_VDF_CLEASE_PROJ5_Y06" localSheetId="24">#REF!</definedName>
    <definedName name="_T_VDF_CLEASE_PROJ5_Y06">#REF!</definedName>
    <definedName name="_T_VDF_CLEASE_PROJ5_Y07" localSheetId="5">#REF!</definedName>
    <definedName name="_T_VDF_CLEASE_PROJ5_Y07" localSheetId="24">#REF!</definedName>
    <definedName name="_T_VDF_CLEASE_PROJ5_Y07">#REF!</definedName>
    <definedName name="_T_VDF_CLEASE_PROJ5_Y09" localSheetId="5">#REF!</definedName>
    <definedName name="_T_VDF_CLEASE_PROJ5_Y09" localSheetId="24">#REF!</definedName>
    <definedName name="_T_VDF_CLEASE_PROJ5_Y09">#REF!</definedName>
    <definedName name="_T_VDF_CLEASE_PROJ5_Y90" localSheetId="5">#REF!</definedName>
    <definedName name="_T_VDF_CLEASE_PROJ5_Y90" localSheetId="24">#REF!</definedName>
    <definedName name="_T_VDF_CLEASE_PROJ5_Y90">#REF!</definedName>
    <definedName name="_T_VDF_CLEASE_PROJ5_Y91" localSheetId="5">#REF!</definedName>
    <definedName name="_T_VDF_CLEASE_PROJ5_Y91" localSheetId="24">#REF!</definedName>
    <definedName name="_T_VDF_CLEASE_PROJ5_Y91">#REF!</definedName>
    <definedName name="_T_VDF_CLEASE_PROJ5_Y92" localSheetId="5">#REF!</definedName>
    <definedName name="_T_VDF_CLEASE_PROJ5_Y92" localSheetId="24">#REF!</definedName>
    <definedName name="_T_VDF_CLEASE_PROJ5_Y92">#REF!</definedName>
    <definedName name="_T_VDF_CLEASE_PROJ5_Y93" localSheetId="5">#REF!</definedName>
    <definedName name="_T_VDF_CLEASE_PROJ5_Y93" localSheetId="24">#REF!</definedName>
    <definedName name="_T_VDF_CLEASE_PROJ5_Y93">#REF!</definedName>
    <definedName name="_T_VDF_CLEASE_PROJ5_Y94" localSheetId="5">#REF!</definedName>
    <definedName name="_T_VDF_CLEASE_PROJ5_Y94" localSheetId="24">#REF!</definedName>
    <definedName name="_T_VDF_CLEASE_PROJ5_Y94">#REF!</definedName>
    <definedName name="_T_VDF_CLEASE_PROJ5_Y95" localSheetId="5">#REF!</definedName>
    <definedName name="_T_VDF_CLEASE_PROJ5_Y95" localSheetId="24">#REF!</definedName>
    <definedName name="_T_VDF_CLEASE_PROJ5_Y95">#REF!</definedName>
    <definedName name="_T_VDF_CLEASE_PROJ5_Y96" localSheetId="5">#REF!</definedName>
    <definedName name="_T_VDF_CLEASE_PROJ5_Y96" localSheetId="24">#REF!</definedName>
    <definedName name="_T_VDF_CLEASE_PROJ5_Y96">#REF!</definedName>
    <definedName name="_T_VDF_CLEASE_PROJ5_Y97" localSheetId="5">#REF!</definedName>
    <definedName name="_T_VDF_CLEASE_PROJ5_Y97" localSheetId="24">#REF!</definedName>
    <definedName name="_T_VDF_CLEASE_PROJ5_Y97">#REF!</definedName>
    <definedName name="_T_VDF_CLEASE_PROJ5_Y98" localSheetId="5">#REF!</definedName>
    <definedName name="_T_VDF_CLEASE_PROJ5_Y98" localSheetId="24">#REF!</definedName>
    <definedName name="_T_VDF_CLEASE_PROJ5_Y98">#REF!</definedName>
    <definedName name="_T_VDF_CLEASE_PROJ5_Y99" localSheetId="5">#REF!</definedName>
    <definedName name="_T_VDF_CLEASE_PROJ5_Y99" localSheetId="24">#REF!</definedName>
    <definedName name="_T_VDF_CLEASE_PROJ5_Y99">#REF!</definedName>
    <definedName name="_T_VDF_CURR_MV_MINOR" localSheetId="5">#REF!</definedName>
    <definedName name="_T_VDF_CURR_MV_MINOR" localSheetId="24">#REF!</definedName>
    <definedName name="_T_VDF_CURR_MV_MINOR">#REF!</definedName>
    <definedName name="_T_VDF_CURR_MV_UCS" localSheetId="5">#REF!</definedName>
    <definedName name="_T_VDF_CURR_MV_UCS" localSheetId="24">#REF!</definedName>
    <definedName name="_T_VDF_CURR_MV_UCS">#REF!</definedName>
    <definedName name="_T_VDF_CURR_SOI" localSheetId="5">#REF!</definedName>
    <definedName name="_T_VDF_CURR_SOI" localSheetId="24">#REF!</definedName>
    <definedName name="_T_VDF_CURR_SOI">#REF!</definedName>
    <definedName name="_T_VDF_CURR_TOT_DEBT" localSheetId="5">#REF!</definedName>
    <definedName name="_T_VDF_CURR_TOT_DEBT" localSheetId="24">#REF!</definedName>
    <definedName name="_T_VDF_CURR_TOT_DEBT">#REF!</definedName>
    <definedName name="_T_VDF_FA_TURN1" localSheetId="5">#REF!</definedName>
    <definedName name="_T_VDF_FA_TURN1" localSheetId="24">#REF!</definedName>
    <definedName name="_T_VDF_FA_TURN1">#REF!</definedName>
    <definedName name="_T_VDF_FA_TURN2" localSheetId="5">#REF!</definedName>
    <definedName name="_T_VDF_FA_TURN2" localSheetId="24">#REF!</definedName>
    <definedName name="_T_VDF_FA_TURN2">#REF!</definedName>
    <definedName name="_T_VDF_FA_TURN3" localSheetId="5">#REF!</definedName>
    <definedName name="_T_VDF_FA_TURN3" localSheetId="24">#REF!</definedName>
    <definedName name="_T_VDF_FA_TURN3">#REF!</definedName>
    <definedName name="_T_VDF_FA_TURN4" localSheetId="5">#REF!</definedName>
    <definedName name="_T_VDF_FA_TURN4" localSheetId="24">#REF!</definedName>
    <definedName name="_T_VDF_FA_TURN4">#REF!</definedName>
    <definedName name="_T_VDF_FA_TURN5" localSheetId="5">#REF!</definedName>
    <definedName name="_T_VDF_FA_TURN5" localSheetId="24">#REF!</definedName>
    <definedName name="_T_VDF_FA_TURN5">#REF!</definedName>
    <definedName name="_T_VDF_FA_TURN6" localSheetId="5">#REF!</definedName>
    <definedName name="_T_VDF_FA_TURN6" localSheetId="24">#REF!</definedName>
    <definedName name="_T_VDF_FA_TURN6">#REF!</definedName>
    <definedName name="_T_VDF_INCOME_EQUIV_Y00" localSheetId="5">#REF!</definedName>
    <definedName name="_T_VDF_INCOME_EQUIV_Y00" localSheetId="24">#REF!</definedName>
    <definedName name="_T_VDF_INCOME_EQUIV_Y00">#REF!</definedName>
    <definedName name="_T_VDF_INCOME_EQUIV_Y01" localSheetId="5">#REF!</definedName>
    <definedName name="_T_VDF_INCOME_EQUIV_Y01" localSheetId="24">#REF!</definedName>
    <definedName name="_T_VDF_INCOME_EQUIV_Y01">#REF!</definedName>
    <definedName name="_T_VDF_INCOME_EQUIV_Y02" localSheetId="5">#REF!</definedName>
    <definedName name="_T_VDF_INCOME_EQUIV_Y02" localSheetId="24">#REF!</definedName>
    <definedName name="_T_VDF_INCOME_EQUIV_Y02">#REF!</definedName>
    <definedName name="_T_VDF_INCOME_EQUIV_Y03" localSheetId="5">#REF!</definedName>
    <definedName name="_T_VDF_INCOME_EQUIV_Y03" localSheetId="24">#REF!</definedName>
    <definedName name="_T_VDF_INCOME_EQUIV_Y03">#REF!</definedName>
    <definedName name="_T_VDF_INCOME_EQUIV_Y04" localSheetId="5">#REF!</definedName>
    <definedName name="_T_VDF_INCOME_EQUIV_Y04" localSheetId="24">#REF!</definedName>
    <definedName name="_T_VDF_INCOME_EQUIV_Y04">#REF!</definedName>
    <definedName name="_T_VDF_INCOME_EQUIV_Y05" localSheetId="5">#REF!</definedName>
    <definedName name="_T_VDF_INCOME_EQUIV_Y05" localSheetId="24">#REF!</definedName>
    <definedName name="_T_VDF_INCOME_EQUIV_Y05">#REF!</definedName>
    <definedName name="_T_VDF_INCOME_EQUIV_Y06" localSheetId="5">#REF!</definedName>
    <definedName name="_T_VDF_INCOME_EQUIV_Y06" localSheetId="24">#REF!</definedName>
    <definedName name="_T_VDF_INCOME_EQUIV_Y06">#REF!</definedName>
    <definedName name="_T_VDF_INCOME_EQUIV_Y07" localSheetId="5">#REF!</definedName>
    <definedName name="_T_VDF_INCOME_EQUIV_Y07" localSheetId="24">#REF!</definedName>
    <definedName name="_T_VDF_INCOME_EQUIV_Y07">#REF!</definedName>
    <definedName name="_T_VDF_INCOME_EQUIV_Y09" localSheetId="5">#REF!</definedName>
    <definedName name="_T_VDF_INCOME_EQUIV_Y09" localSheetId="24">#REF!</definedName>
    <definedName name="_T_VDF_INCOME_EQUIV_Y09">#REF!</definedName>
    <definedName name="_T_VDF_INCOME_EQUIV_Y90" localSheetId="5">#REF!</definedName>
    <definedName name="_T_VDF_INCOME_EQUIV_Y90" localSheetId="24">#REF!</definedName>
    <definedName name="_T_VDF_INCOME_EQUIV_Y90">#REF!</definedName>
    <definedName name="_T_VDF_INCOME_EQUIV_Y91" localSheetId="5">#REF!</definedName>
    <definedName name="_T_VDF_INCOME_EQUIV_Y91" localSheetId="24">#REF!</definedName>
    <definedName name="_T_VDF_INCOME_EQUIV_Y91">#REF!</definedName>
    <definedName name="_T_VDF_INCOME_EQUIV_Y92" localSheetId="5">#REF!</definedName>
    <definedName name="_T_VDF_INCOME_EQUIV_Y92" localSheetId="24">#REF!</definedName>
    <definedName name="_T_VDF_INCOME_EQUIV_Y92">#REF!</definedName>
    <definedName name="_T_VDF_INCOME_EQUIV_Y93" localSheetId="5">#REF!</definedName>
    <definedName name="_T_VDF_INCOME_EQUIV_Y93" localSheetId="24">#REF!</definedName>
    <definedName name="_T_VDF_INCOME_EQUIV_Y93">#REF!</definedName>
    <definedName name="_T_VDF_INCOME_EQUIV_Y94" localSheetId="5">#REF!</definedName>
    <definedName name="_T_VDF_INCOME_EQUIV_Y94" localSheetId="24">#REF!</definedName>
    <definedName name="_T_VDF_INCOME_EQUIV_Y94">#REF!</definedName>
    <definedName name="_T_VDF_INCOME_EQUIV_Y95" localSheetId="5">#REF!</definedName>
    <definedName name="_T_VDF_INCOME_EQUIV_Y95" localSheetId="24">#REF!</definedName>
    <definedName name="_T_VDF_INCOME_EQUIV_Y95">#REF!</definedName>
    <definedName name="_T_VDF_INCOME_EQUIV_Y96" localSheetId="5">#REF!</definedName>
    <definedName name="_T_VDF_INCOME_EQUIV_Y96" localSheetId="24">#REF!</definedName>
    <definedName name="_T_VDF_INCOME_EQUIV_Y96">#REF!</definedName>
    <definedName name="_T_VDF_INCOME_EQUIV_Y97" localSheetId="5">#REF!</definedName>
    <definedName name="_T_VDF_INCOME_EQUIV_Y97" localSheetId="24">#REF!</definedName>
    <definedName name="_T_VDF_INCOME_EQUIV_Y97">#REF!</definedName>
    <definedName name="_T_VDF_INCOME_EQUIV_Y98" localSheetId="5">#REF!</definedName>
    <definedName name="_T_VDF_INCOME_EQUIV_Y98" localSheetId="24">#REF!</definedName>
    <definedName name="_T_VDF_INCOME_EQUIV_Y98">#REF!</definedName>
    <definedName name="_T_VDF_INCOME_EQUIV_Y99" localSheetId="5">#REF!</definedName>
    <definedName name="_T_VDF_INCOME_EQUIV_Y99" localSheetId="24">#REF!</definedName>
    <definedName name="_T_VDF_INCOME_EQUIV_Y99">#REF!</definedName>
    <definedName name="_T_VDF_INTANG_ADDBACK_Y00" localSheetId="5">#REF!</definedName>
    <definedName name="_T_VDF_INTANG_ADDBACK_Y00" localSheetId="24">#REF!</definedName>
    <definedName name="_T_VDF_INTANG_ADDBACK_Y00">#REF!</definedName>
    <definedName name="_T_VDF_INTANG_ADDBACK_Y01" localSheetId="5">#REF!</definedName>
    <definedName name="_T_VDF_INTANG_ADDBACK_Y01" localSheetId="24">#REF!</definedName>
    <definedName name="_T_VDF_INTANG_ADDBACK_Y01">#REF!</definedName>
    <definedName name="_T_VDF_INTANG_ADDBACK_Y02" localSheetId="5">#REF!</definedName>
    <definedName name="_T_VDF_INTANG_ADDBACK_Y02" localSheetId="24">#REF!</definedName>
    <definedName name="_T_VDF_INTANG_ADDBACK_Y02">#REF!</definedName>
    <definedName name="_T_VDF_INTANG_ADDBACK_Y03" localSheetId="5">#REF!</definedName>
    <definedName name="_T_VDF_INTANG_ADDBACK_Y03" localSheetId="24">#REF!</definedName>
    <definedName name="_T_VDF_INTANG_ADDBACK_Y03">#REF!</definedName>
    <definedName name="_T_VDF_INTANG_ADDBACK_Y04" localSheetId="5">#REF!</definedName>
    <definedName name="_T_VDF_INTANG_ADDBACK_Y04" localSheetId="24">#REF!</definedName>
    <definedName name="_T_VDF_INTANG_ADDBACK_Y04">#REF!</definedName>
    <definedName name="_T_VDF_INTANG_ADDBACK_Y05" localSheetId="5">#REF!</definedName>
    <definedName name="_T_VDF_INTANG_ADDBACK_Y05" localSheetId="24">#REF!</definedName>
    <definedName name="_T_VDF_INTANG_ADDBACK_Y05">#REF!</definedName>
    <definedName name="_T_VDF_INTANG_ADDBACK_Y06" localSheetId="5">#REF!</definedName>
    <definedName name="_T_VDF_INTANG_ADDBACK_Y06" localSheetId="24">#REF!</definedName>
    <definedName name="_T_VDF_INTANG_ADDBACK_Y06">#REF!</definedName>
    <definedName name="_T_VDF_INTANG_ADDBACK_Y07" localSheetId="5">#REF!</definedName>
    <definedName name="_T_VDF_INTANG_ADDBACK_Y07" localSheetId="24">#REF!</definedName>
    <definedName name="_T_VDF_INTANG_ADDBACK_Y07">#REF!</definedName>
    <definedName name="_T_VDF_INTANG_ADDBACK_Y09" localSheetId="5">#REF!</definedName>
    <definedName name="_T_VDF_INTANG_ADDBACK_Y09" localSheetId="24">#REF!</definedName>
    <definedName name="_T_VDF_INTANG_ADDBACK_Y09">#REF!</definedName>
    <definedName name="_T_VDF_INTANG_ADDBACK_Y90" localSheetId="5">#REF!</definedName>
    <definedName name="_T_VDF_INTANG_ADDBACK_Y90" localSheetId="24">#REF!</definedName>
    <definedName name="_T_VDF_INTANG_ADDBACK_Y90">#REF!</definedName>
    <definedName name="_T_VDF_INTANG_ADDBACK_Y91" localSheetId="5">#REF!</definedName>
    <definedName name="_T_VDF_INTANG_ADDBACK_Y91" localSheetId="24">#REF!</definedName>
    <definedName name="_T_VDF_INTANG_ADDBACK_Y91">#REF!</definedName>
    <definedName name="_T_VDF_INTANG_ADDBACK_Y92" localSheetId="5">#REF!</definedName>
    <definedName name="_T_VDF_INTANG_ADDBACK_Y92" localSheetId="24">#REF!</definedName>
    <definedName name="_T_VDF_INTANG_ADDBACK_Y92">#REF!</definedName>
    <definedName name="_T_VDF_INTANG_ADDBACK_Y93" localSheetId="5">#REF!</definedName>
    <definedName name="_T_VDF_INTANG_ADDBACK_Y93" localSheetId="24">#REF!</definedName>
    <definedName name="_T_VDF_INTANG_ADDBACK_Y93">#REF!</definedName>
    <definedName name="_T_VDF_INTANG_ADDBACK_Y94" localSheetId="5">#REF!</definedName>
    <definedName name="_T_VDF_INTANG_ADDBACK_Y94" localSheetId="24">#REF!</definedName>
    <definedName name="_T_VDF_INTANG_ADDBACK_Y94">#REF!</definedName>
    <definedName name="_T_VDF_INTANG_ADDBACK_Y95" localSheetId="5">#REF!</definedName>
    <definedName name="_T_VDF_INTANG_ADDBACK_Y95" localSheetId="24">#REF!</definedName>
    <definedName name="_T_VDF_INTANG_ADDBACK_Y95">#REF!</definedName>
    <definedName name="_T_VDF_INTANG_ADDBACK_Y96" localSheetId="5">#REF!</definedName>
    <definedName name="_T_VDF_INTANG_ADDBACK_Y96" localSheetId="24">#REF!</definedName>
    <definedName name="_T_VDF_INTANG_ADDBACK_Y96">#REF!</definedName>
    <definedName name="_T_VDF_INTANG_ADDBACK_Y97" localSheetId="5">#REF!</definedName>
    <definedName name="_T_VDF_INTANG_ADDBACK_Y97" localSheetId="24">#REF!</definedName>
    <definedName name="_T_VDF_INTANG_ADDBACK_Y97">#REF!</definedName>
    <definedName name="_T_VDF_INTANG_ADDBACK_Y98" localSheetId="5">#REF!</definedName>
    <definedName name="_T_VDF_INTANG_ADDBACK_Y98" localSheetId="24">#REF!</definedName>
    <definedName name="_T_VDF_INTANG_ADDBACK_Y98">#REF!</definedName>
    <definedName name="_T_VDF_INTANG_ADDBACK_Y99" localSheetId="5">#REF!</definedName>
    <definedName name="_T_VDF_INTANG_ADDBACK_Y99" localSheetId="24">#REF!</definedName>
    <definedName name="_T_VDF_INTANG_ADDBACK_Y99">#REF!</definedName>
    <definedName name="_T_VDF_LIFO_Y00" localSheetId="5">#REF!</definedName>
    <definedName name="_T_VDF_LIFO_Y00" localSheetId="24">#REF!</definedName>
    <definedName name="_T_VDF_LIFO_Y00">#REF!</definedName>
    <definedName name="_T_VDF_LIFO_Y01" localSheetId="5">#REF!</definedName>
    <definedName name="_T_VDF_LIFO_Y01" localSheetId="24">#REF!</definedName>
    <definedName name="_T_VDF_LIFO_Y01">#REF!</definedName>
    <definedName name="_T_VDF_LIFO_Y02" localSheetId="5">#REF!</definedName>
    <definedName name="_T_VDF_LIFO_Y02" localSheetId="24">#REF!</definedName>
    <definedName name="_T_VDF_LIFO_Y02">#REF!</definedName>
    <definedName name="_T_VDF_LIFO_Y03" localSheetId="5">#REF!</definedName>
    <definedName name="_T_VDF_LIFO_Y03" localSheetId="24">#REF!</definedName>
    <definedName name="_T_VDF_LIFO_Y03">#REF!</definedName>
    <definedName name="_T_VDF_LIFO_Y04" localSheetId="5">#REF!</definedName>
    <definedName name="_T_VDF_LIFO_Y04" localSheetId="24">#REF!</definedName>
    <definedName name="_T_VDF_LIFO_Y04">#REF!</definedName>
    <definedName name="_T_VDF_LIFO_Y05" localSheetId="5">#REF!</definedName>
    <definedName name="_T_VDF_LIFO_Y05" localSheetId="24">#REF!</definedName>
    <definedName name="_T_VDF_LIFO_Y05">#REF!</definedName>
    <definedName name="_T_VDF_LIFO_Y06" localSheetId="5">#REF!</definedName>
    <definedName name="_T_VDF_LIFO_Y06" localSheetId="24">#REF!</definedName>
    <definedName name="_T_VDF_LIFO_Y06">#REF!</definedName>
    <definedName name="_T_VDF_LIFO_Y07" localSheetId="5">#REF!</definedName>
    <definedName name="_T_VDF_LIFO_Y07" localSheetId="24">#REF!</definedName>
    <definedName name="_T_VDF_LIFO_Y07">#REF!</definedName>
    <definedName name="_T_VDF_LIFO_Y09" localSheetId="5">#REF!</definedName>
    <definedName name="_T_VDF_LIFO_Y09" localSheetId="24">#REF!</definedName>
    <definedName name="_T_VDF_LIFO_Y09">#REF!</definedName>
    <definedName name="_T_VDF_LIFO_Y90" localSheetId="5">#REF!</definedName>
    <definedName name="_T_VDF_LIFO_Y90" localSheetId="24">#REF!</definedName>
    <definedName name="_T_VDF_LIFO_Y90">#REF!</definedName>
    <definedName name="_T_VDF_LIFO_Y91" localSheetId="5">#REF!</definedName>
    <definedName name="_T_VDF_LIFO_Y91" localSheetId="24">#REF!</definedName>
    <definedName name="_T_VDF_LIFO_Y91">#REF!</definedName>
    <definedName name="_T_VDF_LIFO_Y92" localSheetId="5">#REF!</definedName>
    <definedName name="_T_VDF_LIFO_Y92" localSheetId="24">#REF!</definedName>
    <definedName name="_T_VDF_LIFO_Y92">#REF!</definedName>
    <definedName name="_T_VDF_LIFO_Y93" localSheetId="5">#REF!</definedName>
    <definedName name="_T_VDF_LIFO_Y93" localSheetId="24">#REF!</definedName>
    <definedName name="_T_VDF_LIFO_Y93">#REF!</definedName>
    <definedName name="_T_VDF_LIFO_Y94" localSheetId="5">#REF!</definedName>
    <definedName name="_T_VDF_LIFO_Y94" localSheetId="24">#REF!</definedName>
    <definedName name="_T_VDF_LIFO_Y94">#REF!</definedName>
    <definedName name="_T_VDF_LIFO_Y95" localSheetId="5">#REF!</definedName>
    <definedName name="_T_VDF_LIFO_Y95" localSheetId="24">#REF!</definedName>
    <definedName name="_T_VDF_LIFO_Y95">#REF!</definedName>
    <definedName name="_T_VDF_LIFO_Y96" localSheetId="5">#REF!</definedName>
    <definedName name="_T_VDF_LIFO_Y96" localSheetId="24">#REF!</definedName>
    <definedName name="_T_VDF_LIFO_Y96">#REF!</definedName>
    <definedName name="_T_VDF_LIFO_Y97" localSheetId="5">#REF!</definedName>
    <definedName name="_T_VDF_LIFO_Y97" localSheetId="24">#REF!</definedName>
    <definedName name="_T_VDF_LIFO_Y97">#REF!</definedName>
    <definedName name="_T_VDF_LIFO_Y98" localSheetId="5">#REF!</definedName>
    <definedName name="_T_VDF_LIFO_Y98" localSheetId="24">#REF!</definedName>
    <definedName name="_T_VDF_LIFO_Y98">#REF!</definedName>
    <definedName name="_T_VDF_LIFO_Y99" localSheetId="5">#REF!</definedName>
    <definedName name="_T_VDF_LIFO_Y99" localSheetId="24">#REF!</definedName>
    <definedName name="_T_VDF_LIFO_Y99">#REF!</definedName>
    <definedName name="_T_VDF_NOPAT_MARGIN1" localSheetId="5">#REF!</definedName>
    <definedName name="_T_VDF_NOPAT_MARGIN1" localSheetId="24">#REF!</definedName>
    <definedName name="_T_VDF_NOPAT_MARGIN1">#REF!</definedName>
    <definedName name="_T_VDF_NOPAT_MARGIN2" localSheetId="5">#REF!</definedName>
    <definedName name="_T_VDF_NOPAT_MARGIN2" localSheetId="24">#REF!</definedName>
    <definedName name="_T_VDF_NOPAT_MARGIN2">#REF!</definedName>
    <definedName name="_T_VDF_NOPAT_MARGIN3" localSheetId="5">#REF!</definedName>
    <definedName name="_T_VDF_NOPAT_MARGIN3" localSheetId="24">#REF!</definedName>
    <definedName name="_T_VDF_NOPAT_MARGIN3">#REF!</definedName>
    <definedName name="_T_VDF_NOPAT_MARGIN4" localSheetId="5">#REF!</definedName>
    <definedName name="_T_VDF_NOPAT_MARGIN4" localSheetId="24">#REF!</definedName>
    <definedName name="_T_VDF_NOPAT_MARGIN4">#REF!</definedName>
    <definedName name="_T_VDF_NOPAT_MARGIN5" localSheetId="5">#REF!</definedName>
    <definedName name="_T_VDF_NOPAT_MARGIN5" localSheetId="24">#REF!</definedName>
    <definedName name="_T_VDF_NOPAT_MARGIN5">#REF!</definedName>
    <definedName name="_T_VDF_NOPAT_MARGIN6" localSheetId="5">#REF!</definedName>
    <definedName name="_T_VDF_NOPAT_MARGIN6" localSheetId="24">#REF!</definedName>
    <definedName name="_T_VDF_NOPAT_MARGIN6">#REF!</definedName>
    <definedName name="_T_VDF_OA_TURN1" localSheetId="5">#REF!</definedName>
    <definedName name="_T_VDF_OA_TURN1" localSheetId="24">#REF!</definedName>
    <definedName name="_T_VDF_OA_TURN1">#REF!</definedName>
    <definedName name="_T_VDF_OA_TURN2" localSheetId="5">#REF!</definedName>
    <definedName name="_T_VDF_OA_TURN2" localSheetId="24">#REF!</definedName>
    <definedName name="_T_VDF_OA_TURN2">#REF!</definedName>
    <definedName name="_T_VDF_OA_TURN3" localSheetId="5">#REF!</definedName>
    <definedName name="_T_VDF_OA_TURN3" localSheetId="24">#REF!</definedName>
    <definedName name="_T_VDF_OA_TURN3">#REF!</definedName>
    <definedName name="_T_VDF_OA_TURN4" localSheetId="5">#REF!</definedName>
    <definedName name="_T_VDF_OA_TURN4" localSheetId="24">#REF!</definedName>
    <definedName name="_T_VDF_OA_TURN4">#REF!</definedName>
    <definedName name="_T_VDF_OA_TURN5" localSheetId="5">#REF!</definedName>
    <definedName name="_T_VDF_OA_TURN5" localSheetId="24">#REF!</definedName>
    <definedName name="_T_VDF_OA_TURN5">#REF!</definedName>
    <definedName name="_T_VDF_OA_TURN6" localSheetId="5">#REF!</definedName>
    <definedName name="_T_VDF_OA_TURN6" localSheetId="24">#REF!</definedName>
    <definedName name="_T_VDF_OA_TURN6">#REF!</definedName>
    <definedName name="_T_VDF_OTH_RESERVES_Y00" localSheetId="5">#REF!</definedName>
    <definedName name="_T_VDF_OTH_RESERVES_Y00" localSheetId="24">#REF!</definedName>
    <definedName name="_T_VDF_OTH_RESERVES_Y00">#REF!</definedName>
    <definedName name="_T_VDF_OTH_RESERVES_Y01" localSheetId="5">#REF!</definedName>
    <definedName name="_T_VDF_OTH_RESERVES_Y01" localSheetId="24">#REF!</definedName>
    <definedName name="_T_VDF_OTH_RESERVES_Y01">#REF!</definedName>
    <definedName name="_T_VDF_OTH_RESERVES_Y02" localSheetId="5">#REF!</definedName>
    <definedName name="_T_VDF_OTH_RESERVES_Y02" localSheetId="24">#REF!</definedName>
    <definedName name="_T_VDF_OTH_RESERVES_Y02">#REF!</definedName>
    <definedName name="_T_VDF_OTH_RESERVES_Y03" localSheetId="5">#REF!</definedName>
    <definedName name="_T_VDF_OTH_RESERVES_Y03" localSheetId="24">#REF!</definedName>
    <definedName name="_T_VDF_OTH_RESERVES_Y03">#REF!</definedName>
    <definedName name="_T_VDF_OTH_RESERVES_Y04" localSheetId="5">#REF!</definedName>
    <definedName name="_T_VDF_OTH_RESERVES_Y04" localSheetId="24">#REF!</definedName>
    <definedName name="_T_VDF_OTH_RESERVES_Y04">#REF!</definedName>
    <definedName name="_T_VDF_OTH_RESERVES_Y05" localSheetId="5">#REF!</definedName>
    <definedName name="_T_VDF_OTH_RESERVES_Y05" localSheetId="24">#REF!</definedName>
    <definedName name="_T_VDF_OTH_RESERVES_Y05">#REF!</definedName>
    <definedName name="_T_VDF_OTH_RESERVES_Y06" localSheetId="5">#REF!</definedName>
    <definedName name="_T_VDF_OTH_RESERVES_Y06" localSheetId="24">#REF!</definedName>
    <definedName name="_T_VDF_OTH_RESERVES_Y06">#REF!</definedName>
    <definedName name="_T_VDF_OTH_RESERVES_Y07" localSheetId="5">#REF!</definedName>
    <definedName name="_T_VDF_OTH_RESERVES_Y07" localSheetId="24">#REF!</definedName>
    <definedName name="_T_VDF_OTH_RESERVES_Y07">#REF!</definedName>
    <definedName name="_T_VDF_OTH_RESERVES_Y09" localSheetId="5">#REF!</definedName>
    <definedName name="_T_VDF_OTH_RESERVES_Y09" localSheetId="24">#REF!</definedName>
    <definedName name="_T_VDF_OTH_RESERVES_Y09">#REF!</definedName>
    <definedName name="_T_VDF_OTH_RESERVES_Y90" localSheetId="5">#REF!</definedName>
    <definedName name="_T_VDF_OTH_RESERVES_Y90" localSheetId="24">#REF!</definedName>
    <definedName name="_T_VDF_OTH_RESERVES_Y90">#REF!</definedName>
    <definedName name="_T_VDF_OTH_RESERVES_Y91" localSheetId="5">#REF!</definedName>
    <definedName name="_T_VDF_OTH_RESERVES_Y91" localSheetId="24">#REF!</definedName>
    <definedName name="_T_VDF_OTH_RESERVES_Y91">#REF!</definedName>
    <definedName name="_T_VDF_OTH_RESERVES_Y92" localSheetId="5">#REF!</definedName>
    <definedName name="_T_VDF_OTH_RESERVES_Y92" localSheetId="24">#REF!</definedName>
    <definedName name="_T_VDF_OTH_RESERVES_Y92">#REF!</definedName>
    <definedName name="_T_VDF_OTH_RESERVES_Y93" localSheetId="5">#REF!</definedName>
    <definedName name="_T_VDF_OTH_RESERVES_Y93" localSheetId="24">#REF!</definedName>
    <definedName name="_T_VDF_OTH_RESERVES_Y93">#REF!</definedName>
    <definedName name="_T_VDF_OTH_RESERVES_Y94" localSheetId="5">#REF!</definedName>
    <definedName name="_T_VDF_OTH_RESERVES_Y94" localSheetId="24">#REF!</definedName>
    <definedName name="_T_VDF_OTH_RESERVES_Y94">#REF!</definedName>
    <definedName name="_T_VDF_OTH_RESERVES_Y95" localSheetId="5">#REF!</definedName>
    <definedName name="_T_VDF_OTH_RESERVES_Y95" localSheetId="24">#REF!</definedName>
    <definedName name="_T_VDF_OTH_RESERVES_Y95">#REF!</definedName>
    <definedName name="_T_VDF_OTH_RESERVES_Y96" localSheetId="5">#REF!</definedName>
    <definedName name="_T_VDF_OTH_RESERVES_Y96" localSheetId="24">#REF!</definedName>
    <definedName name="_T_VDF_OTH_RESERVES_Y96">#REF!</definedName>
    <definedName name="_T_VDF_OTH_RESERVES_Y97" localSheetId="5">#REF!</definedName>
    <definedName name="_T_VDF_OTH_RESERVES_Y97" localSheetId="24">#REF!</definedName>
    <definedName name="_T_VDF_OTH_RESERVES_Y97">#REF!</definedName>
    <definedName name="_T_VDF_OTH_RESERVES_Y98" localSheetId="5">#REF!</definedName>
    <definedName name="_T_VDF_OTH_RESERVES_Y98" localSheetId="24">#REF!</definedName>
    <definedName name="_T_VDF_OTH_RESERVES_Y98">#REF!</definedName>
    <definedName name="_T_VDF_OTH_RESERVES_Y99" localSheetId="5">#REF!</definedName>
    <definedName name="_T_VDF_OTH_RESERVES_Y99" localSheetId="24">#REF!</definedName>
    <definedName name="_T_VDF_OTH_RESERVES_Y99">#REF!</definedName>
    <definedName name="_T_VDF_PLN_AMORT_FINITE_Y00" localSheetId="5">#REF!</definedName>
    <definedName name="_T_VDF_PLN_AMORT_FINITE_Y00" localSheetId="24">#REF!</definedName>
    <definedName name="_T_VDF_PLN_AMORT_FINITE_Y00">#REF!</definedName>
    <definedName name="_T_VDF_PLN_AMORT_FINITE_Y01" localSheetId="5">#REF!</definedName>
    <definedName name="_T_VDF_PLN_AMORT_FINITE_Y01" localSheetId="24">#REF!</definedName>
    <definedName name="_T_VDF_PLN_AMORT_FINITE_Y01">#REF!</definedName>
    <definedName name="_T_VDF_PLN_AMORT_FINITE_Y02" localSheetId="5">#REF!</definedName>
    <definedName name="_T_VDF_PLN_AMORT_FINITE_Y02" localSheetId="24">#REF!</definedName>
    <definedName name="_T_VDF_PLN_AMORT_FINITE_Y02">#REF!</definedName>
    <definedName name="_T_VDF_PLN_AMORT_FINITE_Y03" localSheetId="5">#REF!</definedName>
    <definedName name="_T_VDF_PLN_AMORT_FINITE_Y03" localSheetId="24">#REF!</definedName>
    <definedName name="_T_VDF_PLN_AMORT_FINITE_Y03">#REF!</definedName>
    <definedName name="_T_VDF_PLN_AMORT_FINITE_Y04" localSheetId="5">#REF!</definedName>
    <definedName name="_T_VDF_PLN_AMORT_FINITE_Y04" localSheetId="24">#REF!</definedName>
    <definedName name="_T_VDF_PLN_AMORT_FINITE_Y04">#REF!</definedName>
    <definedName name="_T_VDF_PLN_AMORT_FINITE_Y05" localSheetId="5">#REF!</definedName>
    <definedName name="_T_VDF_PLN_AMORT_FINITE_Y05" localSheetId="24">#REF!</definedName>
    <definedName name="_T_VDF_PLN_AMORT_FINITE_Y05">#REF!</definedName>
    <definedName name="_T_VDF_PLN_AMORT_FINITE_Y06" localSheetId="5">#REF!</definedName>
    <definedName name="_T_VDF_PLN_AMORT_FINITE_Y06" localSheetId="24">#REF!</definedName>
    <definedName name="_T_VDF_PLN_AMORT_FINITE_Y06">#REF!</definedName>
    <definedName name="_T_VDF_PLN_AMORT_FINITE_Y07" localSheetId="5">#REF!</definedName>
    <definedName name="_T_VDF_PLN_AMORT_FINITE_Y07" localSheetId="24">#REF!</definedName>
    <definedName name="_T_VDF_PLN_AMORT_FINITE_Y07">#REF!</definedName>
    <definedName name="_T_VDF_PLN_AMORT_FINITE_Y09" localSheetId="5">#REF!</definedName>
    <definedName name="_T_VDF_PLN_AMORT_FINITE_Y09" localSheetId="24">#REF!</definedName>
    <definedName name="_T_VDF_PLN_AMORT_FINITE_Y09">#REF!</definedName>
    <definedName name="_T_VDF_PLN_AMORT_FINITE_Y90" localSheetId="5">#REF!</definedName>
    <definedName name="_T_VDF_PLN_AMORT_FINITE_Y90" localSheetId="24">#REF!</definedName>
    <definedName name="_T_VDF_PLN_AMORT_FINITE_Y90">#REF!</definedName>
    <definedName name="_T_VDF_PLN_AMORT_FINITE_Y91" localSheetId="5">#REF!</definedName>
    <definedName name="_T_VDF_PLN_AMORT_FINITE_Y91" localSheetId="24">#REF!</definedName>
    <definedName name="_T_VDF_PLN_AMORT_FINITE_Y91">#REF!</definedName>
    <definedName name="_T_VDF_PLN_AMORT_FINITE_Y92" localSheetId="5">#REF!</definedName>
    <definedName name="_T_VDF_PLN_AMORT_FINITE_Y92" localSheetId="24">#REF!</definedName>
    <definedName name="_T_VDF_PLN_AMORT_FINITE_Y92">#REF!</definedName>
    <definedName name="_T_VDF_PLN_AMORT_FINITE_Y93" localSheetId="5">#REF!</definedName>
    <definedName name="_T_VDF_PLN_AMORT_FINITE_Y93" localSheetId="24">#REF!</definedName>
    <definedName name="_T_VDF_PLN_AMORT_FINITE_Y93">#REF!</definedName>
    <definedName name="_T_VDF_PLN_AMORT_FINITE_Y94" localSheetId="5">#REF!</definedName>
    <definedName name="_T_VDF_PLN_AMORT_FINITE_Y94" localSheetId="24">#REF!</definedName>
    <definedName name="_T_VDF_PLN_AMORT_FINITE_Y94">#REF!</definedName>
    <definedName name="_T_VDF_PLN_AMORT_FINITE_Y95" localSheetId="5">#REF!</definedName>
    <definedName name="_T_VDF_PLN_AMORT_FINITE_Y95" localSheetId="24">#REF!</definedName>
    <definedName name="_T_VDF_PLN_AMORT_FINITE_Y95">#REF!</definedName>
    <definedName name="_T_VDF_PLN_AMORT_FINITE_Y96" localSheetId="5">#REF!</definedName>
    <definedName name="_T_VDF_PLN_AMORT_FINITE_Y96" localSheetId="24">#REF!</definedName>
    <definedName name="_T_VDF_PLN_AMORT_FINITE_Y96">#REF!</definedName>
    <definedName name="_T_VDF_PLN_AMORT_FINITE_Y97" localSheetId="5">#REF!</definedName>
    <definedName name="_T_VDF_PLN_AMORT_FINITE_Y97" localSheetId="24">#REF!</definedName>
    <definedName name="_T_VDF_PLN_AMORT_FINITE_Y97">#REF!</definedName>
    <definedName name="_T_VDF_PLN_AMORT_FINITE_Y98" localSheetId="5">#REF!</definedName>
    <definedName name="_T_VDF_PLN_AMORT_FINITE_Y98" localSheetId="24">#REF!</definedName>
    <definedName name="_T_VDF_PLN_AMORT_FINITE_Y98">#REF!</definedName>
    <definedName name="_T_VDF_PLN_AMORT_FINITE_Y99" localSheetId="5">#REF!</definedName>
    <definedName name="_T_VDF_PLN_AMORT_FINITE_Y99" localSheetId="24">#REF!</definedName>
    <definedName name="_T_VDF_PLN_AMORT_FINITE_Y99">#REF!</definedName>
    <definedName name="_T_VDF_PLN_NONREC_Y00" localSheetId="5">#REF!</definedName>
    <definedName name="_T_VDF_PLN_NONREC_Y00" localSheetId="24">#REF!</definedName>
    <definedName name="_T_VDF_PLN_NONREC_Y00">#REF!</definedName>
    <definedName name="_T_VDF_PLN_NONREC_Y01" localSheetId="5">#REF!</definedName>
    <definedName name="_T_VDF_PLN_NONREC_Y01" localSheetId="24">#REF!</definedName>
    <definedName name="_T_VDF_PLN_NONREC_Y01">#REF!</definedName>
    <definedName name="_T_VDF_PLN_NONREC_Y02" localSheetId="5">#REF!</definedName>
    <definedName name="_T_VDF_PLN_NONREC_Y02" localSheetId="24">#REF!</definedName>
    <definedName name="_T_VDF_PLN_NONREC_Y02">#REF!</definedName>
    <definedName name="_T_VDF_PLN_NONREC_Y03" localSheetId="5">#REF!</definedName>
    <definedName name="_T_VDF_PLN_NONREC_Y03" localSheetId="24">#REF!</definedName>
    <definedName name="_T_VDF_PLN_NONREC_Y03">#REF!</definedName>
    <definedName name="_T_VDF_PLN_NONREC_Y04" localSheetId="5">#REF!</definedName>
    <definedName name="_T_VDF_PLN_NONREC_Y04" localSheetId="24">#REF!</definedName>
    <definedName name="_T_VDF_PLN_NONREC_Y04">#REF!</definedName>
    <definedName name="_T_VDF_PLN_NONREC_Y05" localSheetId="5">#REF!</definedName>
    <definedName name="_T_VDF_PLN_NONREC_Y05" localSheetId="24">#REF!</definedName>
    <definedName name="_T_VDF_PLN_NONREC_Y05">#REF!</definedName>
    <definedName name="_T_VDF_PLN_NONREC_Y06" localSheetId="5">#REF!</definedName>
    <definedName name="_T_VDF_PLN_NONREC_Y06" localSheetId="24">#REF!</definedName>
    <definedName name="_T_VDF_PLN_NONREC_Y06">#REF!</definedName>
    <definedName name="_T_VDF_PLN_NONREC_Y07" localSheetId="5">#REF!</definedName>
    <definedName name="_T_VDF_PLN_NONREC_Y07" localSheetId="24">#REF!</definedName>
    <definedName name="_T_VDF_PLN_NONREC_Y07">#REF!</definedName>
    <definedName name="_T_VDF_PLN_NONREC_Y09" localSheetId="5">#REF!</definedName>
    <definedName name="_T_VDF_PLN_NONREC_Y09" localSheetId="24">#REF!</definedName>
    <definedName name="_T_VDF_PLN_NONREC_Y09">#REF!</definedName>
    <definedName name="_T_VDF_PLN_NONREC_Y90" localSheetId="5">#REF!</definedName>
    <definedName name="_T_VDF_PLN_NONREC_Y90" localSheetId="24">#REF!</definedName>
    <definedName name="_T_VDF_PLN_NONREC_Y90">#REF!</definedName>
    <definedName name="_T_VDF_PLN_NONREC_Y91" localSheetId="5">#REF!</definedName>
    <definedName name="_T_VDF_PLN_NONREC_Y91" localSheetId="24">#REF!</definedName>
    <definedName name="_T_VDF_PLN_NONREC_Y91">#REF!</definedName>
    <definedName name="_T_VDF_PLN_NONREC_Y92" localSheetId="5">#REF!</definedName>
    <definedName name="_T_VDF_PLN_NONREC_Y92" localSheetId="24">#REF!</definedName>
    <definedName name="_T_VDF_PLN_NONREC_Y92">#REF!</definedName>
    <definedName name="_T_VDF_PLN_NONREC_Y93" localSheetId="5">#REF!</definedName>
    <definedName name="_T_VDF_PLN_NONREC_Y93" localSheetId="24">#REF!</definedName>
    <definedName name="_T_VDF_PLN_NONREC_Y93">#REF!</definedName>
    <definedName name="_T_VDF_PLN_NONREC_Y94" localSheetId="5">#REF!</definedName>
    <definedName name="_T_VDF_PLN_NONREC_Y94" localSheetId="24">#REF!</definedName>
    <definedName name="_T_VDF_PLN_NONREC_Y94">#REF!</definedName>
    <definedName name="_T_VDF_PLN_NONREC_Y95" localSheetId="5">#REF!</definedName>
    <definedName name="_T_VDF_PLN_NONREC_Y95" localSheetId="24">#REF!</definedName>
    <definedName name="_T_VDF_PLN_NONREC_Y95">#REF!</definedName>
    <definedName name="_T_VDF_PLN_NONREC_Y96" localSheetId="5">#REF!</definedName>
    <definedName name="_T_VDF_PLN_NONREC_Y96" localSheetId="24">#REF!</definedName>
    <definedName name="_T_VDF_PLN_NONREC_Y96">#REF!</definedName>
    <definedName name="_T_VDF_PLN_NONREC_Y97" localSheetId="5">#REF!</definedName>
    <definedName name="_T_VDF_PLN_NONREC_Y97" localSheetId="24">#REF!</definedName>
    <definedName name="_T_VDF_PLN_NONREC_Y97">#REF!</definedName>
    <definedName name="_T_VDF_PLN_NONREC_Y98" localSheetId="5">#REF!</definedName>
    <definedName name="_T_VDF_PLN_NONREC_Y98" localSheetId="24">#REF!</definedName>
    <definedName name="_T_VDF_PLN_NONREC_Y98">#REF!</definedName>
    <definedName name="_T_VDF_PLN_NONREC_Y99" localSheetId="5">#REF!</definedName>
    <definedName name="_T_VDF_PLN_NONREC_Y99" localSheetId="24">#REF!</definedName>
    <definedName name="_T_VDF_PLN_NONREC_Y99">#REF!</definedName>
    <definedName name="_T_VDF_PLN_OTHER_PROFIT_Y00" localSheetId="5">#REF!</definedName>
    <definedName name="_T_VDF_PLN_OTHER_PROFIT_Y00" localSheetId="24">#REF!</definedName>
    <definedName name="_T_VDF_PLN_OTHER_PROFIT_Y00">#REF!</definedName>
    <definedName name="_T_VDF_PLN_OTHER_PROFIT_Y01" localSheetId="5">#REF!</definedName>
    <definedName name="_T_VDF_PLN_OTHER_PROFIT_Y01" localSheetId="24">#REF!</definedName>
    <definedName name="_T_VDF_PLN_OTHER_PROFIT_Y01">#REF!</definedName>
    <definedName name="_T_VDF_PLN_OTHER_PROFIT_Y02" localSheetId="5">#REF!</definedName>
    <definedName name="_T_VDF_PLN_OTHER_PROFIT_Y02" localSheetId="24">#REF!</definedName>
    <definedName name="_T_VDF_PLN_OTHER_PROFIT_Y02">#REF!</definedName>
    <definedName name="_T_VDF_PLN_OTHER_PROFIT_Y03" localSheetId="5">#REF!</definedName>
    <definedName name="_T_VDF_PLN_OTHER_PROFIT_Y03" localSheetId="24">#REF!</definedName>
    <definedName name="_T_VDF_PLN_OTHER_PROFIT_Y03">#REF!</definedName>
    <definedName name="_T_VDF_PLN_OTHER_PROFIT_Y04" localSheetId="5">#REF!</definedName>
    <definedName name="_T_VDF_PLN_OTHER_PROFIT_Y04" localSheetId="24">#REF!</definedName>
    <definedName name="_T_VDF_PLN_OTHER_PROFIT_Y04">#REF!</definedName>
    <definedName name="_T_VDF_PLN_OTHER_PROFIT_Y05" localSheetId="5">#REF!</definedName>
    <definedName name="_T_VDF_PLN_OTHER_PROFIT_Y05" localSheetId="24">#REF!</definedName>
    <definedName name="_T_VDF_PLN_OTHER_PROFIT_Y05">#REF!</definedName>
    <definedName name="_T_VDF_PLN_OTHER_PROFIT_Y06" localSheetId="5">#REF!</definedName>
    <definedName name="_T_VDF_PLN_OTHER_PROFIT_Y06" localSheetId="24">#REF!</definedName>
    <definedName name="_T_VDF_PLN_OTHER_PROFIT_Y06">#REF!</definedName>
    <definedName name="_T_VDF_PLN_OTHER_PROFIT_Y07" localSheetId="5">#REF!</definedName>
    <definedName name="_T_VDF_PLN_OTHER_PROFIT_Y07" localSheetId="24">#REF!</definedName>
    <definedName name="_T_VDF_PLN_OTHER_PROFIT_Y07">#REF!</definedName>
    <definedName name="_T_VDF_PLN_OTHER_PROFIT_Y09" localSheetId="5">#REF!</definedName>
    <definedName name="_T_VDF_PLN_OTHER_PROFIT_Y09" localSheetId="24">#REF!</definedName>
    <definedName name="_T_VDF_PLN_OTHER_PROFIT_Y09">#REF!</definedName>
    <definedName name="_T_VDF_PLN_OTHER_PROFIT_Y90" localSheetId="5">#REF!</definedName>
    <definedName name="_T_VDF_PLN_OTHER_PROFIT_Y90" localSheetId="24">#REF!</definedName>
    <definedName name="_T_VDF_PLN_OTHER_PROFIT_Y90">#REF!</definedName>
    <definedName name="_T_VDF_PLN_OTHER_PROFIT_Y91" localSheetId="5">#REF!</definedName>
    <definedName name="_T_VDF_PLN_OTHER_PROFIT_Y91" localSheetId="24">#REF!</definedName>
    <definedName name="_T_VDF_PLN_OTHER_PROFIT_Y91">#REF!</definedName>
    <definedName name="_T_VDF_PLN_OTHER_PROFIT_Y92" localSheetId="5">#REF!</definedName>
    <definedName name="_T_VDF_PLN_OTHER_PROFIT_Y92" localSheetId="24">#REF!</definedName>
    <definedName name="_T_VDF_PLN_OTHER_PROFIT_Y92">#REF!</definedName>
    <definedName name="_T_VDF_PLN_OTHER_PROFIT_Y93" localSheetId="5">#REF!</definedName>
    <definedName name="_T_VDF_PLN_OTHER_PROFIT_Y93" localSheetId="24">#REF!</definedName>
    <definedName name="_T_VDF_PLN_OTHER_PROFIT_Y93">#REF!</definedName>
    <definedName name="_T_VDF_PLN_OTHER_PROFIT_Y94" localSheetId="5">#REF!</definedName>
    <definedName name="_T_VDF_PLN_OTHER_PROFIT_Y94" localSheetId="24">#REF!</definedName>
    <definedName name="_T_VDF_PLN_OTHER_PROFIT_Y94">#REF!</definedName>
    <definedName name="_T_VDF_PLN_OTHER_PROFIT_Y95" localSheetId="5">#REF!</definedName>
    <definedName name="_T_VDF_PLN_OTHER_PROFIT_Y95" localSheetId="24">#REF!</definedName>
    <definedName name="_T_VDF_PLN_OTHER_PROFIT_Y95">#REF!</definedName>
    <definedName name="_T_VDF_PLN_OTHER_PROFIT_Y96" localSheetId="5">#REF!</definedName>
    <definedName name="_T_VDF_PLN_OTHER_PROFIT_Y96" localSheetId="24">#REF!</definedName>
    <definedName name="_T_VDF_PLN_OTHER_PROFIT_Y96">#REF!</definedName>
    <definedName name="_T_VDF_PLN_OTHER_PROFIT_Y97" localSheetId="5">#REF!</definedName>
    <definedName name="_T_VDF_PLN_OTHER_PROFIT_Y97" localSheetId="24">#REF!</definedName>
    <definedName name="_T_VDF_PLN_OTHER_PROFIT_Y97">#REF!</definedName>
    <definedName name="_T_VDF_PLN_OTHER_PROFIT_Y98" localSheetId="5">#REF!</definedName>
    <definedName name="_T_VDF_PLN_OTHER_PROFIT_Y98" localSheetId="24">#REF!</definedName>
    <definedName name="_T_VDF_PLN_OTHER_PROFIT_Y98">#REF!</definedName>
    <definedName name="_T_VDF_PLN_OTHER_PROFIT_Y99" localSheetId="5">#REF!</definedName>
    <definedName name="_T_VDF_PLN_OTHER_PROFIT_Y99" localSheetId="24">#REF!</definedName>
    <definedName name="_T_VDF_PLN_OTHER_PROFIT_Y99">#REF!</definedName>
    <definedName name="_T_VDF_PLN_UCS_Y00" localSheetId="5">#REF!</definedName>
    <definedName name="_T_VDF_PLN_UCS_Y00" localSheetId="24">#REF!</definedName>
    <definedName name="_T_VDF_PLN_UCS_Y00">#REF!</definedName>
    <definedName name="_T_VDF_PLN_UCS_Y01" localSheetId="5">#REF!</definedName>
    <definedName name="_T_VDF_PLN_UCS_Y01" localSheetId="24">#REF!</definedName>
    <definedName name="_T_VDF_PLN_UCS_Y01">#REF!</definedName>
    <definedName name="_T_VDF_PLN_UCS_Y02" localSheetId="5">#REF!</definedName>
    <definedName name="_T_VDF_PLN_UCS_Y02" localSheetId="24">#REF!</definedName>
    <definedName name="_T_VDF_PLN_UCS_Y02">#REF!</definedName>
    <definedName name="_T_VDF_PLN_UCS_Y03" localSheetId="5">#REF!</definedName>
    <definedName name="_T_VDF_PLN_UCS_Y03" localSheetId="24">#REF!</definedName>
    <definedName name="_T_VDF_PLN_UCS_Y03">#REF!</definedName>
    <definedName name="_T_VDF_PLN_UCS_Y04" localSheetId="5">#REF!</definedName>
    <definedName name="_T_VDF_PLN_UCS_Y04" localSheetId="24">#REF!</definedName>
    <definedName name="_T_VDF_PLN_UCS_Y04">#REF!</definedName>
    <definedName name="_T_VDF_PLN_UCS_Y05" localSheetId="5">#REF!</definedName>
    <definedName name="_T_VDF_PLN_UCS_Y05" localSheetId="24">#REF!</definedName>
    <definedName name="_T_VDF_PLN_UCS_Y05">#REF!</definedName>
    <definedName name="_T_VDF_PLN_UCS_Y06" localSheetId="5">#REF!</definedName>
    <definedName name="_T_VDF_PLN_UCS_Y06" localSheetId="24">#REF!</definedName>
    <definedName name="_T_VDF_PLN_UCS_Y06">#REF!</definedName>
    <definedName name="_T_VDF_PLN_UCS_Y07" localSheetId="5">#REF!</definedName>
    <definedName name="_T_VDF_PLN_UCS_Y07" localSheetId="24">#REF!</definedName>
    <definedName name="_T_VDF_PLN_UCS_Y07">#REF!</definedName>
    <definedName name="_T_VDF_PLN_UCS_Y09" localSheetId="5">#REF!</definedName>
    <definedName name="_T_VDF_PLN_UCS_Y09" localSheetId="24">#REF!</definedName>
    <definedName name="_T_VDF_PLN_UCS_Y09">#REF!</definedName>
    <definedName name="_T_VDF_PLN_UCS_Y90" localSheetId="5">#REF!</definedName>
    <definedName name="_T_VDF_PLN_UCS_Y90" localSheetId="24">#REF!</definedName>
    <definedName name="_T_VDF_PLN_UCS_Y90">#REF!</definedName>
    <definedName name="_T_VDF_PLN_UCS_Y91" localSheetId="5">#REF!</definedName>
    <definedName name="_T_VDF_PLN_UCS_Y91" localSheetId="24">#REF!</definedName>
    <definedName name="_T_VDF_PLN_UCS_Y91">#REF!</definedName>
    <definedName name="_T_VDF_PLN_UCS_Y92" localSheetId="5">#REF!</definedName>
    <definedName name="_T_VDF_PLN_UCS_Y92" localSheetId="24">#REF!</definedName>
    <definedName name="_T_VDF_PLN_UCS_Y92">#REF!</definedName>
    <definedName name="_T_VDF_PLN_UCS_Y93" localSheetId="5">#REF!</definedName>
    <definedName name="_T_VDF_PLN_UCS_Y93" localSheetId="24">#REF!</definedName>
    <definedName name="_T_VDF_PLN_UCS_Y93">#REF!</definedName>
    <definedName name="_T_VDF_PLN_UCS_Y94" localSheetId="5">#REF!</definedName>
    <definedName name="_T_VDF_PLN_UCS_Y94" localSheetId="24">#REF!</definedName>
    <definedName name="_T_VDF_PLN_UCS_Y94">#REF!</definedName>
    <definedName name="_T_VDF_PLN_UCS_Y95" localSheetId="5">#REF!</definedName>
    <definedName name="_T_VDF_PLN_UCS_Y95" localSheetId="24">#REF!</definedName>
    <definedName name="_T_VDF_PLN_UCS_Y95">#REF!</definedName>
    <definedName name="_T_VDF_PLN_UCS_Y96" localSheetId="5">#REF!</definedName>
    <definedName name="_T_VDF_PLN_UCS_Y96" localSheetId="24">#REF!</definedName>
    <definedName name="_T_VDF_PLN_UCS_Y96">#REF!</definedName>
    <definedName name="_T_VDF_PLN_UCS_Y97" localSheetId="5">#REF!</definedName>
    <definedName name="_T_VDF_PLN_UCS_Y97" localSheetId="24">#REF!</definedName>
    <definedName name="_T_VDF_PLN_UCS_Y97">#REF!</definedName>
    <definedName name="_T_VDF_PLN_UCS_Y98" localSheetId="5">#REF!</definedName>
    <definedName name="_T_VDF_PLN_UCS_Y98" localSheetId="24">#REF!</definedName>
    <definedName name="_T_VDF_PLN_UCS_Y98">#REF!</definedName>
    <definedName name="_T_VDF_PLN_UCS_Y99" localSheetId="5">#REF!</definedName>
    <definedName name="_T_VDF_PLN_UCS_Y99" localSheetId="24">#REF!</definedName>
    <definedName name="_T_VDF_PLN_UCS_Y99">#REF!</definedName>
    <definedName name="_T_VDF_RD_YEARS_AMORT" localSheetId="5">#REF!</definedName>
    <definedName name="_T_VDF_RD_YEARS_AMORT" localSheetId="24">#REF!</definedName>
    <definedName name="_T_VDF_RD_YEARS_AMORT">#REF!</definedName>
    <definedName name="_T_VDF_SALES_GROWTH1" localSheetId="5">#REF!</definedName>
    <definedName name="_T_VDF_SALES_GROWTH1" localSheetId="24">#REF!</definedName>
    <definedName name="_T_VDF_SALES_GROWTH1">#REF!</definedName>
    <definedName name="_T_VDF_SALES_GROWTH2" localSheetId="5">#REF!</definedName>
    <definedName name="_T_VDF_SALES_GROWTH2" localSheetId="24">#REF!</definedName>
    <definedName name="_T_VDF_SALES_GROWTH2">#REF!</definedName>
    <definedName name="_T_VDF_SALES_GROWTH3" localSheetId="5">#REF!</definedName>
    <definedName name="_T_VDF_SALES_GROWTH3" localSheetId="24">#REF!</definedName>
    <definedName name="_T_VDF_SALES_GROWTH3">#REF!</definedName>
    <definedName name="_T_VDF_SALES_GROWTH4" localSheetId="5">#REF!</definedName>
    <definedName name="_T_VDF_SALES_GROWTH4" localSheetId="24">#REF!</definedName>
    <definedName name="_T_VDF_SALES_GROWTH4">#REF!</definedName>
    <definedName name="_T_VDF_SALES_GROWTH5" localSheetId="5">#REF!</definedName>
    <definedName name="_T_VDF_SALES_GROWTH5" localSheetId="24">#REF!</definedName>
    <definedName name="_T_VDF_SALES_GROWTH5">#REF!</definedName>
    <definedName name="_T_VDF_SALES_GROWTH6" localSheetId="5">#REF!</definedName>
    <definedName name="_T_VDF_SALES_GROWTH6" localSheetId="24">#REF!</definedName>
    <definedName name="_T_VDF_SALES_GROWTH6">#REF!</definedName>
    <definedName name="_T_VDF_UNREC_GW_Y00" localSheetId="5">#REF!</definedName>
    <definedName name="_T_VDF_UNREC_GW_Y00" localSheetId="24">#REF!</definedName>
    <definedName name="_T_VDF_UNREC_GW_Y00">#REF!</definedName>
    <definedName name="_T_VDF_UNREC_GW_Y01" localSheetId="5">#REF!</definedName>
    <definedName name="_T_VDF_UNREC_GW_Y01" localSheetId="24">#REF!</definedName>
    <definedName name="_T_VDF_UNREC_GW_Y01">#REF!</definedName>
    <definedName name="_T_VDF_UNREC_GW_Y02" localSheetId="5">#REF!</definedName>
    <definedName name="_T_VDF_UNREC_GW_Y02" localSheetId="24">#REF!</definedName>
    <definedName name="_T_VDF_UNREC_GW_Y02">#REF!</definedName>
    <definedName name="_T_VDF_UNREC_GW_Y03" localSheetId="5">#REF!</definedName>
    <definedName name="_T_VDF_UNREC_GW_Y03" localSheetId="24">#REF!</definedName>
    <definedName name="_T_VDF_UNREC_GW_Y03">#REF!</definedName>
    <definedName name="_T_VDF_UNREC_GW_Y04" localSheetId="5">#REF!</definedName>
    <definedName name="_T_VDF_UNREC_GW_Y04" localSheetId="24">#REF!</definedName>
    <definedName name="_T_VDF_UNREC_GW_Y04">#REF!</definedName>
    <definedName name="_T_VDF_UNREC_GW_Y05" localSheetId="5">#REF!</definedName>
    <definedName name="_T_VDF_UNREC_GW_Y05" localSheetId="24">#REF!</definedName>
    <definedName name="_T_VDF_UNREC_GW_Y05">#REF!</definedName>
    <definedName name="_T_VDF_UNREC_GW_Y06" localSheetId="5">#REF!</definedName>
    <definedName name="_T_VDF_UNREC_GW_Y06" localSheetId="24">#REF!</definedName>
    <definedName name="_T_VDF_UNREC_GW_Y06">#REF!</definedName>
    <definedName name="_T_VDF_UNREC_GW_Y07" localSheetId="5">#REF!</definedName>
    <definedName name="_T_VDF_UNREC_GW_Y07" localSheetId="24">#REF!</definedName>
    <definedName name="_T_VDF_UNREC_GW_Y07">#REF!</definedName>
    <definedName name="_T_VDF_UNREC_GW_Y09" localSheetId="5">#REF!</definedName>
    <definedName name="_T_VDF_UNREC_GW_Y09" localSheetId="24">#REF!</definedName>
    <definedName name="_T_VDF_UNREC_GW_Y09">#REF!</definedName>
    <definedName name="_T_VDF_UNREC_GW_Y90" localSheetId="5">#REF!</definedName>
    <definedName name="_T_VDF_UNREC_GW_Y90" localSheetId="24">#REF!</definedName>
    <definedName name="_T_VDF_UNREC_GW_Y90">#REF!</definedName>
    <definedName name="_T_VDF_UNREC_GW_Y91" localSheetId="5">#REF!</definedName>
    <definedName name="_T_VDF_UNREC_GW_Y91" localSheetId="24">#REF!</definedName>
    <definedName name="_T_VDF_UNREC_GW_Y91">#REF!</definedName>
    <definedName name="_T_VDF_UNREC_GW_Y92" localSheetId="5">#REF!</definedName>
    <definedName name="_T_VDF_UNREC_GW_Y92" localSheetId="24">#REF!</definedName>
    <definedName name="_T_VDF_UNREC_GW_Y92">#REF!</definedName>
    <definedName name="_T_VDF_UNREC_GW_Y93" localSheetId="5">#REF!</definedName>
    <definedName name="_T_VDF_UNREC_GW_Y93" localSheetId="24">#REF!</definedName>
    <definedName name="_T_VDF_UNREC_GW_Y93">#REF!</definedName>
    <definedName name="_T_VDF_UNREC_GW_Y94" localSheetId="5">#REF!</definedName>
    <definedName name="_T_VDF_UNREC_GW_Y94" localSheetId="24">#REF!</definedName>
    <definedName name="_T_VDF_UNREC_GW_Y94">#REF!</definedName>
    <definedName name="_T_VDF_UNREC_GW_Y95" localSheetId="5">#REF!</definedName>
    <definedName name="_T_VDF_UNREC_GW_Y95" localSheetId="24">#REF!</definedName>
    <definedName name="_T_VDF_UNREC_GW_Y95">#REF!</definedName>
    <definedName name="_T_VDF_UNREC_GW_Y96" localSheetId="5">#REF!</definedName>
    <definedName name="_T_VDF_UNREC_GW_Y96" localSheetId="24">#REF!</definedName>
    <definedName name="_T_VDF_UNREC_GW_Y96">#REF!</definedName>
    <definedName name="_T_VDF_UNREC_GW_Y97" localSheetId="5">#REF!</definedName>
    <definedName name="_T_VDF_UNREC_GW_Y97" localSheetId="24">#REF!</definedName>
    <definedName name="_T_VDF_UNREC_GW_Y97">#REF!</definedName>
    <definedName name="_T_VDF_UNREC_GW_Y98" localSheetId="5">#REF!</definedName>
    <definedName name="_T_VDF_UNREC_GW_Y98" localSheetId="24">#REF!</definedName>
    <definedName name="_T_VDF_UNREC_GW_Y98">#REF!</definedName>
    <definedName name="_T_VDF_UNREC_GW_Y99" localSheetId="5">#REF!</definedName>
    <definedName name="_T_VDF_UNREC_GW_Y99" localSheetId="24">#REF!</definedName>
    <definedName name="_T_VDF_UNREC_GW_Y99">#REF!</definedName>
    <definedName name="_T_VDF_VAL_OPLEASE_Y00" localSheetId="5">#REF!</definedName>
    <definedName name="_T_VDF_VAL_OPLEASE_Y00" localSheetId="24">#REF!</definedName>
    <definedName name="_T_VDF_VAL_OPLEASE_Y00">#REF!</definedName>
    <definedName name="_T_VDF_VAL_OPLEASE_Y01" localSheetId="5">#REF!</definedName>
    <definedName name="_T_VDF_VAL_OPLEASE_Y01" localSheetId="24">#REF!</definedName>
    <definedName name="_T_VDF_VAL_OPLEASE_Y01">#REF!</definedName>
    <definedName name="_T_VDF_VAL_OPLEASE_Y02" localSheetId="5">#REF!</definedName>
    <definedName name="_T_VDF_VAL_OPLEASE_Y02" localSheetId="24">#REF!</definedName>
    <definedName name="_T_VDF_VAL_OPLEASE_Y02">#REF!</definedName>
    <definedName name="_T_VDF_VAL_OPLEASE_Y03" localSheetId="5">#REF!</definedName>
    <definedName name="_T_VDF_VAL_OPLEASE_Y03" localSheetId="24">#REF!</definedName>
    <definedName name="_T_VDF_VAL_OPLEASE_Y03">#REF!</definedName>
    <definedName name="_T_VDF_VAL_OPLEASE_Y04" localSheetId="5">#REF!</definedName>
    <definedName name="_T_VDF_VAL_OPLEASE_Y04" localSheetId="24">#REF!</definedName>
    <definedName name="_T_VDF_VAL_OPLEASE_Y04">#REF!</definedName>
    <definedName name="_T_VDF_VAL_OPLEASE_Y05" localSheetId="5">#REF!</definedName>
    <definedName name="_T_VDF_VAL_OPLEASE_Y05" localSheetId="24">#REF!</definedName>
    <definedName name="_T_VDF_VAL_OPLEASE_Y05">#REF!</definedName>
    <definedName name="_T_VDF_VAL_OPLEASE_Y06" localSheetId="5">#REF!</definedName>
    <definedName name="_T_VDF_VAL_OPLEASE_Y06" localSheetId="24">#REF!</definedName>
    <definedName name="_T_VDF_VAL_OPLEASE_Y06">#REF!</definedName>
    <definedName name="_T_VDF_VAL_OPLEASE_Y07" localSheetId="5">#REF!</definedName>
    <definedName name="_T_VDF_VAL_OPLEASE_Y07" localSheetId="24">#REF!</definedName>
    <definedName name="_T_VDF_VAL_OPLEASE_Y07">#REF!</definedName>
    <definedName name="_T_VDF_VAL_OPLEASE_Y09" localSheetId="5">#REF!</definedName>
    <definedName name="_T_VDF_VAL_OPLEASE_Y09" localSheetId="24">#REF!</definedName>
    <definedName name="_T_VDF_VAL_OPLEASE_Y09">#REF!</definedName>
    <definedName name="_T_VDF_VAL_OPLEASE_Y90" localSheetId="5">#REF!</definedName>
    <definedName name="_T_VDF_VAL_OPLEASE_Y90" localSheetId="24">#REF!</definedName>
    <definedName name="_T_VDF_VAL_OPLEASE_Y90">#REF!</definedName>
    <definedName name="_T_VDF_VAL_OPLEASE_Y91" localSheetId="5">#REF!</definedName>
    <definedName name="_T_VDF_VAL_OPLEASE_Y91" localSheetId="24">#REF!</definedName>
    <definedName name="_T_VDF_VAL_OPLEASE_Y91">#REF!</definedName>
    <definedName name="_T_VDF_VAL_OPLEASE_Y92" localSheetId="5">#REF!</definedName>
    <definedName name="_T_VDF_VAL_OPLEASE_Y92" localSheetId="24">#REF!</definedName>
    <definedName name="_T_VDF_VAL_OPLEASE_Y92">#REF!</definedName>
    <definedName name="_T_VDF_VAL_OPLEASE_Y93" localSheetId="5">#REF!</definedName>
    <definedName name="_T_VDF_VAL_OPLEASE_Y93" localSheetId="24">#REF!</definedName>
    <definedName name="_T_VDF_VAL_OPLEASE_Y93">#REF!</definedName>
    <definedName name="_T_VDF_VAL_OPLEASE_Y94" localSheetId="5">#REF!</definedName>
    <definedName name="_T_VDF_VAL_OPLEASE_Y94" localSheetId="24">#REF!</definedName>
    <definedName name="_T_VDF_VAL_OPLEASE_Y94">#REF!</definedName>
    <definedName name="_T_VDF_VAL_OPLEASE_Y95" localSheetId="5">#REF!</definedName>
    <definedName name="_T_VDF_VAL_OPLEASE_Y95" localSheetId="24">#REF!</definedName>
    <definedName name="_T_VDF_VAL_OPLEASE_Y95">#REF!</definedName>
    <definedName name="_T_VDF_VAL_OPLEASE_Y96" localSheetId="5">#REF!</definedName>
    <definedName name="_T_VDF_VAL_OPLEASE_Y96" localSheetId="24">#REF!</definedName>
    <definedName name="_T_VDF_VAL_OPLEASE_Y96">#REF!</definedName>
    <definedName name="_T_VDF_VAL_OPLEASE_Y97" localSheetId="5">#REF!</definedName>
    <definedName name="_T_VDF_VAL_OPLEASE_Y97" localSheetId="24">#REF!</definedName>
    <definedName name="_T_VDF_VAL_OPLEASE_Y97">#REF!</definedName>
    <definedName name="_T_VDF_VAL_OPLEASE_Y98" localSheetId="5">#REF!</definedName>
    <definedName name="_T_VDF_VAL_OPLEASE_Y98" localSheetId="24">#REF!</definedName>
    <definedName name="_T_VDF_VAL_OPLEASE_Y98">#REF!</definedName>
    <definedName name="_T_VDF_VAL_OPLEASE_Y99" localSheetId="5">#REF!</definedName>
    <definedName name="_T_VDF_VAL_OPLEASE_Y99" localSheetId="24">#REF!</definedName>
    <definedName name="_T_VDF_VAL_OPLEASE_Y99">#REF!</definedName>
    <definedName name="_T_VDF_WACC_DEBTSPREAD_Y00" localSheetId="5">#REF!</definedName>
    <definedName name="_T_VDF_WACC_DEBTSPREAD_Y00" localSheetId="24">#REF!</definedName>
    <definedName name="_T_VDF_WACC_DEBTSPREAD_Y00">#REF!</definedName>
    <definedName name="_T_VDF_WACC_DEBTSPREAD_Y01" localSheetId="5">#REF!</definedName>
    <definedName name="_T_VDF_WACC_DEBTSPREAD_Y01" localSheetId="24">#REF!</definedName>
    <definedName name="_T_VDF_WACC_DEBTSPREAD_Y01">#REF!</definedName>
    <definedName name="_T_VDF_WACC_DEBTSPREAD_Y02" localSheetId="5">#REF!</definedName>
    <definedName name="_T_VDF_WACC_DEBTSPREAD_Y02" localSheetId="24">#REF!</definedName>
    <definedName name="_T_VDF_WACC_DEBTSPREAD_Y02">#REF!</definedName>
    <definedName name="_T_VDF_WACC_DEBTSPREAD_Y03" localSheetId="5">#REF!</definedName>
    <definedName name="_T_VDF_WACC_DEBTSPREAD_Y03" localSheetId="24">#REF!</definedName>
    <definedName name="_T_VDF_WACC_DEBTSPREAD_Y03">#REF!</definedName>
    <definedName name="_T_VDF_WACC_DEBTSPREAD_Y04" localSheetId="5">#REF!</definedName>
    <definedName name="_T_VDF_WACC_DEBTSPREAD_Y04" localSheetId="24">#REF!</definedName>
    <definedName name="_T_VDF_WACC_DEBTSPREAD_Y04">#REF!</definedName>
    <definedName name="_T_VDF_WACC_DEBTSPREAD_Y05" localSheetId="5">#REF!</definedName>
    <definedName name="_T_VDF_WACC_DEBTSPREAD_Y05" localSheetId="24">#REF!</definedName>
    <definedName name="_T_VDF_WACC_DEBTSPREAD_Y05">#REF!</definedName>
    <definedName name="_T_VDF_WACC_DEBTSPREAD_Y06" localSheetId="5">#REF!</definedName>
    <definedName name="_T_VDF_WACC_DEBTSPREAD_Y06" localSheetId="24">#REF!</definedName>
    <definedName name="_T_VDF_WACC_DEBTSPREAD_Y06">#REF!</definedName>
    <definedName name="_T_VDF_WACC_DEBTSPREAD_Y07" localSheetId="5">#REF!</definedName>
    <definedName name="_T_VDF_WACC_DEBTSPREAD_Y07" localSheetId="24">#REF!</definedName>
    <definedName name="_T_VDF_WACC_DEBTSPREAD_Y07">#REF!</definedName>
    <definedName name="_T_VDF_WACC_DEBTSPREAD_Y08" localSheetId="5">#REF!</definedName>
    <definedName name="_T_VDF_WACC_DEBTSPREAD_Y08" localSheetId="24">#REF!</definedName>
    <definedName name="_T_VDF_WACC_DEBTSPREAD_Y08">#REF!</definedName>
    <definedName name="_T_VDF_WACC_DEBTSPREAD_Y92" localSheetId="5">#REF!</definedName>
    <definedName name="_T_VDF_WACC_DEBTSPREAD_Y92" localSheetId="24">#REF!</definedName>
    <definedName name="_T_VDF_WACC_DEBTSPREAD_Y92">#REF!</definedName>
    <definedName name="_T_VDF_WACC_DEBTSPREAD_Y93" localSheetId="5">#REF!</definedName>
    <definedName name="_T_VDF_WACC_DEBTSPREAD_Y93" localSheetId="24">#REF!</definedName>
    <definedName name="_T_VDF_WACC_DEBTSPREAD_Y93">#REF!</definedName>
    <definedName name="_T_VDF_WACC_DEBTSPREAD_Y94" localSheetId="5">#REF!</definedName>
    <definedName name="_T_VDF_WACC_DEBTSPREAD_Y94" localSheetId="24">#REF!</definedName>
    <definedName name="_T_VDF_WACC_DEBTSPREAD_Y94">#REF!</definedName>
    <definedName name="_T_VDF_WACC_DEBTSPREAD_Y95" localSheetId="5">#REF!</definedName>
    <definedName name="_T_VDF_WACC_DEBTSPREAD_Y95" localSheetId="24">#REF!</definedName>
    <definedName name="_T_VDF_WACC_DEBTSPREAD_Y95">#REF!</definedName>
    <definedName name="_T_VDF_WACC_DEBTSPREAD_Y96" localSheetId="5">#REF!</definedName>
    <definedName name="_T_VDF_WACC_DEBTSPREAD_Y96" localSheetId="24">#REF!</definedName>
    <definedName name="_T_VDF_WACC_DEBTSPREAD_Y96">#REF!</definedName>
    <definedName name="_T_VDF_WACC_DEBTSPREAD_Y97" localSheetId="5">#REF!</definedName>
    <definedName name="_T_VDF_WACC_DEBTSPREAD_Y97" localSheetId="24">#REF!</definedName>
    <definedName name="_T_VDF_WACC_DEBTSPREAD_Y97">#REF!</definedName>
    <definedName name="_T_VDF_WACC_DEBTSPREAD_Y98" localSheetId="5">#REF!</definedName>
    <definedName name="_T_VDF_WACC_DEBTSPREAD_Y98" localSheetId="24">#REF!</definedName>
    <definedName name="_T_VDF_WACC_DEBTSPREAD_Y98">#REF!</definedName>
    <definedName name="_T_VDF_WACC_DEBTSPREAD_Y99" localSheetId="5">#REF!</definedName>
    <definedName name="_T_VDF_WACC_DEBTSPREAD_Y99" localSheetId="24">#REF!</definedName>
    <definedName name="_T_VDF_WACC_DEBTSPREAD_Y99">#REF!</definedName>
    <definedName name="_T_VDF_WACC_TARGETDEBTRATIO" localSheetId="5">#REF!</definedName>
    <definedName name="_T_VDF_WACC_TARGETDEBTRATIO" localSheetId="24">#REF!</definedName>
    <definedName name="_T_VDF_WACC_TARGETDEBTRATIO">#REF!</definedName>
    <definedName name="_T_VDF_WACC_TARGETDEBTSPREAD" localSheetId="5">#REF!</definedName>
    <definedName name="_T_VDF_WACC_TARGETDEBTSPREAD" localSheetId="24">#REF!</definedName>
    <definedName name="_T_VDF_WACC_TARGETDEBTSPREAD">#REF!</definedName>
    <definedName name="_T_VDF_WACC_TARGETTAXRATE" localSheetId="5">#REF!</definedName>
    <definedName name="_T_VDF_WACC_TARGETTAXRATE" localSheetId="24">#REF!</definedName>
    <definedName name="_T_VDF_WACC_TARGETTAXRATE">#REF!</definedName>
    <definedName name="_T_VDF_WC_TURN1" localSheetId="5">#REF!</definedName>
    <definedName name="_T_VDF_WC_TURN1" localSheetId="24">#REF!</definedName>
    <definedName name="_T_VDF_WC_TURN1">#REF!</definedName>
    <definedName name="_T_VDF_WC_TURN2" localSheetId="5">#REF!</definedName>
    <definedName name="_T_VDF_WC_TURN2" localSheetId="24">#REF!</definedName>
    <definedName name="_T_VDF_WC_TURN2">#REF!</definedName>
    <definedName name="_T_VDF_WC_TURN3" localSheetId="5">#REF!</definedName>
    <definedName name="_T_VDF_WC_TURN3" localSheetId="24">#REF!</definedName>
    <definedName name="_T_VDF_WC_TURN3">#REF!</definedName>
    <definedName name="_T_VDF_WC_TURN4" localSheetId="5">#REF!</definedName>
    <definedName name="_T_VDF_WC_TURN4" localSheetId="24">#REF!</definedName>
    <definedName name="_T_VDF_WC_TURN4">#REF!</definedName>
    <definedName name="_T_VDF_WC_TURN5" localSheetId="5">#REF!</definedName>
    <definedName name="_T_VDF_WC_TURN5" localSheetId="24">#REF!</definedName>
    <definedName name="_T_VDF_WC_TURN5">#REF!</definedName>
    <definedName name="_T_VDF_WC_TURN6" localSheetId="5">#REF!</definedName>
    <definedName name="_T_VDF_WC_TURN6" localSheetId="24">#REF!</definedName>
    <definedName name="_T_VDF_WC_TURN6">#REF!</definedName>
    <definedName name="_T_WC_OVERRIDE_Y00" localSheetId="5">#REF!</definedName>
    <definedName name="_T_WC_OVERRIDE_Y00" localSheetId="24">#REF!</definedName>
    <definedName name="_T_WC_OVERRIDE_Y00">#REF!</definedName>
    <definedName name="_T_WC_OVERRIDE_Y01" localSheetId="5">#REF!</definedName>
    <definedName name="_T_WC_OVERRIDE_Y01" localSheetId="24">#REF!</definedName>
    <definedName name="_T_WC_OVERRIDE_Y01">#REF!</definedName>
    <definedName name="_T_WC_OVERRIDE_Y02" localSheetId="5">#REF!</definedName>
    <definedName name="_T_WC_OVERRIDE_Y02" localSheetId="24">#REF!</definedName>
    <definedName name="_T_WC_OVERRIDE_Y02">#REF!</definedName>
    <definedName name="_T_WC_OVERRIDE_Y03" localSheetId="5">#REF!</definedName>
    <definedName name="_T_WC_OVERRIDE_Y03" localSheetId="24">#REF!</definedName>
    <definedName name="_T_WC_OVERRIDE_Y03">#REF!</definedName>
    <definedName name="_T_WC_OVERRIDE_Y04" localSheetId="5">#REF!</definedName>
    <definedName name="_T_WC_OVERRIDE_Y04" localSheetId="24">#REF!</definedName>
    <definedName name="_T_WC_OVERRIDE_Y04">#REF!</definedName>
    <definedName name="_T_WC_OVERRIDE_Y05" localSheetId="5">#REF!</definedName>
    <definedName name="_T_WC_OVERRIDE_Y05" localSheetId="24">#REF!</definedName>
    <definedName name="_T_WC_OVERRIDE_Y05">#REF!</definedName>
    <definedName name="_T_WC_OVERRIDE_Y06" localSheetId="5">#REF!</definedName>
    <definedName name="_T_WC_OVERRIDE_Y06" localSheetId="24">#REF!</definedName>
    <definedName name="_T_WC_OVERRIDE_Y06">#REF!</definedName>
    <definedName name="_T_WC_OVERRIDE_Y07" localSheetId="5">#REF!</definedName>
    <definedName name="_T_WC_OVERRIDE_Y07" localSheetId="24">#REF!</definedName>
    <definedName name="_T_WC_OVERRIDE_Y07">#REF!</definedName>
    <definedName name="_T_WC_OVERRIDE_Y08" localSheetId="5">#REF!</definedName>
    <definedName name="_T_WC_OVERRIDE_Y08" localSheetId="24">#REF!</definedName>
    <definedName name="_T_WC_OVERRIDE_Y08">#REF!</definedName>
    <definedName name="_T_WC_OVERRIDE_Y92" localSheetId="5">#REF!</definedName>
    <definedName name="_T_WC_OVERRIDE_Y92" localSheetId="24">#REF!</definedName>
    <definedName name="_T_WC_OVERRIDE_Y92">#REF!</definedName>
    <definedName name="_T_WC_OVERRIDE_Y93" localSheetId="5">#REF!</definedName>
    <definedName name="_T_WC_OVERRIDE_Y93" localSheetId="24">#REF!</definedName>
    <definedName name="_T_WC_OVERRIDE_Y93">#REF!</definedName>
    <definedName name="_T_WC_OVERRIDE_Y94" localSheetId="5">#REF!</definedName>
    <definedName name="_T_WC_OVERRIDE_Y94" localSheetId="24">#REF!</definedName>
    <definedName name="_T_WC_OVERRIDE_Y94">#REF!</definedName>
    <definedName name="_T_WC_OVERRIDE_Y95" localSheetId="5">#REF!</definedName>
    <definedName name="_T_WC_OVERRIDE_Y95" localSheetId="24">#REF!</definedName>
    <definedName name="_T_WC_OVERRIDE_Y95">#REF!</definedName>
    <definedName name="_T_WC_OVERRIDE_Y96" localSheetId="5">#REF!</definedName>
    <definedName name="_T_WC_OVERRIDE_Y96" localSheetId="24">#REF!</definedName>
    <definedName name="_T_WC_OVERRIDE_Y96">#REF!</definedName>
    <definedName name="_T_WC_OVERRIDE_Y97" localSheetId="5">#REF!</definedName>
    <definedName name="_T_WC_OVERRIDE_Y97" localSheetId="24">#REF!</definedName>
    <definedName name="_T_WC_OVERRIDE_Y97">#REF!</definedName>
    <definedName name="_T_WC_OVERRIDE_Y98" localSheetId="5">#REF!</definedName>
    <definedName name="_T_WC_OVERRIDE_Y98" localSheetId="24">#REF!</definedName>
    <definedName name="_T_WC_OVERRIDE_Y98">#REF!</definedName>
    <definedName name="_T_WC_OVERRIDE_Y99" localSheetId="5">#REF!</definedName>
    <definedName name="_T_WC_OVERRIDE_Y99" localSheetId="24">#REF!</definedName>
    <definedName name="_T_WC_OVERRIDE_Y99">#REF!</definedName>
    <definedName name="_T_WCI_TOTAL_Y00" localSheetId="5">#REF!</definedName>
    <definedName name="_T_WCI_TOTAL_Y00" localSheetId="24">#REF!</definedName>
    <definedName name="_T_WCI_TOTAL_Y00">#REF!</definedName>
    <definedName name="_T_WCI_TOTAL_Y01" localSheetId="5">#REF!</definedName>
    <definedName name="_T_WCI_TOTAL_Y01" localSheetId="24">#REF!</definedName>
    <definedName name="_T_WCI_TOTAL_Y01">#REF!</definedName>
    <definedName name="_T_WCI_TOTAL_Y02" localSheetId="5">#REF!</definedName>
    <definedName name="_T_WCI_TOTAL_Y02" localSheetId="24">#REF!</definedName>
    <definedName name="_T_WCI_TOTAL_Y02">#REF!</definedName>
    <definedName name="_T_WCI_TOTAL_Y03" localSheetId="5">#REF!</definedName>
    <definedName name="_T_WCI_TOTAL_Y03" localSheetId="24">#REF!</definedName>
    <definedName name="_T_WCI_TOTAL_Y03">#REF!</definedName>
    <definedName name="_T_WCI_TOTAL_Y90" localSheetId="5">#REF!</definedName>
    <definedName name="_T_WCI_TOTAL_Y90" localSheetId="24">#REF!</definedName>
    <definedName name="_T_WCI_TOTAL_Y90">#REF!</definedName>
    <definedName name="_T_WCI_TOTAL_Y91" localSheetId="5">#REF!</definedName>
    <definedName name="_T_WCI_TOTAL_Y91" localSheetId="24">#REF!</definedName>
    <definedName name="_T_WCI_TOTAL_Y91">#REF!</definedName>
    <definedName name="_T_WCI_TOTAL_Y92" localSheetId="5">#REF!</definedName>
    <definedName name="_T_WCI_TOTAL_Y92" localSheetId="24">#REF!</definedName>
    <definedName name="_T_WCI_TOTAL_Y92">#REF!</definedName>
    <definedName name="_T_WCI_TOTAL_Y93" localSheetId="5">#REF!</definedName>
    <definedName name="_T_WCI_TOTAL_Y93" localSheetId="24">#REF!</definedName>
    <definedName name="_T_WCI_TOTAL_Y93">#REF!</definedName>
    <definedName name="_T_WCI_TOTAL_Y94" localSheetId="5">#REF!</definedName>
    <definedName name="_T_WCI_TOTAL_Y94" localSheetId="24">#REF!</definedName>
    <definedName name="_T_WCI_TOTAL_Y94">#REF!</definedName>
    <definedName name="_T_WCI_TOTAL_Y95" localSheetId="5">#REF!</definedName>
    <definedName name="_T_WCI_TOTAL_Y95" localSheetId="24">#REF!</definedName>
    <definedName name="_T_WCI_TOTAL_Y95">#REF!</definedName>
    <definedName name="_T_WCI_TOTAL_Y96" localSheetId="5">#REF!</definedName>
    <definedName name="_T_WCI_TOTAL_Y96" localSheetId="24">#REF!</definedName>
    <definedName name="_T_WCI_TOTAL_Y96">#REF!</definedName>
    <definedName name="_T_WCI_TOTAL_Y97" localSheetId="5">#REF!</definedName>
    <definedName name="_T_WCI_TOTAL_Y97" localSheetId="24">#REF!</definedName>
    <definedName name="_T_WCI_TOTAL_Y97">#REF!</definedName>
    <definedName name="_T_WCI_TOTAL_Y98" localSheetId="5">#REF!</definedName>
    <definedName name="_T_WCI_TOTAL_Y98" localSheetId="24">#REF!</definedName>
    <definedName name="_T_WCI_TOTAL_Y98">#REF!</definedName>
    <definedName name="_T_WCI_TOTAL_Y99" localSheetId="5">#REF!</definedName>
    <definedName name="_T_WCI_TOTAL_Y99" localSheetId="24">#REF!</definedName>
    <definedName name="_T_WCI_TOTAL_Y99">#REF!</definedName>
    <definedName name="_T_WCI1_Y00" localSheetId="5">#REF!</definedName>
    <definedName name="_T_WCI1_Y00" localSheetId="24">#REF!</definedName>
    <definedName name="_T_WCI1_Y00">#REF!</definedName>
    <definedName name="_T_WCI1_Y01" localSheetId="5">#REF!</definedName>
    <definedName name="_T_WCI1_Y01" localSheetId="24">#REF!</definedName>
    <definedName name="_T_WCI1_Y01">#REF!</definedName>
    <definedName name="_T_WCI1_Y02" localSheetId="5">#REF!</definedName>
    <definedName name="_T_WCI1_Y02" localSheetId="24">#REF!</definedName>
    <definedName name="_T_WCI1_Y02">#REF!</definedName>
    <definedName name="_T_WCI1_Y03" localSheetId="5">#REF!</definedName>
    <definedName name="_T_WCI1_Y03" localSheetId="24">#REF!</definedName>
    <definedName name="_T_WCI1_Y03">#REF!</definedName>
    <definedName name="_T_WCI1_Y90" localSheetId="5">#REF!</definedName>
    <definedName name="_T_WCI1_Y90" localSheetId="24">#REF!</definedName>
    <definedName name="_T_WCI1_Y90">#REF!</definedName>
    <definedName name="_T_WCI1_Y91" localSheetId="5">#REF!</definedName>
    <definedName name="_T_WCI1_Y91" localSheetId="24">#REF!</definedName>
    <definedName name="_T_WCI1_Y91">#REF!</definedName>
    <definedName name="_T_WCI1_Y92" localSheetId="5">#REF!</definedName>
    <definedName name="_T_WCI1_Y92" localSheetId="24">#REF!</definedName>
    <definedName name="_T_WCI1_Y92">#REF!</definedName>
    <definedName name="_T_WCI1_Y93" localSheetId="5">#REF!</definedName>
    <definedName name="_T_WCI1_Y93" localSheetId="24">#REF!</definedName>
    <definedName name="_T_WCI1_Y93">#REF!</definedName>
    <definedName name="_T_WCI1_Y94" localSheetId="5">#REF!</definedName>
    <definedName name="_T_WCI1_Y94" localSheetId="24">#REF!</definedName>
    <definedName name="_T_WCI1_Y94">#REF!</definedName>
    <definedName name="_T_WCI1_Y95" localSheetId="5">#REF!</definedName>
    <definedName name="_T_WCI1_Y95" localSheetId="24">#REF!</definedName>
    <definedName name="_T_WCI1_Y95">#REF!</definedName>
    <definedName name="_T_WCI1_Y96" localSheetId="5">#REF!</definedName>
    <definedName name="_T_WCI1_Y96" localSheetId="24">#REF!</definedName>
    <definedName name="_T_WCI1_Y96">#REF!</definedName>
    <definedName name="_T_WCI1_Y97" localSheetId="5">#REF!</definedName>
    <definedName name="_T_WCI1_Y97" localSheetId="24">#REF!</definedName>
    <definedName name="_T_WCI1_Y97">#REF!</definedName>
    <definedName name="_T_WCI1_Y98" localSheetId="5">#REF!</definedName>
    <definedName name="_T_WCI1_Y98" localSheetId="24">#REF!</definedName>
    <definedName name="_T_WCI1_Y98">#REF!</definedName>
    <definedName name="_T_WCI1_Y99" localSheetId="5">#REF!</definedName>
    <definedName name="_T_WCI1_Y99" localSheetId="24">#REF!</definedName>
    <definedName name="_T_WCI1_Y99">#REF!</definedName>
    <definedName name="_T_WCO_TOTAL_Y00" localSheetId="5">#REF!</definedName>
    <definedName name="_T_WCO_TOTAL_Y00" localSheetId="24">#REF!</definedName>
    <definedName name="_T_WCO_TOTAL_Y00">#REF!</definedName>
    <definedName name="_T_WCO_TOTAL_Y01" localSheetId="5">#REF!</definedName>
    <definedName name="_T_WCO_TOTAL_Y01" localSheetId="24">#REF!</definedName>
    <definedName name="_T_WCO_TOTAL_Y01">#REF!</definedName>
    <definedName name="_T_WCO_TOTAL_Y02" localSheetId="5">#REF!</definedName>
    <definedName name="_T_WCO_TOTAL_Y02" localSheetId="24">#REF!</definedName>
    <definedName name="_T_WCO_TOTAL_Y02">#REF!</definedName>
    <definedName name="_T_WCO_TOTAL_Y03" localSheetId="5">#REF!</definedName>
    <definedName name="_T_WCO_TOTAL_Y03" localSheetId="24">#REF!</definedName>
    <definedName name="_T_WCO_TOTAL_Y03">#REF!</definedName>
    <definedName name="_T_WCO_TOTAL_Y90" localSheetId="5">#REF!</definedName>
    <definedName name="_T_WCO_TOTAL_Y90" localSheetId="24">#REF!</definedName>
    <definedName name="_T_WCO_TOTAL_Y90">#REF!</definedName>
    <definedName name="_T_WCO_TOTAL_Y91" localSheetId="5">#REF!</definedName>
    <definedName name="_T_WCO_TOTAL_Y91" localSheetId="24">#REF!</definedName>
    <definedName name="_T_WCO_TOTAL_Y91">#REF!</definedName>
    <definedName name="_T_WCO_TOTAL_Y92" localSheetId="5">#REF!</definedName>
    <definedName name="_T_WCO_TOTAL_Y92" localSheetId="24">#REF!</definedName>
    <definedName name="_T_WCO_TOTAL_Y92">#REF!</definedName>
    <definedName name="_T_WCO_TOTAL_Y93" localSheetId="5">#REF!</definedName>
    <definedName name="_T_WCO_TOTAL_Y93" localSheetId="24">#REF!</definedName>
    <definedName name="_T_WCO_TOTAL_Y93">#REF!</definedName>
    <definedName name="_T_WCO_TOTAL_Y94" localSheetId="5">#REF!</definedName>
    <definedName name="_T_WCO_TOTAL_Y94" localSheetId="24">#REF!</definedName>
    <definedName name="_T_WCO_TOTAL_Y94">#REF!</definedName>
    <definedName name="_T_WCO_TOTAL_Y95" localSheetId="5">#REF!</definedName>
    <definedName name="_T_WCO_TOTAL_Y95" localSheetId="24">#REF!</definedName>
    <definedName name="_T_WCO_TOTAL_Y95">#REF!</definedName>
    <definedName name="_T_WCO_TOTAL_Y96" localSheetId="5">#REF!</definedName>
    <definedName name="_T_WCO_TOTAL_Y96" localSheetId="24">#REF!</definedName>
    <definedName name="_T_WCO_TOTAL_Y96">#REF!</definedName>
    <definedName name="_T_WCO_TOTAL_Y97" localSheetId="5">#REF!</definedName>
    <definedName name="_T_WCO_TOTAL_Y97" localSheetId="24">#REF!</definedName>
    <definedName name="_T_WCO_TOTAL_Y97">#REF!</definedName>
    <definedName name="_T_WCO_TOTAL_Y98" localSheetId="5">#REF!</definedName>
    <definedName name="_T_WCO_TOTAL_Y98" localSheetId="24">#REF!</definedName>
    <definedName name="_T_WCO_TOTAL_Y98">#REF!</definedName>
    <definedName name="_T_WCO_TOTAL_Y99" localSheetId="5">#REF!</definedName>
    <definedName name="_T_WCO_TOTAL_Y99" localSheetId="24">#REF!</definedName>
    <definedName name="_T_WCO_TOTAL_Y99">#REF!</definedName>
    <definedName name="_T_WCO2_Y00" localSheetId="5">#REF!</definedName>
    <definedName name="_T_WCO2_Y00" localSheetId="24">#REF!</definedName>
    <definedName name="_T_WCO2_Y00">#REF!</definedName>
    <definedName name="_T_WCO2_Y01" localSheetId="5">#REF!</definedName>
    <definedName name="_T_WCO2_Y01" localSheetId="24">#REF!</definedName>
    <definedName name="_T_WCO2_Y01">#REF!</definedName>
    <definedName name="_T_WCO2_Y02" localSheetId="5">#REF!</definedName>
    <definedName name="_T_WCO2_Y02" localSheetId="24">#REF!</definedName>
    <definedName name="_T_WCO2_Y02">#REF!</definedName>
    <definedName name="_T_WCO2_Y03" localSheetId="5">#REF!</definedName>
    <definedName name="_T_WCO2_Y03" localSheetId="24">#REF!</definedName>
    <definedName name="_T_WCO2_Y03">#REF!</definedName>
    <definedName name="_T_WCO2_Y90" localSheetId="5">#REF!</definedName>
    <definedName name="_T_WCO2_Y90" localSheetId="24">#REF!</definedName>
    <definedName name="_T_WCO2_Y90">#REF!</definedName>
    <definedName name="_T_WCO2_Y91" localSheetId="5">#REF!</definedName>
    <definedName name="_T_WCO2_Y91" localSheetId="24">#REF!</definedName>
    <definedName name="_T_WCO2_Y91">#REF!</definedName>
    <definedName name="_T_WCO2_Y92" localSheetId="5">#REF!</definedName>
    <definedName name="_T_WCO2_Y92" localSheetId="24">#REF!</definedName>
    <definedName name="_T_WCO2_Y92">#REF!</definedName>
    <definedName name="_T_WCO2_Y93" localSheetId="5">#REF!</definedName>
    <definedName name="_T_WCO2_Y93" localSheetId="24">#REF!</definedName>
    <definedName name="_T_WCO2_Y93">#REF!</definedName>
    <definedName name="_T_WCO2_Y94" localSheetId="5">#REF!</definedName>
    <definedName name="_T_WCO2_Y94" localSheetId="24">#REF!</definedName>
    <definedName name="_T_WCO2_Y94">#REF!</definedName>
    <definedName name="_T_WCO2_Y95" localSheetId="5">#REF!</definedName>
    <definedName name="_T_WCO2_Y95" localSheetId="24">#REF!</definedName>
    <definedName name="_T_WCO2_Y95">#REF!</definedName>
    <definedName name="_T_WCO2_Y96" localSheetId="5">#REF!</definedName>
    <definedName name="_T_WCO2_Y96" localSheetId="24">#REF!</definedName>
    <definedName name="_T_WCO2_Y96">#REF!</definedName>
    <definedName name="_T_WCO2_Y97" localSheetId="5">#REF!</definedName>
    <definedName name="_T_WCO2_Y97" localSheetId="24">#REF!</definedName>
    <definedName name="_T_WCO2_Y97">#REF!</definedName>
    <definedName name="_T_WCO2_Y98" localSheetId="5">#REF!</definedName>
    <definedName name="_T_WCO2_Y98" localSheetId="24">#REF!</definedName>
    <definedName name="_T_WCO2_Y98">#REF!</definedName>
    <definedName name="_T_WCO2_Y99" localSheetId="5">#REF!</definedName>
    <definedName name="_T_WCO2_Y99" localSheetId="24">#REF!</definedName>
    <definedName name="_T_WCO2_Y99">#REF!</definedName>
    <definedName name="_T_WCO9_Y00" localSheetId="5">#REF!</definedName>
    <definedName name="_T_WCO9_Y00" localSheetId="24">#REF!</definedName>
    <definedName name="_T_WCO9_Y00">#REF!</definedName>
    <definedName name="_T_WCO9_Y01" localSheetId="5">#REF!</definedName>
    <definedName name="_T_WCO9_Y01" localSheetId="24">#REF!</definedName>
    <definedName name="_T_WCO9_Y01">#REF!</definedName>
    <definedName name="_T_WCO9_Y02" localSheetId="5">#REF!</definedName>
    <definedName name="_T_WCO9_Y02" localSheetId="24">#REF!</definedName>
    <definedName name="_T_WCO9_Y02">#REF!</definedName>
    <definedName name="_T_WCO9_Y03" localSheetId="5">#REF!</definedName>
    <definedName name="_T_WCO9_Y03" localSheetId="24">#REF!</definedName>
    <definedName name="_T_WCO9_Y03">#REF!</definedName>
    <definedName name="_T_WCO9_Y90" localSheetId="5">#REF!</definedName>
    <definedName name="_T_WCO9_Y90" localSheetId="24">#REF!</definedName>
    <definedName name="_T_WCO9_Y90">#REF!</definedName>
    <definedName name="_T_WCO9_Y91" localSheetId="5">#REF!</definedName>
    <definedName name="_T_WCO9_Y91" localSheetId="24">#REF!</definedName>
    <definedName name="_T_WCO9_Y91">#REF!</definedName>
    <definedName name="_T_WCO9_Y92" localSheetId="5">#REF!</definedName>
    <definedName name="_T_WCO9_Y92" localSheetId="24">#REF!</definedName>
    <definedName name="_T_WCO9_Y92">#REF!</definedName>
    <definedName name="_T_WCO9_Y93" localSheetId="5">#REF!</definedName>
    <definedName name="_T_WCO9_Y93" localSheetId="24">#REF!</definedName>
    <definedName name="_T_WCO9_Y93">#REF!</definedName>
    <definedName name="_T_WCO9_Y94" localSheetId="5">#REF!</definedName>
    <definedName name="_T_WCO9_Y94" localSheetId="24">#REF!</definedName>
    <definedName name="_T_WCO9_Y94">#REF!</definedName>
    <definedName name="_T_WCO9_Y95" localSheetId="5">#REF!</definedName>
    <definedName name="_T_WCO9_Y95" localSheetId="24">#REF!</definedName>
    <definedName name="_T_WCO9_Y95">#REF!</definedName>
    <definedName name="_T_WCO9_Y96" localSheetId="5">#REF!</definedName>
    <definedName name="_T_WCO9_Y96" localSheetId="24">#REF!</definedName>
    <definedName name="_T_WCO9_Y96">#REF!</definedName>
    <definedName name="_T_WCO9_Y97" localSheetId="5">#REF!</definedName>
    <definedName name="_T_WCO9_Y97" localSheetId="24">#REF!</definedName>
    <definedName name="_T_WCO9_Y97">#REF!</definedName>
    <definedName name="_T_WCO9_Y98" localSheetId="5">#REF!</definedName>
    <definedName name="_T_WCO9_Y98" localSheetId="24">#REF!</definedName>
    <definedName name="_T_WCO9_Y98">#REF!</definedName>
    <definedName name="_T_WCO9_Y99" localSheetId="5">#REF!</definedName>
    <definedName name="_T_WCO9_Y99" localSheetId="24">#REF!</definedName>
    <definedName name="_T_WCO9_Y99">#REF!</definedName>
    <definedName name="_TV1" localSheetId="38">Summary!#REF!</definedName>
    <definedName name="_TV1" localSheetId="5">Summary!#REF!</definedName>
    <definedName name="_TV1" localSheetId="39">Summary!#REF!</definedName>
    <definedName name="_TV1" localSheetId="36">Summary!#REF!</definedName>
    <definedName name="_TV1" localSheetId="22">Summary!#REF!</definedName>
    <definedName name="_TV1" localSheetId="24">Summary!#REF!</definedName>
    <definedName name="_TV1">Summary!#REF!</definedName>
    <definedName name="_TV2" localSheetId="38">Summary!#REF!</definedName>
    <definedName name="_TV2" localSheetId="5">Summary!#REF!</definedName>
    <definedName name="_TV2" localSheetId="39">Summary!#REF!</definedName>
    <definedName name="_TV2" localSheetId="36">Summary!#REF!</definedName>
    <definedName name="_TV2" localSheetId="22">Summary!#REF!</definedName>
    <definedName name="_TV2" localSheetId="24">Summary!#REF!</definedName>
    <definedName name="_TV2">Summary!#REF!</definedName>
    <definedName name="_TV3" localSheetId="38">Summary!#REF!</definedName>
    <definedName name="_TV3" localSheetId="5">Summary!#REF!</definedName>
    <definedName name="_TV3" localSheetId="39">Summary!#REF!</definedName>
    <definedName name="_TV3" localSheetId="36">Summary!#REF!</definedName>
    <definedName name="_TV3">Summary!#REF!</definedName>
    <definedName name="_twx2" localSheetId="5">#REF!</definedName>
    <definedName name="_twx2">#REF!</definedName>
    <definedName name="_twx3" localSheetId="5">#REF!</definedName>
    <definedName name="_twx3">#REF!</definedName>
    <definedName name="_xx100" localSheetId="38">#REF!</definedName>
    <definedName name="_xx100" localSheetId="5">#REF!</definedName>
    <definedName name="_xx100" localSheetId="36">#REF!</definedName>
    <definedName name="_xx100" localSheetId="22">#REF!</definedName>
    <definedName name="_xx100" localSheetId="24">#REF!</definedName>
    <definedName name="_xx100">#REF!</definedName>
    <definedName name="_xx101" localSheetId="38">#REF!</definedName>
    <definedName name="_xx101" localSheetId="5">#REF!</definedName>
    <definedName name="_xx101" localSheetId="36">#REF!</definedName>
    <definedName name="_xx101" localSheetId="22">#REF!</definedName>
    <definedName name="_xx101" localSheetId="24">#REF!</definedName>
    <definedName name="_xx101">#REF!</definedName>
    <definedName name="_xx200" localSheetId="38">#REF!</definedName>
    <definedName name="_xx200" localSheetId="5">#REF!</definedName>
    <definedName name="_xx200" localSheetId="36">#REF!</definedName>
    <definedName name="_xx200" localSheetId="22">#REF!</definedName>
    <definedName name="_xx200" localSheetId="24">#REF!</definedName>
    <definedName name="_xx200">#REF!</definedName>
    <definedName name="_xx201" localSheetId="38">#REF!</definedName>
    <definedName name="_xx201" localSheetId="5">#REF!</definedName>
    <definedName name="_xx201" localSheetId="36">#REF!</definedName>
    <definedName name="_xx201" localSheetId="22">#REF!</definedName>
    <definedName name="_xx201" localSheetId="24">#REF!</definedName>
    <definedName name="_xx201">#REF!</definedName>
    <definedName name="_xx300" localSheetId="38">#REF!</definedName>
    <definedName name="_xx300" localSheetId="5">#REF!</definedName>
    <definedName name="_xx300" localSheetId="36">#REF!</definedName>
    <definedName name="_xx300" localSheetId="22">#REF!</definedName>
    <definedName name="_xx300" localSheetId="24">#REF!</definedName>
    <definedName name="_xx300">#REF!</definedName>
    <definedName name="_xx301" localSheetId="38">#REF!</definedName>
    <definedName name="_xx301" localSheetId="5">#REF!</definedName>
    <definedName name="_xx301" localSheetId="36">#REF!</definedName>
    <definedName name="_xx301" localSheetId="22">#REF!</definedName>
    <definedName name="_xx301" localSheetId="24">#REF!</definedName>
    <definedName name="_xx301">#REF!</definedName>
    <definedName name="_xx302" localSheetId="38">#REF!</definedName>
    <definedName name="_xx302" localSheetId="5">#REF!</definedName>
    <definedName name="_xx302" localSheetId="36">#REF!</definedName>
    <definedName name="_xx302" localSheetId="22">#REF!</definedName>
    <definedName name="_xx302" localSheetId="24">#REF!</definedName>
    <definedName name="_xx302">#REF!</definedName>
    <definedName name="_xx400" localSheetId="38">#REF!</definedName>
    <definedName name="_xx400" localSheetId="5">#REF!</definedName>
    <definedName name="_xx400" localSheetId="36">#REF!</definedName>
    <definedName name="_xx400" localSheetId="22">#REF!</definedName>
    <definedName name="_xx400" localSheetId="24">#REF!</definedName>
    <definedName name="_xx400">#REF!</definedName>
    <definedName name="_xx500" localSheetId="38">#REF!</definedName>
    <definedName name="_xx500" localSheetId="5">#REF!</definedName>
    <definedName name="_xx500" localSheetId="39">#REF!</definedName>
    <definedName name="_xx500" localSheetId="36">#REF!</definedName>
    <definedName name="_xx500" localSheetId="22">#REF!</definedName>
    <definedName name="_xx500" localSheetId="24">#REF!</definedName>
    <definedName name="_xx500">#REF!</definedName>
    <definedName name="_xx600" localSheetId="38">#REF!</definedName>
    <definedName name="_xx600" localSheetId="5">#REF!</definedName>
    <definedName name="_xx600" localSheetId="36">#REF!</definedName>
    <definedName name="_xx600" localSheetId="22">#REF!</definedName>
    <definedName name="_xx600" localSheetId="24">#REF!</definedName>
    <definedName name="_xx600">#REF!</definedName>
    <definedName name="aaa" localSheetId="5">#REF!</definedName>
    <definedName name="aaa">#REF!</definedName>
    <definedName name="AAA_DOCTOPS">"AAA_SET"</definedName>
    <definedName name="AAA_duser">"OFF"</definedName>
    <definedName name="AAB_Addin5">"AAB_Description for addin 5,Description for addin 5,Description for addin 5,Description for addin 5,Description for addin 5,Description for addin 5"</definedName>
    <definedName name="AB" localSheetId="5">{TRUE,TRUE,-1.25,-15.5,456.75,279.75,FALSE,FALSE,TRUE,TRUE,0,1,21,1,127,6,3,4,TRUE,TRUE,3,TRUE,1,TRUE,100,"Swvu.profits.","ACwvu.profits.",1,FALSE,FALSE,0.511811023622047,0.511811023622047,0.511811023622047,0.511811023622047,1,"","",FALSE,FALSE,FALSE,FALSE,1,#N/A,1,1,#DIV/0!,FALSE,"Rwvu.profits.",#N/A,FALSE,FALSE}</definedName>
    <definedName name="AB" localSheetId="27">{TRUE,TRUE,-1.25,-15.5,456.75,279.75,FALSE,FALSE,TRUE,TRUE,0,1,21,1,127,6,3,4,TRUE,TRUE,3,TRUE,1,TRUE,100,"Swvu.profits.","ACwvu.profits.",1,FALSE,FALSE,0.511811023622047,0.511811023622047,0.511811023622047,0.511811023622047,1,"","",FALSE,FALSE,FALSE,FALSE,1,#N/A,1,1,#DIV/0!,FALSE,"Rwvu.profits.",#N/A,FALSE,FALSE}</definedName>
    <definedName name="AB" localSheetId="22">{TRUE,TRUE,-1.25,-15.5,456.75,279.75,FALSE,FALSE,TRUE,TRUE,0,1,21,1,127,6,3,4,TRUE,TRUE,3,TRUE,1,TRUE,100,"Swvu.profits.","ACwvu.profits.",1,FALSE,FALSE,0.511811023622047,0.511811023622047,0.511811023622047,0.511811023622047,1,"","",FALSE,FALSE,FALSE,FALSE,1,#N/A,1,1,#DIV/0!,FALSE,"Rwvu.profits.",#N/A,FALSE,FALSE}</definedName>
    <definedName name="AB" localSheetId="24">{TRUE,TRUE,-1.25,-15.5,456.75,279.75,FALSE,FALSE,TRUE,TRUE,0,1,21,1,127,6,3,4,TRUE,TRUE,3,TRUE,1,TRUE,100,"Swvu.profits.","ACwvu.profits.",1,FALSE,FALSE,0.511811023622047,0.511811023622047,0.511811023622047,0.511811023622047,1,"","",FALSE,FALSE,FALSE,FALSE,1,#N/A,1,1,#DIV/0!,FALSE,"Rwvu.profits.",#N/A,FALSE,FALSE}</definedName>
    <definedName name="AB">{TRUE,TRUE,-1.25,-15.5,456.75,279.75,FALSE,FALSE,TRUE,TRUE,0,1,21,1,127,6,3,4,TRUE,TRUE,3,TRUE,1,TRUE,100,"Swvu.profits.","ACwvu.profits.",1,FALSE,FALSE,0.511811023622047,0.511811023622047,0.511811023622047,0.511811023622047,1,"","",FALSE,FALSE,FALSE,FALSE,1,#N/A,1,1,#DIV/0!,FALSE,"Rwvu.profits.",#N/A,FALSE,FALSE}</definedName>
    <definedName name="AB_1">{TRUE,TRUE,-1.25,-15.5,456.75,279.75,FALSE,FALSE,TRUE,TRUE,0,1,21,1,127,6,3,4,TRUE,TRUE,3,TRUE,1,TRUE,100,"Swvu.profits.","ACwvu.profits.",1,FALSE,FALSE,0.511811023622047,0.511811023622047,0.511811023622047,0.511811023622047,1,"","",FALSE,FALSE,FALSE,FALSE,1,#N/A,1,1,#DIV/0!,FALSE,"Rwvu.profits.",#N/A,FALSE,FALSE}</definedName>
    <definedName name="actionlist" localSheetId="38">#REF!</definedName>
    <definedName name="actionlist" localSheetId="5">#REF!</definedName>
    <definedName name="actionlist" localSheetId="39">#REF!</definedName>
    <definedName name="actionlist" localSheetId="36">#REF!</definedName>
    <definedName name="actionlist" localSheetId="22">#REF!</definedName>
    <definedName name="actionlist" localSheetId="24">#REF!</definedName>
    <definedName name="actionlist">#REF!</definedName>
    <definedName name="actual_start_year">1992</definedName>
    <definedName name="admin">1</definedName>
    <definedName name="adsf" localSheetId="5">{TRUE,TRUE,-1.25,-15.5,456.75,279.75,FALSE,FALSE,TRUE,TRUE,0,1,21,1,127,6,3,4,TRUE,TRUE,3,TRUE,1,TRUE,100,"Swvu.profits.","ACwvu.profits.",1,FALSE,FALSE,0.511811023622047,0.511811023622047,0.511811023622047,0.511811023622047,1,"","",FALSE,FALSE,FALSE,FALSE,1,#N/A,1,1,#DIV/0!,FALSE,"Rwvu.profits.",#N/A,FALSE,FALSE}</definedName>
    <definedName name="adsf" localSheetId="27">{TRUE,TRUE,-1.25,-15.5,456.75,279.75,FALSE,FALSE,TRUE,TRUE,0,1,21,1,127,6,3,4,TRUE,TRUE,3,TRUE,1,TRUE,100,"Swvu.profits.","ACwvu.profits.",1,FALSE,FALSE,0.511811023622047,0.511811023622047,0.511811023622047,0.511811023622047,1,"","",FALSE,FALSE,FALSE,FALSE,1,#N/A,1,1,#DIV/0!,FALSE,"Rwvu.profits.",#N/A,FALSE,FALSE}</definedName>
    <definedName name="adsf" localSheetId="22">{TRUE,TRUE,-1.25,-15.5,456.75,279.75,FALSE,FALSE,TRUE,TRUE,0,1,21,1,127,6,3,4,TRUE,TRUE,3,TRUE,1,TRUE,100,"Swvu.profits.","ACwvu.profits.",1,FALSE,FALSE,0.511811023622047,0.511811023622047,0.511811023622047,0.511811023622047,1,"","",FALSE,FALSE,FALSE,FALSE,1,#N/A,1,1,#DIV/0!,FALSE,"Rwvu.profits.",#N/A,FALSE,FALSE}</definedName>
    <definedName name="adsf" localSheetId="24">{TRUE,TRUE,-1.25,-15.5,456.75,279.75,FALSE,FALSE,TRUE,TRUE,0,1,21,1,127,6,3,4,TRUE,TRUE,3,TRUE,1,TRUE,100,"Swvu.profits.","ACwvu.profits.",1,FALSE,FALSE,0.511811023622047,0.511811023622047,0.511811023622047,0.511811023622047,1,"","",FALSE,FALSE,FALSE,FALSE,1,#N/A,1,1,#DIV/0!,FALSE,"Rwvu.profits.",#N/A,FALSE,FALSE}</definedName>
    <definedName name="adsf">{TRUE,TRUE,-1.25,-15.5,456.75,279.75,FALSE,FALSE,TRUE,TRUE,0,1,21,1,127,6,3,4,TRUE,TRUE,3,TRUE,1,TRUE,100,"Swvu.profits.","ACwvu.profits.",1,FALSE,FALSE,0.511811023622047,0.511811023622047,0.511811023622047,0.511811023622047,1,"","",FALSE,FALSE,FALSE,FALSE,1,#N/A,1,1,#DIV/0!,FALSE,"Rwvu.profits.",#N/A,FALSE,FALSE}</definedName>
    <definedName name="adsf_1">{TRUE,TRUE,-1.25,-15.5,456.75,279.75,FALSE,FALSE,TRUE,TRUE,0,1,21,1,127,6,3,4,TRUE,TRUE,3,TRUE,1,TRUE,100,"Swvu.profits.","ACwvu.profits.",1,FALSE,FALSE,0.511811023622047,0.511811023622047,0.511811023622047,0.511811023622047,1,"","",FALSE,FALSE,FALSE,FALSE,1,#N/A,1,1,#DIV/0!,FALSE,"Rwvu.profits.",#N/A,FALSE,FALSE}</definedName>
    <definedName name="adwesw" localSheetId="5">{"Client Name or Project Name"}</definedName>
    <definedName name="adwesw" localSheetId="7">{"Client Name or Project Name"}</definedName>
    <definedName name="adwesw" localSheetId="20">{"Client Name or Project Name"}</definedName>
    <definedName name="adwesw" localSheetId="18">{"Client Name or Project Name"}</definedName>
    <definedName name="adwesw" localSheetId="23">{"Client Name or Project Name"}</definedName>
    <definedName name="adwesw" localSheetId="34">{"Client Name or Project Name"}</definedName>
    <definedName name="adwesw" localSheetId="27">{"Client Name or Project Name"}</definedName>
    <definedName name="adwesw" localSheetId="32">{"Client Name or Project Name"}</definedName>
    <definedName name="adwesw" localSheetId="22">{"Client Name or Project Name"}</definedName>
    <definedName name="adwesw" localSheetId="24">{"Client Name or Project Name"}</definedName>
    <definedName name="adwesw">{"Client Name or Project Name"}</definedName>
    <definedName name="adwesw_1">{"Client Name or Project Name"}</definedName>
    <definedName name="All" localSheetId="5">#REF!</definedName>
    <definedName name="All">#REF!</definedName>
    <definedName name="AllTables" localSheetId="5">{7}</definedName>
    <definedName name="AllTables" localSheetId="7">{7}</definedName>
    <definedName name="AllTables" localSheetId="20">{7}</definedName>
    <definedName name="AllTables" localSheetId="18">{7}</definedName>
    <definedName name="AllTables" localSheetId="23">{7}</definedName>
    <definedName name="AllTables" localSheetId="34">{7}</definedName>
    <definedName name="AllTables" localSheetId="27">{7}</definedName>
    <definedName name="AllTables" localSheetId="32">{7}</definedName>
    <definedName name="AllTables" localSheetId="22">{7}</definedName>
    <definedName name="AllTables" localSheetId="24">{7}</definedName>
    <definedName name="AllTables">{7}</definedName>
    <definedName name="AllTables_1">{7}</definedName>
    <definedName name="analyst" localSheetId="5">#REF!</definedName>
    <definedName name="analyst" localSheetId="39">#REF!</definedName>
    <definedName name="analyst" localSheetId="22">#REF!</definedName>
    <definedName name="analyst" localSheetId="24">#REF!</definedName>
    <definedName name="analyst">#REF!</definedName>
    <definedName name="anscount">3</definedName>
    <definedName name="AREA1" localSheetId="38">#REF!</definedName>
    <definedName name="AREA1" localSheetId="5">#REF!</definedName>
    <definedName name="AREA1" localSheetId="36">#REF!</definedName>
    <definedName name="AREA1" localSheetId="22">#REF!</definedName>
    <definedName name="AREA1" localSheetId="24">#REF!</definedName>
    <definedName name="AREA1">#REF!</definedName>
    <definedName name="AS2DocOpenMode">"AS2DocumentEdit"</definedName>
    <definedName name="asdf" localSheetId="5">{TRUE,TRUE,-1.25,-15.5,456.75,279.75,FALSE,FALSE,TRUE,TRUE,0,1,8,1,4,6,3,4,TRUE,TRUE,3,TRUE,1,TRUE,100,"Swvu.turnover.","ACwvu.turnover.",1,FALSE,FALSE,0.511811023622047,0.511811023622047,0.511811023622047,0.511811023622047,1,"","",FALSE,FALSE,FALSE,FALSE,1,#N/A,1,1,#DIV/0!,FALSE,"Rwvu.turnover.",#N/A,FALSE,FALSE}</definedName>
    <definedName name="asdf" localSheetId="27">{TRUE,TRUE,-1.25,-15.5,456.75,279.75,FALSE,FALSE,TRUE,TRUE,0,1,8,1,4,6,3,4,TRUE,TRUE,3,TRUE,1,TRUE,100,"Swvu.turnover.","ACwvu.turnover.",1,FALSE,FALSE,0.511811023622047,0.511811023622047,0.511811023622047,0.511811023622047,1,"","",FALSE,FALSE,FALSE,FALSE,1,#N/A,1,1,#DIV/0!,FALSE,"Rwvu.turnover.",#N/A,FALSE,FALSE}</definedName>
    <definedName name="asdf" localSheetId="22">{TRUE,TRUE,-1.25,-15.5,456.75,279.75,FALSE,FALSE,TRUE,TRUE,0,1,8,1,4,6,3,4,TRUE,TRUE,3,TRUE,1,TRUE,100,"Swvu.turnover.","ACwvu.turnover.",1,FALSE,FALSE,0.511811023622047,0.511811023622047,0.511811023622047,0.511811023622047,1,"","",FALSE,FALSE,FALSE,FALSE,1,#N/A,1,1,#DIV/0!,FALSE,"Rwvu.turnover.",#N/A,FALSE,FALSE}</definedName>
    <definedName name="asdf" localSheetId="24">{TRUE,TRUE,-1.25,-15.5,456.75,279.75,FALSE,FALSE,TRUE,TRUE,0,1,8,1,4,6,3,4,TRUE,TRUE,3,TRUE,1,TRUE,100,"Swvu.turnover.","ACwvu.turnover.",1,FALSE,FALSE,0.511811023622047,0.511811023622047,0.511811023622047,0.511811023622047,1,"","",FALSE,FALSE,FALSE,FALSE,1,#N/A,1,1,#DIV/0!,FALSE,"Rwvu.turnover.",#N/A,FALSE,FALSE}</definedName>
    <definedName name="asdf">{TRUE,TRUE,-1.25,-15.5,456.75,279.75,FALSE,FALSE,TRUE,TRUE,0,1,8,1,4,6,3,4,TRUE,TRUE,3,TRUE,1,TRUE,100,"Swvu.turnover.","ACwvu.turnover.",1,FALSE,FALSE,0.511811023622047,0.511811023622047,0.511811023622047,0.511811023622047,1,"","",FALSE,FALSE,FALSE,FALSE,1,#N/A,1,1,#DIV/0!,FALSE,"Rwvu.turnover.",#N/A,FALSE,FALSE}</definedName>
    <definedName name="asdf_1">{TRUE,TRUE,-1.25,-15.5,456.75,279.75,FALSE,FALSE,TRUE,TRUE,0,1,8,1,4,6,3,4,TRUE,TRUE,3,TRUE,1,TRUE,100,"Swvu.turnover.","ACwvu.turnover.",1,FALSE,FALSE,0.511811023622047,0.511811023622047,0.511811023622047,0.511811023622047,1,"","",FALSE,FALSE,FALSE,FALSE,1,#N/A,1,1,#DIV/0!,FALSE,"Rwvu.turnover.",#N/A,FALSE,FALSE}</definedName>
    <definedName name="AssetQuality">#REF!</definedName>
    <definedName name="AssetsCurrentDeferredIncomeTaxes">0</definedName>
    <definedName name="AssetsCurrentShortTermInvestments">0</definedName>
    <definedName name="AssetsIntangiblesAccumulatedAmortization">0</definedName>
    <definedName name="AssetsIntangiblesGross">0</definedName>
    <definedName name="AssetsOtherAccumulatedAmortization">0</definedName>
    <definedName name="AssetsOtherGross">0</definedName>
    <definedName name="AssetsOtherNet">0</definedName>
    <definedName name="AssetStructure">#REF!</definedName>
    <definedName name="Australia">#REF!</definedName>
    <definedName name="bad" localSheetId="38">#REF!</definedName>
    <definedName name="bad" localSheetId="5">#REF!</definedName>
    <definedName name="bad" localSheetId="39">#REF!</definedName>
    <definedName name="bad" localSheetId="36">#REF!</definedName>
    <definedName name="bad" localSheetId="22">#REF!</definedName>
    <definedName name="bad" localSheetId="24">#REF!</definedName>
    <definedName name="bad">#REF!</definedName>
    <definedName name="bae" localSheetId="38">#REF!</definedName>
    <definedName name="bae" localSheetId="5">#REF!</definedName>
    <definedName name="bae" localSheetId="39">#REF!</definedName>
    <definedName name="bae" localSheetId="36">#REF!</definedName>
    <definedName name="bae" localSheetId="22">#REF!</definedName>
    <definedName name="bae" localSheetId="24">#REF!</definedName>
    <definedName name="bae">#REF!</definedName>
    <definedName name="balance" localSheetId="5">#REF!</definedName>
    <definedName name="balance" localSheetId="24">#REF!</definedName>
    <definedName name="balance">#REF!</definedName>
    <definedName name="bao" localSheetId="38">#REF!</definedName>
    <definedName name="bao" localSheetId="5">#REF!</definedName>
    <definedName name="bao" localSheetId="39">#REF!</definedName>
    <definedName name="bao" localSheetId="36">#REF!</definedName>
    <definedName name="bao" localSheetId="22">#REF!</definedName>
    <definedName name="bao" localSheetId="24">#REF!</definedName>
    <definedName name="bao">#REF!</definedName>
    <definedName name="bap" localSheetId="38">#REF!</definedName>
    <definedName name="bap" localSheetId="5">#REF!</definedName>
    <definedName name="bap" localSheetId="39">#REF!</definedName>
    <definedName name="bap" localSheetId="36">#REF!</definedName>
    <definedName name="bap" localSheetId="22">#REF!</definedName>
    <definedName name="bap" localSheetId="24">#REF!</definedName>
    <definedName name="bap">#REF!</definedName>
    <definedName name="BASE">#REF!</definedName>
    <definedName name="BaseName" localSheetId="38">#REF!</definedName>
    <definedName name="BaseName" localSheetId="5">#REF!</definedName>
    <definedName name="BaseName" localSheetId="39">#REF!</definedName>
    <definedName name="BaseName" localSheetId="36">#REF!</definedName>
    <definedName name="BaseName" localSheetId="22">#REF!</definedName>
    <definedName name="BaseName" localSheetId="24">#REF!</definedName>
    <definedName name="BaseName">#REF!</definedName>
    <definedName name="bat" localSheetId="38">#REF!</definedName>
    <definedName name="bat" localSheetId="5">#REF!</definedName>
    <definedName name="bat" localSheetId="39">#REF!</definedName>
    <definedName name="bat" localSheetId="36">#REF!</definedName>
    <definedName name="bat" localSheetId="22">#REF!</definedName>
    <definedName name="bat" localSheetId="24">#REF!</definedName>
    <definedName name="bat">#REF!</definedName>
    <definedName name="bay" localSheetId="38">#REF!</definedName>
    <definedName name="bay" localSheetId="5">#REF!</definedName>
    <definedName name="bay" localSheetId="39">#REF!</definedName>
    <definedName name="bay" localSheetId="36">#REF!</definedName>
    <definedName name="bay" localSheetId="22">#REF!</definedName>
    <definedName name="bay" localSheetId="24">#REF!</definedName>
    <definedName name="bay">#REF!</definedName>
    <definedName name="bbb" localSheetId="5">#REF!</definedName>
    <definedName name="bbb">#REF!</definedName>
    <definedName name="BBME">#REF!</definedName>
    <definedName name="bca" localSheetId="38">#REF!</definedName>
    <definedName name="bca" localSheetId="5">#REF!</definedName>
    <definedName name="bca" localSheetId="39">#REF!</definedName>
    <definedName name="bca" localSheetId="36">#REF!</definedName>
    <definedName name="bca" localSheetId="22">#REF!</definedName>
    <definedName name="bca" localSheetId="24">#REF!</definedName>
    <definedName name="bca">#REF!</definedName>
    <definedName name="bcb" localSheetId="38">#REF!</definedName>
    <definedName name="bcb" localSheetId="5">#REF!</definedName>
    <definedName name="bcb" localSheetId="39">#REF!</definedName>
    <definedName name="bcb" localSheetId="36">#REF!</definedName>
    <definedName name="bcb" localSheetId="22">#REF!</definedName>
    <definedName name="bcb" localSheetId="24">#REF!</definedName>
    <definedName name="bcb">#REF!</definedName>
    <definedName name="bce" localSheetId="38">#REF!</definedName>
    <definedName name="bce" localSheetId="5">#REF!</definedName>
    <definedName name="bce" localSheetId="39">#REF!</definedName>
    <definedName name="bce" localSheetId="36">#REF!</definedName>
    <definedName name="bce" localSheetId="22">#REF!</definedName>
    <definedName name="bce" localSheetId="24">#REF!</definedName>
    <definedName name="bce">#REF!</definedName>
    <definedName name="bcl" localSheetId="38">#REF!</definedName>
    <definedName name="bcl" localSheetId="5">#REF!</definedName>
    <definedName name="bcl" localSheetId="39">#REF!</definedName>
    <definedName name="bcl" localSheetId="36">#REF!</definedName>
    <definedName name="bcl" localSheetId="22">#REF!</definedName>
    <definedName name="bcl" localSheetId="24">#REF!</definedName>
    <definedName name="bcl">#REF!</definedName>
    <definedName name="bcm" localSheetId="38">#REF!</definedName>
    <definedName name="bcm" localSheetId="5">#REF!</definedName>
    <definedName name="bcm" localSheetId="39">#REF!</definedName>
    <definedName name="bcm" localSheetId="36">#REF!</definedName>
    <definedName name="bcm" localSheetId="22">#REF!</definedName>
    <definedName name="bcm" localSheetId="24">#REF!</definedName>
    <definedName name="bcm">#REF!</definedName>
    <definedName name="bcp" localSheetId="38">#REF!</definedName>
    <definedName name="bcp" localSheetId="5">#REF!</definedName>
    <definedName name="bcp" localSheetId="39">#REF!</definedName>
    <definedName name="bcp" localSheetId="36">#REF!</definedName>
    <definedName name="bcp" localSheetId="22">#REF!</definedName>
    <definedName name="bcp" localSheetId="24">#REF!</definedName>
    <definedName name="bcp">#REF!</definedName>
    <definedName name="bdp" localSheetId="38">#REF!</definedName>
    <definedName name="bdp" localSheetId="5">#REF!</definedName>
    <definedName name="bdp" localSheetId="39">#REF!</definedName>
    <definedName name="bdp" localSheetId="36">#REF!</definedName>
    <definedName name="bdp" localSheetId="22">#REF!</definedName>
    <definedName name="bdp" localSheetId="24">#REF!</definedName>
    <definedName name="bdp">#REF!</definedName>
    <definedName name="bet" localSheetId="38">#REF!</definedName>
    <definedName name="bet" localSheetId="5">#REF!</definedName>
    <definedName name="bet" localSheetId="39">#REF!</definedName>
    <definedName name="bet" localSheetId="36">#REF!</definedName>
    <definedName name="bet" localSheetId="22">#REF!</definedName>
    <definedName name="bet" localSheetId="24">#REF!</definedName>
    <definedName name="bet">#REF!</definedName>
    <definedName name="bfc" localSheetId="38">#REF!</definedName>
    <definedName name="bfc" localSheetId="5">#REF!</definedName>
    <definedName name="bfc" localSheetId="39">#REF!</definedName>
    <definedName name="bfc" localSheetId="36">#REF!</definedName>
    <definedName name="bfc" localSheetId="22">#REF!</definedName>
    <definedName name="bfc" localSheetId="24">#REF!</definedName>
    <definedName name="bfc">#REF!</definedName>
    <definedName name="bia" localSheetId="38">#REF!</definedName>
    <definedName name="bia" localSheetId="5">#REF!</definedName>
    <definedName name="bia" localSheetId="39">#REF!</definedName>
    <definedName name="bia" localSheetId="36">#REF!</definedName>
    <definedName name="bia" localSheetId="22">#REF!</definedName>
    <definedName name="bia" localSheetId="24">#REF!</definedName>
    <definedName name="bia">#REF!</definedName>
    <definedName name="bin" localSheetId="38">#REF!</definedName>
    <definedName name="bin" localSheetId="5">#REF!</definedName>
    <definedName name="bin" localSheetId="39">#REF!</definedName>
    <definedName name="bin" localSheetId="36">#REF!</definedName>
    <definedName name="bin" localSheetId="22">#REF!</definedName>
    <definedName name="bin" localSheetId="24">#REF!</definedName>
    <definedName name="bin">#REF!</definedName>
    <definedName name="bio" localSheetId="38">#REF!</definedName>
    <definedName name="bio" localSheetId="5">#REF!</definedName>
    <definedName name="bio" localSheetId="39">#REF!</definedName>
    <definedName name="bio" localSheetId="36">#REF!</definedName>
    <definedName name="bio" localSheetId="22">#REF!</definedName>
    <definedName name="bio" localSheetId="24">#REF!</definedName>
    <definedName name="bio">#REF!</definedName>
    <definedName name="bir" localSheetId="38">#REF!</definedName>
    <definedName name="bir" localSheetId="5">#REF!</definedName>
    <definedName name="bir" localSheetId="39">#REF!</definedName>
    <definedName name="bir" localSheetId="36">#REF!</definedName>
    <definedName name="bir" localSheetId="22">#REF!</definedName>
    <definedName name="bir" localSheetId="24">#REF!</definedName>
    <definedName name="bir">#REF!</definedName>
    <definedName name="bit" localSheetId="38">#REF!</definedName>
    <definedName name="bit" localSheetId="5">#REF!</definedName>
    <definedName name="bit" localSheetId="39">#REF!</definedName>
    <definedName name="bit" localSheetId="36">#REF!</definedName>
    <definedName name="bit" localSheetId="22">#REF!</definedName>
    <definedName name="bit" localSheetId="24">#REF!</definedName>
    <definedName name="bit">#REF!</definedName>
    <definedName name="bll" localSheetId="38">#REF!</definedName>
    <definedName name="bll" localSheetId="5">#REF!</definedName>
    <definedName name="bll" localSheetId="39">#REF!</definedName>
    <definedName name="bll" localSheetId="36">#REF!</definedName>
    <definedName name="bll" localSheetId="22">#REF!</definedName>
    <definedName name="bll" localSheetId="24">#REF!</definedName>
    <definedName name="bll">#REF!</definedName>
    <definedName name="block.Assumptions.blue" localSheetId="38">#REF!</definedName>
    <definedName name="block.Assumptions.blue" localSheetId="5">#REF!</definedName>
    <definedName name="block.Assumptions.blue" localSheetId="36">#REF!</definedName>
    <definedName name="block.Assumptions.blue" localSheetId="22">#REF!</definedName>
    <definedName name="block.Assumptions.blue" localSheetId="24">#REF!</definedName>
    <definedName name="block.Assumptions.blue">#REF!</definedName>
    <definedName name="block.Author.blue" localSheetId="38">#REF!</definedName>
    <definedName name="block.Author.blue" localSheetId="5">#REF!</definedName>
    <definedName name="block.Author.blue" localSheetId="36">#REF!</definedName>
    <definedName name="block.Author.blue" localSheetId="22">#REF!</definedName>
    <definedName name="block.Author.blue" localSheetId="24">#REF!</definedName>
    <definedName name="block.Author.blue">#REF!</definedName>
    <definedName name="block.BalanceSheet.blue" localSheetId="38">#REF!</definedName>
    <definedName name="block.BalanceSheet.blue" localSheetId="5">#REF!</definedName>
    <definedName name="block.BalanceSheet.blue" localSheetId="39">#REF!</definedName>
    <definedName name="block.BalanceSheet.blue" localSheetId="36">#REF!</definedName>
    <definedName name="block.BalanceSheet.blue" localSheetId="22">#REF!</definedName>
    <definedName name="block.BalanceSheet.blue" localSheetId="24">#REF!</definedName>
    <definedName name="block.BalanceSheet.blue">#REF!</definedName>
    <definedName name="block.BusinessBackground.blue" localSheetId="38">#REF!</definedName>
    <definedName name="block.BusinessBackground.blue" localSheetId="5">#REF!</definedName>
    <definedName name="block.BusinessBackground.blue" localSheetId="39">#REF!</definedName>
    <definedName name="block.BusinessBackground.blue" localSheetId="36">#REF!</definedName>
    <definedName name="block.BusinessBackground.blue" localSheetId="22">#REF!</definedName>
    <definedName name="block.BusinessBackground.blue" localSheetId="24">#REF!</definedName>
    <definedName name="block.BusinessBackground.blue">#REF!</definedName>
    <definedName name="block.CapitalHistory.blue" localSheetId="38">#REF!</definedName>
    <definedName name="block.CapitalHistory.blue" localSheetId="5">#REF!</definedName>
    <definedName name="block.CapitalHistory.blue" localSheetId="39">#REF!</definedName>
    <definedName name="block.CapitalHistory.blue" localSheetId="36">#REF!</definedName>
    <definedName name="block.CapitalHistory.blue" localSheetId="22">#REF!</definedName>
    <definedName name="block.CapitalHistory.blue" localSheetId="24">#REF!</definedName>
    <definedName name="block.CapitalHistory.blue">#REF!</definedName>
    <definedName name="block.Cashflow.blue" localSheetId="38">#REF!</definedName>
    <definedName name="block.Cashflow.blue" localSheetId="5">#REF!</definedName>
    <definedName name="block.Cashflow.blue" localSheetId="39">#REF!</definedName>
    <definedName name="block.Cashflow.blue" localSheetId="36">#REF!</definedName>
    <definedName name="block.Cashflow.blue" localSheetId="22">#REF!</definedName>
    <definedName name="block.Cashflow.blue" localSheetId="24">#REF!</definedName>
    <definedName name="block.Cashflow.blue">#REF!</definedName>
    <definedName name="block.DividendData.blue" localSheetId="38">#REF!</definedName>
    <definedName name="block.DividendData.blue" localSheetId="5">#REF!</definedName>
    <definedName name="block.DividendData.blue" localSheetId="39">#REF!</definedName>
    <definedName name="block.DividendData.blue" localSheetId="36">#REF!</definedName>
    <definedName name="block.DividendData.blue" localSheetId="22">#REF!</definedName>
    <definedName name="block.DividendData.blue" localSheetId="24">#REF!</definedName>
    <definedName name="block.DividendData.blue">#REF!</definedName>
    <definedName name="block.Expansion.blue" localSheetId="38">#REF!</definedName>
    <definedName name="block.Expansion.blue" localSheetId="5">#REF!</definedName>
    <definedName name="block.Expansion.blue" localSheetId="36">#REF!</definedName>
    <definedName name="block.Expansion.blue" localSheetId="22">#REF!</definedName>
    <definedName name="block.Expansion.blue" localSheetId="24">#REF!</definedName>
    <definedName name="block.Expansion.blue">#REF!</definedName>
    <definedName name="block.expansionplans.blue" localSheetId="5">#REF!</definedName>
    <definedName name="block.expansionplans.blue" localSheetId="22">#REF!</definedName>
    <definedName name="block.expansionplans.blue" localSheetId="24">#REF!</definedName>
    <definedName name="block.expansionplans.blue">#REF!</definedName>
    <definedName name="block.forecastandratings.blue" localSheetId="5">#REF!</definedName>
    <definedName name="block.forecastandratings.blue" localSheetId="22">#REF!</definedName>
    <definedName name="block.forecastandratings.blue" localSheetId="24">#REF!</definedName>
    <definedName name="block.forecastandratings.blue">#REF!</definedName>
    <definedName name="block.Forecasts.blue" localSheetId="38">#REF!</definedName>
    <definedName name="block.Forecasts.blue" localSheetId="5">#REF!</definedName>
    <definedName name="block.Forecasts.blue" localSheetId="36">#REF!</definedName>
    <definedName name="block.Forecasts.blue" localSheetId="22">#REF!</definedName>
    <definedName name="block.Forecasts.blue" localSheetId="24">#REF!</definedName>
    <definedName name="block.Forecasts.blue">#REF!</definedName>
    <definedName name="block.identity.blue" localSheetId="5">#REF!</definedName>
    <definedName name="block.identity.blue" localSheetId="22">#REF!</definedName>
    <definedName name="block.identity.blue" localSheetId="24">#REF!</definedName>
    <definedName name="block.identity.blue">#REF!</definedName>
    <definedName name="block.mainpoints.red" localSheetId="38">#REF!</definedName>
    <definedName name="block.mainpoints.red" localSheetId="5">#REF!</definedName>
    <definedName name="block.mainpoints.red" localSheetId="39">#REF!</definedName>
    <definedName name="block.mainpoints.red" localSheetId="36">#REF!</definedName>
    <definedName name="block.mainpoints.red" localSheetId="22">#REF!</definedName>
    <definedName name="block.mainpoints.red" localSheetId="24">#REF!</definedName>
    <definedName name="block.mainpoints.red">#REF!</definedName>
    <definedName name="block.MajorShareholders.blue" localSheetId="38">#REF!</definedName>
    <definedName name="block.MajorShareholders.blue" localSheetId="5">#REF!</definedName>
    <definedName name="block.MajorShareholders.blue" localSheetId="39">#REF!</definedName>
    <definedName name="block.MajorShareholders.blue" localSheetId="36">#REF!</definedName>
    <definedName name="block.MajorShareholders.blue" localSheetId="22">#REF!</definedName>
    <definedName name="block.MajorShareholders.blue" localSheetId="24">#REF!</definedName>
    <definedName name="block.MajorShareholders.blue">#REF!</definedName>
    <definedName name="block.Miscellaneous.blue" localSheetId="38">#REF!</definedName>
    <definedName name="block.Miscellaneous.blue" localSheetId="5">#REF!</definedName>
    <definedName name="block.Miscellaneous.blue" localSheetId="36">#REF!</definedName>
    <definedName name="block.Miscellaneous.blue" localSheetId="22">#REF!</definedName>
    <definedName name="block.Miscellaneous.blue" localSheetId="24">#REF!</definedName>
    <definedName name="block.Miscellaneous.blue">#REF!</definedName>
    <definedName name="block.miscellaneous.none" localSheetId="5">#REF!</definedName>
    <definedName name="block.miscellaneous.none" localSheetId="22">#REF!</definedName>
    <definedName name="block.miscellaneous.none" localSheetId="24">#REF!</definedName>
    <definedName name="block.miscellaneous.none">#REF!</definedName>
    <definedName name="block.Outlook.blue" localSheetId="38">#REF!</definedName>
    <definedName name="block.Outlook.blue" localSheetId="5">#REF!</definedName>
    <definedName name="block.Outlook.blue" localSheetId="39">#REF!</definedName>
    <definedName name="block.Outlook.blue" localSheetId="36">#REF!</definedName>
    <definedName name="block.Outlook.blue" localSheetId="22">#REF!</definedName>
    <definedName name="block.Outlook.blue" localSheetId="24">#REF!</definedName>
    <definedName name="block.Outlook.blue">#REF!</definedName>
    <definedName name="block.PriceChart.none" localSheetId="38">#REF!</definedName>
    <definedName name="block.PriceChart.none" localSheetId="5">#REF!</definedName>
    <definedName name="block.PriceChart.none" localSheetId="39">#REF!</definedName>
    <definedName name="block.PriceChart.none" localSheetId="36">#REF!</definedName>
    <definedName name="block.PriceChart.none" localSheetId="22">#REF!</definedName>
    <definedName name="block.PriceChart.none" localSheetId="24">#REF!</definedName>
    <definedName name="block.PriceChart.none">#REF!</definedName>
    <definedName name="block.profitassumptions.blue" localSheetId="5">#REF!</definedName>
    <definedName name="block.profitassumptions.blue" localSheetId="22">#REF!</definedName>
    <definedName name="block.profitassumptions.blue" localSheetId="24">#REF!</definedName>
    <definedName name="block.profitassumptions.blue">#REF!</definedName>
    <definedName name="block.ProfitBreakdown.blue" localSheetId="38">#REF!</definedName>
    <definedName name="block.ProfitBreakdown.blue" localSheetId="5">#REF!</definedName>
    <definedName name="block.ProfitBreakdown.blue" localSheetId="39">#REF!</definedName>
    <definedName name="block.ProfitBreakdown.blue" localSheetId="36">#REF!</definedName>
    <definedName name="block.ProfitBreakdown.blue" localSheetId="22">#REF!</definedName>
    <definedName name="block.ProfitBreakdown.blue" localSheetId="24">#REF!</definedName>
    <definedName name="block.ProfitBreakdown.blue">#REF!</definedName>
    <definedName name="block.rationanalysis.blue" localSheetId="5">#REF!</definedName>
    <definedName name="block.rationanalysis.blue" localSheetId="22">#REF!</definedName>
    <definedName name="block.rationanalysis.blue" localSheetId="24">#REF!</definedName>
    <definedName name="block.rationanalysis.blue">#REF!</definedName>
    <definedName name="block.ShareData.blue" localSheetId="38">#REF!</definedName>
    <definedName name="block.ShareData.blue" localSheetId="5">#REF!</definedName>
    <definedName name="block.ShareData.blue" localSheetId="39">#REF!</definedName>
    <definedName name="block.ShareData.blue" localSheetId="36">#REF!</definedName>
    <definedName name="block.ShareData.blue" localSheetId="22">#REF!</definedName>
    <definedName name="block.ShareData.blue" localSheetId="24">#REF!</definedName>
    <definedName name="block.ShareData.blue">#REF!</definedName>
    <definedName name="block.Subsidiaries.blue" localSheetId="38">#REF!</definedName>
    <definedName name="block.Subsidiaries.blue" localSheetId="5">#REF!</definedName>
    <definedName name="block.Subsidiaries.blue" localSheetId="39">#REF!</definedName>
    <definedName name="block.Subsidiaries.blue" localSheetId="36">#REF!</definedName>
    <definedName name="block.Subsidiaries.blue" localSheetId="22">#REF!</definedName>
    <definedName name="block.Subsidiaries.blue" localSheetId="24">#REF!</definedName>
    <definedName name="block.Subsidiaries.blue">#REF!</definedName>
    <definedName name="block.Title.blue" localSheetId="38">#REF!</definedName>
    <definedName name="block.Title.blue" localSheetId="5">#REF!</definedName>
    <definedName name="block.Title.blue" localSheetId="39">#REF!</definedName>
    <definedName name="block.Title.blue" localSheetId="36">#REF!</definedName>
    <definedName name="block.Title.blue" localSheetId="22">#REF!</definedName>
    <definedName name="block.Title.blue" localSheetId="24">#REF!</definedName>
    <definedName name="block.Title.blue">#REF!</definedName>
    <definedName name="BLPH1" localSheetId="38">#REF!</definedName>
    <definedName name="BLPH1" localSheetId="5">#REF!</definedName>
    <definedName name="BLPH1" localSheetId="36">#REF!</definedName>
    <definedName name="BLPH1" localSheetId="22">#REF!</definedName>
    <definedName name="BLPH1" localSheetId="24">#REF!</definedName>
    <definedName name="BLPH1">#REF!</definedName>
    <definedName name="BLPH10" localSheetId="5">#REF!</definedName>
    <definedName name="BLPH10" localSheetId="22">#REF!</definedName>
    <definedName name="BLPH10" localSheetId="24">#REF!</definedName>
    <definedName name="BLPH10">#REF!</definedName>
    <definedName name="BLPH11" localSheetId="5">#REF!</definedName>
    <definedName name="BLPH11" localSheetId="22">#REF!</definedName>
    <definedName name="BLPH11" localSheetId="24">#REF!</definedName>
    <definedName name="BLPH11">#REF!</definedName>
    <definedName name="BLPH12" localSheetId="5">#REF!</definedName>
    <definedName name="BLPH12" localSheetId="22">#REF!</definedName>
    <definedName name="BLPH12" localSheetId="24">#REF!</definedName>
    <definedName name="BLPH12">#REF!</definedName>
    <definedName name="BLPH13" localSheetId="5">#REF!</definedName>
    <definedName name="BLPH13" localSheetId="22">#REF!</definedName>
    <definedName name="BLPH13" localSheetId="24">#REF!</definedName>
    <definedName name="BLPH13">#REF!</definedName>
    <definedName name="BLPH14" localSheetId="5">#REF!</definedName>
    <definedName name="BLPH14" localSheetId="22">#REF!</definedName>
    <definedName name="BLPH14" localSheetId="24">#REF!</definedName>
    <definedName name="BLPH14">#REF!</definedName>
    <definedName name="BLPH15" localSheetId="5">#REF!</definedName>
    <definedName name="BLPH15" localSheetId="22">#REF!</definedName>
    <definedName name="BLPH15" localSheetId="24">#REF!</definedName>
    <definedName name="BLPH15">#REF!</definedName>
    <definedName name="BLPH16" localSheetId="5">#REF!</definedName>
    <definedName name="BLPH16" localSheetId="22">#REF!</definedName>
    <definedName name="BLPH16" localSheetId="24">#REF!</definedName>
    <definedName name="BLPH16">#REF!</definedName>
    <definedName name="BLPH17" localSheetId="5">#REF!</definedName>
    <definedName name="BLPH17" localSheetId="22">#REF!</definedName>
    <definedName name="BLPH17" localSheetId="24">#REF!</definedName>
    <definedName name="BLPH17">#REF!</definedName>
    <definedName name="BLPH18" localSheetId="5">#REF!</definedName>
    <definedName name="BLPH18" localSheetId="22">#REF!</definedName>
    <definedName name="BLPH18" localSheetId="24">#REF!</definedName>
    <definedName name="BLPH18">#REF!</definedName>
    <definedName name="BLPH19" localSheetId="5">#REF!</definedName>
    <definedName name="BLPH19" localSheetId="22">#REF!</definedName>
    <definedName name="BLPH19" localSheetId="24">#REF!</definedName>
    <definedName name="BLPH19">#REF!</definedName>
    <definedName name="BLPH2" localSheetId="38">#REF!</definedName>
    <definedName name="BLPH2" localSheetId="5">#REF!</definedName>
    <definedName name="BLPH2" localSheetId="36">#REF!</definedName>
    <definedName name="BLPH2" localSheetId="22">#REF!</definedName>
    <definedName name="BLPH2" localSheetId="24">#REF!</definedName>
    <definedName name="BLPH2">#REF!</definedName>
    <definedName name="BLPH20" localSheetId="5">#REF!</definedName>
    <definedName name="BLPH20" localSheetId="22">#REF!</definedName>
    <definedName name="BLPH20" localSheetId="24">#REF!</definedName>
    <definedName name="BLPH20">#REF!</definedName>
    <definedName name="BLPH21" localSheetId="5">#REF!</definedName>
    <definedName name="BLPH21" localSheetId="22">#REF!</definedName>
    <definedName name="BLPH21" localSheetId="24">#REF!</definedName>
    <definedName name="BLPH21">#REF!</definedName>
    <definedName name="BLPH22" localSheetId="5">#REF!</definedName>
    <definedName name="BLPH22" localSheetId="22">#REF!</definedName>
    <definedName name="BLPH22" localSheetId="24">#REF!</definedName>
    <definedName name="BLPH22">#REF!</definedName>
    <definedName name="BLPH23" localSheetId="5">#REF!</definedName>
    <definedName name="BLPH23" localSheetId="22">#REF!</definedName>
    <definedName name="BLPH23" localSheetId="24">#REF!</definedName>
    <definedName name="BLPH23">#REF!</definedName>
    <definedName name="BLPH24" localSheetId="5">#REF!</definedName>
    <definedName name="BLPH24" localSheetId="22">#REF!</definedName>
    <definedName name="BLPH24" localSheetId="24">#REF!</definedName>
    <definedName name="BLPH24">#REF!</definedName>
    <definedName name="BLPH25" localSheetId="5">#REF!</definedName>
    <definedName name="BLPH25" localSheetId="22">#REF!</definedName>
    <definedName name="BLPH25" localSheetId="24">#REF!</definedName>
    <definedName name="BLPH25">#REF!</definedName>
    <definedName name="BLPH26" localSheetId="5">#REF!</definedName>
    <definedName name="BLPH26" localSheetId="22">#REF!</definedName>
    <definedName name="BLPH26" localSheetId="24">#REF!</definedName>
    <definedName name="BLPH26">#REF!</definedName>
    <definedName name="BLPH27" localSheetId="5">#REF!</definedName>
    <definedName name="BLPH27" localSheetId="22">#REF!</definedName>
    <definedName name="BLPH27" localSheetId="24">#REF!</definedName>
    <definedName name="BLPH27">#REF!</definedName>
    <definedName name="BLPH28" localSheetId="5">#REF!</definedName>
    <definedName name="BLPH28" localSheetId="22">#REF!</definedName>
    <definedName name="BLPH28" localSheetId="24">#REF!</definedName>
    <definedName name="BLPH28">#REF!</definedName>
    <definedName name="BLPH29" localSheetId="5">#REF!</definedName>
    <definedName name="BLPH29" localSheetId="22">#REF!</definedName>
    <definedName name="BLPH29" localSheetId="24">#REF!</definedName>
    <definedName name="BLPH29">#REF!</definedName>
    <definedName name="BLPH3" localSheetId="38">#REF!</definedName>
    <definedName name="BLPH3" localSheetId="5">#REF!</definedName>
    <definedName name="BLPH3" localSheetId="36">#REF!</definedName>
    <definedName name="BLPH3" localSheetId="22">#REF!</definedName>
    <definedName name="BLPH3" localSheetId="24">#REF!</definedName>
    <definedName name="BLPH3">#REF!</definedName>
    <definedName name="BLPH30" localSheetId="5">#REF!</definedName>
    <definedName name="BLPH30" localSheetId="22">#REF!</definedName>
    <definedName name="BLPH30" localSheetId="24">#REF!</definedName>
    <definedName name="BLPH30">#REF!</definedName>
    <definedName name="BLPH31" localSheetId="5">#REF!</definedName>
    <definedName name="BLPH31" localSheetId="22">#REF!</definedName>
    <definedName name="BLPH31" localSheetId="24">#REF!</definedName>
    <definedName name="BLPH31">#REF!</definedName>
    <definedName name="BLPH32" localSheetId="5">#REF!</definedName>
    <definedName name="BLPH32" localSheetId="22">#REF!</definedName>
    <definedName name="BLPH32" localSheetId="24">#REF!</definedName>
    <definedName name="BLPH32">#REF!</definedName>
    <definedName name="BLPH33" localSheetId="5">#REF!</definedName>
    <definedName name="BLPH33" localSheetId="22">#REF!</definedName>
    <definedName name="BLPH33" localSheetId="24">#REF!</definedName>
    <definedName name="BLPH33">#REF!</definedName>
    <definedName name="BLPH34" localSheetId="5">#REF!</definedName>
    <definedName name="BLPH34" localSheetId="22">#REF!</definedName>
    <definedName name="BLPH34" localSheetId="24">#REF!</definedName>
    <definedName name="BLPH34">#REF!</definedName>
    <definedName name="BLPH35" localSheetId="5">#REF!</definedName>
    <definedName name="BLPH35" localSheetId="22">#REF!</definedName>
    <definedName name="BLPH35" localSheetId="24">#REF!</definedName>
    <definedName name="BLPH35">#REF!</definedName>
    <definedName name="BLPH36" localSheetId="5">#REF!</definedName>
    <definedName name="BLPH36" localSheetId="22">#REF!</definedName>
    <definedName name="BLPH36" localSheetId="24">#REF!</definedName>
    <definedName name="BLPH36">#REF!</definedName>
    <definedName name="BLPH37" localSheetId="5">#REF!</definedName>
    <definedName name="BLPH37" localSheetId="22">#REF!</definedName>
    <definedName name="BLPH37" localSheetId="24">#REF!</definedName>
    <definedName name="BLPH37">#REF!</definedName>
    <definedName name="BLPH38" localSheetId="5">#REF!</definedName>
    <definedName name="BLPH38" localSheetId="22">#REF!</definedName>
    <definedName name="BLPH38" localSheetId="24">#REF!</definedName>
    <definedName name="BLPH38">#REF!</definedName>
    <definedName name="BLPH39" localSheetId="5">#REF!</definedName>
    <definedName name="BLPH39" localSheetId="22">#REF!</definedName>
    <definedName name="BLPH39" localSheetId="24">#REF!</definedName>
    <definedName name="BLPH39">#REF!</definedName>
    <definedName name="BLPH4" localSheetId="38">#REF!</definedName>
    <definedName name="BLPH4" localSheetId="5">#REF!</definedName>
    <definedName name="BLPH4" localSheetId="36">#REF!</definedName>
    <definedName name="BLPH4" localSheetId="22">#REF!</definedName>
    <definedName name="BLPH4" localSheetId="24">#REF!</definedName>
    <definedName name="BLPH4">#REF!</definedName>
    <definedName name="BLPH40" localSheetId="5">#REF!</definedName>
    <definedName name="BLPH40" localSheetId="22">#REF!</definedName>
    <definedName name="BLPH40" localSheetId="24">#REF!</definedName>
    <definedName name="BLPH40">#REF!</definedName>
    <definedName name="BLPH41" localSheetId="5">#REF!</definedName>
    <definedName name="BLPH41" localSheetId="22">#REF!</definedName>
    <definedName name="BLPH41" localSheetId="24">#REF!</definedName>
    <definedName name="BLPH41">#REF!</definedName>
    <definedName name="BLPH42" localSheetId="5">#REF!</definedName>
    <definedName name="BLPH42" localSheetId="22">#REF!</definedName>
    <definedName name="BLPH42" localSheetId="24">#REF!</definedName>
    <definedName name="BLPH42">#REF!</definedName>
    <definedName name="BLPH43" localSheetId="5">#REF!</definedName>
    <definedName name="BLPH43" localSheetId="22">#REF!</definedName>
    <definedName name="BLPH43" localSheetId="24">#REF!</definedName>
    <definedName name="BLPH43">#REF!</definedName>
    <definedName name="BLPH44" localSheetId="5">#REF!</definedName>
    <definedName name="BLPH44" localSheetId="22">#REF!</definedName>
    <definedName name="BLPH44" localSheetId="24">#REF!</definedName>
    <definedName name="BLPH44">#REF!</definedName>
    <definedName name="BLPH5" localSheetId="38">#REF!</definedName>
    <definedName name="BLPH5" localSheetId="5">#REF!</definedName>
    <definedName name="BLPH5" localSheetId="36">#REF!</definedName>
    <definedName name="BLPH5" localSheetId="22">#REF!</definedName>
    <definedName name="BLPH5" localSheetId="24">#REF!</definedName>
    <definedName name="BLPH5">#REF!</definedName>
    <definedName name="BLPH6" localSheetId="38">#REF!</definedName>
    <definedName name="BLPH6" localSheetId="5">#REF!</definedName>
    <definedName name="BLPH6" localSheetId="36">#REF!</definedName>
    <definedName name="BLPH6" localSheetId="22">#REF!</definedName>
    <definedName name="BLPH6" localSheetId="24">#REF!</definedName>
    <definedName name="BLPH6">#REF!</definedName>
    <definedName name="BLPH7" localSheetId="38">#REF!</definedName>
    <definedName name="BLPH7" localSheetId="5">#REF!</definedName>
    <definedName name="BLPH7" localSheetId="36">#REF!</definedName>
    <definedName name="BLPH7" localSheetId="22">#REF!</definedName>
    <definedName name="BLPH7" localSheetId="24">#REF!</definedName>
    <definedName name="BLPH7">#REF!</definedName>
    <definedName name="BLPH8" localSheetId="5">#REF!</definedName>
    <definedName name="BLPH8" localSheetId="22">#REF!</definedName>
    <definedName name="BLPH8" localSheetId="24">#REF!</definedName>
    <definedName name="BLPH8">#REF!</definedName>
    <definedName name="BLPH9" localSheetId="5">#REF!</definedName>
    <definedName name="BLPH9" localSheetId="22">#REF!</definedName>
    <definedName name="BLPH9" localSheetId="24">#REF!</definedName>
    <definedName name="BLPH9">#REF!</definedName>
    <definedName name="blt" localSheetId="38">#REF!</definedName>
    <definedName name="blt" localSheetId="5">#REF!</definedName>
    <definedName name="blt" localSheetId="39">#REF!</definedName>
    <definedName name="blt" localSheetId="36">#REF!</definedName>
    <definedName name="blt" localSheetId="22">#REF!</definedName>
    <definedName name="blt" localSheetId="24">#REF!</definedName>
    <definedName name="blt">#REF!</definedName>
    <definedName name="bmi" localSheetId="38">#REF!</definedName>
    <definedName name="bmi" localSheetId="5">#REF!</definedName>
    <definedName name="bmi" localSheetId="39">#REF!</definedName>
    <definedName name="bmi" localSheetId="36">#REF!</definedName>
    <definedName name="bmi" localSheetId="22">#REF!</definedName>
    <definedName name="bmi" localSheetId="24">#REF!</definedName>
    <definedName name="bmi">#REF!</definedName>
    <definedName name="bnd" localSheetId="38">#REF!</definedName>
    <definedName name="bnd" localSheetId="5">#REF!</definedName>
    <definedName name="bnd" localSheetId="36">#REF!</definedName>
    <definedName name="bnd" localSheetId="22">#REF!</definedName>
    <definedName name="bnd" localSheetId="24">#REF!</definedName>
    <definedName name="bnd">#REF!</definedName>
    <definedName name="bnf" localSheetId="38">#REF!</definedName>
    <definedName name="bnf" localSheetId="5">#REF!</definedName>
    <definedName name="bnf" localSheetId="39">#REF!</definedName>
    <definedName name="bnf" localSheetId="36">#REF!</definedName>
    <definedName name="bnf" localSheetId="22">#REF!</definedName>
    <definedName name="bnf" localSheetId="24">#REF!</definedName>
    <definedName name="bnf">#REF!</definedName>
    <definedName name="boc" localSheetId="38">#REF!</definedName>
    <definedName name="boc" localSheetId="5">#REF!</definedName>
    <definedName name="boc" localSheetId="39">#REF!</definedName>
    <definedName name="boc" localSheetId="36">#REF!</definedName>
    <definedName name="boc" localSheetId="22">#REF!</definedName>
    <definedName name="boc" localSheetId="24">#REF!</definedName>
    <definedName name="boc">#REF!</definedName>
    <definedName name="bol" localSheetId="38">#REF!</definedName>
    <definedName name="bol" localSheetId="5">#REF!</definedName>
    <definedName name="bol" localSheetId="39">#REF!</definedName>
    <definedName name="bol" localSheetId="36">#REF!</definedName>
    <definedName name="bol" localSheetId="22">#REF!</definedName>
    <definedName name="bol" localSheetId="24">#REF!</definedName>
    <definedName name="bol">#REF!</definedName>
    <definedName name="bor" localSheetId="38">#REF!</definedName>
    <definedName name="bor" localSheetId="5">#REF!</definedName>
    <definedName name="bor" localSheetId="39">#REF!</definedName>
    <definedName name="bor" localSheetId="36">#REF!</definedName>
    <definedName name="bor" localSheetId="22">#REF!</definedName>
    <definedName name="bor" localSheetId="24">#REF!</definedName>
    <definedName name="bor">#REF!</definedName>
    <definedName name="bot" localSheetId="38">#REF!</definedName>
    <definedName name="bot" localSheetId="5">#REF!</definedName>
    <definedName name="bot" localSheetId="39">#REF!</definedName>
    <definedName name="bot" localSheetId="36">#REF!</definedName>
    <definedName name="bot" localSheetId="22">#REF!</definedName>
    <definedName name="bot" localSheetId="24">#REF!</definedName>
    <definedName name="bot">#REF!</definedName>
    <definedName name="bpp" localSheetId="38">#REF!</definedName>
    <definedName name="bpp" localSheetId="5">#REF!</definedName>
    <definedName name="bpp" localSheetId="39">#REF!</definedName>
    <definedName name="bpp" localSheetId="36">#REF!</definedName>
    <definedName name="bpp" localSheetId="22">#REF!</definedName>
    <definedName name="bpp" localSheetId="24">#REF!</definedName>
    <definedName name="bpp">#REF!</definedName>
    <definedName name="bpu" localSheetId="38">#REF!</definedName>
    <definedName name="bpu" localSheetId="5">#REF!</definedName>
    <definedName name="bpu" localSheetId="39">#REF!</definedName>
    <definedName name="bpu" localSheetId="36">#REF!</definedName>
    <definedName name="bpu" localSheetId="22">#REF!</definedName>
    <definedName name="bpu" localSheetId="24">#REF!</definedName>
    <definedName name="bpu">#REF!</definedName>
    <definedName name="bre" localSheetId="38">#REF!</definedName>
    <definedName name="bre" localSheetId="5">#REF!</definedName>
    <definedName name="bre" localSheetId="39">#REF!</definedName>
    <definedName name="bre" localSheetId="36">#REF!</definedName>
    <definedName name="bre" localSheetId="22">#REF!</definedName>
    <definedName name="bre" localSheetId="24">#REF!</definedName>
    <definedName name="bre">#REF!</definedName>
    <definedName name="BS" localSheetId="5">#REF!</definedName>
    <definedName name="BS">#REF!</definedName>
    <definedName name="BSA" localSheetId="5">#REF!</definedName>
    <definedName name="BSA">#REF!</definedName>
    <definedName name="bsf" localSheetId="38">#REF!</definedName>
    <definedName name="bsf" localSheetId="5">#REF!</definedName>
    <definedName name="bsf" localSheetId="39">#REF!</definedName>
    <definedName name="bsf" localSheetId="36">#REF!</definedName>
    <definedName name="bsf" localSheetId="22">#REF!</definedName>
    <definedName name="bsf" localSheetId="24">#REF!</definedName>
    <definedName name="bsf">#REF!</definedName>
    <definedName name="bst" localSheetId="38">#REF!</definedName>
    <definedName name="bst" localSheetId="5">#REF!</definedName>
    <definedName name="bst" localSheetId="39">#REF!</definedName>
    <definedName name="bst" localSheetId="36">#REF!</definedName>
    <definedName name="bst" localSheetId="22">#REF!</definedName>
    <definedName name="bst" localSheetId="24">#REF!</definedName>
    <definedName name="bst">#REF!</definedName>
    <definedName name="bta" localSheetId="38">#REF!</definedName>
    <definedName name="bta" localSheetId="5">#REF!</definedName>
    <definedName name="bta" localSheetId="39">#REF!</definedName>
    <definedName name="bta" localSheetId="36">#REF!</definedName>
    <definedName name="bta" localSheetId="22">#REF!</definedName>
    <definedName name="bta" localSheetId="24">#REF!</definedName>
    <definedName name="bta">#REF!</definedName>
    <definedName name="btd" localSheetId="38">#REF!</definedName>
    <definedName name="btd" localSheetId="5">#REF!</definedName>
    <definedName name="btd" localSheetId="39">#REF!</definedName>
    <definedName name="btd" localSheetId="36">#REF!</definedName>
    <definedName name="btd" localSheetId="22">#REF!</definedName>
    <definedName name="btd" localSheetId="24">#REF!</definedName>
    <definedName name="btd">#REF!</definedName>
    <definedName name="bte" localSheetId="38">#REF!</definedName>
    <definedName name="bte" localSheetId="5">#REF!</definedName>
    <definedName name="bte" localSheetId="39">#REF!</definedName>
    <definedName name="bte" localSheetId="36">#REF!</definedName>
    <definedName name="bte" localSheetId="22">#REF!</definedName>
    <definedName name="bte" localSheetId="24">#REF!</definedName>
    <definedName name="bte">#REF!</definedName>
    <definedName name="btl" localSheetId="38">#REF!</definedName>
    <definedName name="btl" localSheetId="5">#REF!</definedName>
    <definedName name="btl" localSheetId="39">#REF!</definedName>
    <definedName name="btl" localSheetId="36">#REF!</definedName>
    <definedName name="btl" localSheetId="22">#REF!</definedName>
    <definedName name="btl" localSheetId="24">#REF!</definedName>
    <definedName name="btl">#REF!</definedName>
    <definedName name="btp" localSheetId="38">#REF!</definedName>
    <definedName name="btp" localSheetId="5">#REF!</definedName>
    <definedName name="btp" localSheetId="39">#REF!</definedName>
    <definedName name="btp" localSheetId="36">#REF!</definedName>
    <definedName name="btp" localSheetId="22">#REF!</definedName>
    <definedName name="btp" localSheetId="24">#REF!</definedName>
    <definedName name="btp">#REF!</definedName>
    <definedName name="BusinessMix">#REF!</definedName>
    <definedName name="cac" localSheetId="38">#REF!</definedName>
    <definedName name="cac" localSheetId="5">#REF!</definedName>
    <definedName name="cac" localSheetId="39">#REF!</definedName>
    <definedName name="cac" localSheetId="36">#REF!</definedName>
    <definedName name="cac" localSheetId="22">#REF!</definedName>
    <definedName name="cac" localSheetId="24">#REF!</definedName>
    <definedName name="cac">#REF!</definedName>
    <definedName name="cam" localSheetId="38">#REF!</definedName>
    <definedName name="cam" localSheetId="5">#REF!</definedName>
    <definedName name="cam" localSheetId="39">#REF!</definedName>
    <definedName name="cam" localSheetId="36">#REF!</definedName>
    <definedName name="cam" localSheetId="22">#REF!</definedName>
    <definedName name="cam" localSheetId="24">#REF!</definedName>
    <definedName name="cam">#REF!</definedName>
    <definedName name="Canada">#REF!</definedName>
    <definedName name="Carriers__carrier">#REF!</definedName>
    <definedName name="case_num">1</definedName>
    <definedName name="Cash_earnings">#REF!</definedName>
    <definedName name="cashflo" localSheetId="5">#REF!</definedName>
    <definedName name="cashflo" localSheetId="24">#REF!</definedName>
    <definedName name="cashflo">#REF!</definedName>
    <definedName name="cashflow" localSheetId="5">#REF!</definedName>
    <definedName name="cashflow" localSheetId="24">#REF!</definedName>
    <definedName name="cashflow">#REF!</definedName>
    <definedName name="CashFlowCapitalExpenditureCellular">0</definedName>
    <definedName name="CashFlowCapitalExpenditureOther">0</definedName>
    <definedName name="CashFlowCapitalExpenditurePaging">0</definedName>
    <definedName name="CashFlowCapitalExpenditureTelephone">0</definedName>
    <definedName name="CashFlowCapitalExpenditureWireless">0</definedName>
    <definedName name="CashFlowDividendPaidPreferredStock">0</definedName>
    <definedName name="cb_sChart12595BBC_opts">"1, 1, 1, False, 2, True, False, , 0, False, False, 2, 2"</definedName>
    <definedName name="cb_sChart12595E44_opts">"1, 3, 1, False, 2, True, False, , 0, True, False, 2, 2"</definedName>
    <definedName name="cb_sChart14E6EA1E_opts">"1, 9, 1, False, 2, False, False, , 0, False, False, 1, 2"</definedName>
    <definedName name="cb_sChart14E6EB91_opts">"1, 9, 1, False, 2, False, False, , 0, False, False, 1, 1"</definedName>
    <definedName name="cb_sChart14E6ED99_opts">"1, 9, 1, False, 2, False, False, , 0, False, False, 1, 1"</definedName>
    <definedName name="cb_sChart14E6F3EE_opts">"1, 9, 1, False, 2, False, False, , 0, False, False, 1, 1"</definedName>
    <definedName name="cb_sChart14E81502_opts">"1, 9, 1, False, 2, False, False, , 0, False, False, 1, 2"</definedName>
    <definedName name="cb_sChart14E81DF6_opts">"1, 9, 1, False, 2, False, False, , 0, False, False, 1, 2"</definedName>
    <definedName name="cb_sChart14E82800_opts">"1, 9, 1, False, 2, False, False, , 0, False, False, 1, 2"</definedName>
    <definedName name="cb_sChart14E83288_opts">"1, 9, 1, False, 2, False, False, , 0, False, False, 1, 2"</definedName>
    <definedName name="cb_sChart14E8F629_opts">"1, 9, 1, False, 2, False, False, , 0, False, False, 1, 2"</definedName>
    <definedName name="cb_sChart14F787E8_opts">"1, 9, 1, False, 2, False, False, , 0, False, False, 1, 2"</definedName>
    <definedName name="cb_sChart14F7947A_opts">"1, 9, 1, False, 2, False, False, , 0, False, False, 1, 2"</definedName>
    <definedName name="cb_sChart14F79A09_opts">"1, 9, 1, False, 2, False, False, , 0, False, False, 1, 2"</definedName>
    <definedName name="cb_sChart14FA60AB_opts">"1, 9, 1, False, 2, False, False, , 0, False, False, 1, 2"</definedName>
    <definedName name="cb_sChart14FA650D_opts">"1, 9, 1, False, 2, False, False, , 0, False, False, 1, 2"</definedName>
    <definedName name="cb_sChart1501ACE3_opts">"1, 8, 1, False, 2, False, False, , 0, False, False, 1, 2"</definedName>
    <definedName name="cb_sChart1501AEF7_opts">"1, 9, 1, False, 2, False, False, , 0, False, False, 1, 2"</definedName>
    <definedName name="cb_sChart1501DCE6_opts">"1, 9, 1, False, 2, False, False, , 0, False, False, 1, 2"</definedName>
    <definedName name="cb_sChart1501EF92_opts">"1, 9, 1, False, 2, False, False, , 0, False, False, 1, 2"</definedName>
    <definedName name="cb_sChart1501F8CB_opts">"1, 9, 1, False, 2, False, False, , 0, False, False, 1, 2"</definedName>
    <definedName name="cb_sChart150208AA_opts">"1, 9, 1, False, 2, False, False, , 0, False, False, 1, 2"</definedName>
    <definedName name="cb_sChart15020EC4_opts">"1, 9, 1, False, 2, False, False, , 0, False, False, 1, 2"</definedName>
    <definedName name="cb_sChart150212BF_opts">"1, 9, 1, False, 2, False, False, , 0, False, False, 1, 2"</definedName>
    <definedName name="cb_sChart15021F68_opts">"1, 9, 1, False, 2, False, False, , 0, False, False, 1, 1"</definedName>
    <definedName name="cb_sChart15022484_opts">"1, 9, 1, False, 2, False, False, , 0, False, False, 1, 2"</definedName>
    <definedName name="cb_sChart150226F5_opts">"1, 9, 1, False, 2, False, False, , 0, False, False, 1, 2"</definedName>
    <definedName name="cb_sChart15144595_opts">"1, 9, 1, False, 2, False, False, , 0, False, False, 1, 2"</definedName>
    <definedName name="cb_sChart15145615_opts">"1, 9, 1, False, 2, False, False, , 0, False, False, 1, 2"</definedName>
    <definedName name="cb_sChart151464B0_opts">"1, 9, 1, False, 2, False, False, , 0, False, False, 1, 2"</definedName>
    <definedName name="cb_sChart15146FA1_opts">"1, 9, 1, False, 2, False, False, , 0, False, False, 1, 2"</definedName>
    <definedName name="cb_sChart15149A94_opts">"1, 9, 1, False, 2, False, False, , 0, False, False, 1, 2"</definedName>
    <definedName name="cb_sChart1514EEC3_opts">"1, 9, 1, False, 2, False, False, , 0, False, False, 1, 2"</definedName>
    <definedName name="cb_sChart1514F2E0_opts">"1, 9, 1, False, 2, False, False, , 0, False, False, 1, 2"</definedName>
    <definedName name="cb_sChart151510A0_opts">"1, 9, 1, False, 2, False, False, , 0, False, False, 1, 2"</definedName>
    <definedName name="cb_sChart15154C37_opts">"1, 9, 1, False, 2, False, False, , 0, False, False, 1, 2"</definedName>
    <definedName name="cb_sChart15157034_opts">"1, 9, 1, False, 2, False, False, , 0, False, False, 1, 2"</definedName>
    <definedName name="cb_sChart1515F81B_opts">"1, 9, 1, False, 2, False, False, , 0, False, False, 1, 2"</definedName>
    <definedName name="cb_sChart1515F9EA_opts">"1, 9, 1, False, 2, False, False, , 0, False, False, 1, 2"</definedName>
    <definedName name="cb_sChart15161029_opts">"1, 9, 1, False, 2, False, False, , 0, False, False, 1, 2"</definedName>
    <definedName name="cb_sChart15163773_opts">"1, 9, 1, False, 2, False, False, , 0, False, False, 1, 2"</definedName>
    <definedName name="cb_sChart15164F8C_opts">"1, 9, 1, False, 2, False, False, , 0, False, False, 1, 2"</definedName>
    <definedName name="cb_sChart15165265_opts">"1, 9, 1, False, 2, False, False, , 0, False, False, 1, 2"</definedName>
    <definedName name="cb_sChart15166173_opts">"1, 9, 1, False, 2, False, False, , 0, False, False, 1, 2"</definedName>
    <definedName name="cb_sChart1516A84C_opts">"1, 9, 1, False, 2, False, False, , 0, False, False, 1, 2"</definedName>
    <definedName name="cb_sChart16EBA7BA_opts">"1, 1, 1, False, 2, True, False, , 0, False, True, 1, 2"</definedName>
    <definedName name="cb_sChart19550B88_opts">"1, 1, 1, False, 2, False, False, , 0, False, False, 1, 1"</definedName>
    <definedName name="cb_sChart1955183C_opts">"2, 1, 1, True, 2, False, False, , 0, False, False, 1, 1"</definedName>
    <definedName name="cb_sChart19551C4E_opts">"2, 1, 1, True, 2, True, False, , 0, False, False, 1, 1"</definedName>
    <definedName name="cb_sChart1955C01A_opts">"2, 1, 1, False, 2, False, False, , 0, False, True, 1, 1"</definedName>
    <definedName name="cb_sChart1955C1C7_opts">"2, 1, 1, True, 2, False, False, , 0, False, True, 1, 1"</definedName>
    <definedName name="cb_sChart19EB7A17_opts">"1, 3, 1, False, 2, False, False, , 0, False, True, 1, 1"</definedName>
    <definedName name="cb_sChart19EB7D70_opts">"1, 5, 1, False, 2, False, False, , 0, False, True, 1, 1"</definedName>
    <definedName name="cb_sChart19EB7F61_opts">"1, 3, 1, False, 2, False, False, , 0, False, True, 1, 1"</definedName>
    <definedName name="cb_sChart1AC0211C_opts">"1, 1, 1, False, 2, False, False, , 0, False, False, 2, 2"</definedName>
    <definedName name="cb_sChart1AC021B3_opts">"1, 1, 1, False, 2, False, False, , 0, False, False, 2, 2"</definedName>
    <definedName name="cb_sChart1AC02226_opts">"1, 1, 1, False, 2, False, False, , 0, False, False, 2, 2"</definedName>
    <definedName name="cb_sChart1AC02446_opts">"1, 1, 1, False, 2, True, False, , 0, False, True, 2, 2"</definedName>
    <definedName name="cb_sChart1AC02765_opts">"1, 1, 1, False, 2, True, False, , 0, False, True, 2, 2"</definedName>
    <definedName name="cb_sChart1AC027D9_opts">"1, 1, 1, False, 2, True, False, , 0, False, True, 2, 2"</definedName>
    <definedName name="cb_sChart1B9A4AFE_opts">"1, 9, 1, False, 2, False, False, , 0, False, False, 1, 2"</definedName>
    <definedName name="cb_sChart1BA1DC3F_opts">"1, 9, 1, False, 2, False, False, , 0, False, False, 1, 2"</definedName>
    <definedName name="cb_sChart1C94B61D_opts">"1, 9, 3, False, 2, False, False, , 0, False, True, 1, 1"</definedName>
    <definedName name="cb_sChart1C94BA0C_opts">"1, 1, 1, False, 2, True, False, , 0, False, True, 1, 1"</definedName>
    <definedName name="cb_sChart1C94BFE1_opts">"1, 9, 1, False, 2, False, False, , 0, False, True, 1, 1"</definedName>
    <definedName name="cc">#REF!</definedName>
    <definedName name="ccc" localSheetId="5">#REF!</definedName>
    <definedName name="ccc">#REF!</definedName>
    <definedName name="cce" localSheetId="38">#REF!</definedName>
    <definedName name="cce" localSheetId="5">#REF!</definedName>
    <definedName name="cce" localSheetId="39">#REF!</definedName>
    <definedName name="cce" localSheetId="36">#REF!</definedName>
    <definedName name="cce" localSheetId="22">#REF!</definedName>
    <definedName name="cce" localSheetId="24">#REF!</definedName>
    <definedName name="cce">#REF!</definedName>
    <definedName name="ccn" localSheetId="38">#REF!</definedName>
    <definedName name="ccn" localSheetId="5">#REF!</definedName>
    <definedName name="ccn" localSheetId="39">#REF!</definedName>
    <definedName name="ccn" localSheetId="36">#REF!</definedName>
    <definedName name="ccn" localSheetId="22">#REF!</definedName>
    <definedName name="ccn" localSheetId="24">#REF!</definedName>
    <definedName name="ccn">#REF!</definedName>
    <definedName name="cde" localSheetId="38">#REF!</definedName>
    <definedName name="cde" localSheetId="5">#REF!</definedName>
    <definedName name="cde" localSheetId="39">#REF!</definedName>
    <definedName name="cde" localSheetId="36">#REF!</definedName>
    <definedName name="cde" localSheetId="22">#REF!</definedName>
    <definedName name="cde" localSheetId="24">#REF!</definedName>
    <definedName name="cde">#REF!</definedName>
    <definedName name="cdi" localSheetId="38">#REF!</definedName>
    <definedName name="cdi" localSheetId="5">#REF!</definedName>
    <definedName name="cdi" localSheetId="39">#REF!</definedName>
    <definedName name="cdi" localSheetId="36">#REF!</definedName>
    <definedName name="cdi" localSheetId="22">#REF!</definedName>
    <definedName name="cdi" localSheetId="24">#REF!</definedName>
    <definedName name="cdi">#REF!</definedName>
    <definedName name="cdp" localSheetId="38">#REF!</definedName>
    <definedName name="cdp" localSheetId="5">#REF!</definedName>
    <definedName name="cdp" localSheetId="39">#REF!</definedName>
    <definedName name="cdp" localSheetId="36">#REF!</definedName>
    <definedName name="cdp" localSheetId="22">#REF!</definedName>
    <definedName name="cdp" localSheetId="24">#REF!</definedName>
    <definedName name="cdp">#REF!</definedName>
    <definedName name="CF" localSheetId="5">#REF!</definedName>
    <definedName name="CF">#REF!</definedName>
    <definedName name="cfc" localSheetId="38">#REF!</definedName>
    <definedName name="cfc" localSheetId="5">#REF!</definedName>
    <definedName name="cfc" localSheetId="39">#REF!</definedName>
    <definedName name="cfc" localSheetId="36">#REF!</definedName>
    <definedName name="cfc" localSheetId="22">#REF!</definedName>
    <definedName name="cfc" localSheetId="24">#REF!</definedName>
    <definedName name="cfc">#REF!</definedName>
    <definedName name="CFormats" localSheetId="5">#REF!</definedName>
    <definedName name="CFormats" localSheetId="24">#REF!</definedName>
    <definedName name="CFormats">#REF!</definedName>
    <definedName name="cfx" localSheetId="38">#REF!</definedName>
    <definedName name="cfx" localSheetId="5">#REF!</definedName>
    <definedName name="cfx" localSheetId="39">#REF!</definedName>
    <definedName name="cfx" localSheetId="36">#REF!</definedName>
    <definedName name="cfx" localSheetId="22">#REF!</definedName>
    <definedName name="cfx" localSheetId="24">#REF!</definedName>
    <definedName name="cfx">#REF!</definedName>
    <definedName name="chart">"Chart 1"</definedName>
    <definedName name="Chongqing" localSheetId="5">#REF!</definedName>
    <definedName name="Chongqing" localSheetId="22">#REF!</definedName>
    <definedName name="Chongqing" localSheetId="24">#REF!</definedName>
    <definedName name="Chongqing">#REF!</definedName>
    <definedName name="cii" localSheetId="38">#REF!</definedName>
    <definedName name="cii" localSheetId="5">#REF!</definedName>
    <definedName name="cii" localSheetId="39">#REF!</definedName>
    <definedName name="cii" localSheetId="36">#REF!</definedName>
    <definedName name="cii" localSheetId="22">#REF!</definedName>
    <definedName name="cii" localSheetId="24">#REF!</definedName>
    <definedName name="cii">#REF!</definedName>
    <definedName name="civ" localSheetId="38">#REF!</definedName>
    <definedName name="civ" localSheetId="5">#REF!</definedName>
    <definedName name="civ" localSheetId="39">#REF!</definedName>
    <definedName name="civ" localSheetId="36">#REF!</definedName>
    <definedName name="civ" localSheetId="22">#REF!</definedName>
    <definedName name="civ" localSheetId="24">#REF!</definedName>
    <definedName name="civ">#REF!</definedName>
    <definedName name="Class_B">68.45</definedName>
    <definedName name="cm">1</definedName>
    <definedName name="cmp" localSheetId="5">#REF!</definedName>
    <definedName name="cmp" localSheetId="24">#REF!</definedName>
    <definedName name="cmp">#REF!</definedName>
    <definedName name="cni" localSheetId="38">#REF!</definedName>
    <definedName name="cni" localSheetId="5">#REF!</definedName>
    <definedName name="cni" localSheetId="39">#REF!</definedName>
    <definedName name="cni" localSheetId="36">#REF!</definedName>
    <definedName name="cni" localSheetId="22">#REF!</definedName>
    <definedName name="cni" localSheetId="24">#REF!</definedName>
    <definedName name="cni">#REF!</definedName>
    <definedName name="Co_Name">"Henderson China Holdings Limited"</definedName>
    <definedName name="coc" localSheetId="38">#REF!</definedName>
    <definedName name="coc" localSheetId="5">#REF!</definedName>
    <definedName name="coc" localSheetId="39">#REF!</definedName>
    <definedName name="coc" localSheetId="36">#REF!</definedName>
    <definedName name="coc" localSheetId="22">#REF!</definedName>
    <definedName name="coc" localSheetId="24">#REF!</definedName>
    <definedName name="coc">#REF!</definedName>
    <definedName name="code" localSheetId="5">#REF!</definedName>
    <definedName name="code" localSheetId="39">#REF!</definedName>
    <definedName name="code" localSheetId="22">#REF!</definedName>
    <definedName name="code" localSheetId="24">#REF!</definedName>
    <definedName name="code">#REF!</definedName>
    <definedName name="codeDestination" localSheetId="5">#REF!</definedName>
    <definedName name="codeDestination" localSheetId="24">#REF!</definedName>
    <definedName name="codeDestination">#REF!</definedName>
    <definedName name="CODELK_Path" localSheetId="5">#REF!</definedName>
    <definedName name="CODELK_Path" localSheetId="24">#REF!</definedName>
    <definedName name="CODELK_Path">#REF!</definedName>
    <definedName name="coi" localSheetId="38">#REF!</definedName>
    <definedName name="coi" localSheetId="5">#REF!</definedName>
    <definedName name="coi" localSheetId="39">#REF!</definedName>
    <definedName name="coi" localSheetId="36">#REF!</definedName>
    <definedName name="coi" localSheetId="22">#REF!</definedName>
    <definedName name="coi" localSheetId="24">#REF!</definedName>
    <definedName name="coi">#REF!</definedName>
    <definedName name="ColumnHeading" localSheetId="5">#REF!</definedName>
    <definedName name="ColumnHeading" localSheetId="24">#REF!</definedName>
    <definedName name="ColumnHeading">#REF!</definedName>
    <definedName name="companyname" localSheetId="5">#REF!</definedName>
    <definedName name="companyname" localSheetId="39">#REF!</definedName>
    <definedName name="companyname" localSheetId="22">#REF!</definedName>
    <definedName name="companyname" localSheetId="24">#REF!</definedName>
    <definedName name="companyname">#REF!</definedName>
    <definedName name="Consolidation">#REF!</definedName>
    <definedName name="cop" localSheetId="38">#REF!</definedName>
    <definedName name="cop" localSheetId="5">#REF!</definedName>
    <definedName name="cop" localSheetId="39">#REF!</definedName>
    <definedName name="cop" localSheetId="36">#REF!</definedName>
    <definedName name="cop" localSheetId="22">#REF!</definedName>
    <definedName name="cop" localSheetId="24">#REF!</definedName>
    <definedName name="cop">#REF!</definedName>
    <definedName name="CopyArea" localSheetId="38">#REF!</definedName>
    <definedName name="CopyArea" localSheetId="5">#REF!</definedName>
    <definedName name="CopyArea" localSheetId="36">#REF!</definedName>
    <definedName name="CopyArea" localSheetId="22">#REF!</definedName>
    <definedName name="CopyArea" localSheetId="24">#REF!</definedName>
    <definedName name="CopyArea">#REF!</definedName>
    <definedName name="CopyrightStamp" localSheetId="5">#REF!</definedName>
    <definedName name="CopyrightStamp" localSheetId="22">#REF!</definedName>
    <definedName name="CopyrightStamp" localSheetId="24">#REF!</definedName>
    <definedName name="CopyrightStamp">#REF!</definedName>
    <definedName name="Cost_of_services">#REF!</definedName>
    <definedName name="cot" localSheetId="38">#REF!</definedName>
    <definedName name="cot" localSheetId="5">#REF!</definedName>
    <definedName name="cot" localSheetId="39">#REF!</definedName>
    <definedName name="cot" localSheetId="36">#REF!</definedName>
    <definedName name="cot" localSheetId="22">#REF!</definedName>
    <definedName name="cot" localSheetId="24">#REF!</definedName>
    <definedName name="cot">#REF!</definedName>
    <definedName name="Country" localSheetId="5">#REF!</definedName>
    <definedName name="Country" localSheetId="39">#REF!</definedName>
    <definedName name="Country" localSheetId="22">#REF!</definedName>
    <definedName name="Country" localSheetId="24">#REF!</definedName>
    <definedName name="Country">#REF!</definedName>
    <definedName name="csi" localSheetId="38">#REF!</definedName>
    <definedName name="csi" localSheetId="5">#REF!</definedName>
    <definedName name="csi" localSheetId="39">#REF!</definedName>
    <definedName name="csi" localSheetId="36">#REF!</definedName>
    <definedName name="csi" localSheetId="22">#REF!</definedName>
    <definedName name="csi" localSheetId="24">#REF!</definedName>
    <definedName name="csi">#REF!</definedName>
    <definedName name="cta" localSheetId="38">#REF!</definedName>
    <definedName name="cta" localSheetId="5">#REF!</definedName>
    <definedName name="cta" localSheetId="39">#REF!</definedName>
    <definedName name="cta" localSheetId="36">#REF!</definedName>
    <definedName name="cta" localSheetId="22">#REF!</definedName>
    <definedName name="cta" localSheetId="24">#REF!</definedName>
    <definedName name="cta">#REF!</definedName>
    <definedName name="CTopics" localSheetId="5">#REF!</definedName>
    <definedName name="CTopics" localSheetId="24">#REF!</definedName>
    <definedName name="CTopics">#REF!</definedName>
    <definedName name="currency" localSheetId="5">#REF!</definedName>
    <definedName name="currency" localSheetId="39">#REF!</definedName>
    <definedName name="currency" localSheetId="22">#REF!</definedName>
    <definedName name="currency" localSheetId="24">#REF!</definedName>
    <definedName name="currency">#REF!</definedName>
    <definedName name="CurrencyTable" localSheetId="38">#REF!</definedName>
    <definedName name="CurrencyTable" localSheetId="5">#REF!</definedName>
    <definedName name="CurrencyTable" localSheetId="36">#REF!</definedName>
    <definedName name="CurrencyTable" localSheetId="22">#REF!</definedName>
    <definedName name="CurrencyTable" localSheetId="24">#REF!</definedName>
    <definedName name="CurrencyTable">#REF!</definedName>
    <definedName name="CurrList">#REF!</definedName>
    <definedName name="cwo" localSheetId="38">#REF!</definedName>
    <definedName name="cwo" localSheetId="5">#REF!</definedName>
    <definedName name="cwo" localSheetId="39">#REF!</definedName>
    <definedName name="cwo" localSheetId="36">#REF!</definedName>
    <definedName name="cwo" localSheetId="22">#REF!</definedName>
    <definedName name="cwo" localSheetId="24">#REF!</definedName>
    <definedName name="cwo">#REF!</definedName>
    <definedName name="cwt" localSheetId="38">#REF!</definedName>
    <definedName name="cwt" localSheetId="5">#REF!</definedName>
    <definedName name="cwt" localSheetId="39">#REF!</definedName>
    <definedName name="cwt" localSheetId="36">#REF!</definedName>
    <definedName name="cwt" localSheetId="22">#REF!</definedName>
    <definedName name="cwt" localSheetId="24">#REF!</definedName>
    <definedName name="cwt">#REF!</definedName>
    <definedName name="d" localSheetId="5">#REF!</definedName>
    <definedName name="d" localSheetId="22">#REF!</definedName>
    <definedName name="d" localSheetId="24">#REF!</definedName>
    <definedName name="d">#REF!</definedName>
    <definedName name="D_bdg" localSheetId="5">#REF!</definedName>
    <definedName name="D_bdg">#REF!</definedName>
    <definedName name="D_elec" localSheetId="5">#REF!</definedName>
    <definedName name="D_elec">#REF!</definedName>
    <definedName name="D_machine" localSheetId="5">#REF!</definedName>
    <definedName name="D_machine">#REF!</definedName>
    <definedName name="D_other" localSheetId="5">#REF!</definedName>
    <definedName name="D_other">#REF!</definedName>
    <definedName name="D_rate">#REF!</definedName>
    <definedName name="D_trans" localSheetId="5">#REF!</definedName>
    <definedName name="D_trans">#REF!</definedName>
    <definedName name="daf" localSheetId="38">#REF!</definedName>
    <definedName name="daf" localSheetId="5">#REF!</definedName>
    <definedName name="daf" localSheetId="36">#REF!</definedName>
    <definedName name="daf" localSheetId="22">#REF!</definedName>
    <definedName name="daf" localSheetId="24">#REF!</definedName>
    <definedName name="daf">#REF!</definedName>
    <definedName name="dai" localSheetId="38">#REF!</definedName>
    <definedName name="dai" localSheetId="5">#REF!</definedName>
    <definedName name="dai" localSheetId="36">#REF!</definedName>
    <definedName name="dai" localSheetId="22">#REF!</definedName>
    <definedName name="dai" localSheetId="24">#REF!</definedName>
    <definedName name="dai">#REF!</definedName>
    <definedName name="das" localSheetId="38">#REF!</definedName>
    <definedName name="das" localSheetId="5">#REF!</definedName>
    <definedName name="das" localSheetId="36">#REF!</definedName>
    <definedName name="das" localSheetId="22">#REF!</definedName>
    <definedName name="das" localSheetId="24">#REF!</definedName>
    <definedName name="das">#REF!</definedName>
    <definedName name="data" localSheetId="5">#REF!</definedName>
    <definedName name="data">#REF!</definedName>
    <definedName name="dataseries4">OFFSET(#REF!,0,0,COUNTA(#REF!),1)</definedName>
    <definedName name="Date" localSheetId="5">#REF!</definedName>
    <definedName name="Date">#REF!</definedName>
    <definedName name="DATES" localSheetId="38">#REF!</definedName>
    <definedName name="DATES" localSheetId="5">#REF!</definedName>
    <definedName name="DATES" localSheetId="36">#REF!</definedName>
    <definedName name="DATES" localSheetId="22">#REF!</definedName>
    <definedName name="DATES" localSheetId="24">#REF!</definedName>
    <definedName name="DATES">#REF!</definedName>
    <definedName name="dbteq98">#REF!</definedName>
    <definedName name="dbteq99" localSheetId="5">#REF!</definedName>
    <definedName name="dbteq99">#REF!</definedName>
    <definedName name="dcf">"311A3B95-A1F3-11D5-89A6-009027910F4C"</definedName>
    <definedName name="DCFNEW" localSheetId="5">#REF!</definedName>
    <definedName name="DCFNEW">#REF!</definedName>
    <definedName name="dddfs" localSheetId="5">#REF!</definedName>
    <definedName name="dddfs" localSheetId="22">#REF!</definedName>
    <definedName name="dddfs" localSheetId="24">#REF!</definedName>
    <definedName name="dddfs">#REF!</definedName>
    <definedName name="de" localSheetId="5">#REF!</definedName>
    <definedName name="de">#REF!</definedName>
    <definedName name="deposit_growth" localSheetId="5">#REF!</definedName>
    <definedName name="deposit_growth">#REF!</definedName>
    <definedName name="Depreciation_and_amortization">#REF!</definedName>
    <definedName name="Depreciation_of_roads" localSheetId="38">#REF!</definedName>
    <definedName name="Depreciation_of_roads" localSheetId="5">#REF!</definedName>
    <definedName name="Depreciation_of_roads" localSheetId="36">#REF!</definedName>
    <definedName name="Depreciation_of_roads" localSheetId="22">#REF!</definedName>
    <definedName name="Depreciation_of_roads" localSheetId="24">#REF!</definedName>
    <definedName name="Depreciation_of_roads">#REF!</definedName>
    <definedName name="DES" localSheetId="38">#REF!</definedName>
    <definedName name="DES" localSheetId="5">#REF!</definedName>
    <definedName name="DES" localSheetId="36">#REF!</definedName>
    <definedName name="DES" localSheetId="22">#REF!</definedName>
    <definedName name="DES" localSheetId="24">#REF!</definedName>
    <definedName name="DES">#REF!</definedName>
    <definedName name="DetailColumns" localSheetId="5">#REF!</definedName>
    <definedName name="DetailColumns" localSheetId="24">#REF!</definedName>
    <definedName name="DetailColumns">#REF!</definedName>
    <definedName name="dfas" localSheetId="5">{"Client Name or Project Name"}</definedName>
    <definedName name="dfas" localSheetId="27">{"Client Name or Project Name"}</definedName>
    <definedName name="dfas" localSheetId="24">{"Client Name or Project Name"}</definedName>
    <definedName name="dfas">{"Client Name or Project Name"}</definedName>
    <definedName name="dfas_1">{"Client Name or Project Name"}</definedName>
    <definedName name="dfd" localSheetId="38">#REF!</definedName>
    <definedName name="dfd" localSheetId="5">#REF!</definedName>
    <definedName name="dfd" localSheetId="39">#REF!</definedName>
    <definedName name="dfd" localSheetId="36">#REF!</definedName>
    <definedName name="dfd" localSheetId="22">#REF!</definedName>
    <definedName name="dfd" localSheetId="24">#REF!</definedName>
    <definedName name="dfd">#REF!</definedName>
    <definedName name="did" localSheetId="38">#REF!</definedName>
    <definedName name="did" localSheetId="5">#REF!</definedName>
    <definedName name="did" localSheetId="39">#REF!</definedName>
    <definedName name="did" localSheetId="36">#REF!</definedName>
    <definedName name="did" localSheetId="22">#REF!</definedName>
    <definedName name="did" localSheetId="24">#REF!</definedName>
    <definedName name="did">#REF!</definedName>
    <definedName name="Dis_Rate">16%</definedName>
    <definedName name="DISC_RATE" localSheetId="5">#REF!</definedName>
    <definedName name="DISC_RATE" localSheetId="24">#REF!</definedName>
    <definedName name="DISC_RATE">#REF!</definedName>
    <definedName name="DISC_RATE1" localSheetId="5">#REF!</definedName>
    <definedName name="DISC_RATE1" localSheetId="24">#REF!</definedName>
    <definedName name="DISC_RATE1">#REF!</definedName>
    <definedName name="DisclosuresText" localSheetId="5">#REF!</definedName>
    <definedName name="DisclosuresText" localSheetId="22">#REF!</definedName>
    <definedName name="DisclosuresText" localSheetId="24">#REF!</definedName>
    <definedName name="DisclosuresText">#REF!</definedName>
    <definedName name="dpy" localSheetId="5">#REF!</definedName>
    <definedName name="dpy" localSheetId="22">#REF!</definedName>
    <definedName name="dpy" localSheetId="24">#REF!</definedName>
    <definedName name="dpy">#REF!</definedName>
    <definedName name="dsd" localSheetId="38">#REF!</definedName>
    <definedName name="dsd" localSheetId="5">#REF!</definedName>
    <definedName name="dsd" localSheetId="39">#REF!</definedName>
    <definedName name="dsd" localSheetId="36">#REF!</definedName>
    <definedName name="dsd" localSheetId="22">#REF!</definedName>
    <definedName name="dsd" localSheetId="24">#REF!</definedName>
    <definedName name="dsd">#REF!</definedName>
    <definedName name="DSDDE_Path" localSheetId="5">#REF!</definedName>
    <definedName name="DSDDE_Path" localSheetId="24">#REF!</definedName>
    <definedName name="DSDDE_Path">#REF!</definedName>
    <definedName name="dtd" localSheetId="38">#REF!</definedName>
    <definedName name="dtd" localSheetId="5">#REF!</definedName>
    <definedName name="dtd" localSheetId="39">#REF!</definedName>
    <definedName name="dtd" localSheetId="36">#REF!</definedName>
    <definedName name="dtd" localSheetId="22">#REF!</definedName>
    <definedName name="dtd" localSheetId="24">#REF!</definedName>
    <definedName name="dtd">#REF!</definedName>
    <definedName name="e" localSheetId="5">#REF!</definedName>
    <definedName name="E" localSheetId="22">#REF!</definedName>
    <definedName name="E" localSheetId="24">#REF!</definedName>
    <definedName name="E">#REF!</definedName>
    <definedName name="eaa" localSheetId="38">#REF!</definedName>
    <definedName name="eaa" localSheetId="5">#REF!</definedName>
    <definedName name="eaa" localSheetId="39">#REF!</definedName>
    <definedName name="eaa" localSheetId="36">#REF!</definedName>
    <definedName name="eaa" localSheetId="22">#REF!</definedName>
    <definedName name="eaa" localSheetId="24">#REF!</definedName>
    <definedName name="eaa">#REF!</definedName>
    <definedName name="eap" localSheetId="38">#REF!</definedName>
    <definedName name="eap" localSheetId="5">#REF!</definedName>
    <definedName name="eap" localSheetId="39">#REF!</definedName>
    <definedName name="eap" localSheetId="36">#REF!</definedName>
    <definedName name="eap" localSheetId="22">#REF!</definedName>
    <definedName name="eap" localSheetId="24">#REF!</definedName>
    <definedName name="eap">#REF!</definedName>
    <definedName name="eat" localSheetId="38">#REF!</definedName>
    <definedName name="eat" localSheetId="5">#REF!</definedName>
    <definedName name="eat" localSheetId="39">#REF!</definedName>
    <definedName name="eat" localSheetId="36">#REF!</definedName>
    <definedName name="eat" localSheetId="22">#REF!</definedName>
    <definedName name="eat" localSheetId="24">#REF!</definedName>
    <definedName name="eat">#REF!</definedName>
    <definedName name="EBIT">#REF!</definedName>
    <definedName name="EBITDA">#REF!</definedName>
    <definedName name="EBITDA_per_share">#REF!</definedName>
    <definedName name="EBT">#REF!</definedName>
    <definedName name="enp" localSheetId="38">#REF!</definedName>
    <definedName name="enp" localSheetId="5">#REF!</definedName>
    <definedName name="enp" localSheetId="39">#REF!</definedName>
    <definedName name="enp" localSheetId="36">#REF!</definedName>
    <definedName name="enp" localSheetId="22">#REF!</definedName>
    <definedName name="enp" localSheetId="24">#REF!</definedName>
    <definedName name="enp">#REF!</definedName>
    <definedName name="epa" localSheetId="38">#REF!</definedName>
    <definedName name="epa" localSheetId="5">#REF!</definedName>
    <definedName name="epa" localSheetId="39">#REF!</definedName>
    <definedName name="epa" localSheetId="36">#REF!</definedName>
    <definedName name="epa" localSheetId="22">#REF!</definedName>
    <definedName name="epa" localSheetId="24">#REF!</definedName>
    <definedName name="epa">#REF!</definedName>
    <definedName name="epc" localSheetId="38">#REF!</definedName>
    <definedName name="epc" localSheetId="5">#REF!</definedName>
    <definedName name="epc" localSheetId="39">#REF!</definedName>
    <definedName name="epc" localSheetId="36">#REF!</definedName>
    <definedName name="epc" localSheetId="22">#REF!</definedName>
    <definedName name="epc" localSheetId="24">#REF!</definedName>
    <definedName name="epc">#REF!</definedName>
    <definedName name="EPS">#REF!</definedName>
    <definedName name="epw" localSheetId="38">#REF!</definedName>
    <definedName name="epw" localSheetId="5">#REF!</definedName>
    <definedName name="epw" localSheetId="39">#REF!</definedName>
    <definedName name="epw" localSheetId="36">#REF!</definedName>
    <definedName name="epw" localSheetId="22">#REF!</definedName>
    <definedName name="epw" localSheetId="24">#REF!</definedName>
    <definedName name="epw">#REF!</definedName>
    <definedName name="epx" localSheetId="38">#REF!</definedName>
    <definedName name="epx" localSheetId="5">#REF!</definedName>
    <definedName name="epx" localSheetId="39">#REF!</definedName>
    <definedName name="epx" localSheetId="36">#REF!</definedName>
    <definedName name="epx" localSheetId="22">#REF!</definedName>
    <definedName name="epx" localSheetId="24">#REF!</definedName>
    <definedName name="epx">#REF!</definedName>
    <definedName name="EquityAdjustments">0</definedName>
    <definedName name="EquityEmployeeStockOwnershipPlan">0</definedName>
    <definedName name="EquityPaidInCapital">0</definedName>
    <definedName name="EquityTreasuryStock">0</definedName>
    <definedName name="ethg" localSheetId="5">{"'RCIM'!$E$128"}</definedName>
    <definedName name="ethg" localSheetId="27">{"'RCIM'!$E$128"}</definedName>
    <definedName name="ethg" localSheetId="22">{"'RCIM'!$E$128"}</definedName>
    <definedName name="ethg" localSheetId="24">{"'RCIM'!$E$128"}</definedName>
    <definedName name="ethg">{"'RCIM'!$E$128"}</definedName>
    <definedName name="ethg_1">{"'RCIM'!$E$128"}</definedName>
    <definedName name="etr" localSheetId="38">#REF!</definedName>
    <definedName name="etr" localSheetId="5">#REF!</definedName>
    <definedName name="etr" localSheetId="36">#REF!</definedName>
    <definedName name="etr" localSheetId="22">#REF!</definedName>
    <definedName name="etr" localSheetId="24">#REF!</definedName>
    <definedName name="etr">#REF!</definedName>
    <definedName name="ev.Calculation">-4135</definedName>
    <definedName name="ev.Initialized">FALSE</definedName>
    <definedName name="event" localSheetId="38">#REF!</definedName>
    <definedName name="event" localSheetId="5">#REF!</definedName>
    <definedName name="event" localSheetId="39">#REF!</definedName>
    <definedName name="event" localSheetId="36">#REF!</definedName>
    <definedName name="event" localSheetId="22">#REF!</definedName>
    <definedName name="event" localSheetId="24">#REF!</definedName>
    <definedName name="event">#REF!</definedName>
    <definedName name="Ex_Shares">#REF!</definedName>
    <definedName name="Excel_Version" localSheetId="5">#REF!</definedName>
    <definedName name="Excel_Version" localSheetId="24">#REF!</definedName>
    <definedName name="Excel_Version">#REF!</definedName>
    <definedName name="Exch">" Sheet2!$F$2"</definedName>
    <definedName name="Exchange" localSheetId="5">#REF!</definedName>
    <definedName name="Exchange" localSheetId="22">#REF!</definedName>
    <definedName name="Exchange" localSheetId="24">#REF!</definedName>
    <definedName name="Exchange">#REF!</definedName>
    <definedName name="ext" localSheetId="38">#REF!</definedName>
    <definedName name="ext" localSheetId="5">#REF!</definedName>
    <definedName name="ext" localSheetId="39">#REF!</definedName>
    <definedName name="ext" localSheetId="36">#REF!</definedName>
    <definedName name="ext" localSheetId="22">#REF!</definedName>
    <definedName name="ext" localSheetId="24">#REF!</definedName>
    <definedName name="ext">#REF!</definedName>
    <definedName name="ExtFiles" localSheetId="5">#REF!</definedName>
    <definedName name="ExtFiles" localSheetId="24">#REF!</definedName>
    <definedName name="ExtFiles">#REF!</definedName>
    <definedName name="f" localSheetId="5">#REF!</definedName>
    <definedName name="f" localSheetId="22">#REF!</definedName>
    <definedName name="f" localSheetId="24">#REF!</definedName>
    <definedName name="f">#REF!</definedName>
    <definedName name="fair_value" localSheetId="5">#REF!</definedName>
    <definedName name="fair_value">#REF!</definedName>
    <definedName name="FairValuePS" localSheetId="5">#REF!</definedName>
    <definedName name="FairValuePS" localSheetId="22">#REF!</definedName>
    <definedName name="FairValuePS" localSheetId="24">#REF!</definedName>
    <definedName name="FairValuePS">#REF!</definedName>
    <definedName name="FAM">#REF!</definedName>
    <definedName name="fgh" localSheetId="5">#REF!</definedName>
    <definedName name="fgh">#REF!</definedName>
    <definedName name="FinalYear" localSheetId="38">#REF!</definedName>
    <definedName name="FinalYear" localSheetId="5">#REF!</definedName>
    <definedName name="FinalYear" localSheetId="39">#REF!</definedName>
    <definedName name="FinalYear" localSheetId="36">#REF!</definedName>
    <definedName name="FinalYear" localSheetId="22">#REF!</definedName>
    <definedName name="FinalYear" localSheetId="24">#REF!</definedName>
    <definedName name="FinalYear">#REF!</definedName>
    <definedName name="Formats" localSheetId="5">#REF!</definedName>
    <definedName name="Formats" localSheetId="24">#REF!</definedName>
    <definedName name="Formats">#REF!</definedName>
    <definedName name="FREQS" localSheetId="5">#REF!</definedName>
    <definedName name="FREQS" localSheetId="24">#REF!</definedName>
    <definedName name="FREQS">#REF!</definedName>
    <definedName name="Fully_taxed_EPS">#REF!</definedName>
    <definedName name="FundingStructure">#REF!</definedName>
    <definedName name="future" localSheetId="5">#REF!</definedName>
    <definedName name="future">#REF!</definedName>
    <definedName name="fxa" localSheetId="38">#REF!</definedName>
    <definedName name="fxa" localSheetId="5">#REF!</definedName>
    <definedName name="fxa" localSheetId="36">#REF!</definedName>
    <definedName name="fxa" localSheetId="22">#REF!</definedName>
    <definedName name="fxa" localSheetId="24">#REF!</definedName>
    <definedName name="fxa">#REF!</definedName>
    <definedName name="fxe" localSheetId="38">#REF!</definedName>
    <definedName name="fxe" localSheetId="5">#REF!</definedName>
    <definedName name="fxe" localSheetId="39">#REF!</definedName>
    <definedName name="fxe" localSheetId="36">#REF!</definedName>
    <definedName name="fxe" localSheetId="22">#REF!</definedName>
    <definedName name="fxe" localSheetId="24">#REF!</definedName>
    <definedName name="fxe">#REF!</definedName>
    <definedName name="FY1993_" localSheetId="38">#REF!</definedName>
    <definedName name="FY1993_" localSheetId="5">#REF!</definedName>
    <definedName name="FY1993_" localSheetId="36">#REF!</definedName>
    <definedName name="FY1993_" localSheetId="22">#REF!</definedName>
    <definedName name="FY1993_" localSheetId="24">#REF!</definedName>
    <definedName name="FY1993_">#REF!</definedName>
    <definedName name="FY1994_" localSheetId="38">#REF!</definedName>
    <definedName name="FY1994_" localSheetId="5">#REF!</definedName>
    <definedName name="FY1994_" localSheetId="36">#REF!</definedName>
    <definedName name="FY1994_" localSheetId="22">#REF!</definedName>
    <definedName name="FY1994_" localSheetId="24">#REF!</definedName>
    <definedName name="FY1994_">#REF!</definedName>
    <definedName name="FY1995_" localSheetId="38">#REF!</definedName>
    <definedName name="FY1995_" localSheetId="5">#REF!</definedName>
    <definedName name="FY1995_" localSheetId="36">#REF!</definedName>
    <definedName name="FY1995_" localSheetId="22">#REF!</definedName>
    <definedName name="FY1995_" localSheetId="24">#REF!</definedName>
    <definedName name="FY1995_">#REF!</definedName>
    <definedName name="FY1996_" localSheetId="38">#REF!</definedName>
    <definedName name="FY1996_" localSheetId="5">#REF!</definedName>
    <definedName name="FY1996_" localSheetId="36">#REF!</definedName>
    <definedName name="FY1996_" localSheetId="22">#REF!</definedName>
    <definedName name="FY1996_" localSheetId="24">#REF!</definedName>
    <definedName name="FY1996_">#REF!</definedName>
    <definedName name="FY1997_" localSheetId="38">#REF!</definedName>
    <definedName name="FY1997_" localSheetId="5">#REF!</definedName>
    <definedName name="FY1997_" localSheetId="36">#REF!</definedName>
    <definedName name="FY1997_" localSheetId="22">#REF!</definedName>
    <definedName name="FY1997_" localSheetId="24">#REF!</definedName>
    <definedName name="FY1997_">#REF!</definedName>
    <definedName name="FY1998_" localSheetId="38">#REF!</definedName>
    <definedName name="FY1998_" localSheetId="5">#REF!</definedName>
    <definedName name="FY1998_" localSheetId="36">#REF!</definedName>
    <definedName name="FY1998_" localSheetId="22">#REF!</definedName>
    <definedName name="FY1998_" localSheetId="24">#REF!</definedName>
    <definedName name="FY1998_">#REF!</definedName>
    <definedName name="FY1999_" localSheetId="38">#REF!</definedName>
    <definedName name="FY1999_" localSheetId="5">#REF!</definedName>
    <definedName name="FY1999_" localSheetId="36">#REF!</definedName>
    <definedName name="FY1999_" localSheetId="22">#REF!</definedName>
    <definedName name="FY1999_" localSheetId="24">#REF!</definedName>
    <definedName name="FY1999_">#REF!</definedName>
    <definedName name="FY2000_" localSheetId="38">#REF!</definedName>
    <definedName name="FY2000_" localSheetId="5">#REF!</definedName>
    <definedName name="FY2000_" localSheetId="36">#REF!</definedName>
    <definedName name="FY2000_" localSheetId="22">#REF!</definedName>
    <definedName name="FY2000_" localSheetId="24">#REF!</definedName>
    <definedName name="FY2000_">#REF!</definedName>
    <definedName name="FY2001_" localSheetId="38">#REF!</definedName>
    <definedName name="FY2001_" localSheetId="5">#REF!</definedName>
    <definedName name="FY2001_" localSheetId="36">#REF!</definedName>
    <definedName name="FY2001_" localSheetId="22">#REF!</definedName>
    <definedName name="FY2001_" localSheetId="24">#REF!</definedName>
    <definedName name="FY2001_">#REF!</definedName>
    <definedName name="FY2002_" localSheetId="38">#REF!</definedName>
    <definedName name="FY2002_" localSheetId="5">#REF!</definedName>
    <definedName name="FY2002_" localSheetId="36">#REF!</definedName>
    <definedName name="FY2002_" localSheetId="22">#REF!</definedName>
    <definedName name="FY2002_" localSheetId="24">#REF!</definedName>
    <definedName name="FY2002_">#REF!</definedName>
    <definedName name="FY2003_" localSheetId="38">#REF!</definedName>
    <definedName name="FY2003_" localSheetId="5">#REF!</definedName>
    <definedName name="FY2003_" localSheetId="36">#REF!</definedName>
    <definedName name="FY2003_" localSheetId="22">#REF!</definedName>
    <definedName name="FY2003_" localSheetId="24">#REF!</definedName>
    <definedName name="FY2003_">#REF!</definedName>
    <definedName name="FY2004_" localSheetId="38">#REF!</definedName>
    <definedName name="FY2004_" localSheetId="5">#REF!</definedName>
    <definedName name="FY2004_" localSheetId="36">#REF!</definedName>
    <definedName name="FY2004_" localSheetId="22">#REF!</definedName>
    <definedName name="FY2004_" localSheetId="24">#REF!</definedName>
    <definedName name="FY2004_">#REF!</definedName>
    <definedName name="FY2005_" localSheetId="38">#REF!</definedName>
    <definedName name="FY2005_" localSheetId="5">#REF!</definedName>
    <definedName name="FY2005_" localSheetId="36">#REF!</definedName>
    <definedName name="FY2005_" localSheetId="22">#REF!</definedName>
    <definedName name="FY2005_" localSheetId="24">#REF!</definedName>
    <definedName name="FY2005_">#REF!</definedName>
    <definedName name="g" localSheetId="5">#REF!</definedName>
    <definedName name="G" localSheetId="22">#REF!</definedName>
    <definedName name="G" localSheetId="24">#REF!</definedName>
    <definedName name="G">#REF!</definedName>
    <definedName name="GBP_EUR" localSheetId="5">#REF!</definedName>
    <definedName name="GBP_EUR">#REF!</definedName>
    <definedName name="Gearing">#REF!</definedName>
    <definedName name="Germany" localSheetId="5">{"Cereva Networks, Inc"}</definedName>
    <definedName name="Germany" localSheetId="27">{"Cereva Networks, Inc"}</definedName>
    <definedName name="Germany" localSheetId="22">{"Cereva Networks, Inc"}</definedName>
    <definedName name="Germany" localSheetId="24">{"Cereva Networks, Inc"}</definedName>
    <definedName name="Germany">{"Cereva Networks, Inc"}</definedName>
    <definedName name="Germany_1">{"Cereva Networks, Inc"}</definedName>
    <definedName name="global">#REF!</definedName>
    <definedName name="Goodwill_Amortization">25</definedName>
    <definedName name="GRD_EUR" localSheetId="5">#REF!</definedName>
    <definedName name="GRD_EUR">#REF!</definedName>
    <definedName name="Gross_profit">#REF!</definedName>
    <definedName name="Growth" localSheetId="5">#REF!</definedName>
    <definedName name="Growth">#REF!</definedName>
    <definedName name="Guangxi" localSheetId="5">#REF!</definedName>
    <definedName name="Guangxi" localSheetId="22">#REF!</definedName>
    <definedName name="Guangxi" localSheetId="24">#REF!</definedName>
    <definedName name="Guangxi">#REF!</definedName>
    <definedName name="GWyears">40</definedName>
    <definedName name="HalfReview" localSheetId="5">{"Client Name or Project Name"}</definedName>
    <definedName name="HalfReview" localSheetId="27">{"Client Name or Project Name"}</definedName>
    <definedName name="HalfReview" localSheetId="24">{"Client Name or Project Name"}</definedName>
    <definedName name="HalfReview">{"Client Name or Project Name"}</definedName>
    <definedName name="HalfReview_1">{"Client Name or Project Name"}</definedName>
    <definedName name="HangSeng">#REF!</definedName>
    <definedName name="Hei" localSheetId="5">#REF!</definedName>
    <definedName name="Hei" localSheetId="22">#REF!</definedName>
    <definedName name="Hei" localSheetId="24">#REF!</definedName>
    <definedName name="Hei">#REF!</definedName>
    <definedName name="Heilongjiang" localSheetId="5">#REF!</definedName>
    <definedName name="Heilongjiang" localSheetId="22">#REF!</definedName>
    <definedName name="Heilongjiang" localSheetId="24">#REF!</definedName>
    <definedName name="Heilongjiang">#REF!</definedName>
    <definedName name="help" localSheetId="5">{"'RCIM'!$E$128"}</definedName>
    <definedName name="help" localSheetId="27">{"'RCIM'!$E$128"}</definedName>
    <definedName name="help" localSheetId="22">{"'RCIM'!$E$128"}</definedName>
    <definedName name="help" localSheetId="24">{"'RCIM'!$E$128"}</definedName>
    <definedName name="help">{"'RCIM'!$E$128"}</definedName>
    <definedName name="help_1">{"'RCIM'!$E$128"}</definedName>
    <definedName name="Henan" localSheetId="5">#REF!</definedName>
    <definedName name="Henan" localSheetId="22">#REF!</definedName>
    <definedName name="Henan" localSheetId="24">#REF!</definedName>
    <definedName name="Henan">#REF!</definedName>
    <definedName name="hervor" localSheetId="5">#REF!</definedName>
    <definedName name="hervor" localSheetId="24">#REF!</definedName>
    <definedName name="hervor">#REF!</definedName>
    <definedName name="hinten" localSheetId="5">#REF!</definedName>
    <definedName name="hinten" localSheetId="24">#REF!</definedName>
    <definedName name="hinten">#REF!</definedName>
    <definedName name="hjhjhj" localSheetId="5">{#N/A,#N/A,FALSE,"Index";"Stmts_Qtrs",#N/A,FALSE,"Summary";"Stmts_24 mo",#N/A,FALSE,"Summary";"Summary_24",#N/A,FALSE,"Revenue";"Month_24",#N/A,FALSE,"Engineering";"Month_24",#N/A,FALSE,"Marketing";"Month_24",#N/A,FALSE,"G &amp; A";"Month_24",#N/A,FALSE,"Manufacturing"}</definedName>
    <definedName name="hjhjhj" localSheetId="27">{#N/A,#N/A,FALSE,"Index";"Stmts_Qtrs",#N/A,FALSE,"Summary";"Stmts_24 mo",#N/A,FALSE,"Summary";"Summary_24",#N/A,FALSE,"Revenue";"Month_24",#N/A,FALSE,"Engineering";"Month_24",#N/A,FALSE,"Marketing";"Month_24",#N/A,FALSE,"G &amp; A";"Month_24",#N/A,FALSE,"Manufacturing"}</definedName>
    <definedName name="hjhjhj" localSheetId="22">{#N/A,#N/A,FALSE,"Index";"Stmts_Qtrs",#N/A,FALSE,"Summary";"Stmts_24 mo",#N/A,FALSE,"Summary";"Summary_24",#N/A,FALSE,"Revenue";"Month_24",#N/A,FALSE,"Engineering";"Month_24",#N/A,FALSE,"Marketing";"Month_24",#N/A,FALSE,"G &amp; A";"Month_24",#N/A,FALSE,"Manufacturing"}</definedName>
    <definedName name="hjhjhj" localSheetId="24">{#N/A,#N/A,FALSE,"Index";"Stmts_Qtrs",#N/A,FALSE,"Summary";"Stmts_24 mo",#N/A,FALSE,"Summary";"Summary_24",#N/A,FALSE,"Revenue";"Month_24",#N/A,FALSE,"Engineering";"Month_24",#N/A,FALSE,"Marketing";"Month_24",#N/A,FALSE,"G &amp; A";"Month_24",#N/A,FALSE,"Manufacturing"}</definedName>
    <definedName name="hjhjhj">{#N/A,#N/A,FALSE,"Index";"Stmts_Qtrs",#N/A,FALSE,"Summary";"Stmts_24 mo",#N/A,FALSE,"Summary";"Summary_24",#N/A,FALSE,"Revenue";"Month_24",#N/A,FALSE,"Engineering";"Month_24",#N/A,FALSE,"Marketing";"Month_24",#N/A,FALSE,"G &amp; A";"Month_24",#N/A,FALSE,"Manufacturing"}</definedName>
    <definedName name="hjhjhj_1">{#N/A,#N/A,FALSE,"Index";"Stmts_Qtrs",#N/A,FALSE,"Summary";"Stmts_24 mo",#N/A,FALSE,"Summary";"Summary_24",#N/A,FALSE,"Revenue";"Month_24",#N/A,FALSE,"Engineering";"Month_24",#N/A,FALSE,"Marketing";"Month_24",#N/A,FALSE,"G &amp; A";"Month_24",#N/A,FALSE,"Manufacturing"}</definedName>
    <definedName name="HKB">#REF!</definedName>
    <definedName name="hljkjo">#REF!</definedName>
    <definedName name="hn.ModelVersion">1</definedName>
    <definedName name="hn.NoUpload">0</definedName>
    <definedName name="HTML_CodePage">1252</definedName>
    <definedName name="HTML_Control" localSheetId="5">{"'Segment'!$A$1:$J$45"}</definedName>
    <definedName name="HTML_Control" localSheetId="27">{"'Segment'!$A$1:$J$45"}</definedName>
    <definedName name="HTML_Control" localSheetId="22">{"'Segment'!$A$1:$J$45"}</definedName>
    <definedName name="HTML_Control" localSheetId="24">{"'Segment'!$A$1:$J$45"}</definedName>
    <definedName name="HTML_Control">{"'Segment'!$A$1:$J$45"}</definedName>
    <definedName name="HTML_Control_1">{"'Segment'!$A$1:$J$45"}</definedName>
    <definedName name="HTML_Description">""</definedName>
    <definedName name="HTML_Email">""</definedName>
    <definedName name="HTML_Header">""</definedName>
    <definedName name="HTML_LastUpdate">""</definedName>
    <definedName name="HTML_LineAfter">FALSE</definedName>
    <definedName name="HTML_LineBefore">FALSE</definedName>
    <definedName name="HTML_Name">""</definedName>
    <definedName name="HTML_OBDlg2">TRUE</definedName>
    <definedName name="HTML_OBDlg4">TRUE</definedName>
    <definedName name="HTML_OS">0</definedName>
    <definedName name="HTML_PathFile">"J:\carpente\Releases\Q2-00\segment2Q-00.htm"</definedName>
    <definedName name="HTML_Title">"Segment and Supplemental Information"</definedName>
    <definedName name="HTML1_10">""</definedName>
    <definedName name="HTML1_11">1</definedName>
    <definedName name="HTML1_12">"Aswath:Adobe SiteMill™ 1.0.2:MyHomePage:FCFF3.html"</definedName>
    <definedName name="HTML1_2">1</definedName>
    <definedName name="HTML1_3">"FCFF3"</definedName>
    <definedName name="HTML1_4">"Three-Stage FCFF Model"</definedName>
    <definedName name="HTML1_5">""</definedName>
    <definedName name="HTML1_6">-4146</definedName>
    <definedName name="HTML1_7">-4146</definedName>
    <definedName name="HTML1_8">"10/22/96"</definedName>
    <definedName name="HTML1_9">"Aswath Damodaran"</definedName>
    <definedName name="HTMLCount">1</definedName>
    <definedName name="i_rate">#REF!</definedName>
    <definedName name="ian" localSheetId="38">#REF!</definedName>
    <definedName name="ian" localSheetId="5">#REF!</definedName>
    <definedName name="ian" localSheetId="36">#REF!</definedName>
    <definedName name="ian" localSheetId="22">#REF!</definedName>
    <definedName name="ian" localSheetId="24">#REF!</definedName>
    <definedName name="ian">#REF!</definedName>
    <definedName name="iar" localSheetId="38">#REF!</definedName>
    <definedName name="iar" localSheetId="5">#REF!</definedName>
    <definedName name="iar" localSheetId="36">#REF!</definedName>
    <definedName name="iar" localSheetId="22">#REF!</definedName>
    <definedName name="iar" localSheetId="24">#REF!</definedName>
    <definedName name="iar">#REF!</definedName>
    <definedName name="ibc" localSheetId="38">#REF!</definedName>
    <definedName name="ibc" localSheetId="5">#REF!</definedName>
    <definedName name="ibc" localSheetId="36">#REF!</definedName>
    <definedName name="ibc" localSheetId="22">#REF!</definedName>
    <definedName name="ibc" localSheetId="24">#REF!</definedName>
    <definedName name="ibc">#REF!</definedName>
    <definedName name="ibf" localSheetId="38">#REF!</definedName>
    <definedName name="ibf" localSheetId="5">#REF!</definedName>
    <definedName name="ibf" localSheetId="36">#REF!</definedName>
    <definedName name="ibf" localSheetId="22">#REF!</definedName>
    <definedName name="ibf" localSheetId="24">#REF!</definedName>
    <definedName name="ibf">#REF!</definedName>
    <definedName name="icd" localSheetId="38">#REF!</definedName>
    <definedName name="icd" localSheetId="5">#REF!</definedName>
    <definedName name="icd" localSheetId="36">#REF!</definedName>
    <definedName name="icd" localSheetId="22">#REF!</definedName>
    <definedName name="icd" localSheetId="24">#REF!</definedName>
    <definedName name="icd">#REF!</definedName>
    <definedName name="ict" localSheetId="38">#REF!</definedName>
    <definedName name="ict" localSheetId="5">#REF!</definedName>
    <definedName name="ict" localSheetId="39">#REF!</definedName>
    <definedName name="ict" localSheetId="36">#REF!</definedName>
    <definedName name="ict" localSheetId="22">#REF!</definedName>
    <definedName name="ict" localSheetId="24">#REF!</definedName>
    <definedName name="ict">#REF!</definedName>
    <definedName name="ictSymbol" localSheetId="38">#REF!</definedName>
    <definedName name="ictSymbol" localSheetId="5">#REF!</definedName>
    <definedName name="ictSymbol" localSheetId="36">#REF!</definedName>
    <definedName name="ictSymbol" localSheetId="22">#REF!</definedName>
    <definedName name="ictSymbol" localSheetId="24">#REF!</definedName>
    <definedName name="ictSymbol">#REF!</definedName>
    <definedName name="icu" localSheetId="38">#REF!</definedName>
    <definedName name="icu" localSheetId="5">#REF!</definedName>
    <definedName name="icu" localSheetId="39">#REF!</definedName>
    <definedName name="icu" localSheetId="36">#REF!</definedName>
    <definedName name="icu" localSheetId="22">#REF!</definedName>
    <definedName name="icu" localSheetId="24">#REF!</definedName>
    <definedName name="icu">#REF!</definedName>
    <definedName name="ID">#REF!</definedName>
    <definedName name="ida" localSheetId="38">#REF!</definedName>
    <definedName name="ida" localSheetId="5">#REF!</definedName>
    <definedName name="ida" localSheetId="36">#REF!</definedName>
    <definedName name="ida" localSheetId="22">#REF!</definedName>
    <definedName name="ida" localSheetId="24">#REF!</definedName>
    <definedName name="ida">#REF!</definedName>
    <definedName name="IDS" localSheetId="38">#REF!</definedName>
    <definedName name="IDS" localSheetId="5">#REF!</definedName>
    <definedName name="IDS" localSheetId="36">#REF!</definedName>
    <definedName name="IDS" localSheetId="22">#REF!</definedName>
    <definedName name="IDS" localSheetId="24">#REF!</definedName>
    <definedName name="IDS">#REF!</definedName>
    <definedName name="iex" localSheetId="38">#REF!</definedName>
    <definedName name="iex" localSheetId="5">#REF!</definedName>
    <definedName name="iex" localSheetId="39">#REF!</definedName>
    <definedName name="iex" localSheetId="36">#REF!</definedName>
    <definedName name="iex" localSheetId="22">#REF!</definedName>
    <definedName name="iex" localSheetId="24">#REF!</definedName>
    <definedName name="iex">#REF!</definedName>
    <definedName name="ifd" localSheetId="38">#REF!</definedName>
    <definedName name="ifd" localSheetId="5">#REF!</definedName>
    <definedName name="ifd" localSheetId="36">#REF!</definedName>
    <definedName name="ifd" localSheetId="22">#REF!</definedName>
    <definedName name="ifd" localSheetId="24">#REF!</definedName>
    <definedName name="ifd">#REF!</definedName>
    <definedName name="iff" localSheetId="38">#REF!</definedName>
    <definedName name="iff" localSheetId="5">#REF!</definedName>
    <definedName name="iff" localSheetId="36">#REF!</definedName>
    <definedName name="iff" localSheetId="22">#REF!</definedName>
    <definedName name="iff" localSheetId="24">#REF!</definedName>
    <definedName name="iff">#REF!</definedName>
    <definedName name="ifl" localSheetId="38">#REF!</definedName>
    <definedName name="ifl" localSheetId="5">#REF!</definedName>
    <definedName name="ifl" localSheetId="36">#REF!</definedName>
    <definedName name="ifl" localSheetId="22">#REF!</definedName>
    <definedName name="ifl" localSheetId="24">#REF!</definedName>
    <definedName name="ifl">#REF!</definedName>
    <definedName name="ifn" localSheetId="38">#REF!</definedName>
    <definedName name="ifn" localSheetId="5">#REF!</definedName>
    <definedName name="ifn" localSheetId="36">#REF!</definedName>
    <definedName name="ifn" localSheetId="22">#REF!</definedName>
    <definedName name="ifn" localSheetId="24">#REF!</definedName>
    <definedName name="ifn">#REF!</definedName>
    <definedName name="ifo" localSheetId="38">#REF!</definedName>
    <definedName name="ifo" localSheetId="5">#REF!</definedName>
    <definedName name="ifo" localSheetId="36">#REF!</definedName>
    <definedName name="ifo" localSheetId="22">#REF!</definedName>
    <definedName name="ifo" localSheetId="24">#REF!</definedName>
    <definedName name="ifo">#REF!</definedName>
    <definedName name="ihd" localSheetId="38">#REF!</definedName>
    <definedName name="ihd" localSheetId="5">#REF!</definedName>
    <definedName name="ihd" localSheetId="36">#REF!</definedName>
    <definedName name="ihd" localSheetId="22">#REF!</definedName>
    <definedName name="ihd" localSheetId="24">#REF!</definedName>
    <definedName name="ihd">#REF!</definedName>
    <definedName name="ILS_USD" localSheetId="5">#REF!</definedName>
    <definedName name="ILS_USD">#REF!</definedName>
    <definedName name="ime" localSheetId="38">#REF!</definedName>
    <definedName name="ime" localSheetId="5">#REF!</definedName>
    <definedName name="ime" localSheetId="36">#REF!</definedName>
    <definedName name="ime" localSheetId="22">#REF!</definedName>
    <definedName name="ime" localSheetId="24">#REF!</definedName>
    <definedName name="ime">#REF!</definedName>
    <definedName name="Img_ML_1e1k9n5y">"IMG_52"</definedName>
    <definedName name="Img_ML_1k4g9u7k">"IMG_52"</definedName>
    <definedName name="Img_ML_1y7a6c1t">"IMG_52"</definedName>
    <definedName name="Img_ML_2e1r5p2m">"IMG_52"</definedName>
    <definedName name="Img_ML_2j4h5d5y">"IMG_52"</definedName>
    <definedName name="Img_ML_2v6s9i5c">"IMG_52"</definedName>
    <definedName name="Img_ML_2x1b8j5c">"IMG_52"</definedName>
    <definedName name="Img_ML_3c6e9c4g">"IMG_52"</definedName>
    <definedName name="Img_ML_3e2q4k7i">"IMG_52"</definedName>
    <definedName name="Img_ML_3t5w7a1m">"IMG_52"</definedName>
    <definedName name="Img_ML_3y1j4m2m">"IMG_52"</definedName>
    <definedName name="Img_ML_4b5r5k9y">"IMG_10"</definedName>
    <definedName name="Img_ML_4k8k7q4x">"IMG_10"</definedName>
    <definedName name="Img_ML_4n6t1k1h">"IMG_52"</definedName>
    <definedName name="Img_ML_5e7s6t2u">"IMG_52"</definedName>
    <definedName name="Img_ML_5h6q3g8u">"IMG_10"</definedName>
    <definedName name="Img_ML_6a6y1x1h">"IMG_52"</definedName>
    <definedName name="Img_ML_6f2p1m9g">"IMG_18"</definedName>
    <definedName name="Img_ML_6m3p7m9h">"IMG_52"</definedName>
    <definedName name="Img_ML_6m6i9t6k">"IMG_52"</definedName>
    <definedName name="Img_ML_6n6c2h1d">"IMG_52"</definedName>
    <definedName name="Img_ML_6u1b6h4m">"IMG_52"</definedName>
    <definedName name="Img_ML_6u4t7r7e">"IMG_52"</definedName>
    <definedName name="Img_ML_6w6m7b7r">"IMG_40"</definedName>
    <definedName name="Img_ML_6y9f7y3n">"IMG_10"</definedName>
    <definedName name="Img_ML_7b3x8f2f">"IMG_52"</definedName>
    <definedName name="Img_ML_7e1g7x4r">"IMG_52"</definedName>
    <definedName name="Img_ML_7g4k9d6i">"IMG_52"</definedName>
    <definedName name="Img_ML_7m3b4p7p">"IMG_52"</definedName>
    <definedName name="Img_ML_7m5m4k3b">"IMG_52"</definedName>
    <definedName name="Img_ML_7s4w7c6r">"IMG_52"</definedName>
    <definedName name="Img_ML_8a8m2p9x">"IMG_52"</definedName>
    <definedName name="Img_ML_8b9j5t1p">"IMG_11"</definedName>
    <definedName name="Img_ML_8h3m3i1m">"IMG_52"</definedName>
    <definedName name="Img_ML_8r1k8t4y">"IMG_52"</definedName>
    <definedName name="Img_ML_8r9f4n4f">"IMG_52"</definedName>
    <definedName name="Img_ML_8s3q3c1i">"IMG_52"</definedName>
    <definedName name="Img_ML_8t3m5u6f">"IMG_11"</definedName>
    <definedName name="Img_ML_9g2r1i7c">"IMG_52"</definedName>
    <definedName name="Img_ML_9g3r6t7h">"IMG_52"</definedName>
    <definedName name="Img_ML_9v6s2g1u">"IMG_52"</definedName>
    <definedName name="income" localSheetId="5">#REF!</definedName>
    <definedName name="income">#REF!</definedName>
    <definedName name="Income_tax__benefit__expense">#REF!</definedName>
    <definedName name="IncomeEPSFullyDiluted">0</definedName>
    <definedName name="IncomeEPSPrimary">0</definedName>
    <definedName name="IncomeEPSRegular">0</definedName>
    <definedName name="inm" localSheetId="38">#REF!</definedName>
    <definedName name="inm" localSheetId="5">#REF!</definedName>
    <definedName name="inm" localSheetId="36">#REF!</definedName>
    <definedName name="inm" localSheetId="22">#REF!</definedName>
    <definedName name="inm" localSheetId="24">#REF!</definedName>
    <definedName name="inm">#REF!</definedName>
    <definedName name="input" localSheetId="5">{"0.614608629108408";"0.089";"0.07";"0.036";"0.09";"0.39";"0.177761404547907";"0.116071428571429";"0.708";"0.0556964285714285";"0.127160714285714"}</definedName>
    <definedName name="input" localSheetId="27">{"0.614608629108408";"0.089";"0.07";"0.036";"0.09";"0.39";"0.177761404547907";"0.116071428571429";"0.708";"0.0556964285714285";"0.127160714285714"}</definedName>
    <definedName name="input" localSheetId="22">{"0.614608629108408";"0.089";"0.07";"0.036";"0.09";"0.39";"0.177761404547907";"0.116071428571429";"0.708";"0.0556964285714285";"0.127160714285714"}</definedName>
    <definedName name="input" localSheetId="24">{"0.614608629108408";"0.089";"0.07";"0.036";"0.09";"0.39";"0.177761404547907";"0.116071428571429";"0.708";"0.0556964285714285";"0.127160714285714"}</definedName>
    <definedName name="input">{"0.614608629108408";"0.089";"0.07";"0.036";"0.09";"0.39";"0.177761404547907";"0.116071428571429";"0.708";"0.0556964285714285";"0.127160714285714"}</definedName>
    <definedName name="input_1">{"0.614608629108408";"0.089";"0.07";"0.036";"0.09";"0.39";"0.177761404547907";"0.116071428571429";"0.708";"0.0556964285714285";"0.127160714285714"}</definedName>
    <definedName name="Int_exp">8%</definedName>
    <definedName name="Interest_and_other_income">#REF!</definedName>
    <definedName name="Interest_expense">#REF!</definedName>
    <definedName name="Interest_paid">#REF!</definedName>
    <definedName name="ip1_" localSheetId="38">#REF!</definedName>
    <definedName name="ip1_" localSheetId="5">#REF!</definedName>
    <definedName name="ip1_" localSheetId="39">#REF!</definedName>
    <definedName name="ip1_" localSheetId="36">#REF!</definedName>
    <definedName name="ip1_" localSheetId="22">#REF!</definedName>
    <definedName name="ip1_" localSheetId="24">#REF!</definedName>
    <definedName name="ip1_">#REF!</definedName>
    <definedName name="ip2_" localSheetId="38">#REF!</definedName>
    <definedName name="ip2_" localSheetId="5">#REF!</definedName>
    <definedName name="ip2_" localSheetId="39">#REF!</definedName>
    <definedName name="ip2_" localSheetId="36">#REF!</definedName>
    <definedName name="ip2_" localSheetId="22">#REF!</definedName>
    <definedName name="ip2_" localSheetId="24">#REF!</definedName>
    <definedName name="ip2_">#REF!</definedName>
    <definedName name="ip3_" localSheetId="38">#REF!</definedName>
    <definedName name="ip3_" localSheetId="5">#REF!</definedName>
    <definedName name="ip3_" localSheetId="39">#REF!</definedName>
    <definedName name="ip3_" localSheetId="36">#REF!</definedName>
    <definedName name="ip3_" localSheetId="22">#REF!</definedName>
    <definedName name="ip3_" localSheetId="24">#REF!</definedName>
    <definedName name="ip3_">#REF!</definedName>
    <definedName name="ip4_" localSheetId="38">#REF!</definedName>
    <definedName name="ip4_" localSheetId="5">#REF!</definedName>
    <definedName name="ip4_" localSheetId="39">#REF!</definedName>
    <definedName name="ip4_" localSheetId="36">#REF!</definedName>
    <definedName name="ip4_" localSheetId="22">#REF!</definedName>
    <definedName name="ip4_" localSheetId="24">#REF!</definedName>
    <definedName name="ip4_">#REF!</definedName>
    <definedName name="ip5_" localSheetId="38">#REF!</definedName>
    <definedName name="ip5_" localSheetId="5">#REF!</definedName>
    <definedName name="ip5_" localSheetId="39">#REF!</definedName>
    <definedName name="ip5_" localSheetId="36">#REF!</definedName>
    <definedName name="ip5_" localSheetId="22">#REF!</definedName>
    <definedName name="ip5_" localSheetId="24">#REF!</definedName>
    <definedName name="ip5_">#REF!</definedName>
    <definedName name="ipr" localSheetId="38">#REF!</definedName>
    <definedName name="ipr" localSheetId="5">#REF!</definedName>
    <definedName name="ipr" localSheetId="39">#REF!</definedName>
    <definedName name="ipr" localSheetId="36">#REF!</definedName>
    <definedName name="ipr" localSheetId="22">#REF!</definedName>
    <definedName name="ipr" localSheetId="24">#REF!</definedName>
    <definedName name="ipr">#REF!</definedName>
    <definedName name="ipv" localSheetId="38">#REF!</definedName>
    <definedName name="ipv" localSheetId="5">#REF!</definedName>
    <definedName name="ipv" localSheetId="36">#REF!</definedName>
    <definedName name="ipv" localSheetId="22">#REF!</definedName>
    <definedName name="ipv" localSheetId="24">#REF!</definedName>
    <definedName name="ipv">#REF!</definedName>
    <definedName name="IQ_1_4_FAMILY_JUNIOR_LIENS_CHARGE_OFFS_FDIC">"c6605"</definedName>
    <definedName name="IQ_1_4_FAMILY_JUNIOR_LIENS_NET_CHARGE_OFFS_FDIC">"c6643"</definedName>
    <definedName name="IQ_1_4_FAMILY_JUNIOR_LIENS_RECOVERIES_FDIC">"c6624"</definedName>
    <definedName name="IQ_1_4_FAMILY_SENIOR_LIENS_CHARGE_OFFS_FDIC">"c6604"</definedName>
    <definedName name="IQ_1_4_FAMILY_SENIOR_LIENS_NET_CHARGE_OFFS_FDIC">"c6642"</definedName>
    <definedName name="IQ_1_4_FAMILY_SENIOR_LIENS_RECOVERIES_FDIC">"c6623"</definedName>
    <definedName name="IQ_1_4_HOME_EQUITY_NET_LOANS_FDIC">"c6441"</definedName>
    <definedName name="IQ_1_4_RESIDENTIAL_FIRST_LIENS_NET_LOANS_FDIC">"c6439"</definedName>
    <definedName name="IQ_1_4_RESIDENTIAL_JUNIOR_LIENS_NET_LOANS_FDIC">"c6440"</definedName>
    <definedName name="IQ_1_4_RESIDENTIAL_LOANS_FDIC">"c6310"</definedName>
    <definedName name="IQ_30YR_FIXED_MORTGAGE">"c6811"</definedName>
    <definedName name="IQ_30YR_FIXED_MORTGAGE_FC">"c7691"</definedName>
    <definedName name="IQ_30YR_FIXED_MORTGAGE_POP">"c7031"</definedName>
    <definedName name="IQ_30YR_FIXED_MORTGAGE_POP_FC">"c7911"</definedName>
    <definedName name="IQ_30YR_FIXED_MORTGAGE_YOY">"c7251"</definedName>
    <definedName name="IQ_30YR_FIXED_MORTGAGE_YOY_FC">"c8131"</definedName>
    <definedName name="IQ_ACCOUNT_CHANGE">"c1449"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CAGR">"c6159"</definedName>
    <definedName name="IQ_ACCT_RECV_10YR_ANN_GROWTH">"c1924"</definedName>
    <definedName name="IQ_ACCT_RECV_1YR_ANN_GROWTH">"c1919"</definedName>
    <definedName name="IQ_ACCT_RECV_2YR_ANN_CAGR">"c6155"</definedName>
    <definedName name="IQ_ACCT_RECV_2YR_ANN_GROWTH">"c1920"</definedName>
    <definedName name="IQ_ACCT_RECV_3YR_ANN_CAGR">"c6156"</definedName>
    <definedName name="IQ_ACCT_RECV_3YR_ANN_GROWTH">"c1921"</definedName>
    <definedName name="IQ_ACCT_RECV_5YR_ANN_CAGR">"c6157"</definedName>
    <definedName name="IQ_ACCT_RECV_5YR_ANN_GROWTH">"c1922"</definedName>
    <definedName name="IQ_ACCT_RECV_7YR_ANN_CAGR">"c6158"</definedName>
    <definedName name="IQ_ACCT_RECV_7YR_ANN_GROWTH">"c1923"</definedName>
    <definedName name="IQ_ACCUM_DEP">"c1340"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S_CAPITALIZED">"c5"</definedName>
    <definedName name="IQ_ACQUIRE_REAL_ESTATE_CF">"c6"</definedName>
    <definedName name="IQ_ACQUIRED_BY_REPORTING_BANK_FDIC">"c6535"</definedName>
    <definedName name="IQ_ACQUISITION_RE_ASSETS">"c1628"</definedName>
    <definedName name="IQ_ACTUAL_PRODUCTION_ALUM">"c9247"</definedName>
    <definedName name="IQ_ACTUAL_PRODUCTION_CATHODE_COP">"c9192"</definedName>
    <definedName name="IQ_ACTUAL_PRODUCTION_COAL">"c9821"</definedName>
    <definedName name="IQ_ACTUAL_PRODUCTION_COP">"c9191"</definedName>
    <definedName name="IQ_ACTUAL_PRODUCTION_DIAM">"c9671"</definedName>
    <definedName name="IQ_ACTUAL_PRODUCTION_GOLD">"c9032"</definedName>
    <definedName name="IQ_ACTUAL_PRODUCTION_IRON">"c9406"</definedName>
    <definedName name="IQ_ACTUAL_PRODUCTION_LEAD">"c9459"</definedName>
    <definedName name="IQ_ACTUAL_PRODUCTION_MANG">"c9512"</definedName>
    <definedName name="IQ_ACTUAL_PRODUCTION_MET_COAL">"c9761"</definedName>
    <definedName name="IQ_ACTUAL_PRODUCTION_MOLYB">"c9724"</definedName>
    <definedName name="IQ_ACTUAL_PRODUCTION_NICK">"c9300"</definedName>
    <definedName name="IQ_ACTUAL_PRODUCTION_PLAT">"c9138"</definedName>
    <definedName name="IQ_ACTUAL_PRODUCTION_SILVER">"c9085"</definedName>
    <definedName name="IQ_ACTUAL_PRODUCTION_STEAM">"c9791"</definedName>
    <definedName name="IQ_ACTUAL_PRODUCTION_TITAN">"c9565"</definedName>
    <definedName name="IQ_ACTUAL_PRODUCTION_URAN">"c9618"</definedName>
    <definedName name="IQ_ACTUAL_PRODUCTION_ZINC">"c9353"</definedName>
    <definedName name="IQ_AD">"c7"</definedName>
    <definedName name="IQ_ADD_PAID_IN">"c1344"</definedName>
    <definedName name="IQ_ADDIN">"AUTO"</definedName>
    <definedName name="IQ_ADDITIONAL_NON_INT_INC_FDIC">"c6574"</definedName>
    <definedName name="IQ_ADJ_AVG_BANK_ASSETS">"c2671"</definedName>
    <definedName name="IQ_ADJUSTABLE_RATE_LOANS_FDIC">"c6375"</definedName>
    <definedName name="IQ_ADJUSTED_NAV_COVERED">"c9963"</definedName>
    <definedName name="IQ_ADJUSTED_NAV_GROUP">"c9949"</definedName>
    <definedName name="IQ_ADMIN_RATIO">"c2784"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"c6195"</definedName>
    <definedName name="IQ_AE_REIT">"c13"</definedName>
    <definedName name="IQ_AE_UTI">"c14"</definedName>
    <definedName name="IQ_AFFO">"c8756"</definedName>
    <definedName name="IQ_AFFO_PER_SHARE_BASIC">"c8869"</definedName>
    <definedName name="IQ_AFFO_PER_SHARE_DILUTED">"c8870"</definedName>
    <definedName name="IQ_AFTER_TAX_INCOME_FDIC">"c6583"</definedName>
    <definedName name="IQ_AGRICULTURAL_PRODUCTION_CHARGE_OFFS_FDIC">"c6597"</definedName>
    <definedName name="IQ_AGRICULTURAL_PRODUCTION_CHARGE_OFFS_LESS_THAN_300M_FDIC">"c6655"</definedName>
    <definedName name="IQ_AGRICULTURAL_PRODUCTION_NET_CHARGE_OFFS_FDIC">"c6635"</definedName>
    <definedName name="IQ_AGRICULTURAL_PRODUCTION_NET_CHARGE_OFFS_LESS_THAN_300M_FDIC">"c6657"</definedName>
    <definedName name="IQ_AGRICULTURAL_PRODUCTION_RECOVERIES_FDIC">"c6616"</definedName>
    <definedName name="IQ_AGRICULTURAL_PRODUCTION_RECOVERIES_LESS_THAN_300M_FDIC">"c6656"</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AVG_PSGR_FARE">"c10029"</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NUMBER_HRS_FLOWN">"c10037"</definedName>
    <definedName name="IQ_AIR_NUMBER_OPERATING_AIRCRAFT_AVG">"c10035"</definedName>
    <definedName name="IQ_AIR_NUMBER_TRIPS_FLOWN">"c10030"</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EX_PER_ASK_EXCL_FUEL">"c10034"</definedName>
    <definedName name="IQ_AIR_OPEX_PER_ASM_EXCL_FUEL">"c10033"</definedName>
    <definedName name="IQ_AIR_OPTIONS">"c2837"</definedName>
    <definedName name="IQ_AIR_ORDERS">"c2836"</definedName>
    <definedName name="IQ_AIR_OWNED">"c2832"</definedName>
    <definedName name="IQ_AIR_PERCENTAGE_SALES_VIA_INTERNET">"c10036"</definedName>
    <definedName name="IQ_AIR_PSGR_HAUL_AVG_LENGTH_KM">"c10032"</definedName>
    <definedName name="IQ_AIR_PSGR_HAUL_AVG_LENGTH_MILES">"c10031"</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CAGR">"c6035"</definedName>
    <definedName name="IQ_ALLOWANCE_10YR_ANN_GROWTH">"c18"</definedName>
    <definedName name="IQ_ALLOWANCE_1YR_ANN_GROWTH">"c19"</definedName>
    <definedName name="IQ_ALLOWANCE_2YR_ANN_CAGR">"c6036"</definedName>
    <definedName name="IQ_ALLOWANCE_2YR_ANN_GROWTH">"c20"</definedName>
    <definedName name="IQ_ALLOWANCE_3YR_ANN_CAGR">"c6037"</definedName>
    <definedName name="IQ_ALLOWANCE_3YR_ANN_GROWTH">"c21"</definedName>
    <definedName name="IQ_ALLOWANCE_5YR_ANN_CAGR">"c6038"</definedName>
    <definedName name="IQ_ALLOWANCE_5YR_ANN_GROWTH">"c22"</definedName>
    <definedName name="IQ_ALLOWANCE_7YR_ANN_CAGR">"c6039"</definedName>
    <definedName name="IQ_ALLOWANCE_7YR_ANN_GROWTH">"c23"</definedName>
    <definedName name="IQ_ALLOWANCE_CHARGE_OFFS">"c24"</definedName>
    <definedName name="IQ_ALLOWANCE_NON_PERF_LOANS">"c25"</definedName>
    <definedName name="IQ_ALLOWANCE_TOTAL_LOANS">"c26"</definedName>
    <definedName name="IQ_AMENDED_BALANCE_PREVIOUS_YR_FDIC">"c6499"</definedName>
    <definedName name="IQ_AMORT_EXPENSE_FDIC">"c6677"</definedName>
    <definedName name="IQ_AMORTIZATION">"c1591"</definedName>
    <definedName name="IQ_AMORTIZED_COST_FDIC">"c6426"</definedName>
    <definedName name="IQ_AMT_OUT">"c2145"</definedName>
    <definedName name="IQ_ANNU_DISTRIBUTION_UNIT">"c3004"</definedName>
    <definedName name="IQ_ANNUAL_PREMIUM_EQUIVALENT_NEW_BUSINESS">"c9972"</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"c6196"</definedName>
    <definedName name="IQ_AP_REIT">"c37"</definedName>
    <definedName name="IQ_AP_UTI">"c38"</definedName>
    <definedName name="IQ_APIC">"c39"</definedName>
    <definedName name="IQ_AR">"c40"</definedName>
    <definedName name="IQ_AR_BR">"c41"</definedName>
    <definedName name="IQ_AR_LT">"c42"</definedName>
    <definedName name="IQ_AR_RE">"c6197"</definedName>
    <definedName name="IQ_AR_REIT">"c43"</definedName>
    <definedName name="IQ_AR_TURNS">"c44"</definedName>
    <definedName name="IQ_AR_UTI">"c45"</definedName>
    <definedName name="IQ_ARPU">"c2126"</definedName>
    <definedName name="IQ_ASSET_BACKED_FDIC">"c6301"</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"c6198"</definedName>
    <definedName name="IQ_ASSET_WRITEDOWN_CF_REIT">"c56"</definedName>
    <definedName name="IQ_ASSET_WRITEDOWN_CF_UTI">"c57"</definedName>
    <definedName name="IQ_ASSET_WRITEDOWN_FIN">"c58"</definedName>
    <definedName name="IQ_ASSET_WRITEDOWN_INS">"c59"</definedName>
    <definedName name="IQ_ASSET_WRITEDOWN_RE">"c6199"</definedName>
    <definedName name="IQ_ASSET_WRITEDOWN_REIT">"c60"</definedName>
    <definedName name="IQ_ASSET_WRITEDOWN_UTI">"c61"</definedName>
    <definedName name="IQ_ASSETS_AP">"c8883"</definedName>
    <definedName name="IQ_ASSETS_AP_ABS">"c8902"</definedName>
    <definedName name="IQ_ASSETS_CAP_LEASE_DEPR">"c2068"</definedName>
    <definedName name="IQ_ASSETS_CAP_LEASE_GROSS">"c2069"</definedName>
    <definedName name="IQ_ASSETS_HELD_FDIC">"c6305"</definedName>
    <definedName name="IQ_ASSETS_NAME_AP">"c8921"</definedName>
    <definedName name="IQ_ASSETS_NAME_AP_ABS">"c8940"</definedName>
    <definedName name="IQ_ASSETS_OPER_LEASE_DEPR">"c2070"</definedName>
    <definedName name="IQ_ASSETS_OPER_LEASE_GROSS">"c2071"</definedName>
    <definedName name="IQ_ASSETS_PER_EMPLOYEE_FDIC">"c6737"</definedName>
    <definedName name="IQ_ASSETS_SOLD_1_4_FAMILY_LOANS_FDIC">"c6686"</definedName>
    <definedName name="IQ_ASSETS_SOLD_AUTO_LOANS_FDIC">"c6680"</definedName>
    <definedName name="IQ_ASSETS_SOLD_CL_LOANS_FDIC">"c6681"</definedName>
    <definedName name="IQ_ASSETS_SOLD_CREDIT_CARDS_RECEIVABLES_FDIC">"c6683"</definedName>
    <definedName name="IQ_ASSETS_SOLD_HOME_EQUITY_LINES_FDIC">"c6684"</definedName>
    <definedName name="IQ_ASSETS_SOLD_OTHER_CONSUMER_LOANS_FDIC">"c6682"</definedName>
    <definedName name="IQ_ASSETS_SOLD_OTHER_LOANS_FDIC">"c6685"</definedName>
    <definedName name="IQ_ASSUMED_AH_EARNED">"c2741"</definedName>
    <definedName name="IQ_ASSUMED_EARNED">"c2731"</definedName>
    <definedName name="IQ_ASSUMED_LIFE_EARNED">"c2736"</definedName>
    <definedName name="IQ_ASSUMED_LIFE_IN_FORCE">"c2766"</definedName>
    <definedName name="IQ_ASSUMED_PC_EARNED">"c2746"</definedName>
    <definedName name="IQ_ASSUMED_WRITTEN">"c2725"</definedName>
    <definedName name="IQ_AUDITOR_NAME">"c1539"</definedName>
    <definedName name="IQ_AUDITOR_OPINION">"c1540"</definedName>
    <definedName name="IQ_AUM">"c10043"</definedName>
    <definedName name="IQ_AUM_EQUITY_FUNDS">"c10039"</definedName>
    <definedName name="IQ_AUM_FIXED_INCOME_FUNDS">"c10040"</definedName>
    <definedName name="IQ_AUM_MONEY_MARKET_FUNDS">"c10041"</definedName>
    <definedName name="IQ_AUM_OTHER">"c10042"</definedName>
    <definedName name="IQ_AUTO_REGIST_NEW">"c6923"</definedName>
    <definedName name="IQ_AUTO_REGIST_NEW_APR">"c7583"</definedName>
    <definedName name="IQ_AUTO_REGIST_NEW_APR_FC">"c8463"</definedName>
    <definedName name="IQ_AUTO_REGIST_NEW_FC">"c7803"</definedName>
    <definedName name="IQ_AUTO_REGIST_NEW_POP">"c7143"</definedName>
    <definedName name="IQ_AUTO_REGIST_NEW_POP_FC">"c8023"</definedName>
    <definedName name="IQ_AUTO_REGIST_NEW_YOY">"c7363"</definedName>
    <definedName name="IQ_AUTO_REGIST_NEW_YOY_FC">"c8243"</definedName>
    <definedName name="IQ_AUTO_SALES_DOM">"c6852"</definedName>
    <definedName name="IQ_AUTO_SALES_DOM_APR">"c7512"</definedName>
    <definedName name="IQ_AUTO_SALES_DOM_APR_FC">"c8392"</definedName>
    <definedName name="IQ_AUTO_SALES_DOM_FC">"c7732"</definedName>
    <definedName name="IQ_AUTO_SALES_DOM_POP">"c7072"</definedName>
    <definedName name="IQ_AUTO_SALES_DOM_POP_FC">"c7952"</definedName>
    <definedName name="IQ_AUTO_SALES_DOM_YOY">"c7292"</definedName>
    <definedName name="IQ_AUTO_SALES_DOM_YOY_FC">"c8172"</definedName>
    <definedName name="IQ_AUTO_SALES_FOREIGN">"c6873"</definedName>
    <definedName name="IQ_AUTO_SALES_FOREIGN_APR">"c7533"</definedName>
    <definedName name="IQ_AUTO_SALES_FOREIGN_APR_FC">"c8413"</definedName>
    <definedName name="IQ_AUTO_SALES_FOREIGN_FC">"c7753"</definedName>
    <definedName name="IQ_AUTO_SALES_FOREIGN_POP">"c7093"</definedName>
    <definedName name="IQ_AUTO_SALES_FOREIGN_POP_FC">"c7973"</definedName>
    <definedName name="IQ_AUTO_SALES_FOREIGN_YOY">"c7313"</definedName>
    <definedName name="IQ_AUTO_SALES_FOREIGN_YOY_FC">"c8193"</definedName>
    <definedName name="IQ_AUTO_WRITTEN">"c62"</definedName>
    <definedName name="IQ_AVAILABLE_FOR_SALE_FDIC">"c6409"</definedName>
    <definedName name="IQ_AVERAGE_ASSETS_FDIC">"c6362"</definedName>
    <definedName name="IQ_AVERAGE_ASSETS_QUART_FDIC">"c6363"</definedName>
    <definedName name="IQ_AVERAGE_EARNING_ASSETS_FDIC">"c6748"</definedName>
    <definedName name="IQ_AVERAGE_EQUITY_FDIC">"c6749"</definedName>
    <definedName name="IQ_AVERAGE_LOANS_FDIC">"c6750"</definedName>
    <definedName name="IQ_AVG_BANK_ASSETS">"c2072"</definedName>
    <definedName name="IQ_AVG_BANK_LOANS">"c2073"</definedName>
    <definedName name="IQ_AVG_BROKER_REC">"c63"</definedName>
    <definedName name="IQ_AVG_BROKER_REC_CIQ">"c3612"</definedName>
    <definedName name="IQ_AVG_BROKER_REC_NO">"c64"</definedName>
    <definedName name="IQ_AVG_BROKER_REC_NO_CIQ">"c4657"</definedName>
    <definedName name="IQ_AVG_BROKER_REC_NO_REUT">"c5315"</definedName>
    <definedName name="IQ_AVG_BROKER_REC_NO_THOM">"c5094"</definedName>
    <definedName name="IQ_AVG_BROKER_REC_REUT">"c3630"</definedName>
    <definedName name="IQ_AVG_BROKER_REC_THOM">"c3648"</definedName>
    <definedName name="IQ_AVG_CALORIFIC_VALUE_COAL">"c9828"</definedName>
    <definedName name="IQ_AVG_CALORIFIC_VALUE_MET_COAL">"c9764"</definedName>
    <definedName name="IQ_AVG_CALORIFIC_VALUE_STEAM">"c9794"</definedName>
    <definedName name="IQ_AVG_DAILY_VOL">"c65"</definedName>
    <definedName name="IQ_AVG_EMPLOYEES">"c6019"</definedName>
    <definedName name="IQ_AVG_GRADE_ALUM">"c9254"</definedName>
    <definedName name="IQ_AVG_GRADE_COP">"c9201"</definedName>
    <definedName name="IQ_AVG_GRADE_DIAM">"c9678"</definedName>
    <definedName name="IQ_AVG_GRADE_GOLD">"c9039"</definedName>
    <definedName name="IQ_AVG_GRADE_IRON">"c9413"</definedName>
    <definedName name="IQ_AVG_GRADE_LEAD">"c9466"</definedName>
    <definedName name="IQ_AVG_GRADE_MANG">"c9519"</definedName>
    <definedName name="IQ_AVG_GRADE_MOLYB">"c9731"</definedName>
    <definedName name="IQ_AVG_GRADE_NICK">"c9307"</definedName>
    <definedName name="IQ_AVG_GRADE_PLAT">"c9145"</definedName>
    <definedName name="IQ_AVG_GRADE_SILVER">"c9092"</definedName>
    <definedName name="IQ_AVG_GRADE_TITAN">"c9572"</definedName>
    <definedName name="IQ_AVG_GRADE_URAN">"c9625"</definedName>
    <definedName name="IQ_AVG_GRADE_ZINC">"c9360"</definedName>
    <definedName name="IQ_AVG_INDUSTRY_REC">"c4455"</definedName>
    <definedName name="IQ_AVG_INDUSTRY_REC_CIQ">"c4984"</definedName>
    <definedName name="IQ_AVG_INT_BEAR_LIAB">"c66"</definedName>
    <definedName name="IQ_AVG_INT_BEAR_LIAB_10YR_ANN_CAGR">"c6040"</definedName>
    <definedName name="IQ_AVG_INT_BEAR_LIAB_10YR_ANN_GROWTH">"c67"</definedName>
    <definedName name="IQ_AVG_INT_BEAR_LIAB_1YR_ANN_GROWTH">"c68"</definedName>
    <definedName name="IQ_AVG_INT_BEAR_LIAB_2YR_ANN_CAGR">"c6041"</definedName>
    <definedName name="IQ_AVG_INT_BEAR_LIAB_2YR_ANN_GROWTH">"c69"</definedName>
    <definedName name="IQ_AVG_INT_BEAR_LIAB_3YR_ANN_CAGR">"c6042"</definedName>
    <definedName name="IQ_AVG_INT_BEAR_LIAB_3YR_ANN_GROWTH">"c70"</definedName>
    <definedName name="IQ_AVG_INT_BEAR_LIAB_5YR_ANN_CAGR">"c6043"</definedName>
    <definedName name="IQ_AVG_INT_BEAR_LIAB_5YR_ANN_GROWTH">"c71"</definedName>
    <definedName name="IQ_AVG_INT_BEAR_LIAB_7YR_ANN_CAGR">"c6044"</definedName>
    <definedName name="IQ_AVG_INT_BEAR_LIAB_7YR_ANN_GROWTH">"c72"</definedName>
    <definedName name="IQ_AVG_INT_EARN_ASSETS">"c73"</definedName>
    <definedName name="IQ_AVG_INT_EARN_ASSETS_10YR_ANN_CAGR">"c6045"</definedName>
    <definedName name="IQ_AVG_INT_EARN_ASSETS_10YR_ANN_GROWTH">"c74"</definedName>
    <definedName name="IQ_AVG_INT_EARN_ASSETS_1YR_ANN_GROWTH">"c75"</definedName>
    <definedName name="IQ_AVG_INT_EARN_ASSETS_2YR_ANN_CAGR">"c6046"</definedName>
    <definedName name="IQ_AVG_INT_EARN_ASSETS_2YR_ANN_GROWTH">"c76"</definedName>
    <definedName name="IQ_AVG_INT_EARN_ASSETS_3YR_ANN_CAGR">"c6047"</definedName>
    <definedName name="IQ_AVG_INT_EARN_ASSETS_3YR_ANN_GROWTH">"c77"</definedName>
    <definedName name="IQ_AVG_INT_EARN_ASSETS_5YR_ANN_CAGR">"c6048"</definedName>
    <definedName name="IQ_AVG_INT_EARN_ASSETS_5YR_ANN_GROWTH">"c78"</definedName>
    <definedName name="IQ_AVG_INT_EARN_ASSETS_7YR_ANN_CAGR">"c6049"</definedName>
    <definedName name="IQ_AVG_INT_EARN_ASSETS_7YR_ANN_GROWTH">"c79"</definedName>
    <definedName name="IQ_AVG_MKTCAP">"c80"</definedName>
    <definedName name="IQ_AVG_PRICE">"c81"</definedName>
    <definedName name="IQ_AVG_PRODUCTION_PER_MINE_ALUM">"c9249"</definedName>
    <definedName name="IQ_AVG_PRODUCTION_PER_MINE_COAL">"c9823"</definedName>
    <definedName name="IQ_AVG_PRODUCTION_PER_MINE_COP">"c9194"</definedName>
    <definedName name="IQ_AVG_PRODUCTION_PER_MINE_DIAM">"c9673"</definedName>
    <definedName name="IQ_AVG_PRODUCTION_PER_MINE_GOLD">"c9034"</definedName>
    <definedName name="IQ_AVG_PRODUCTION_PER_MINE_IRON">"c9408"</definedName>
    <definedName name="IQ_AVG_PRODUCTION_PER_MINE_LEAD">"c9461"</definedName>
    <definedName name="IQ_AVG_PRODUCTION_PER_MINE_MANG">"c9514"</definedName>
    <definedName name="IQ_AVG_PRODUCTION_PER_MINE_MOLYB">"c9726"</definedName>
    <definedName name="IQ_AVG_PRODUCTION_PER_MINE_NICK">"c9302"</definedName>
    <definedName name="IQ_AVG_PRODUCTION_PER_MINE_PLAT">"c9140"</definedName>
    <definedName name="IQ_AVG_PRODUCTION_PER_MINE_SILVER">"c9087"</definedName>
    <definedName name="IQ_AVG_PRODUCTION_PER_MINE_TITAN">"c9567"</definedName>
    <definedName name="IQ_AVG_PRODUCTION_PER_MINE_URAN">"c9620"</definedName>
    <definedName name="IQ_AVG_PRODUCTION_PER_MINE_ZINC">"c9355"</definedName>
    <definedName name="IQ_AVG_REAL_PRICE_POST_TREAT_REFINING_ALUM">"c9259"</definedName>
    <definedName name="IQ_AVG_REAL_PRICE_POST_TREAT_REFINING_COP">"c9206"</definedName>
    <definedName name="IQ_AVG_REAL_PRICE_POST_TREAT_REFINING_DIAM">"c9683"</definedName>
    <definedName name="IQ_AVG_REAL_PRICE_POST_TREAT_REFINING_GOLD">"c9044"</definedName>
    <definedName name="IQ_AVG_REAL_PRICE_POST_TREAT_REFINING_IRON">"c9418"</definedName>
    <definedName name="IQ_AVG_REAL_PRICE_POST_TREAT_REFINING_LEAD">"c9471"</definedName>
    <definedName name="IQ_AVG_REAL_PRICE_POST_TREAT_REFINING_MANG">"c9524"</definedName>
    <definedName name="IQ_AVG_REAL_PRICE_POST_TREAT_REFINING_MOLYB">"c9736"</definedName>
    <definedName name="IQ_AVG_REAL_PRICE_POST_TREAT_REFINING_NICK">"c9311"</definedName>
    <definedName name="IQ_AVG_REAL_PRICE_POST_TREAT_REFINING_PLAT">"c9150"</definedName>
    <definedName name="IQ_AVG_REAL_PRICE_POST_TREAT_REFINING_SILVER">"c9097"</definedName>
    <definedName name="IQ_AVG_REAL_PRICE_POST_TREAT_REFINING_TITAN">"c9577"</definedName>
    <definedName name="IQ_AVG_REAL_PRICE_POST_TREAT_REFINING_URAN">"c9630"</definedName>
    <definedName name="IQ_AVG_REAL_PRICE_POST_TREAT_REFINING_ZINC">"c9365"</definedName>
    <definedName name="IQ_AVG_REAL_PRICE_PRE_TREAT_REFINING_ALUM">"c9258"</definedName>
    <definedName name="IQ_AVG_REAL_PRICE_PRE_TREAT_REFINING_COP">"c9205"</definedName>
    <definedName name="IQ_AVG_REAL_PRICE_PRE_TREAT_REFINING_DIAM">"c9682"</definedName>
    <definedName name="IQ_AVG_REAL_PRICE_PRE_TREAT_REFINING_GOLD">"c9043"</definedName>
    <definedName name="IQ_AVG_REAL_PRICE_PRE_TREAT_REFINING_IRON">"c9417"</definedName>
    <definedName name="IQ_AVG_REAL_PRICE_PRE_TREAT_REFINING_LEAD">"c9470"</definedName>
    <definedName name="IQ_AVG_REAL_PRICE_PRE_TREAT_REFINING_MANG">"c9523"</definedName>
    <definedName name="IQ_AVG_REAL_PRICE_PRE_TREAT_REFINING_MOLYB">"c9735"</definedName>
    <definedName name="IQ_AVG_REAL_PRICE_PRE_TREAT_REFINING_NICK">"c9312"</definedName>
    <definedName name="IQ_AVG_REAL_PRICE_PRE_TREAT_REFINING_PLAT">"c9149"</definedName>
    <definedName name="IQ_AVG_REAL_PRICE_PRE_TREAT_REFINING_SILVER">"c9096"</definedName>
    <definedName name="IQ_AVG_REAL_PRICE_PRE_TREAT_REFINING_TITAN">"c9576"</definedName>
    <definedName name="IQ_AVG_REAL_PRICE_PRE_TREAT_REFINING_URAN">"c9629"</definedName>
    <definedName name="IQ_AVG_REAL_PRICE_PRE_TREAT_REFINING_ZINC">"c9364"</definedName>
    <definedName name="IQ_AVG_REALIZED_PRICE_AFTER_HEDGING_ALUM">"c9257"</definedName>
    <definedName name="IQ_AVG_REALIZED_PRICE_AFTER_HEDGING_COAL">"c9830"</definedName>
    <definedName name="IQ_AVG_REALIZED_PRICE_AFTER_HEDGING_COP">"c9204"</definedName>
    <definedName name="IQ_AVG_REALIZED_PRICE_AFTER_HEDGING_DIAM">"c9681"</definedName>
    <definedName name="IQ_AVG_REALIZED_PRICE_AFTER_HEDGING_GOLD">"c9042"</definedName>
    <definedName name="IQ_AVG_REALIZED_PRICE_AFTER_HEDGING_IRON">"c9416"</definedName>
    <definedName name="IQ_AVG_REALIZED_PRICE_AFTER_HEDGING_LEAD">"c9469"</definedName>
    <definedName name="IQ_AVG_REALIZED_PRICE_AFTER_HEDGING_MANG">"c9522"</definedName>
    <definedName name="IQ_AVG_REALIZED_PRICE_AFTER_HEDGING_MET_COAL">"c9766"</definedName>
    <definedName name="IQ_AVG_REALIZED_PRICE_AFTER_HEDGING_MOLYB">"c9734"</definedName>
    <definedName name="IQ_AVG_REALIZED_PRICE_AFTER_HEDGING_NICK">"c9310"</definedName>
    <definedName name="IQ_AVG_REALIZED_PRICE_AFTER_HEDGING_PLAT">"c9148"</definedName>
    <definedName name="IQ_AVG_REALIZED_PRICE_AFTER_HEDGING_SILVER">"c9095"</definedName>
    <definedName name="IQ_AVG_REALIZED_PRICE_AFTER_HEDGING_STEAM">"c9796"</definedName>
    <definedName name="IQ_AVG_REALIZED_PRICE_AFTER_HEDGING_TITAN">"c9575"</definedName>
    <definedName name="IQ_AVG_REALIZED_PRICE_AFTER_HEDGING_URAN">"c9628"</definedName>
    <definedName name="IQ_AVG_REALIZED_PRICE_AFTER_HEDGING_ZINC">"c9363"</definedName>
    <definedName name="IQ_AVG_REALIZED_PRICE_BEFORE_HEDGING_ALUM">"c9256"</definedName>
    <definedName name="IQ_AVG_REALIZED_PRICE_BEFORE_HEDGING_COAL">"c9829"</definedName>
    <definedName name="IQ_AVG_REALIZED_PRICE_BEFORE_HEDGING_COP">"c9203"</definedName>
    <definedName name="IQ_AVG_REALIZED_PRICE_BEFORE_HEDGING_DIAM">"c9680"</definedName>
    <definedName name="IQ_AVG_REALIZED_PRICE_BEFORE_HEDGING_GOLD">"c9041"</definedName>
    <definedName name="IQ_AVG_REALIZED_PRICE_BEFORE_HEDGING_IRON">"c9415"</definedName>
    <definedName name="IQ_AVG_REALIZED_PRICE_BEFORE_HEDGING_LEAD">"c9468"</definedName>
    <definedName name="IQ_AVG_REALIZED_PRICE_BEFORE_HEDGING_MANG">"c9521"</definedName>
    <definedName name="IQ_AVG_REALIZED_PRICE_BEFORE_HEDGING_MET_COAL">"c9765"</definedName>
    <definedName name="IQ_AVG_REALIZED_PRICE_BEFORE_HEDGING_MOLYB">"c9733"</definedName>
    <definedName name="IQ_AVG_REALIZED_PRICE_BEFORE_HEDGING_NICK">"c9309"</definedName>
    <definedName name="IQ_AVG_REALIZED_PRICE_BEFORE_HEDGING_PLAT">"c9147"</definedName>
    <definedName name="IQ_AVG_REALIZED_PRICE_BEFORE_HEDGING_SILVER">"c9094"</definedName>
    <definedName name="IQ_AVG_REALIZED_PRICE_BEFORE_HEDGING_STEAM">"c9795"</definedName>
    <definedName name="IQ_AVG_REALIZED_PRICE_BEFORE_HEDGING_TITAN">"c9574"</definedName>
    <definedName name="IQ_AVG_REALIZED_PRICE_BEFORE_HEDGING_URAN">"c9627"</definedName>
    <definedName name="IQ_AVG_REALIZED_PRICE_BEFORE_HEDGING_ZINC">"c9362"</definedName>
    <definedName name="IQ_AVG_SHAREOUTSTANDING">"c83"</definedName>
    <definedName name="IQ_AVG_TEMP_EMPLOYEES">"c6020"</definedName>
    <definedName name="IQ_AVG_TEV">"c84"</definedName>
    <definedName name="IQ_AVG_VOLUME">"c1346"</definedName>
    <definedName name="IQ_AVG_WAGES">"c6812"</definedName>
    <definedName name="IQ_AVG_WAGES_APR">"c7472"</definedName>
    <definedName name="IQ_AVG_WAGES_APR_FC">"c8352"</definedName>
    <definedName name="IQ_AVG_WAGES_FC">"c7692"</definedName>
    <definedName name="IQ_AVG_WAGES_POP">"c7032"</definedName>
    <definedName name="IQ_AVG_WAGES_POP_FC">"c7912"</definedName>
    <definedName name="IQ_AVG_WAGES_YOY">"c7252"</definedName>
    <definedName name="IQ_AVG_WAGES_YOY_FC">"c8132"</definedName>
    <definedName name="IQ_BALANCE_GOODS_APR_FC_UNUSED_UNUSED_UNUSED">"c8353"</definedName>
    <definedName name="IQ_BALANCE_GOODS_APR_UNUSED_UNUSED_UNUSED">"c7473"</definedName>
    <definedName name="IQ_BALANCE_GOODS_FC_UNUSED_UNUSED_UNUSED">"c7693"</definedName>
    <definedName name="IQ_BALANCE_GOODS_POP_FC_UNUSED_UNUSED_UNUSED">"c7913"</definedName>
    <definedName name="IQ_BALANCE_GOODS_POP_UNUSED_UNUSED_UNUSED">"c7033"</definedName>
    <definedName name="IQ_BALANCE_GOODS_REAL">"c6952"</definedName>
    <definedName name="IQ_BALANCE_GOODS_REAL_APR">"c7612"</definedName>
    <definedName name="IQ_BALANCE_GOODS_REAL_APR_FC">"c8492"</definedName>
    <definedName name="IQ_BALANCE_GOODS_REAL_FC">"c7832"</definedName>
    <definedName name="IQ_BALANCE_GOODS_REAL_POP">"c7172"</definedName>
    <definedName name="IQ_BALANCE_GOODS_REAL_POP_FC">"c8052"</definedName>
    <definedName name="IQ_BALANCE_GOODS_REAL_SAAR">"c6953"</definedName>
    <definedName name="IQ_BALANCE_GOODS_REAL_SAAR_APR">"c7613"</definedName>
    <definedName name="IQ_BALANCE_GOODS_REAL_SAAR_APR_FC">"c8493"</definedName>
    <definedName name="IQ_BALANCE_GOODS_REAL_SAAR_FC">"c7833"</definedName>
    <definedName name="IQ_BALANCE_GOODS_REAL_SAAR_POP">"c7173"</definedName>
    <definedName name="IQ_BALANCE_GOODS_REAL_SAAR_POP_FC">"c8053"</definedName>
    <definedName name="IQ_BALANCE_GOODS_REAL_SAAR_USD_APR_FC">"c11893"</definedName>
    <definedName name="IQ_BALANCE_GOODS_REAL_SAAR_USD_FC">"c11890"</definedName>
    <definedName name="IQ_BALANCE_GOODS_REAL_SAAR_USD_POP_FC">"c11891"</definedName>
    <definedName name="IQ_BALANCE_GOODS_REAL_SAAR_USD_YOY_FC">"c11892"</definedName>
    <definedName name="IQ_BALANCE_GOODS_REAL_SAAR_YOY">"c7393"</definedName>
    <definedName name="IQ_BALANCE_GOODS_REAL_SAAR_YOY_FC">"c8273"</definedName>
    <definedName name="IQ_BALANCE_GOODS_REAL_USD_APR_FC">"c11889"</definedName>
    <definedName name="IQ_BALANCE_GOODS_REAL_USD_FC">"c11886"</definedName>
    <definedName name="IQ_BALANCE_GOODS_REAL_USD_POP_FC">"c11887"</definedName>
    <definedName name="IQ_BALANCE_GOODS_REAL_USD_YOY_FC">"c11888"</definedName>
    <definedName name="IQ_BALANCE_GOODS_REAL_YOY">"c7392"</definedName>
    <definedName name="IQ_BALANCE_GOODS_REAL_YOY_FC">"c8272"</definedName>
    <definedName name="IQ_BALANCE_GOODS_SAAR">"c6814"</definedName>
    <definedName name="IQ_BALANCE_GOODS_SAAR_APR">"c7474"</definedName>
    <definedName name="IQ_BALANCE_GOODS_SAAR_APR_FC">"c8354"</definedName>
    <definedName name="IQ_BALANCE_GOODS_SAAR_FC">"c7694"</definedName>
    <definedName name="IQ_BALANCE_GOODS_SAAR_POP">"c7034"</definedName>
    <definedName name="IQ_BALANCE_GOODS_SAAR_POP_FC">"c7914"</definedName>
    <definedName name="IQ_BALANCE_GOODS_SAAR_USD_APR_FC">"c11762"</definedName>
    <definedName name="IQ_BALANCE_GOODS_SAAR_USD_FC">"c11759"</definedName>
    <definedName name="IQ_BALANCE_GOODS_SAAR_USD_POP_FC">"c11760"</definedName>
    <definedName name="IQ_BALANCE_GOODS_SAAR_USD_YOY_FC">"c11761"</definedName>
    <definedName name="IQ_BALANCE_GOODS_SAAR_YOY">"c7254"</definedName>
    <definedName name="IQ_BALANCE_GOODS_SAAR_YOY_FC">"c8134"</definedName>
    <definedName name="IQ_BALANCE_GOODS_UNUSED_UNUSED_UNUSED">"c6813"</definedName>
    <definedName name="IQ_BALANCE_GOODS_USD_APR_FC">"c11758"</definedName>
    <definedName name="IQ_BALANCE_GOODS_USD_FC">"c11755"</definedName>
    <definedName name="IQ_BALANCE_GOODS_USD_POP_FC">"c11756"</definedName>
    <definedName name="IQ_BALANCE_GOODS_USD_YOY_FC">"c11757"</definedName>
    <definedName name="IQ_BALANCE_GOODS_YOY_FC_UNUSED_UNUSED_UNUSED">"c8133"</definedName>
    <definedName name="IQ_BALANCE_GOODS_YOY_UNUSED_UNUSED_UNUSED">"c7253"</definedName>
    <definedName name="IQ_BALANCE_SERV_APR_FC_UNUSED_UNUSED_UNUSED">"c8355"</definedName>
    <definedName name="IQ_BALANCE_SERV_APR_UNUSED_UNUSED_UNUSED">"c7475"</definedName>
    <definedName name="IQ_BALANCE_SERV_FC_UNUSED_UNUSED_UNUSED">"c7695"</definedName>
    <definedName name="IQ_BALANCE_SERV_POP_FC_UNUSED_UNUSED_UNUSED">"c7915"</definedName>
    <definedName name="IQ_BALANCE_SERV_POP_UNUSED_UNUSED_UNUSED">"c7035"</definedName>
    <definedName name="IQ_BALANCE_SERV_SAAR">"c6816"</definedName>
    <definedName name="IQ_BALANCE_SERV_SAAR_APR">"c7476"</definedName>
    <definedName name="IQ_BALANCE_SERV_SAAR_APR_FC">"c8356"</definedName>
    <definedName name="IQ_BALANCE_SERV_SAAR_FC">"c7696"</definedName>
    <definedName name="IQ_BALANCE_SERV_SAAR_POP">"c7036"</definedName>
    <definedName name="IQ_BALANCE_SERV_SAAR_POP_FC">"c7916"</definedName>
    <definedName name="IQ_BALANCE_SERV_SAAR_YOY">"c7256"</definedName>
    <definedName name="IQ_BALANCE_SERV_SAAR_YOY_FC">"c8136"</definedName>
    <definedName name="IQ_BALANCE_SERV_UNUSED_UNUSED_UNUSED">"c6815"</definedName>
    <definedName name="IQ_BALANCE_SERV_USD_APR_FC">"c11766"</definedName>
    <definedName name="IQ_BALANCE_SERV_USD_FC">"c11763"</definedName>
    <definedName name="IQ_BALANCE_SERV_USD_POP_FC">"c11764"</definedName>
    <definedName name="IQ_BALANCE_SERV_USD_YOY_FC">"c11765"</definedName>
    <definedName name="IQ_BALANCE_SERV_YOY_FC_UNUSED_UNUSED_UNUSED">"c8135"</definedName>
    <definedName name="IQ_BALANCE_SERV_YOY_UNUSED_UNUSED_UNUSED">"c7255"</definedName>
    <definedName name="IQ_BALANCE_SERVICES_REAL">"c6954"</definedName>
    <definedName name="IQ_BALANCE_SERVICES_REAL_APR">"c7614"</definedName>
    <definedName name="IQ_BALANCE_SERVICES_REAL_APR_FC">"c8494"</definedName>
    <definedName name="IQ_BALANCE_SERVICES_REAL_FC">"c7834"</definedName>
    <definedName name="IQ_BALANCE_SERVICES_REAL_POP">"c7174"</definedName>
    <definedName name="IQ_BALANCE_SERVICES_REAL_POP_FC">"c8054"</definedName>
    <definedName name="IQ_BALANCE_SERVICES_REAL_SAAR">"c6955"</definedName>
    <definedName name="IQ_BALANCE_SERVICES_REAL_SAAR_APR">"c7615"</definedName>
    <definedName name="IQ_BALANCE_SERVICES_REAL_SAAR_APR_FC">"c8495"</definedName>
    <definedName name="IQ_BALANCE_SERVICES_REAL_SAAR_FC">"c7835"</definedName>
    <definedName name="IQ_BALANCE_SERVICES_REAL_SAAR_POP">"c7175"</definedName>
    <definedName name="IQ_BALANCE_SERVICES_REAL_SAAR_POP_FC">"c8055"</definedName>
    <definedName name="IQ_BALANCE_SERVICES_REAL_SAAR_YOY">"c7395"</definedName>
    <definedName name="IQ_BALANCE_SERVICES_REAL_SAAR_YOY_FC">"c8275"</definedName>
    <definedName name="IQ_BALANCE_SERVICES_REAL_USD_APR_FC">"c11897"</definedName>
    <definedName name="IQ_BALANCE_SERVICES_REAL_USD_FC">"c11894"</definedName>
    <definedName name="IQ_BALANCE_SERVICES_REAL_USD_POP_FC">"c11895"</definedName>
    <definedName name="IQ_BALANCE_SERVICES_REAL_USD_YOY_FC">"c11896"</definedName>
    <definedName name="IQ_BALANCE_SERVICES_REAL_YOY">"c7394"</definedName>
    <definedName name="IQ_BALANCE_SERVICES_REAL_YOY_FC">"c8274"</definedName>
    <definedName name="IQ_BALANCE_TRADE_APR_FC_UNUSED_UNUSED_UNUSED">"c8357"</definedName>
    <definedName name="IQ_BALANCE_TRADE_APR_UNUSED_UNUSED_UNUSED">"c7477"</definedName>
    <definedName name="IQ_BALANCE_TRADE_FC_UNUSED_UNUSED_UNUSED">"c7697"</definedName>
    <definedName name="IQ_BALANCE_TRADE_POP_FC_UNUSED_UNUSED_UNUSED">"c7917"</definedName>
    <definedName name="IQ_BALANCE_TRADE_POP_UNUSED_UNUSED_UNUSED">"c7037"</definedName>
    <definedName name="IQ_BALANCE_TRADE_REAL">"c6956"</definedName>
    <definedName name="IQ_BALANCE_TRADE_REAL_APR">"c7616"</definedName>
    <definedName name="IQ_BALANCE_TRADE_REAL_APR_FC">"c8496"</definedName>
    <definedName name="IQ_BALANCE_TRADE_REAL_FC">"c7836"</definedName>
    <definedName name="IQ_BALANCE_TRADE_REAL_POP">"c7176"</definedName>
    <definedName name="IQ_BALANCE_TRADE_REAL_POP_FC">"c8056"</definedName>
    <definedName name="IQ_BALANCE_TRADE_REAL_SAAR">"c6957"</definedName>
    <definedName name="IQ_BALANCE_TRADE_REAL_SAAR_APR">"c7617"</definedName>
    <definedName name="IQ_BALANCE_TRADE_REAL_SAAR_APR_FC">"c8497"</definedName>
    <definedName name="IQ_BALANCE_TRADE_REAL_SAAR_FC">"c7837"</definedName>
    <definedName name="IQ_BALANCE_TRADE_REAL_SAAR_POP">"c7177"</definedName>
    <definedName name="IQ_BALANCE_TRADE_REAL_SAAR_POP_FC">"c8057"</definedName>
    <definedName name="IQ_BALANCE_TRADE_REAL_SAAR_USD_APR_FC">"c11905"</definedName>
    <definedName name="IQ_BALANCE_TRADE_REAL_SAAR_USD_FC">"c11902"</definedName>
    <definedName name="IQ_BALANCE_TRADE_REAL_SAAR_USD_POP_FC">"c11903"</definedName>
    <definedName name="IQ_BALANCE_TRADE_REAL_SAAR_USD_YOY_FC">"c11904"</definedName>
    <definedName name="IQ_BALANCE_TRADE_REAL_SAAR_YOY">"c7397"</definedName>
    <definedName name="IQ_BALANCE_TRADE_REAL_SAAR_YOY_FC">"c8277"</definedName>
    <definedName name="IQ_BALANCE_TRADE_REAL_USD_APR_FC">"c11901"</definedName>
    <definedName name="IQ_BALANCE_TRADE_REAL_USD_FC">"c11898"</definedName>
    <definedName name="IQ_BALANCE_TRADE_REAL_USD_POP_FC">"c11899"</definedName>
    <definedName name="IQ_BALANCE_TRADE_REAL_USD_YOY_FC">"c11900"</definedName>
    <definedName name="IQ_BALANCE_TRADE_REAL_YOY">"c7396"</definedName>
    <definedName name="IQ_BALANCE_TRADE_REAL_YOY_FC">"c8276"</definedName>
    <definedName name="IQ_BALANCE_TRADE_SAAR">"c6818"</definedName>
    <definedName name="IQ_BALANCE_TRADE_SAAR_APR">"c7478"</definedName>
    <definedName name="IQ_BALANCE_TRADE_SAAR_APR_FC">"c8358"</definedName>
    <definedName name="IQ_BALANCE_TRADE_SAAR_FC">"c7698"</definedName>
    <definedName name="IQ_BALANCE_TRADE_SAAR_POP">"c7038"</definedName>
    <definedName name="IQ_BALANCE_TRADE_SAAR_POP_FC">"c7918"</definedName>
    <definedName name="IQ_BALANCE_TRADE_SAAR_USD_APR_FC">"c11774"</definedName>
    <definedName name="IQ_BALANCE_TRADE_SAAR_USD_FC">"c11771"</definedName>
    <definedName name="IQ_BALANCE_TRADE_SAAR_USD_POP_FC">"c11772"</definedName>
    <definedName name="IQ_BALANCE_TRADE_SAAR_USD_YOY_FC">"c11773"</definedName>
    <definedName name="IQ_BALANCE_TRADE_SAAR_YOY">"c7258"</definedName>
    <definedName name="IQ_BALANCE_TRADE_SAAR_YOY_FC">"c8138"</definedName>
    <definedName name="IQ_BALANCE_TRADE_UNUSED_UNUSED_UNUSED">"c6817"</definedName>
    <definedName name="IQ_BALANCE_TRADE_USD_APR_FC">"c11770"</definedName>
    <definedName name="IQ_BALANCE_TRADE_USD_FC">"c11767"</definedName>
    <definedName name="IQ_BALANCE_TRADE_USD_POP_FC">"c11768"</definedName>
    <definedName name="IQ_BALANCE_TRADE_USD_YOY_FC">"c11769"</definedName>
    <definedName name="IQ_BALANCE_TRADE_YOY_FC_UNUSED_UNUSED_UNUSED">"c8137"</definedName>
    <definedName name="IQ_BALANCE_TRADE_YOY_UNUSED_UNUSED_UNUSED">"c7257"</definedName>
    <definedName name="IQ_BALANCES_DUE_DEPOSITORY_INSTITUTIONS_FDIC">"c6389"</definedName>
    <definedName name="IQ_BALANCES_DUE_FOREIGN_FDIC">"c6391"</definedName>
    <definedName name="IQ_BALANCES_DUE_FRB_FDIC">"c6393"</definedName>
    <definedName name="IQ_BANK_BENEFICIARY_FDIC">"c6505"</definedName>
    <definedName name="IQ_BANK_DEBT">"c2544"</definedName>
    <definedName name="IQ_BANK_DEBT_PCT">"c2545"</definedName>
    <definedName name="IQ_BANK_GUARANTOR_FDIC">"c6506"</definedName>
    <definedName name="IQ_BANK_PREMISES_FDIC">"c6329"</definedName>
    <definedName name="IQ_BANK_SECURITIZATION_1_4_FAMILY_LOANS_FDIC">"c6721"</definedName>
    <definedName name="IQ_BANK_SECURITIZATION_AUTO_LOANS_FDIC">"c6715"</definedName>
    <definedName name="IQ_BANK_SECURITIZATION_CL_LOANS_FDIC">"c6716"</definedName>
    <definedName name="IQ_BANK_SECURITIZATION_CREDIT_CARDS_RECEIVABLES_FDIC">"c6718"</definedName>
    <definedName name="IQ_BANK_SECURITIZATION_HOME_EQUITY_LINES_FDIC">"c6719"</definedName>
    <definedName name="IQ_BANK_SECURITIZATION_OTHER_CONSUMER_LOANS_FDIC">"c6717"</definedName>
    <definedName name="IQ_BANK_SECURITIZATION_OTHER_LOANS_FDIC">"c6720"</definedName>
    <definedName name="IQ_BANKS_FOREIGN_COUNTRIES_TOTAL_DEPOSITS_FDIC">"c6475"</definedName>
    <definedName name="IQ_BASIC_EPS_EXCL">"c85"</definedName>
    <definedName name="IQ_BASIC_EPS_INCL">"c86"</definedName>
    <definedName name="IQ_BASIC_NORMAL_EPS">"c1592"</definedName>
    <definedName name="IQ_BASIC_WEIGHT">"c87"</definedName>
    <definedName name="IQ_BENCHMARK_SECURITY">"c2154"</definedName>
    <definedName name="IQ_BENCHMARK_SPRD">"c2153"</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OND_COUPON">"c2183"</definedName>
    <definedName name="IQ_BOND_COUPON_TYPE">"c2184"</definedName>
    <definedName name="IQ_BOND_PRICE">"c2162"</definedName>
    <definedName name="IQ_BROK_COMISSION">"c98"</definedName>
    <definedName name="IQ_BROK_COMMISSION">"c3514"</definedName>
    <definedName name="IQ_BROKERED_DEPOSITS_FDIC">"c6486"</definedName>
    <definedName name="IQ_BUDGET_BALANCE_APR_FC_UNUSED_UNUSED_UNUSED">"c8359"</definedName>
    <definedName name="IQ_BUDGET_BALANCE_APR_UNUSED_UNUSED_UNUSED">"c7479"</definedName>
    <definedName name="IQ_BUDGET_BALANCE_FC_UNUSED_UNUSED_UNUSED">"c7699"</definedName>
    <definedName name="IQ_BUDGET_BALANCE_POP_FC_UNUSED_UNUSED_UNUSED">"c7919"</definedName>
    <definedName name="IQ_BUDGET_BALANCE_POP_UNUSED_UNUSED_UNUSED">"c7039"</definedName>
    <definedName name="IQ_BUDGET_BALANCE_SAAR">"c6820"</definedName>
    <definedName name="IQ_BUDGET_BALANCE_SAAR_APR">"c7480"</definedName>
    <definedName name="IQ_BUDGET_BALANCE_SAAR_APR_FC">"c8360"</definedName>
    <definedName name="IQ_BUDGET_BALANCE_SAAR_FC">"c7700"</definedName>
    <definedName name="IQ_BUDGET_BALANCE_SAAR_POP">"c7040"</definedName>
    <definedName name="IQ_BUDGET_BALANCE_SAAR_POP_FC">"c7920"</definedName>
    <definedName name="IQ_BUDGET_BALANCE_SAAR_YOY">"c7260"</definedName>
    <definedName name="IQ_BUDGET_BALANCE_SAAR_YOY_FC">"c8140"</definedName>
    <definedName name="IQ_BUDGET_BALANCE_UNUSED_UNUSED_UNUSED">"c6819"</definedName>
    <definedName name="IQ_BUDGET_BALANCE_YOY_FC_UNUSED_UNUSED_UNUSED">"c8139"</definedName>
    <definedName name="IQ_BUDGET_BALANCE_YOY_UNUSED_UNUSED_UNUSED">"c7259"</definedName>
    <definedName name="IQ_BUDGET_RECEIPTS_APR_FC_UNUSED_UNUSED_UNUSED">"c8361"</definedName>
    <definedName name="IQ_BUDGET_RECEIPTS_APR_UNUSED_UNUSED_UNUSED">"c7481"</definedName>
    <definedName name="IQ_BUDGET_RECEIPTS_FC_UNUSED_UNUSED_UNUSED">"c7701"</definedName>
    <definedName name="IQ_BUDGET_RECEIPTS_POP_FC_UNUSED_UNUSED_UNUSED">"c7921"</definedName>
    <definedName name="IQ_BUDGET_RECEIPTS_POP_UNUSED_UNUSED_UNUSED">"c7041"</definedName>
    <definedName name="IQ_BUDGET_RECEIPTS_UNUSED_UNUSED_UNUSED">"c6821"</definedName>
    <definedName name="IQ_BUDGET_RECEIPTS_YOY_FC_UNUSED_UNUSED_UNUSED">"c8141"</definedName>
    <definedName name="IQ_BUDGET_RECEIPTS_YOY_UNUSED_UNUSED_UNUSED">"c7261"</definedName>
    <definedName name="IQ_BUDGET_SPENDING">"c6822"</definedName>
    <definedName name="IQ_BUDGET_SPENDING_APR">"c7482"</definedName>
    <definedName name="IQ_BUDGET_SPENDING_APR_FC">"c8362"</definedName>
    <definedName name="IQ_BUDGET_SPENDING_FC">"c7702"</definedName>
    <definedName name="IQ_BUDGET_SPENDING_POP">"c7042"</definedName>
    <definedName name="IQ_BUDGET_SPENDING_POP_FC">"c7922"</definedName>
    <definedName name="IQ_BUDGET_SPENDING_REAL">"c6958"</definedName>
    <definedName name="IQ_BUDGET_SPENDING_REAL_APR">"c7618"</definedName>
    <definedName name="IQ_BUDGET_SPENDING_REAL_APR_FC">"c8498"</definedName>
    <definedName name="IQ_BUDGET_SPENDING_REAL_FC">"c7838"</definedName>
    <definedName name="IQ_BUDGET_SPENDING_REAL_POP">"c7178"</definedName>
    <definedName name="IQ_BUDGET_SPENDING_REAL_POP_FC">"c8058"</definedName>
    <definedName name="IQ_BUDGET_SPENDING_REAL_SAAR">"c6959"</definedName>
    <definedName name="IQ_BUDGET_SPENDING_REAL_SAAR_APR">"c7619"</definedName>
    <definedName name="IQ_BUDGET_SPENDING_REAL_SAAR_APR_FC">"c8499"</definedName>
    <definedName name="IQ_BUDGET_SPENDING_REAL_SAAR_FC">"c7839"</definedName>
    <definedName name="IQ_BUDGET_SPENDING_REAL_SAAR_POP">"c7179"</definedName>
    <definedName name="IQ_BUDGET_SPENDING_REAL_SAAR_POP_FC">"c8059"</definedName>
    <definedName name="IQ_BUDGET_SPENDING_REAL_SAAR_USD">"c11906"</definedName>
    <definedName name="IQ_BUDGET_SPENDING_REAL_SAAR_USD_APR">"c11909"</definedName>
    <definedName name="IQ_BUDGET_SPENDING_REAL_SAAR_USD_POP">"c11907"</definedName>
    <definedName name="IQ_BUDGET_SPENDING_REAL_SAAR_USD_YOY">"c11908"</definedName>
    <definedName name="IQ_BUDGET_SPENDING_REAL_SAAR_YOY">"c7399"</definedName>
    <definedName name="IQ_BUDGET_SPENDING_REAL_SAAR_YOY_FC">"c8279"</definedName>
    <definedName name="IQ_BUDGET_SPENDING_REAL_YOY">"c7398"</definedName>
    <definedName name="IQ_BUDGET_SPENDING_REAL_YOY_FC">"c8278"</definedName>
    <definedName name="IQ_BUDGET_SPENDING_SAAR">"c6823"</definedName>
    <definedName name="IQ_BUDGET_SPENDING_SAAR_APR">"c7483"</definedName>
    <definedName name="IQ_BUDGET_SPENDING_SAAR_APR_FC">"c8363"</definedName>
    <definedName name="IQ_BUDGET_SPENDING_SAAR_FC">"c7703"</definedName>
    <definedName name="IQ_BUDGET_SPENDING_SAAR_POP">"c7043"</definedName>
    <definedName name="IQ_BUDGET_SPENDING_SAAR_POP_FC">"c7923"</definedName>
    <definedName name="IQ_BUDGET_SPENDING_SAAR_USD_APR_FC">"c11782"</definedName>
    <definedName name="IQ_BUDGET_SPENDING_SAAR_USD_FC">"c11779"</definedName>
    <definedName name="IQ_BUDGET_SPENDING_SAAR_USD_POP_FC">"c11780"</definedName>
    <definedName name="IQ_BUDGET_SPENDING_SAAR_USD_YOY_FC">"c11781"</definedName>
    <definedName name="IQ_BUDGET_SPENDING_SAAR_YOY">"c7263"</definedName>
    <definedName name="IQ_BUDGET_SPENDING_SAAR_YOY_FC">"c8143"</definedName>
    <definedName name="IQ_BUDGET_SPENDING_USD_APR_FC">"c11778"</definedName>
    <definedName name="IQ_BUDGET_SPENDING_USD_FC">"c11775"</definedName>
    <definedName name="IQ_BUDGET_SPENDING_USD_POP_FC">"c11776"</definedName>
    <definedName name="IQ_BUDGET_SPENDING_USD_YOY_FC">"c11777"</definedName>
    <definedName name="IQ_BUDGET_SPENDING_YOY">"c7262"</definedName>
    <definedName name="IQ_BUDGET_SPENDING_YOY_FC">"c8142"</definedName>
    <definedName name="IQ_BUILDINGS">"c99"</definedName>
    <definedName name="IQ_BUS_SEG_ASSETS">"c4067"</definedName>
    <definedName name="IQ_BUS_SEG_ASSETS_ABS">"c4089"</definedName>
    <definedName name="IQ_BUS_SEG_ASSETS_TOTAL">"c4112"</definedName>
    <definedName name="IQ_BUS_SEG_CAPEX">"c4079"</definedName>
    <definedName name="IQ_BUS_SEG_CAPEX_ABS">"c4101"</definedName>
    <definedName name="IQ_BUS_SEG_CAPEX_TOTAL">"c4116"</definedName>
    <definedName name="IQ_BUS_SEG_DA">"c4078"</definedName>
    <definedName name="IQ_BUS_SEG_DA_ABS">"c4100"</definedName>
    <definedName name="IQ_BUS_SEG_DA_TOTAL">"c4115"</definedName>
    <definedName name="IQ_BUS_SEG_EARNINGS_OP">"c4063"</definedName>
    <definedName name="IQ_BUS_SEG_EARNINGS_OP_ABS">"c4085"</definedName>
    <definedName name="IQ_BUS_SEG_EARNINGS_OP_TOTAL">"c4108"</definedName>
    <definedName name="IQ_BUS_SEG_EBT">"c4064"</definedName>
    <definedName name="IQ_BUS_SEG_EBT_ABS">"c4086"</definedName>
    <definedName name="IQ_BUS_SEG_EBT_TOTAL">"c4110"</definedName>
    <definedName name="IQ_BUS_SEG_GP">"c4066"</definedName>
    <definedName name="IQ_BUS_SEG_GP_ABS">"c4088"</definedName>
    <definedName name="IQ_BUS_SEG_GP_TOTAL">"c4109"</definedName>
    <definedName name="IQ_BUS_SEG_INC_TAX">"c4077"</definedName>
    <definedName name="IQ_BUS_SEG_INC_TAX_ABS">"c4099"</definedName>
    <definedName name="IQ_BUS_SEG_INC_TAX_TOTAL">"c4114"</definedName>
    <definedName name="IQ_BUS_SEG_INTEREST_EXP">"c4076"</definedName>
    <definedName name="IQ_BUS_SEG_INTEREST_EXP_ABS">"c4098"</definedName>
    <definedName name="IQ_BUS_SEG_INTEREST_EXP_TOTAL">"c4113"</definedName>
    <definedName name="IQ_BUS_SEG_NAME">"c5482"</definedName>
    <definedName name="IQ_BUS_SEG_NAME_ABS">"c5483"</definedName>
    <definedName name="IQ_BUS_SEG_NI">"c4065"</definedName>
    <definedName name="IQ_BUS_SEG_NI_ABS">"c4087"</definedName>
    <definedName name="IQ_BUS_SEG_NI_TOTAL">"c4111"</definedName>
    <definedName name="IQ_BUS_SEG_OPER_INC">"c4062"</definedName>
    <definedName name="IQ_BUS_SEG_OPER_INC_ABS">"c4084"</definedName>
    <definedName name="IQ_BUS_SEG_OPER_INC_TOTAL">"c4107"</definedName>
    <definedName name="IQ_BUS_SEG_REV">"c4068"</definedName>
    <definedName name="IQ_BUS_SEG_REV_ABS">"c4090"</definedName>
    <definedName name="IQ_BUS_SEG_REV_TOTAL">"c4106"</definedName>
    <definedName name="IQ_BUSINESS_DESCRIPTION">"c322"</definedName>
    <definedName name="IQ_BV_ACT_OR_EST_CIQ">"c5068"</definedName>
    <definedName name="IQ_BV_OVER_SHARES">"c1349"</definedName>
    <definedName name="IQ_BV_SHARE">"c100"</definedName>
    <definedName name="IQ_BV_SHARE_ACT_OR_EST_THOM">"c5312"</definedName>
    <definedName name="IQ_BV_SHARE_EST">"c3541"</definedName>
    <definedName name="IQ_BV_SHARE_EST_THOM">"c4020"</definedName>
    <definedName name="IQ_BV_SHARE_HIGH_EST">"c3542"</definedName>
    <definedName name="IQ_BV_SHARE_HIGH_EST_THOM">"c4022"</definedName>
    <definedName name="IQ_BV_SHARE_LOW_EST">"c3543"</definedName>
    <definedName name="IQ_BV_SHARE_LOW_EST_THOM">"c4023"</definedName>
    <definedName name="IQ_BV_SHARE_MEDIAN_EST">"c3544"</definedName>
    <definedName name="IQ_BV_SHARE_MEDIAN_EST_THOM">"c4021"</definedName>
    <definedName name="IQ_BV_SHARE_NUM_EST">"c3539"</definedName>
    <definedName name="IQ_BV_SHARE_NUM_EST_THOM">"c4024"</definedName>
    <definedName name="IQ_BV_SHARE_STDDEV_EST">"c3540"</definedName>
    <definedName name="IQ_BV_SHARE_STDDEV_EST_THOM">"c4025"</definedName>
    <definedName name="IQ_CA_AP">"c8881"</definedName>
    <definedName name="IQ_CA_AP_ABS">"c8900"</definedName>
    <definedName name="IQ_CA_NAME_AP">"c8919"</definedName>
    <definedName name="IQ_CA_NAME_AP_ABS">"c8938"</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DIG">"c2856"</definedName>
    <definedName name="IQ_CABLE_SUBS_NON_VIDEO">"c2860"</definedName>
    <definedName name="IQ_CABLE_SUBS_PHONE">"c2859"</definedName>
    <definedName name="IQ_CABLE_SUBS_TOTAL">"c2862"</definedName>
    <definedName name="IQ_CABLE_THP">"c2847"</definedName>
    <definedName name="IQ_CABLE_TOTAL_PENETRATION">"c2854"</definedName>
    <definedName name="IQ_CABLE_TOTAL_REV">"c2883"</definedName>
    <definedName name="IQ_CAL_Q">"c101"</definedName>
    <definedName name="IQ_CAL_Q_EST">"c6796"</definedName>
    <definedName name="IQ_CAL_Q_EST_CIQ">"c6808"</definedName>
    <definedName name="IQ_CAL_Q_EST_REUT">"c6800"</definedName>
    <definedName name="IQ_CAL_Q_EST_THOM">"c6804"</definedName>
    <definedName name="IQ_CAL_Y">"c102"</definedName>
    <definedName name="IQ_CAL_Y_EST">"c6797"</definedName>
    <definedName name="IQ_CAL_Y_EST_CIQ">"c6809"</definedName>
    <definedName name="IQ_CAL_Y_EST_REUT">"c6801"</definedName>
    <definedName name="IQ_CAL_Y_EST_THOM">"c6805"</definedName>
    <definedName name="IQ_CALC_TYPE_BS">"c3086"</definedName>
    <definedName name="IQ_CALC_TYPE_CF">"c3085"</definedName>
    <definedName name="IQ_CALC_TYPE_IS">"c3084"</definedName>
    <definedName name="IQ_CALL_DATE_SCHEDULE">"c2481"</definedName>
    <definedName name="IQ_CALL_FEATURE">"c2197"</definedName>
    <definedName name="IQ_CALL_PRICE_SCHEDULE">"c2482"</definedName>
    <definedName name="IQ_CALLABLE">"c2196"</definedName>
    <definedName name="IQ_CAP_LOSS_CF_1YR">"c3474"</definedName>
    <definedName name="IQ_CAP_LOSS_CF_2YR">"c3475"</definedName>
    <definedName name="IQ_CAP_LOSS_CF_3YR">"c3476"</definedName>
    <definedName name="IQ_CAP_LOSS_CF_4YR">"c3477"</definedName>
    <definedName name="IQ_CAP_LOSS_CF_5YR">"c3478"</definedName>
    <definedName name="IQ_CAP_LOSS_CF_AFTER_FIVE">"c3479"</definedName>
    <definedName name="IQ_CAP_LOSS_CF_MAX_YEAR">"c3482"</definedName>
    <definedName name="IQ_CAP_LOSS_CF_NO_EXP">"c3480"</definedName>
    <definedName name="IQ_CAP_LOSS_CF_TOTAL">"c3481"</definedName>
    <definedName name="IQ_CAP_UTIL_RATE">"c6824"</definedName>
    <definedName name="IQ_CAP_UTIL_RATE_POP">"c7044"</definedName>
    <definedName name="IQ_CAP_UTIL_RATE_YOY">"c7264"</definedName>
    <definedName name="IQ_CAPEX">"c103"</definedName>
    <definedName name="IQ_CAPEX_10YR_ANN_CAGR">"c6050"</definedName>
    <definedName name="IQ_CAPEX_10YR_ANN_GROWTH">"c104"</definedName>
    <definedName name="IQ_CAPEX_1YR_ANN_GROWTH">"c105"</definedName>
    <definedName name="IQ_CAPEX_2YR_ANN_CAGR">"c6051"</definedName>
    <definedName name="IQ_CAPEX_2YR_ANN_GROWTH">"c106"</definedName>
    <definedName name="IQ_CAPEX_3YR_ANN_CAGR">"c6052"</definedName>
    <definedName name="IQ_CAPEX_3YR_ANN_GROWTH">"c107"</definedName>
    <definedName name="IQ_CAPEX_5YR_ANN_CAGR">"c6053"</definedName>
    <definedName name="IQ_CAPEX_5YR_ANN_GROWTH">"c108"</definedName>
    <definedName name="IQ_CAPEX_7YR_ANN_CAGR">"c6054"</definedName>
    <definedName name="IQ_CAPEX_7YR_ANN_GROWTH">"c109"</definedName>
    <definedName name="IQ_CAPEX_ACT_OR_EST_THOM">"c5546"</definedName>
    <definedName name="IQ_CAPEX_BNK">"c110"</definedName>
    <definedName name="IQ_CAPEX_BR">"c111"</definedName>
    <definedName name="IQ_CAPEX_EST">"c3523"</definedName>
    <definedName name="IQ_CAPEX_EST_THOM">"c5502"</definedName>
    <definedName name="IQ_CAPEX_FIN">"c112"</definedName>
    <definedName name="IQ_CAPEX_HIGH_EST">"c3524"</definedName>
    <definedName name="IQ_CAPEX_HIGH_EST_THOM">"c5504"</definedName>
    <definedName name="IQ_CAPEX_INS">"c113"</definedName>
    <definedName name="IQ_CAPEX_LOW_EST">"c3525"</definedName>
    <definedName name="IQ_CAPEX_LOW_EST_THOM">"c5505"</definedName>
    <definedName name="IQ_CAPEX_MEDIAN_EST">"c3526"</definedName>
    <definedName name="IQ_CAPEX_MEDIAN_EST_THOM">"c5503"</definedName>
    <definedName name="IQ_CAPEX_NUM_EST">"c3521"</definedName>
    <definedName name="IQ_CAPEX_NUM_EST_THOM">"c5506"</definedName>
    <definedName name="IQ_CAPEX_STDDEV_EST">"c3522"</definedName>
    <definedName name="IQ_CAPEX_STDDEV_EST_THOM">"c5507"</definedName>
    <definedName name="IQ_CAPEX_UTI">"c114"</definedName>
    <definedName name="IQ_CAPITAL_LEASE">"c1350"</definedName>
    <definedName name="IQ_CAPITAL_LEASES">"c115"</definedName>
    <definedName name="IQ_CAPITAL_LEASES_TOTAL">"c3031"</definedName>
    <definedName name="IQ_CAPITAL_LEASES_TOTAL_PCT">"c2506"</definedName>
    <definedName name="IQ_CAPITAL_RAISED_PERIOD_COVERED">"c9959"</definedName>
    <definedName name="IQ_CAPITAL_RAISED_PERIOD_GROUP">"c9945"</definedName>
    <definedName name="IQ_CAPITALIZED_INTEREST">"c2076"</definedName>
    <definedName name="IQ_CAPITALIZED_INTEREST_BOP">"c3459"</definedName>
    <definedName name="IQ_CAPITALIZED_INTEREST_EOP">"c3464"</definedName>
    <definedName name="IQ_CAPITALIZED_INTEREST_EXP">"c3461"</definedName>
    <definedName name="IQ_CAPITALIZED_INTEREST_OTHER_ADJ">"c3463"</definedName>
    <definedName name="IQ_CAPITALIZED_INTEREST_WRITE_OFF">"c3462"</definedName>
    <definedName name="IQ_CASH">"c1458"</definedName>
    <definedName name="IQ_CASH_ACQUIRE_CF">"c1630"</definedName>
    <definedName name="IQ_CASH_CONVERSION">"c117"</definedName>
    <definedName name="IQ_CASH_COST_ALUM">"c9252"</definedName>
    <definedName name="IQ_CASH_COST_COAL">"c9825"</definedName>
    <definedName name="IQ_CASH_COST_COP">"c9199"</definedName>
    <definedName name="IQ_CASH_COST_DIAM">"c9676"</definedName>
    <definedName name="IQ_CASH_COST_GOLD">"c9037"</definedName>
    <definedName name="IQ_CASH_COST_IRON">"c9411"</definedName>
    <definedName name="IQ_CASH_COST_LEAD">"c9464"</definedName>
    <definedName name="IQ_CASH_COST_MANG">"c9517"</definedName>
    <definedName name="IQ_CASH_COST_MET_COAL">"c9762"</definedName>
    <definedName name="IQ_CASH_COST_MOLYB">"c9729"</definedName>
    <definedName name="IQ_CASH_COST_NICK">"c9305"</definedName>
    <definedName name="IQ_CASH_COST_PLAT">"c9143"</definedName>
    <definedName name="IQ_CASH_COST_SILVER">"c9090"</definedName>
    <definedName name="IQ_CASH_COST_STEAM">"c9792"</definedName>
    <definedName name="IQ_CASH_COST_TITAN">"c9570"</definedName>
    <definedName name="IQ_CASH_COST_URAN">"c9623"</definedName>
    <definedName name="IQ_CASH_COST_ZINC">"c9358"</definedName>
    <definedName name="IQ_CASH_DIVIDENDS_NET_INCOME_FDIC">"c6738"</definedName>
    <definedName name="IQ_CASH_DUE_BANKS">"c1351"</definedName>
    <definedName name="IQ_CASH_EPS_ACT_OR_EST_THOM">"c5646"</definedName>
    <definedName name="IQ_CASH_EPS_EST">"c5631"</definedName>
    <definedName name="IQ_CASH_EPS_EST_THOM">"c5639"</definedName>
    <definedName name="IQ_CASH_EPS_HIGH_EST">"c5633"</definedName>
    <definedName name="IQ_CASH_EPS_HIGH_EST_THOM">"c5641"</definedName>
    <definedName name="IQ_CASH_EPS_LOW_EST">"c5634"</definedName>
    <definedName name="IQ_CASH_EPS_LOW_EST_THOM">"c5642"</definedName>
    <definedName name="IQ_CASH_EPS_MEDIAN_EST">"c5632"</definedName>
    <definedName name="IQ_CASH_EPS_MEDIAN_EST_THOM">"c5640"</definedName>
    <definedName name="IQ_CASH_EPS_NUM_EST">"c5635"</definedName>
    <definedName name="IQ_CASH_EPS_NUM_EST_THOM">"c5643"</definedName>
    <definedName name="IQ_CASH_EPS_STDDEV_EST">"c5636"</definedName>
    <definedName name="IQ_CASH_EPS_STDDEV_EST_THOM">"c5644"</definedName>
    <definedName name="IQ_CASH_EQUIV">"c118"</definedName>
    <definedName name="IQ_CASH_FINAN">"c119"</definedName>
    <definedName name="IQ_CASH_FINAN_AP">"c8890"</definedName>
    <definedName name="IQ_CASH_FINAN_AP_ABS">"c8909"</definedName>
    <definedName name="IQ_CASH_FINAN_NAME_AP">"c8928"</definedName>
    <definedName name="IQ_CASH_FINAN_NAME_AP_ABS">"c8947"</definedName>
    <definedName name="IQ_CASH_FINAN_SUBTOTAL_AP">"c10111"</definedName>
    <definedName name="IQ_CASH_FLOW_ACT_OR_EST">"c4154"</definedName>
    <definedName name="IQ_CASH_FLOW_ACT_OR_EST_CIQ">"c4566"</definedName>
    <definedName name="IQ_CASH_IN_PROCESS_FDIC">"c6386"</definedName>
    <definedName name="IQ_CASH_INTEREST">"c120"</definedName>
    <definedName name="IQ_CASH_INTEREST_FINAN">"c6295"</definedName>
    <definedName name="IQ_CASH_INTEREST_INVEST">"c6294"</definedName>
    <definedName name="IQ_CASH_INTEREST_OPER">"c6293"</definedName>
    <definedName name="IQ_CASH_INVEST">"c121"</definedName>
    <definedName name="IQ_CASH_INVEST_AP">"c8889"</definedName>
    <definedName name="IQ_CASH_INVEST_AP_ABS">"c8908"</definedName>
    <definedName name="IQ_CASH_INVEST_NAME_AP">"c8927"</definedName>
    <definedName name="IQ_CASH_INVEST_NAME_AP_ABS">"c8946"</definedName>
    <definedName name="IQ_CASH_INVEST_SUBTOTAL_AP">"c8991"</definedName>
    <definedName name="IQ_CASH_OPER">"c122"</definedName>
    <definedName name="IQ_CASH_OPER_ACT_OR_EST">"c4164"</definedName>
    <definedName name="IQ_CASH_OPER_ACT_OR_EST_CIQ">"c4576"</definedName>
    <definedName name="IQ_CASH_OPER_AP">"c8888"</definedName>
    <definedName name="IQ_CASH_OPER_AP_ABS">"c8907"</definedName>
    <definedName name="IQ_CASH_OPER_NAME_AP">"c8926"</definedName>
    <definedName name="IQ_CASH_OPER_NAME_AP_ABS">"c8945"</definedName>
    <definedName name="IQ_CASH_OPER_SUBTOTAL_AP">"c8990"</definedName>
    <definedName name="IQ_CASH_OTHER_ADJ_AP">"c8891"</definedName>
    <definedName name="IQ_CASH_OTHER_ADJ_AP_ABS">"c8910"</definedName>
    <definedName name="IQ_CASH_OTHER_ADJ_NAME_AP">"c8929"</definedName>
    <definedName name="IQ_CASH_OTHER_ADJ_NAME_AP_ABS">"c8948"</definedName>
    <definedName name="IQ_CASH_SEGREG">"c123"</definedName>
    <definedName name="IQ_CASH_SHARE">"c1911"</definedName>
    <definedName name="IQ_CASH_ST">"c1355"</definedName>
    <definedName name="IQ_CASH_ST_INVEST">"c124"</definedName>
    <definedName name="IQ_CASH_TAXES">"c125"</definedName>
    <definedName name="IQ_CASH_TAXES_FINAN">"c6292"</definedName>
    <definedName name="IQ_CASH_TAXES_INVEST">"c6291"</definedName>
    <definedName name="IQ_CASH_TAXES_OPER">"c6290"</definedName>
    <definedName name="IQ_CCE_FDIC">"c6296"</definedName>
    <definedName name="IQ_CEDED_AH_EARNED">"c2743"</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PC_EARNED">"c2748"</definedName>
    <definedName name="IQ_CEDED_WRITTEN">"c2727"</definedName>
    <definedName name="IQ_CFO_10YR_ANN_CAGR">"c6055"</definedName>
    <definedName name="IQ_CFO_10YR_ANN_GROWTH">"c126"</definedName>
    <definedName name="IQ_CFO_1YR_ANN_GROWTH">"c127"</definedName>
    <definedName name="IQ_CFO_2YR_ANN_CAGR">"c6056"</definedName>
    <definedName name="IQ_CFO_2YR_ANN_GROWTH">"c128"</definedName>
    <definedName name="IQ_CFO_3YR_ANN_CAGR">"c6057"</definedName>
    <definedName name="IQ_CFO_3YR_ANN_GROWTH">"c129"</definedName>
    <definedName name="IQ_CFO_5YR_ANN_CAGR">"c6058"</definedName>
    <definedName name="IQ_CFO_5YR_ANN_GROWTH">"c130"</definedName>
    <definedName name="IQ_CFO_7YR_ANN_CAGR">"c6059"</definedName>
    <definedName name="IQ_CFO_7YR_ANN_GROWTH">"c131"</definedName>
    <definedName name="IQ_CFO_CURRENT_LIAB">"c132"</definedName>
    <definedName name="IQ_CFPS_ACT_OR_EST_THOM">"c5301"</definedName>
    <definedName name="IQ_CFPS_EST">"c1667"</definedName>
    <definedName name="IQ_CFPS_EST_THOM">"c4006"</definedName>
    <definedName name="IQ_CFPS_HIGH_EST">"c1669"</definedName>
    <definedName name="IQ_CFPS_HIGH_EST_THOM">"c4008"</definedName>
    <definedName name="IQ_CFPS_LOW_EST">"c1670"</definedName>
    <definedName name="IQ_CFPS_LOW_EST_THOM">"c4009"</definedName>
    <definedName name="IQ_CFPS_MEDIAN_EST">"c1668"</definedName>
    <definedName name="IQ_CFPS_MEDIAN_EST_THOM">"c4007"</definedName>
    <definedName name="IQ_CFPS_NUM_EST">"c1671"</definedName>
    <definedName name="IQ_CFPS_NUM_EST_THOM">"c4010"</definedName>
    <definedName name="IQ_CFPS_STDDEV_EST">"c1672"</definedName>
    <definedName name="IQ_CFPS_STDDEV_EST_THOM">"c4011"</definedName>
    <definedName name="IQ_CH">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"c6200"</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"c6201"</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"c6826"</definedName>
    <definedName name="IQ_CHANGE_INVENT_APR">"c7486"</definedName>
    <definedName name="IQ_CHANGE_INVENT_POP">"c7046"</definedName>
    <definedName name="IQ_CHANGE_INVENT_REAL_APR_FC_UNUSED_UNUSED_UNUSED">"c8500"</definedName>
    <definedName name="IQ_CHANGE_INVENT_REAL_APR_UNUSED_UNUSED_UNUSED">"c7620"</definedName>
    <definedName name="IQ_CHANGE_INVENT_REAL_FC_UNUSED_UNUSED_UNUSED">"c7840"</definedName>
    <definedName name="IQ_CHANGE_INVENT_REAL_POP_FC_UNUSED_UNUSED_UNUSED">"c8060"</definedName>
    <definedName name="IQ_CHANGE_INVENT_REAL_POP_UNUSED_UNUSED_UNUSED">"c7180"</definedName>
    <definedName name="IQ_CHANGE_INVENT_REAL_SAAR">"c6962"</definedName>
    <definedName name="IQ_CHANGE_INVENT_REAL_SAAR_APR">"c7622"</definedName>
    <definedName name="IQ_CHANGE_INVENT_REAL_SAAR_APR_FC">"c8502"</definedName>
    <definedName name="IQ_CHANGE_INVENT_REAL_SAAR_FC">"c7842"</definedName>
    <definedName name="IQ_CHANGE_INVENT_REAL_SAAR_POP">"c7182"</definedName>
    <definedName name="IQ_CHANGE_INVENT_REAL_SAAR_POP_FC">"c8062"</definedName>
    <definedName name="IQ_CHANGE_INVENT_REAL_SAAR_USD_APR_FC">"c11917"</definedName>
    <definedName name="IQ_CHANGE_INVENT_REAL_SAAR_USD_FC">"c11914"</definedName>
    <definedName name="IQ_CHANGE_INVENT_REAL_SAAR_USD_POP_FC">"c11915"</definedName>
    <definedName name="IQ_CHANGE_INVENT_REAL_SAAR_USD_YOY_FC">"c11916"</definedName>
    <definedName name="IQ_CHANGE_INVENT_REAL_SAAR_YOY">"c7402"</definedName>
    <definedName name="IQ_CHANGE_INVENT_REAL_SAAR_YOY_FC">"c8282"</definedName>
    <definedName name="IQ_CHANGE_INVENT_REAL_UNUSED_UNUSED_UNUSED">"c6960"</definedName>
    <definedName name="IQ_CHANGE_INVENT_REAL_USD_APR_FC">"c11913"</definedName>
    <definedName name="IQ_CHANGE_INVENT_REAL_USD_FC">"c11910"</definedName>
    <definedName name="IQ_CHANGE_INVENT_REAL_USD_POP_FC">"c11911"</definedName>
    <definedName name="IQ_CHANGE_INVENT_REAL_USD_YOY_FC">"c11912"</definedName>
    <definedName name="IQ_CHANGE_INVENT_REAL_YOY_FC_UNUSED_UNUSED_UNUSED">"c8280"</definedName>
    <definedName name="IQ_CHANGE_INVENT_REAL_YOY_UNUSED_UNUSED_UNUSED">"c7400"</definedName>
    <definedName name="IQ_CHANGE_INVENT_SAAR">"c6827"</definedName>
    <definedName name="IQ_CHANGE_INVENT_SAAR_APR">"c7487"</definedName>
    <definedName name="IQ_CHANGE_INVENT_SAAR_APR_FC">"c8367"</definedName>
    <definedName name="IQ_CHANGE_INVENT_SAAR_FC">"c7707"</definedName>
    <definedName name="IQ_CHANGE_INVENT_SAAR_POP">"c7047"</definedName>
    <definedName name="IQ_CHANGE_INVENT_SAAR_POP_FC">"c7927"</definedName>
    <definedName name="IQ_CHANGE_INVENT_SAAR_YOY">"c7267"</definedName>
    <definedName name="IQ_CHANGE_INVENT_SAAR_YOY_FC">"c8147"</definedName>
    <definedName name="IQ_CHANGE_INVENT_YOY">"c7266"</definedName>
    <definedName name="IQ_CHANGE_INVENTORY">"c151"</definedName>
    <definedName name="IQ_CHANGE_NET_OPER_ASSETS">"c3592"</definedName>
    <definedName name="IQ_CHANGE_NET_WORKING_CAPITAL">"c1909"</definedName>
    <definedName name="IQ_CHANGE_OTHER_NET_OPER_ASSETS">"c3593"</definedName>
    <definedName name="IQ_CHANGE_OTHER_NET_OPER_ASSETS_BNK">"c3594"</definedName>
    <definedName name="IQ_CHANGE_OTHER_NET_OPER_ASSETS_BR">"c3595"</definedName>
    <definedName name="IQ_CHANGE_OTHER_NET_OPER_ASSETS_FIN">"c3596"</definedName>
    <definedName name="IQ_CHANGE_OTHER_NET_OPER_ASSETS_INS">"c3597"</definedName>
    <definedName name="IQ_CHANGE_OTHER_NET_OPER_ASSETS_RE">"c6285"</definedName>
    <definedName name="IQ_CHANGE_OTHER_NET_OPER_ASSETS_REIT">"c3598"</definedName>
    <definedName name="IQ_CHANGE_OTHER_NET_OPER_ASSETS_UTI">"c3599"</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PRIVATE_INVENT">"c6828"</definedName>
    <definedName name="IQ_CHANGE_PRIVATE_INVENT_APR">"c7488"</definedName>
    <definedName name="IQ_CHANGE_PRIVATE_INVENT_APR_FC">"c8368"</definedName>
    <definedName name="IQ_CHANGE_PRIVATE_INVENT_FC">"c7708"</definedName>
    <definedName name="IQ_CHANGE_PRIVATE_INVENT_POP">"c7048"</definedName>
    <definedName name="IQ_CHANGE_PRIVATE_INVENT_POP_FC">"c7928"</definedName>
    <definedName name="IQ_CHANGE_PRIVATE_INVENT_YOY">"c7268"</definedName>
    <definedName name="IQ_CHANGE_PRIVATE_INVENT_YOY_FC">"c8148"</definedName>
    <definedName name="IQ_CHANGE_TRADING_ASSETS">"c159"</definedName>
    <definedName name="IQ_CHANGE_UNEARN_REV">"c160"</definedName>
    <definedName name="IQ_CHANGE_WORK_CAP">"c161"</definedName>
    <definedName name="IQ_CHANGES_WORK_CAP">"c1357"</definedName>
    <definedName name="IQ_CHARGE_OFFS_1_4_FAMILY_FDIC">"c6756"</definedName>
    <definedName name="IQ_CHARGE_OFFS_1_4_FAMILY_LOANS_FDIC">"c6714"</definedName>
    <definedName name="IQ_CHARGE_OFFS_AUTO_LOANS_FDIC">"c6708"</definedName>
    <definedName name="IQ_CHARGE_OFFS_CL_LOANS_FDIC">"c6709"</definedName>
    <definedName name="IQ_CHARGE_OFFS_COMMERCIAL_INDUSTRIAL_FDIC">"c6759"</definedName>
    <definedName name="IQ_CHARGE_OFFS_COMMERCIAL_RE_FDIC">"c6754"</definedName>
    <definedName name="IQ_CHARGE_OFFS_COMMERCIAL_RE_NOT_SECURED_FDIC">"c6764"</definedName>
    <definedName name="IQ_CHARGE_OFFS_CONSTRUCTION_DEVELOPMENT_FDIC">"c6753"</definedName>
    <definedName name="IQ_CHARGE_OFFS_CREDIT_CARDS_FDIC">"c6761"</definedName>
    <definedName name="IQ_CHARGE_OFFS_CREDIT_CARDS_RECEIVABLES_FDIC">"c6711"</definedName>
    <definedName name="IQ_CHARGE_OFFS_GROSS">"c162"</definedName>
    <definedName name="IQ_CHARGE_OFFS_HOME_EQUITY_FDIC">"c6757"</definedName>
    <definedName name="IQ_CHARGE_OFFS_HOME_EQUITY_LINES_FDIC">"c6712"</definedName>
    <definedName name="IQ_CHARGE_OFFS_INDIVIDUALS_FDIC">"c6760"</definedName>
    <definedName name="IQ_CHARGE_OFFS_MULTI_FAMILY_FDIC">"c6755"</definedName>
    <definedName name="IQ_CHARGE_OFFS_NET">"c163"</definedName>
    <definedName name="IQ_CHARGE_OFFS_OTHER_1_4_FAMILY_FDIC">"c6758"</definedName>
    <definedName name="IQ_CHARGE_OFFS_OTHER_CONSUMER_LOANS_FDIC">"c6710"</definedName>
    <definedName name="IQ_CHARGE_OFFS_OTHER_INDIVIDUAL_FDIC">"c6762"</definedName>
    <definedName name="IQ_CHARGE_OFFS_OTHER_LOANS_FDIC">"c6763"</definedName>
    <definedName name="IQ_CHARGE_OFFS_OTHER_LOANS_OTHER_FDIC">"c6713"</definedName>
    <definedName name="IQ_CHARGE_OFFS_RE_LOANS_FDIC">"c6752"</definedName>
    <definedName name="IQ_CHARGE_OFFS_RECOVERED">"c164"</definedName>
    <definedName name="IQ_CHARGE_OFFS_TOTAL_AVG_LOANS">"c165"</definedName>
    <definedName name="IQ_CHICAGO_PMI">"c6829"</definedName>
    <definedName name="IQ_CHICAGO_PMI_APR">"c7489"</definedName>
    <definedName name="IQ_CHICAGO_PMI_APR_FC">"c8369"</definedName>
    <definedName name="IQ_CHICAGO_PMI_FC">"c7709"</definedName>
    <definedName name="IQ_CHICAGO_PMI_POP">"c7049"</definedName>
    <definedName name="IQ_CHICAGO_PMI_POP_FC">"c7929"</definedName>
    <definedName name="IQ_CHICAGO_PMI_YOY">"c7269"</definedName>
    <definedName name="IQ_CHICAGO_PMI_YOY_FC">"c8149"</definedName>
    <definedName name="IQ_CITY">"c166"</definedName>
    <definedName name="IQ_CL_AP">"c8884"</definedName>
    <definedName name="IQ_CL_AP_ABS">"c8903"</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NAME_AP">"c8922"</definedName>
    <definedName name="IQ_CL_NAME_AP_ABS">"c8941"</definedName>
    <definedName name="IQ_CL_OBLIGATION_IMMEDIATE">"c2253"</definedName>
    <definedName name="IQ_CLASSA_OPTIONS_BEG_OS">"c2679"</definedName>
    <definedName name="IQ_CLASSA_OPTIONS_CANCELLED">"c2682"</definedName>
    <definedName name="IQ_CLASSA_OPTIONS_END_OS">"c2683"</definedName>
    <definedName name="IQ_CLASSA_OPTIONS_EXERCISABLE_END_OS">"c5809"</definedName>
    <definedName name="IQ_CLASSA_OPTIONS_EXERCISED">"c2681"</definedName>
    <definedName name="IQ_CLASSA_OPTIONS_GRANTED">"c2680"</definedName>
    <definedName name="IQ_CLASSA_OPTIONS_STRIKE_PRICE_BEG_OS">"c5810"</definedName>
    <definedName name="IQ_CLASSA_OPTIONS_STRIKE_PRICE_CANCELLED">"c5812"</definedName>
    <definedName name="IQ_CLASSA_OPTIONS_STRIKE_PRICE_EXERCISABLE">"c5813"</definedName>
    <definedName name="IQ_CLASSA_OPTIONS_STRIKE_PRICE_EXERCISED">"c5811"</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OSEPRICE">"c174"</definedName>
    <definedName name="IQ_CLOSEPRICE_ADJ">"c2115"</definedName>
    <definedName name="IQ_CMO_FDIC">"c6406"</definedName>
    <definedName name="IQ_COGS">"c175"</definedName>
    <definedName name="IQ_COLLECTION_DOMESTIC_FDIC">"c6387"</definedName>
    <definedName name="IQ_COMBINED_RATIO">"c176"</definedName>
    <definedName name="IQ_COMMERCIAL_BANKS_DEPOSITS_FOREIGN_FDIC">"c6480"</definedName>
    <definedName name="IQ_COMMERCIAL_BANKS_LOANS_FDIC">"c6434"</definedName>
    <definedName name="IQ_COMMERCIAL_BANKS_NONTRANSACTION_ACCOUNTS_FDIC">"c6548"</definedName>
    <definedName name="IQ_COMMERCIAL_BANKS_TOTAL_DEPOSITS_FDIC">"c6474"</definedName>
    <definedName name="IQ_COMMERCIAL_BANKS_TOTAL_LOANS_FOREIGN_FDIC">"c6444"</definedName>
    <definedName name="IQ_COMMERCIAL_BANKS_TRANSACTION_ACCOUNTS_FDIC">"c6540"</definedName>
    <definedName name="IQ_COMMERCIAL_DOM">"c177"</definedName>
    <definedName name="IQ_COMMERCIAL_FIRE_WRITTEN">"c178"</definedName>
    <definedName name="IQ_COMMERCIAL_INDUSTRIAL_CHARGE_OFFS_FDIC">"c6598"</definedName>
    <definedName name="IQ_COMMERCIAL_INDUSTRIAL_LOANS_NET_FDIC">"c6317"</definedName>
    <definedName name="IQ_COMMERCIAL_INDUSTRIAL_NET_CHARGE_OFFS_FDIC">"c6636"</definedName>
    <definedName name="IQ_COMMERCIAL_INDUSTRIAL_RECOVERIES_FDIC">"c6617"</definedName>
    <definedName name="IQ_COMMERCIAL_INDUSTRIAL_TOTAL_LOANS_FOREIGN_FDIC">"c6451"</definedName>
    <definedName name="IQ_COMMERCIAL_MORT">"c179"</definedName>
    <definedName name="IQ_COMMERCIAL_RE_CONSTRUCTION_LAND_DEV_FDIC">"c6526"</definedName>
    <definedName name="IQ_COMMERCIAL_RE_LOANS_FDIC">"c6312"</definedName>
    <definedName name="IQ_COMMISS_FEES">"c180"</definedName>
    <definedName name="IQ_COMMISSION_DEF">"c181"</definedName>
    <definedName name="IQ_COMMITMENTS_MATURITY_EXCEEDING_1YR_FDIC">"c6531"</definedName>
    <definedName name="IQ_COMMITMENTS_NOT_SECURED_RE_FDIC">"c6528"</definedName>
    <definedName name="IQ_COMMITMENTS_SECURED_RE_FDIC">"c6527"</definedName>
    <definedName name="IQ_COMMODITY_EXPOSURES_FDIC">"c6665"</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"c6202"</definedName>
    <definedName name="IQ_COMMON_APIC_REIT">"c188"</definedName>
    <definedName name="IQ_COMMON_APIC_UTI">"c189"</definedName>
    <definedName name="IQ_COMMON_DIV">"c3006"</definedName>
    <definedName name="IQ_COMMON_DIV_CF">"c190"</definedName>
    <definedName name="IQ_COMMON_EQUITY_10YR_ANN_CAGR">"c6060"</definedName>
    <definedName name="IQ_COMMON_EQUITY_10YR_ANN_GROWTH">"c191"</definedName>
    <definedName name="IQ_COMMON_EQUITY_1YR_ANN_GROWTH">"c192"</definedName>
    <definedName name="IQ_COMMON_EQUITY_2YR_ANN_CAGR">"c6061"</definedName>
    <definedName name="IQ_COMMON_EQUITY_2YR_ANN_GROWTH">"c193"</definedName>
    <definedName name="IQ_COMMON_EQUITY_3YR_ANN_CAGR">"c6062"</definedName>
    <definedName name="IQ_COMMON_EQUITY_3YR_ANN_GROWTH">"c194"</definedName>
    <definedName name="IQ_COMMON_EQUITY_5YR_ANN_CAGR">"c6063"</definedName>
    <definedName name="IQ_COMMON_EQUITY_5YR_ANN_GROWTH">"c195"</definedName>
    <definedName name="IQ_COMMON_EQUITY_7YR_ANN_CAGR">"c6064"</definedName>
    <definedName name="IQ_COMMON_EQUITY_7YR_ANN_GROWTH">"c196"</definedName>
    <definedName name="IQ_COMMON_FDIC">"c6350"</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"c6203"</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"c6204"</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ID">"c3513"</definedName>
    <definedName name="IQ_COMPANY_NAME">"c215"</definedName>
    <definedName name="IQ_COMPANY_NAME_LONG">"c1585"</definedName>
    <definedName name="IQ_COMPANY_NOTE">"c6792"</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MPOSITE_CYCLICAL_IND">"c6830"</definedName>
    <definedName name="IQ_COMPOSITE_CYCLICAL_IND_APR">"c7490"</definedName>
    <definedName name="IQ_COMPOSITE_CYCLICAL_IND_APR_FC">"c8370"</definedName>
    <definedName name="IQ_COMPOSITE_CYCLICAL_IND_FC">"c7710"</definedName>
    <definedName name="IQ_COMPOSITE_CYCLICAL_IND_POP">"c7050"</definedName>
    <definedName name="IQ_COMPOSITE_CYCLICAL_IND_POP_FC">"c7930"</definedName>
    <definedName name="IQ_COMPOSITE_CYCLICAL_IND_YOY">"c7270"</definedName>
    <definedName name="IQ_COMPOSITE_CYCLICAL_IND_YOY_FC">"c8150"</definedName>
    <definedName name="IQ_CONSOL_BEDS">"c8782"</definedName>
    <definedName name="IQ_CONSOL_PROP_OPERATIONAL">"c8758"</definedName>
    <definedName name="IQ_CONSOL_PROP_OTHER_OWNED">"c8760"</definedName>
    <definedName name="IQ_CONSOL_PROP_TOTAL">"c8761"</definedName>
    <definedName name="IQ_CONSOL_PROP_UNDEVELOPED">"c8759"</definedName>
    <definedName name="IQ_CONSOL_ROOMS">"c8786"</definedName>
    <definedName name="IQ_CONSOL_SQ_FT_OPERATIONAL">"c8774"</definedName>
    <definedName name="IQ_CONSOL_SQ_FT_OTHER_OWNED">"c8776"</definedName>
    <definedName name="IQ_CONSOL_SQ_FT_TOTAL">"c8777"</definedName>
    <definedName name="IQ_CONSOL_SQ_FT_UNDEVELOPED">"c8775"</definedName>
    <definedName name="IQ_CONSOL_UNITS_OPERATIONAL">"c8766"</definedName>
    <definedName name="IQ_CONSOL_UNITS_OTHER_OWNED">"c8768"</definedName>
    <definedName name="IQ_CONSOL_UNITS_TOTAL">"c8769"</definedName>
    <definedName name="IQ_CONSOL_UNITS_UNDEVELOPED">"c8767"</definedName>
    <definedName name="IQ_CONSTRUCTION_DEV_LOANS_FDIC">"c6313"</definedName>
    <definedName name="IQ_CONSTRUCTION_LAND_DEVELOPMENT_CHARGE_OFFS_FDIC">"c6594"</definedName>
    <definedName name="IQ_CONSTRUCTION_LAND_DEVELOPMENT_NET_CHARGE_OFFS_FDIC">"c6632"</definedName>
    <definedName name="IQ_CONSTRUCTION_LAND_DEVELOPMENT_RECOVERIES_FDIC">"c6613"</definedName>
    <definedName name="IQ_CONSTRUCTION_LOANS">"c222"</definedName>
    <definedName name="IQ_CONSUMER_COMFORT">"c6831"</definedName>
    <definedName name="IQ_CONSUMER_COMFORT_APR">"c7491"</definedName>
    <definedName name="IQ_CONSUMER_COMFORT_APR_FC">"c8371"</definedName>
    <definedName name="IQ_CONSUMER_COMFORT_FC">"c7711"</definedName>
    <definedName name="IQ_CONSUMER_COMFORT_POP">"c7051"</definedName>
    <definedName name="IQ_CONSUMER_COMFORT_POP_FC">"c7931"</definedName>
    <definedName name="IQ_CONSUMER_CONFIDENCE">"c6832"</definedName>
    <definedName name="IQ_CONSUMER_CONFIDENCE_APR">"c7492"</definedName>
    <definedName name="IQ_CONSUMER_CONFIDENCE_APR_FC">"c8372"</definedName>
    <definedName name="IQ_CONSUMER_CONFIDENCE_FC">"c7712"</definedName>
    <definedName name="IQ_CONSUMER_CONFIDENCE_POP">"c7052"</definedName>
    <definedName name="IQ_CONSUMER_CONFIDENCE_POP_FC">"c7932"</definedName>
    <definedName name="IQ_CONSUMER_CONFIDENCE_YOY">"c7272"</definedName>
    <definedName name="IQ_CONSUMER_CONFIDENCE_YOY_FC">"c8152"</definedName>
    <definedName name="IQ_CONSUMER_LENDING">"c6833"</definedName>
    <definedName name="IQ_CONSUMER_LENDING_APR">"c7493"</definedName>
    <definedName name="IQ_CONSUMER_LENDING_APR_FC">"c8373"</definedName>
    <definedName name="IQ_CONSUMER_LENDING_FC">"c7713"</definedName>
    <definedName name="IQ_CONSUMER_LENDING_GROSS">"c6878"</definedName>
    <definedName name="IQ_CONSUMER_LENDING_GROSS_APR">"c7538"</definedName>
    <definedName name="IQ_CONSUMER_LENDING_GROSS_APR_FC">"c8418"</definedName>
    <definedName name="IQ_CONSUMER_LENDING_GROSS_FC">"c7758"</definedName>
    <definedName name="IQ_CONSUMER_LENDING_GROSS_POP">"c7098"</definedName>
    <definedName name="IQ_CONSUMER_LENDING_GROSS_POP_FC">"c7978"</definedName>
    <definedName name="IQ_CONSUMER_LENDING_GROSS_YOY">"c7318"</definedName>
    <definedName name="IQ_CONSUMER_LENDING_GROSS_YOY_FC">"c8198"</definedName>
    <definedName name="IQ_CONSUMER_LENDING_NET">"c6922"</definedName>
    <definedName name="IQ_CONSUMER_LENDING_NET_APR">"c7582"</definedName>
    <definedName name="IQ_CONSUMER_LENDING_NET_APR_FC">"c8462"</definedName>
    <definedName name="IQ_CONSUMER_LENDING_NET_FC">"c7802"</definedName>
    <definedName name="IQ_CONSUMER_LENDING_NET_POP">"c7142"</definedName>
    <definedName name="IQ_CONSUMER_LENDING_NET_POP_FC">"c8022"</definedName>
    <definedName name="IQ_CONSUMER_LENDING_NET_YOY">"c7362"</definedName>
    <definedName name="IQ_CONSUMER_LENDING_NET_YOY_FC">"c8242"</definedName>
    <definedName name="IQ_CONSUMER_LENDING_POP">"c7053"</definedName>
    <definedName name="IQ_CONSUMER_LENDING_POP_FC">"c7933"</definedName>
    <definedName name="IQ_CONSUMER_LENDING_TOTAL">"c7018"</definedName>
    <definedName name="IQ_CONSUMER_LENDING_TOTAL_APR">"c7678"</definedName>
    <definedName name="IQ_CONSUMER_LENDING_TOTAL_APR_FC">"c8558"</definedName>
    <definedName name="IQ_CONSUMER_LENDING_TOTAL_FC">"c7898"</definedName>
    <definedName name="IQ_CONSUMER_LENDING_TOTAL_POP">"c7238"</definedName>
    <definedName name="IQ_CONSUMER_LENDING_TOTAL_POP_FC">"c8118"</definedName>
    <definedName name="IQ_CONSUMER_LENDING_TOTAL_YOY">"c7458"</definedName>
    <definedName name="IQ_CONSUMER_LENDING_TOTAL_YOY_FC">"c8338"</definedName>
    <definedName name="IQ_CONSUMER_LENDING_YOY">"c7273"</definedName>
    <definedName name="IQ_CONSUMER_LENDING_YOY_FC">"c8153"</definedName>
    <definedName name="IQ_CONSUMER_LOANS">"c223"</definedName>
    <definedName name="IQ_CONSUMER_SPENDING">"c6834"</definedName>
    <definedName name="IQ_CONSUMER_SPENDING_APR">"c7494"</definedName>
    <definedName name="IQ_CONSUMER_SPENDING_APR_FC">"c8374"</definedName>
    <definedName name="IQ_CONSUMER_SPENDING_DURABLE">"c6835"</definedName>
    <definedName name="IQ_CONSUMER_SPENDING_DURABLE_APR">"c7495"</definedName>
    <definedName name="IQ_CONSUMER_SPENDING_DURABLE_APR_FC">"c8375"</definedName>
    <definedName name="IQ_CONSUMER_SPENDING_DURABLE_FC">"c7715"</definedName>
    <definedName name="IQ_CONSUMER_SPENDING_DURABLE_POP">"c7055"</definedName>
    <definedName name="IQ_CONSUMER_SPENDING_DURABLE_POP_FC">"c7935"</definedName>
    <definedName name="IQ_CONSUMER_SPENDING_DURABLE_REAL">"c6964"</definedName>
    <definedName name="IQ_CONSUMER_SPENDING_DURABLE_REAL_APR">"c7624"</definedName>
    <definedName name="IQ_CONSUMER_SPENDING_DURABLE_REAL_APR_FC">"c8504"</definedName>
    <definedName name="IQ_CONSUMER_SPENDING_DURABLE_REAL_FC">"c7844"</definedName>
    <definedName name="IQ_CONSUMER_SPENDING_DURABLE_REAL_POP">"c7184"</definedName>
    <definedName name="IQ_CONSUMER_SPENDING_DURABLE_REAL_POP_FC">"c8064"</definedName>
    <definedName name="IQ_CONSUMER_SPENDING_DURABLE_REAL_SAAR">"c6965"</definedName>
    <definedName name="IQ_CONSUMER_SPENDING_DURABLE_REAL_SAAR_APR">"c7625"</definedName>
    <definedName name="IQ_CONSUMER_SPENDING_DURABLE_REAL_SAAR_APR_FC">"c8505"</definedName>
    <definedName name="IQ_CONSUMER_SPENDING_DURABLE_REAL_SAAR_FC">"c7845"</definedName>
    <definedName name="IQ_CONSUMER_SPENDING_DURABLE_REAL_SAAR_POP">"c7185"</definedName>
    <definedName name="IQ_CONSUMER_SPENDING_DURABLE_REAL_SAAR_POP_FC">"c8065"</definedName>
    <definedName name="IQ_CONSUMER_SPENDING_DURABLE_REAL_SAAR_YOY">"c7405"</definedName>
    <definedName name="IQ_CONSUMER_SPENDING_DURABLE_REAL_SAAR_YOY_FC">"c8285"</definedName>
    <definedName name="IQ_CONSUMER_SPENDING_DURABLE_REAL_YOY">"c7404"</definedName>
    <definedName name="IQ_CONSUMER_SPENDING_DURABLE_REAL_YOY_FC">"c8284"</definedName>
    <definedName name="IQ_CONSUMER_SPENDING_DURABLE_YOY">"c7275"</definedName>
    <definedName name="IQ_CONSUMER_SPENDING_DURABLE_YOY_FC">"c8155"</definedName>
    <definedName name="IQ_CONSUMER_SPENDING_FC">"c7714"</definedName>
    <definedName name="IQ_CONSUMER_SPENDING_NONDURABLE">"c6836"</definedName>
    <definedName name="IQ_CONSUMER_SPENDING_NONDURABLE_APR">"c7496"</definedName>
    <definedName name="IQ_CONSUMER_SPENDING_NONDURABLE_APR_FC">"c8376"</definedName>
    <definedName name="IQ_CONSUMER_SPENDING_NONDURABLE_FC">"c7716"</definedName>
    <definedName name="IQ_CONSUMER_SPENDING_NONDURABLE_POP">"c7056"</definedName>
    <definedName name="IQ_CONSUMER_SPENDING_NONDURABLE_POP_FC">"c7936"</definedName>
    <definedName name="IQ_CONSUMER_SPENDING_NONDURABLE_REAL">"c6966"</definedName>
    <definedName name="IQ_CONSUMER_SPENDING_NONDURABLE_REAL_APR">"c7626"</definedName>
    <definedName name="IQ_CONSUMER_SPENDING_NONDURABLE_REAL_APR_FC">"c8506"</definedName>
    <definedName name="IQ_CONSUMER_SPENDING_NONDURABLE_REAL_FC">"c7846"</definedName>
    <definedName name="IQ_CONSUMER_SPENDING_NONDURABLE_REAL_POP">"c7186"</definedName>
    <definedName name="IQ_CONSUMER_SPENDING_NONDURABLE_REAL_POP_FC">"c8066"</definedName>
    <definedName name="IQ_CONSUMER_SPENDING_NONDURABLE_REAL_SAAR">"c6967"</definedName>
    <definedName name="IQ_CONSUMER_SPENDING_NONDURABLE_REAL_SAAR_APR">"c7627"</definedName>
    <definedName name="IQ_CONSUMER_SPENDING_NONDURABLE_REAL_SAAR_APR_FC">"c8507"</definedName>
    <definedName name="IQ_CONSUMER_SPENDING_NONDURABLE_REAL_SAAR_FC">"c7847"</definedName>
    <definedName name="IQ_CONSUMER_SPENDING_NONDURABLE_REAL_SAAR_POP">"c7187"</definedName>
    <definedName name="IQ_CONSUMER_SPENDING_NONDURABLE_REAL_SAAR_POP_FC">"c8067"</definedName>
    <definedName name="IQ_CONSUMER_SPENDING_NONDURABLE_REAL_SAAR_YOY">"c7407"</definedName>
    <definedName name="IQ_CONSUMER_SPENDING_NONDURABLE_REAL_SAAR_YOY_FC">"c8287"</definedName>
    <definedName name="IQ_CONSUMER_SPENDING_NONDURABLE_REAL_YOY">"c7406"</definedName>
    <definedName name="IQ_CONSUMER_SPENDING_NONDURABLE_REAL_YOY_FC">"c8286"</definedName>
    <definedName name="IQ_CONSUMER_SPENDING_NONDURABLE_YOY">"c7276"</definedName>
    <definedName name="IQ_CONSUMER_SPENDING_NONDURABLE_YOY_FC">"c8156"</definedName>
    <definedName name="IQ_CONSUMER_SPENDING_POP">"c7054"</definedName>
    <definedName name="IQ_CONSUMER_SPENDING_POP_FC">"c7934"</definedName>
    <definedName name="IQ_CONSUMER_SPENDING_REAL">"c6963"</definedName>
    <definedName name="IQ_CONSUMER_SPENDING_REAL_APR">"c7623"</definedName>
    <definedName name="IQ_CONSUMER_SPENDING_REAL_APR_FC">"c8503"</definedName>
    <definedName name="IQ_CONSUMER_SPENDING_REAL_FC">"c7843"</definedName>
    <definedName name="IQ_CONSUMER_SPENDING_REAL_POP">"c7183"</definedName>
    <definedName name="IQ_CONSUMER_SPENDING_REAL_POP_FC">"c8063"</definedName>
    <definedName name="IQ_CONSUMER_SPENDING_REAL_SAAR">"c6968"</definedName>
    <definedName name="IQ_CONSUMER_SPENDING_REAL_SAAR_APR">"c7628"</definedName>
    <definedName name="IQ_CONSUMER_SPENDING_REAL_SAAR_APR_FC">"c8508"</definedName>
    <definedName name="IQ_CONSUMER_SPENDING_REAL_SAAR_FC">"c7848"</definedName>
    <definedName name="IQ_CONSUMER_SPENDING_REAL_SAAR_POP">"c7188"</definedName>
    <definedName name="IQ_CONSUMER_SPENDING_REAL_SAAR_POP_FC">"c8068"</definedName>
    <definedName name="IQ_CONSUMER_SPENDING_REAL_SAAR_YOY">"c7408"</definedName>
    <definedName name="IQ_CONSUMER_SPENDING_REAL_SAAR_YOY_FC">"c8288"</definedName>
    <definedName name="IQ_CONSUMER_SPENDING_REAL_USD_APR_FC">"c11921"</definedName>
    <definedName name="IQ_CONSUMER_SPENDING_REAL_USD_FC">"c11918"</definedName>
    <definedName name="IQ_CONSUMER_SPENDING_REAL_USD_POP_FC">"c11919"</definedName>
    <definedName name="IQ_CONSUMER_SPENDING_REAL_USD_YOY_FC">"c11920"</definedName>
    <definedName name="IQ_CONSUMER_SPENDING_REAL_YOY">"c7403"</definedName>
    <definedName name="IQ_CONSUMER_SPENDING_REAL_YOY_FC">"c8283"</definedName>
    <definedName name="IQ_CONSUMER_SPENDING_SERVICES">"c6837"</definedName>
    <definedName name="IQ_CONSUMER_SPENDING_SERVICES_APR">"c7497"</definedName>
    <definedName name="IQ_CONSUMER_SPENDING_SERVICES_APR_FC">"c8377"</definedName>
    <definedName name="IQ_CONSUMER_SPENDING_SERVICES_FC">"c7717"</definedName>
    <definedName name="IQ_CONSUMER_SPENDING_SERVICES_POP">"c7057"</definedName>
    <definedName name="IQ_CONSUMER_SPENDING_SERVICES_POP_FC">"c7937"</definedName>
    <definedName name="IQ_CONSUMER_SPENDING_SERVICES_REAL">"c6969"</definedName>
    <definedName name="IQ_CONSUMER_SPENDING_SERVICES_REAL_APR">"c7629"</definedName>
    <definedName name="IQ_CONSUMER_SPENDING_SERVICES_REAL_APR_FC">"c8509"</definedName>
    <definedName name="IQ_CONSUMER_SPENDING_SERVICES_REAL_FC">"c7849"</definedName>
    <definedName name="IQ_CONSUMER_SPENDING_SERVICES_REAL_POP">"c7189"</definedName>
    <definedName name="IQ_CONSUMER_SPENDING_SERVICES_REAL_POP_FC">"c8069"</definedName>
    <definedName name="IQ_CONSUMER_SPENDING_SERVICES_REAL_SAAR">"c6970"</definedName>
    <definedName name="IQ_CONSUMER_SPENDING_SERVICES_REAL_SAAR_APR">"c7630"</definedName>
    <definedName name="IQ_CONSUMER_SPENDING_SERVICES_REAL_SAAR_APR_FC">"c8510"</definedName>
    <definedName name="IQ_CONSUMER_SPENDING_SERVICES_REAL_SAAR_FC">"c7850"</definedName>
    <definedName name="IQ_CONSUMER_SPENDING_SERVICES_REAL_SAAR_POP">"c7190"</definedName>
    <definedName name="IQ_CONSUMER_SPENDING_SERVICES_REAL_SAAR_POP_FC">"c8070"</definedName>
    <definedName name="IQ_CONSUMER_SPENDING_SERVICES_REAL_SAAR_YOY">"c7410"</definedName>
    <definedName name="IQ_CONSUMER_SPENDING_SERVICES_REAL_SAAR_YOY_FC">"c8290"</definedName>
    <definedName name="IQ_CONSUMER_SPENDING_SERVICES_REAL_YOY">"c7409"</definedName>
    <definedName name="IQ_CONSUMER_SPENDING_SERVICES_REAL_YOY_FC">"c8289"</definedName>
    <definedName name="IQ_CONSUMER_SPENDING_SERVICES_YOY">"c7277"</definedName>
    <definedName name="IQ_CONSUMER_SPENDING_SERVICES_YOY_FC">"c8157"</definedName>
    <definedName name="IQ_CONSUMER_SPENDING_YOY">"c7274"</definedName>
    <definedName name="IQ_CONSUMER_SPENDING_YOY_FC">"c8154"</definedName>
    <definedName name="IQ_CONTRACTS_OTHER_COMMODITIES_EQUITIES._FDIC">"c6522"</definedName>
    <definedName name="IQ_CONTRACTS_OTHER_COMMODITIES_EQUITIES_FDIC">"c6522"</definedName>
    <definedName name="IQ_CONV_DATE">"c2191"</definedName>
    <definedName name="IQ_CONV_EXP_DATE">"c3043"</definedName>
    <definedName name="IQ_CONV_PREMIUM">"c2195"</definedName>
    <definedName name="IQ_CONV_PRICE">"c2193"</definedName>
    <definedName name="IQ_CONV_RATE">"c2192"</definedName>
    <definedName name="IQ_CONV_RATIO">"c2192"</definedName>
    <definedName name="IQ_CONV_SECURITY">"c2189"</definedName>
    <definedName name="IQ_CONV_SECURITY_ISSUER">"c2190"</definedName>
    <definedName name="IQ_CONV_SECURITY_PRICE">"c2194"</definedName>
    <definedName name="IQ_CONVERT">"c2536"</definedName>
    <definedName name="IQ_CONVERT_PCT">"c2537"</definedName>
    <definedName name="IQ_CONVEXITY">"c2182"</definedName>
    <definedName name="IQ_CONVEYED_TO_OTHERS_FDIC">"c6534"</definedName>
    <definedName name="IQ_CORE_CAPITAL_RATIO_FDIC">"c6745"</definedName>
    <definedName name="IQ_CORP_GOODS_PRICE_INDEX_APR_FC_UNUSED_UNUSED_UNUSED">"c8381"</definedName>
    <definedName name="IQ_CORP_GOODS_PRICE_INDEX_APR_UNUSED_UNUSED_UNUSED">"c7501"</definedName>
    <definedName name="IQ_CORP_GOODS_PRICE_INDEX_FC_UNUSED_UNUSED_UNUSED">"c7721"</definedName>
    <definedName name="IQ_CORP_GOODS_PRICE_INDEX_POP_FC_UNUSED_UNUSED_UNUSED">"c7941"</definedName>
    <definedName name="IQ_CORP_GOODS_PRICE_INDEX_POP_UNUSED_UNUSED_UNUSED">"c7061"</definedName>
    <definedName name="IQ_CORP_GOODS_PRICE_INDEX_UNUSED_UNUSED_UNUSED">"c6841"</definedName>
    <definedName name="IQ_CORP_GOODS_PRICE_INDEX_YOY_FC_UNUSED_UNUSED_UNUSED">"c8161"</definedName>
    <definedName name="IQ_CORP_GOODS_PRICE_INDEX_YOY_UNUSED_UNUSED_UNUSED">"c7281"</definedName>
    <definedName name="IQ_CORP_PROFITS">"c6843"</definedName>
    <definedName name="IQ_CORP_PROFITS_AFTER_TAX_SAAR">"c6842"</definedName>
    <definedName name="IQ_CORP_PROFITS_AFTER_TAX_SAAR_APR">"c7502"</definedName>
    <definedName name="IQ_CORP_PROFITS_AFTER_TAX_SAAR_APR_FC">"c8382"</definedName>
    <definedName name="IQ_CORP_PROFITS_AFTER_TAX_SAAR_FC">"c7722"</definedName>
    <definedName name="IQ_CORP_PROFITS_AFTER_TAX_SAAR_POP">"c7062"</definedName>
    <definedName name="IQ_CORP_PROFITS_AFTER_TAX_SAAR_POP_FC">"c7942"</definedName>
    <definedName name="IQ_CORP_PROFITS_AFTER_TAX_SAAR_YOY">"c7282"</definedName>
    <definedName name="IQ_CORP_PROFITS_AFTER_TAX_SAAR_YOY_FC">"c8162"</definedName>
    <definedName name="IQ_CORP_PROFITS_APR">"c7503"</definedName>
    <definedName name="IQ_CORP_PROFITS_APR_FC">"c8383"</definedName>
    <definedName name="IQ_CORP_PROFITS_FC">"c7723"</definedName>
    <definedName name="IQ_CORP_PROFITS_POP">"c7063"</definedName>
    <definedName name="IQ_CORP_PROFITS_POP_FC">"c7943"</definedName>
    <definedName name="IQ_CORP_PROFITS_SAAR">"c6844"</definedName>
    <definedName name="IQ_CORP_PROFITS_SAAR_APR">"c7504"</definedName>
    <definedName name="IQ_CORP_PROFITS_SAAR_APR_FC">"c8384"</definedName>
    <definedName name="IQ_CORP_PROFITS_SAAR_FC">"c7724"</definedName>
    <definedName name="IQ_CORP_PROFITS_SAAR_POP">"c7064"</definedName>
    <definedName name="IQ_CORP_PROFITS_SAAR_POP_FC">"c7944"</definedName>
    <definedName name="IQ_CORP_PROFITS_SAAR_YOY">"c7284"</definedName>
    <definedName name="IQ_CORP_PROFITS_SAAR_YOY_FC">"c8164"</definedName>
    <definedName name="IQ_CORP_PROFITS_YOY">"c7283"</definedName>
    <definedName name="IQ_CORP_PROFITS_YOY_FC">"c8163"</definedName>
    <definedName name="IQ_COST_BORROWING">"c2936"</definedName>
    <definedName name="IQ_COST_BORROWINGS">"c225"</definedName>
    <definedName name="IQ_COST_CAPITAL_NEW_BUSINESS">"c9968"</definedName>
    <definedName name="IQ_COST_OF_FUNDING_ASSETS_FDIC">"c6725"</definedName>
    <definedName name="IQ_COST_REV">"c226"</definedName>
    <definedName name="IQ_COST_REVENUE">"c1359"</definedName>
    <definedName name="IQ_COST_SAVINGS">"c227"</definedName>
    <definedName name="IQ_COST_SERVICE">"c228"</definedName>
    <definedName name="IQ_COST_SOLVENCY_CAPITAL_COVERED">"c9965"</definedName>
    <definedName name="IQ_COST_SOLVENCY_CAPITAL_GROUP">"c9951"</definedName>
    <definedName name="IQ_COST_TOTAL_BORROWINGS">"c229"</definedName>
    <definedName name="IQ_COUNTRY_NAME">"c230"</definedName>
    <definedName name="IQ_COUNTRY_NAME_ECON">"c11752"</definedName>
    <definedName name="IQ_COVERED_POPS">"c2124"</definedName>
    <definedName name="IQ_CP">"c2495"</definedName>
    <definedName name="IQ_CP_PCT">"c2496"</definedName>
    <definedName name="IQ_CPI">"c6845"</definedName>
    <definedName name="IQ_CPI_APR">"c7505"</definedName>
    <definedName name="IQ_CPI_APR_FC">"c8385"</definedName>
    <definedName name="IQ_CPI_CORE">"c6838"</definedName>
    <definedName name="IQ_CPI_CORE_APR">"c7498"</definedName>
    <definedName name="IQ_CPI_CORE_POP">"c7058"</definedName>
    <definedName name="IQ_CPI_CORE_YOY">"c7278"</definedName>
    <definedName name="IQ_CPI_FC">"c7725"</definedName>
    <definedName name="IQ_CPI_POP">"c7065"</definedName>
    <definedName name="IQ_CPI_POP_FC">"c7945"</definedName>
    <definedName name="IQ_CPI_YOY">"c7285"</definedName>
    <definedName name="IQ_CPI_YOY_FC">"c8165"</definedName>
    <definedName name="IQ_CQ">5000</definedName>
    <definedName name="IQ_CREDIT_CARD_CHARGE_OFFS_FDIC">"c6652"</definedName>
    <definedName name="IQ_CREDIT_CARD_FEE_BNK">"c231"</definedName>
    <definedName name="IQ_CREDIT_CARD_FEE_FIN">"c1583"</definedName>
    <definedName name="IQ_CREDIT_CARD_LINES_FDIC">"c6525"</definedName>
    <definedName name="IQ_CREDIT_CARD_LOANS_FDIC">"c6319"</definedName>
    <definedName name="IQ_CREDIT_CARD_NET_CHARGE_OFFS_FDIC">"c6654"</definedName>
    <definedName name="IQ_CREDIT_CARD_RECOVERIES_FDIC">"c6653"</definedName>
    <definedName name="IQ_CREDIT_EXPOSURE">"c10038"</definedName>
    <definedName name="IQ_CREDIT_LOSS_CF">"c232"</definedName>
    <definedName name="IQ_CREDIT_LOSS_PROVISION_NET_CHARGE_OFFS_FDIC">"c6734"</definedName>
    <definedName name="IQ_CUMULATIVE_SPLIT_FACTOR">"c2094"</definedName>
    <definedName name="IQ_CURR_ACCT_BALANCE_APR_FC_UNUSED_UNUSED_UNUSED">"c8387"</definedName>
    <definedName name="IQ_CURR_ACCT_BALANCE_APR_UNUSED_UNUSED_UNUSED">"c7507"</definedName>
    <definedName name="IQ_CURR_ACCT_BALANCE_FC_UNUSED_UNUSED_UNUSED">"c7727"</definedName>
    <definedName name="IQ_CURR_ACCT_BALANCE_PCT">"c6846"</definedName>
    <definedName name="IQ_CURR_ACCT_BALANCE_PCT_FC">"c7726"</definedName>
    <definedName name="IQ_CURR_ACCT_BALANCE_PCT_POP">"c7066"</definedName>
    <definedName name="IQ_CURR_ACCT_BALANCE_PCT_POP_FC">"c7946"</definedName>
    <definedName name="IQ_CURR_ACCT_BALANCE_PCT_YOY">"c7286"</definedName>
    <definedName name="IQ_CURR_ACCT_BALANCE_PCT_YOY_FC">"c8166"</definedName>
    <definedName name="IQ_CURR_ACCT_BALANCE_POP_FC_UNUSED_UNUSED_UNUSED">"c7947"</definedName>
    <definedName name="IQ_CURR_ACCT_BALANCE_POP_UNUSED_UNUSED_UNUSED">"c7067"</definedName>
    <definedName name="IQ_CURR_ACCT_BALANCE_SAAR">"c6848"</definedName>
    <definedName name="IQ_CURR_ACCT_BALANCE_SAAR_APR">"c7508"</definedName>
    <definedName name="IQ_CURR_ACCT_BALANCE_SAAR_APR_FC">"c8388"</definedName>
    <definedName name="IQ_CURR_ACCT_BALANCE_SAAR_FC">"c7728"</definedName>
    <definedName name="IQ_CURR_ACCT_BALANCE_SAAR_POP">"c7068"</definedName>
    <definedName name="IQ_CURR_ACCT_BALANCE_SAAR_POP_FC">"c7948"</definedName>
    <definedName name="IQ_CURR_ACCT_BALANCE_SAAR_USD_APR_FC">"c11797"</definedName>
    <definedName name="IQ_CURR_ACCT_BALANCE_SAAR_USD_FC">"c11794"</definedName>
    <definedName name="IQ_CURR_ACCT_BALANCE_SAAR_USD_POP_FC">"c11795"</definedName>
    <definedName name="IQ_CURR_ACCT_BALANCE_SAAR_USD_YOY_FC">"c11796"</definedName>
    <definedName name="IQ_CURR_ACCT_BALANCE_SAAR_YOY">"c7288"</definedName>
    <definedName name="IQ_CURR_ACCT_BALANCE_SAAR_YOY_FC">"c8168"</definedName>
    <definedName name="IQ_CURR_ACCT_BALANCE_UNUSED_UNUSED_UNUSED">"c6847"</definedName>
    <definedName name="IQ_CURR_ACCT_BALANCE_USD">"c11786"</definedName>
    <definedName name="IQ_CURR_ACCT_BALANCE_USD_APR">"c11789"</definedName>
    <definedName name="IQ_CURR_ACCT_BALANCE_USD_APR_FC">"c11793"</definedName>
    <definedName name="IQ_CURR_ACCT_BALANCE_USD_FC">"c11790"</definedName>
    <definedName name="IQ_CURR_ACCT_BALANCE_USD_POP">"c11787"</definedName>
    <definedName name="IQ_CURR_ACCT_BALANCE_USD_POP_FC">"c11791"</definedName>
    <definedName name="IQ_CURR_ACCT_BALANCE_USD_YOY">"c11788"</definedName>
    <definedName name="IQ_CURR_ACCT_BALANCE_USD_YOY_FC">"c11792"</definedName>
    <definedName name="IQ_CURR_ACCT_BALANCE_YOY_FC_UNUSED_UNUSED_UNUSED">"c8167"</definedName>
    <definedName name="IQ_CURR_ACCT_BALANCE_YOY_UNUSED_UNUSED_UNUSED">"c7287"</definedName>
    <definedName name="IQ_CURR_ACCT_INC_RECEIPTS">"c6849"</definedName>
    <definedName name="IQ_CURR_ACCT_INC_RECEIPTS_APR">"c7509"</definedName>
    <definedName name="IQ_CURR_ACCT_INC_RECEIPTS_APR_FC">"c8389"</definedName>
    <definedName name="IQ_CURR_ACCT_INC_RECEIPTS_FC">"c7729"</definedName>
    <definedName name="IQ_CURR_ACCT_INC_RECEIPTS_POP">"c7069"</definedName>
    <definedName name="IQ_CURR_ACCT_INC_RECEIPTS_POP_FC">"c7949"</definedName>
    <definedName name="IQ_CURR_ACCT_INC_RECEIPTS_YOY">"c7289"</definedName>
    <definedName name="IQ_CURR_ACCT_INC_RECEIPTS_YOY_FC">"c8169"</definedName>
    <definedName name="IQ_CURR_DOMESTIC_TAXES">"c2074"</definedName>
    <definedName name="IQ_CURR_FOREIGN_TAXES">"c2075"</definedName>
    <definedName name="IQ_CURRENCY_COIN_DOMESTIC_FDIC">"c6388"</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"c6205"</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"c6283"</definedName>
    <definedName name="IQ_CURRENT_PORT_DEBT_REIT">"c1570"</definedName>
    <definedName name="IQ_CURRENT_PORT_DEBT_UTI">"c1571"</definedName>
    <definedName name="IQ_CURRENT_PORT_FHLB_DEBT">"c5657"</definedName>
    <definedName name="IQ_CURRENT_PORT_LEASES">"c245"</definedName>
    <definedName name="IQ_CURRENT_PORT_PCT">"c2541"</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"c6206"</definedName>
    <definedName name="IQ_DA_CF_REIT">"c254"</definedName>
    <definedName name="IQ_DA_CF_UTI">"c255"</definedName>
    <definedName name="IQ_DA_EBITDA">"c5528"</definedName>
    <definedName name="IQ_DA_FIN">"c256"</definedName>
    <definedName name="IQ_DA_INS">"c257"</definedName>
    <definedName name="IQ_DA_RE">"c6207"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"c6208"</definedName>
    <definedName name="IQ_DA_SUPPL_CF_REIT">"c266"</definedName>
    <definedName name="IQ_DA_SUPPL_CF_UTI">"c267"</definedName>
    <definedName name="IQ_DA_SUPPL_FIN">"c268"</definedName>
    <definedName name="IQ_DA_SUPPL_INS">"c269"</definedName>
    <definedName name="IQ_DA_SUPPL_RE">"c6209"</definedName>
    <definedName name="IQ_DA_SUPPL_REIT">"c270"</definedName>
    <definedName name="IQ_DA_SUPPL_UTI">"c271"</definedName>
    <definedName name="IQ_DA_UTI">"c272"</definedName>
    <definedName name="IQ_DAILY">500000</definedName>
    <definedName name="IQ_DATED_DATE">"c2185"</definedName>
    <definedName name="IQ_DAY_COUNT">"c2161"</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BT_ADJ">"c2515"</definedName>
    <definedName name="IQ_DEBT_ADJ_PCT">"c2516"</definedName>
    <definedName name="IQ_DEBT_EQUIV_NET_PBO">"c2938"</definedName>
    <definedName name="IQ_DEBT_EQUIV_OPER_LEASE">"c2935"</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"c6210"</definedName>
    <definedName name="IQ_DEF_CHARGES_LT_REIT">"c297"</definedName>
    <definedName name="IQ_DEF_CHARGES_LT_UTI">"c298"</definedName>
    <definedName name="IQ_DEF_CHARGES_RE">"c6211"</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SPENDING_REAL_SAAR">"c6971"</definedName>
    <definedName name="IQ_DEF_SPENDING_REAL_SAAR_APR">"c7631"</definedName>
    <definedName name="IQ_DEF_SPENDING_REAL_SAAR_APR_FC">"c8511"</definedName>
    <definedName name="IQ_DEF_SPENDING_REAL_SAAR_FC">"c7851"</definedName>
    <definedName name="IQ_DEF_SPENDING_REAL_SAAR_POP">"c7191"</definedName>
    <definedName name="IQ_DEF_SPENDING_REAL_SAAR_POP_FC">"c8071"</definedName>
    <definedName name="IQ_DEF_SPENDING_REAL_SAAR_YOY">"c7411"</definedName>
    <definedName name="IQ_DEF_SPENDING_REAL_SAAR_YOY_FC">"c8291"</definedName>
    <definedName name="IQ_DEF_TAX_ASSET_LT_BR">"c304"</definedName>
    <definedName name="IQ_DEF_TAX_ASSET_LT_FIN">"c305"</definedName>
    <definedName name="IQ_DEF_TAX_ASSET_LT_INS">"c306"</definedName>
    <definedName name="IQ_DEF_TAX_ASSET_LT_RE">"c6212"</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"c6213"</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MAND_DEPOSITS_FDIC">"c6489"</definedName>
    <definedName name="IQ_DEPOSIT_ACCOUNTS_LESS_THAN_100K_FDIC">"c6494"</definedName>
    <definedName name="IQ_DEPOSIT_ACCOUNTS_MORE_THAN_100K_FDIC">"c6492"</definedName>
    <definedName name="IQ_DEPOSITORY_INSTITUTIONS_CHARGE_OFFS_FDIC">"c6596"</definedName>
    <definedName name="IQ_DEPOSITORY_INSTITUTIONS_NET_CHARGE_OFFS_FDIC">"c6634"</definedName>
    <definedName name="IQ_DEPOSITORY_INSTITUTIONS_RECOVERIES_FDIC">"c6615"</definedName>
    <definedName name="IQ_DEPOSITS_FIN">"c321"</definedName>
    <definedName name="IQ_DEPOSITS_HELD_DOMESTIC_FDIC">"c6340"</definedName>
    <definedName name="IQ_DEPOSITS_HELD_FOREIGN_FDIC">"c6341"</definedName>
    <definedName name="IQ_DEPOSITS_INTEREST_SECURITIES">"c5509"</definedName>
    <definedName name="IQ_DEPOSITS_LESS_THAN_100K_AFTER_THREE_YEARS_FDIC">"c6464"</definedName>
    <definedName name="IQ_DEPOSITS_LESS_THAN_100K_THREE_MONTHS_FDIC">"c6461"</definedName>
    <definedName name="IQ_DEPOSITS_LESS_THAN_100K_THREE_YEARS_FDIC">"c6463"</definedName>
    <definedName name="IQ_DEPOSITS_LESS_THAN_100K_TWELVE_MONTHS_FDIC">"c6462"</definedName>
    <definedName name="IQ_DEPOSITS_MORE_THAN_100K_AFTER_THREE_YEARS_FDIC">"c6469"</definedName>
    <definedName name="IQ_DEPOSITS_MORE_THAN_100K_THREE_MONTHS_FDIC">"c6466"</definedName>
    <definedName name="IQ_DEPOSITS_MORE_THAN_100K_THREE_YEARS_FDIC">"c6468"</definedName>
    <definedName name="IQ_DEPOSITS_MORE_THAN_100K_TWELVE_MONTHS_FDIC">"c6467"</definedName>
    <definedName name="IQ_DEPRE_AMORT">"c1360"</definedName>
    <definedName name="IQ_DEPRE_AMORT_SUPPL">"c1593"</definedName>
    <definedName name="IQ_DEPRE_DEPLE">"c1361"</definedName>
    <definedName name="IQ_DEPRE_SUPP">"c1443"</definedName>
    <definedName name="IQ_DERIVATIVES_FDIC">"c6523"</definedName>
    <definedName name="IQ_DESCRIPTION_LONG">"c1520"</definedName>
    <definedName name="IQ_DEVELOP_LAND">"c323"</definedName>
    <definedName name="IQ_DIFF_LASTCLOSE_TARGET_PRICE">"c1854"</definedName>
    <definedName name="IQ_DIFF_LASTCLOSE_TARGET_PRICE_THOM">"c5278"</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RECT_AH_EARNED">"c2740"</definedName>
    <definedName name="IQ_DIRECT_EARNED">"c2730"</definedName>
    <definedName name="IQ_DIRECT_LIFE_EARNED">"c2735"</definedName>
    <definedName name="IQ_DIRECT_LIFE_IN_FORCE">"c2765"</definedName>
    <definedName name="IQ_DIRECT_PC_EARNED">"c2745"</definedName>
    <definedName name="IQ_DIRECT_WRITTEN">"c2724"</definedName>
    <definedName name="IQ_DISCONT_OPER">"c1367"</definedName>
    <definedName name="IQ_DISCOUNT_RATE_PENSION_DOMESTIC">"c327"</definedName>
    <definedName name="IQ_DISCOUNT_RATE_PENSION_FOREIGN">"c328"</definedName>
    <definedName name="IQ_DISPOSABLE_PERSONAL_INC">"c6850"</definedName>
    <definedName name="IQ_DISPOSABLE_PERSONAL_INC_APR">"c7510"</definedName>
    <definedName name="IQ_DISPOSABLE_PERSONAL_INC_APR_FC">"c8390"</definedName>
    <definedName name="IQ_DISPOSABLE_PERSONAL_INC_FC">"c7730"</definedName>
    <definedName name="IQ_DISPOSABLE_PERSONAL_INC_POP">"c7070"</definedName>
    <definedName name="IQ_DISPOSABLE_PERSONAL_INC_POP_FC">"c7950"</definedName>
    <definedName name="IQ_DISPOSABLE_PERSONAL_INC_REAL">"c11922"</definedName>
    <definedName name="IQ_DISPOSABLE_PERSONAL_INC_REAL_APR">"c11925"</definedName>
    <definedName name="IQ_DISPOSABLE_PERSONAL_INC_REAL_POP">"c11923"</definedName>
    <definedName name="IQ_DISPOSABLE_PERSONAL_INC_REAL_YOY">"c11924"</definedName>
    <definedName name="IQ_DISPOSABLE_PERSONAL_INC_SAAR">"c6851"</definedName>
    <definedName name="IQ_DISPOSABLE_PERSONAL_INC_SAAR_APR">"c7511"</definedName>
    <definedName name="IQ_DISPOSABLE_PERSONAL_INC_SAAR_APR_FC">"c8391"</definedName>
    <definedName name="IQ_DISPOSABLE_PERSONAL_INC_SAAR_FC">"c7731"</definedName>
    <definedName name="IQ_DISPOSABLE_PERSONAL_INC_SAAR_POP">"c7071"</definedName>
    <definedName name="IQ_DISPOSABLE_PERSONAL_INC_SAAR_POP_FC">"c7951"</definedName>
    <definedName name="IQ_DISPOSABLE_PERSONAL_INC_SAAR_USD_APR_FC">"c11805"</definedName>
    <definedName name="IQ_DISPOSABLE_PERSONAL_INC_SAAR_USD_FC">"c11802"</definedName>
    <definedName name="IQ_DISPOSABLE_PERSONAL_INC_SAAR_USD_POP_FC">"c11803"</definedName>
    <definedName name="IQ_DISPOSABLE_PERSONAL_INC_SAAR_USD_YOY_FC">"c11804"</definedName>
    <definedName name="IQ_DISPOSABLE_PERSONAL_INC_SAAR_YOY">"c7291"</definedName>
    <definedName name="IQ_DISPOSABLE_PERSONAL_INC_SAAR_YOY_FC">"c8171"</definedName>
    <definedName name="IQ_DISPOSABLE_PERSONAL_INC_USD_APR_FC">"c11801"</definedName>
    <definedName name="IQ_DISPOSABLE_PERSONAL_INC_USD_FC">"c11798"</definedName>
    <definedName name="IQ_DISPOSABLE_PERSONAL_INC_USD_POP_FC">"c11799"</definedName>
    <definedName name="IQ_DISPOSABLE_PERSONAL_INC_USD_YOY_FC">"c11800"</definedName>
    <definedName name="IQ_DISPOSABLE_PERSONAL_INC_YOY">"c7290"</definedName>
    <definedName name="IQ_DISPOSABLE_PERSONAL_INC_YOY_FC">"c8170"</definedName>
    <definedName name="IQ_DISTR_EXCESS_EARN">"c329"</definedName>
    <definedName name="IQ_DISTRIBUTABLE_CASH">"c3002"</definedName>
    <definedName name="IQ_DISTRIBUTABLE_CASH_ACT_OR_EST">"c4278"</definedName>
    <definedName name="IQ_DISTRIBUTABLE_CASH_ACT_OR_EST_CIQ">"c4803"</definedName>
    <definedName name="IQ_DISTRIBUTABLE_CASH_PAYOUT">"c3005"</definedName>
    <definedName name="IQ_DISTRIBUTABLE_CASH_SHARE">"c3003"</definedName>
    <definedName name="IQ_DISTRIBUTABLE_CASH_SHARE_ACT_OR_EST">"c4286"</definedName>
    <definedName name="IQ_DISTRIBUTABLE_CASH_SHARE_ACT_OR_EST_CIQ">"c4811"</definedName>
    <definedName name="IQ_DIV_AMOUNT">"c3041"</definedName>
    <definedName name="IQ_DIV_PAYMENT_DATE">"c2106"</definedName>
    <definedName name="IQ_DIV_RECORD_DATE">"c2105"</definedName>
    <definedName name="IQ_DIV_SHARE">"c330"</definedName>
    <definedName name="IQ_DIVEST_CF">"c331"</definedName>
    <definedName name="IQ_DIVID_SHARE">"c1366"</definedName>
    <definedName name="IQ_DIVIDEND_YIELD">"c332"</definedName>
    <definedName name="IQ_DIVIDENDS_DECLARED_COMMON_FDIC">"c6659"</definedName>
    <definedName name="IQ_DIVIDENDS_DECLARED_PREFERRED_FDIC">"c6658"</definedName>
    <definedName name="IQ_DIVIDENDS_FDIC">"c6660"</definedName>
    <definedName name="IQ_DIVIDENDS_PAID_DECLARED_PERIOD_COVERED">"c9960"</definedName>
    <definedName name="IQ_DIVIDENDS_PAID_DECLARED_PERIOD_GROUP">"c9946"</definedName>
    <definedName name="IQ_DNB_OTHER_EXP_INC_TAX_US">"c6787"</definedName>
    <definedName name="IQ_DO">"c333"</definedName>
    <definedName name="IQ_DO_ASSETS_CURRENT">"c334"</definedName>
    <definedName name="IQ_DO_ASSETS_LT">"c335"</definedName>
    <definedName name="IQ_DO_CF">"c336"</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CAGR">"c6065"</definedName>
    <definedName name="IQ_DPS_10YR_ANN_GROWTH">"c337"</definedName>
    <definedName name="IQ_DPS_1YR_ANN_GROWTH">"c338"</definedName>
    <definedName name="IQ_DPS_2YR_ANN_CAGR">"c6066"</definedName>
    <definedName name="IQ_DPS_2YR_ANN_GROWTH">"c339"</definedName>
    <definedName name="IQ_DPS_3YR_ANN_CAGR">"c6067"</definedName>
    <definedName name="IQ_DPS_3YR_ANN_GROWTH">"c340"</definedName>
    <definedName name="IQ_DPS_5YR_ANN_CAGR">"c6068"</definedName>
    <definedName name="IQ_DPS_5YR_ANN_GROWTH">"c341"</definedName>
    <definedName name="IQ_DPS_7YR_ANN_CAGR">"c6069"</definedName>
    <definedName name="IQ_DPS_7YR_ANN_GROWTH">"c342"</definedName>
    <definedName name="IQ_DPS_ACT_OR_EST_THOM">"c5302"</definedName>
    <definedName name="IQ_DPS_EST">"c1674"</definedName>
    <definedName name="IQ_DPS_EST_THOM">"c4013"</definedName>
    <definedName name="IQ_DPS_HIGH_EST">"c1676"</definedName>
    <definedName name="IQ_DPS_HIGH_EST_THOM">"c4015"</definedName>
    <definedName name="IQ_DPS_LOW_EST">"c1677"</definedName>
    <definedName name="IQ_DPS_LOW_EST_THOM">"c4016"</definedName>
    <definedName name="IQ_DPS_MEDIAN_EST">"c1675"</definedName>
    <definedName name="IQ_DPS_MEDIAN_EST_THOM">"c4014"</definedName>
    <definedName name="IQ_DPS_NUM_EST">"c1678"</definedName>
    <definedName name="IQ_DPS_NUM_EST_THOM">"c4017"</definedName>
    <definedName name="IQ_DPS_STDDEV_EST">"c1679"</definedName>
    <definedName name="IQ_DPS_STDDEV_EST_THOM">"c4018"</definedName>
    <definedName name="IQ_DURABLE_INVENTORIES">"c6853"</definedName>
    <definedName name="IQ_DURABLE_INVENTORIES_APR">"c7513"</definedName>
    <definedName name="IQ_DURABLE_INVENTORIES_APR_FC">"c8393"</definedName>
    <definedName name="IQ_DURABLE_INVENTORIES_FC">"c7733"</definedName>
    <definedName name="IQ_DURABLE_INVENTORIES_POP">"c7073"</definedName>
    <definedName name="IQ_DURABLE_INVENTORIES_POP_FC">"c7953"</definedName>
    <definedName name="IQ_DURABLE_INVENTORIES_YOY">"c7293"</definedName>
    <definedName name="IQ_DURABLE_INVENTORIES_YOY_FC">"c8173"</definedName>
    <definedName name="IQ_DURABLE_ORDERS">"c6854"</definedName>
    <definedName name="IQ_DURABLE_ORDERS_APR">"c7514"</definedName>
    <definedName name="IQ_DURABLE_ORDERS_APR_FC">"c8394"</definedName>
    <definedName name="IQ_DURABLE_ORDERS_FC">"c7734"</definedName>
    <definedName name="IQ_DURABLE_ORDERS_POP">"c7074"</definedName>
    <definedName name="IQ_DURABLE_ORDERS_POP_FC">"c7954"</definedName>
    <definedName name="IQ_DURABLE_ORDERS_YOY">"c7294"</definedName>
    <definedName name="IQ_DURABLE_ORDERS_YOY_FC">"c8174"</definedName>
    <definedName name="IQ_DURABLE_SHIPMENTS">"c6855"</definedName>
    <definedName name="IQ_DURABLE_SHIPMENTS_APR">"c7515"</definedName>
    <definedName name="IQ_DURABLE_SHIPMENTS_APR_FC">"c8395"</definedName>
    <definedName name="IQ_DURABLE_SHIPMENTS_FC">"c7735"</definedName>
    <definedName name="IQ_DURABLE_SHIPMENTS_POP">"c7075"</definedName>
    <definedName name="IQ_DURABLE_SHIPMENTS_POP_FC">"c7955"</definedName>
    <definedName name="IQ_DURABLE_SHIPMENTS_YOY">"c7295"</definedName>
    <definedName name="IQ_DURABLE_SHIPMENTS_YOY_FC">"c8175"</definedName>
    <definedName name="IQ_DURATION">"c2181"</definedName>
    <definedName name="IQ_EARNING_ASSET_YIELD">"c343"</definedName>
    <definedName name="IQ_EARNING_ASSETS_FDIC">"c6360"</definedName>
    <definedName name="IQ_EARNING_ASSETS_YIELD_FDIC">"c6724"</definedName>
    <definedName name="IQ_EARNING_CO">"c344"</definedName>
    <definedName name="IQ_EARNING_CO_10YR_ANN_CAGR">"c6070"</definedName>
    <definedName name="IQ_EARNING_CO_10YR_ANN_GROWTH">"c345"</definedName>
    <definedName name="IQ_EARNING_CO_1YR_ANN_GROWTH">"c346"</definedName>
    <definedName name="IQ_EARNING_CO_2YR_ANN_CAGR">"c6071"</definedName>
    <definedName name="IQ_EARNING_CO_2YR_ANN_GROWTH">"c347"</definedName>
    <definedName name="IQ_EARNING_CO_3YR_ANN_CAGR">"c6072"</definedName>
    <definedName name="IQ_EARNING_CO_3YR_ANN_GROWTH">"c348"</definedName>
    <definedName name="IQ_EARNING_CO_5YR_ANN_CAGR">"c6073"</definedName>
    <definedName name="IQ_EARNING_CO_5YR_ANN_GROWTH">"c349"</definedName>
    <definedName name="IQ_EARNING_CO_7YR_ANN_CAGR">"c6074"</definedName>
    <definedName name="IQ_EARNING_CO_7YR_ANN_GROWTH">"c350"</definedName>
    <definedName name="IQ_EARNING_CO_MARGIN">"c351"</definedName>
    <definedName name="IQ_EARNINGS_ANNOUNCE_DATE">"c1649"</definedName>
    <definedName name="IQ_EARNINGS_ANNOUNCE_DATE_CIQ">"c4656"</definedName>
    <definedName name="IQ_EARNINGS_ANNOUNCE_DATE_REUT">"c5314"</definedName>
    <definedName name="IQ_EARNINGS_ANNOUNCE_DATE_THOM">"c5093"</definedName>
    <definedName name="IQ_EARNINGS_COVERAGE_NET_CHARGE_OFFS_FDIC">"c6735"</definedName>
    <definedName name="IQ_EARNINGS_PERIOD_COVERED">"c9958"</definedName>
    <definedName name="IQ_EARNINGS_PERIOD_GROUP">"c9944"</definedName>
    <definedName name="IQ_EBIT">"c352"</definedName>
    <definedName name="IQ_EBIT_10YR_ANN_CAGR">"c6075"</definedName>
    <definedName name="IQ_EBIT_10YR_ANN_GROWTH">"c353"</definedName>
    <definedName name="IQ_EBIT_1YR_ANN_GROWTH">"c354"</definedName>
    <definedName name="IQ_EBIT_2YR_ANN_CAGR">"c6076"</definedName>
    <definedName name="IQ_EBIT_2YR_ANN_GROWTH">"c355"</definedName>
    <definedName name="IQ_EBIT_3YR_ANN_CAGR">"c6077"</definedName>
    <definedName name="IQ_EBIT_3YR_ANN_GROWTH">"c356"</definedName>
    <definedName name="IQ_EBIT_5YR_ANN_CAGR">"c6078"</definedName>
    <definedName name="IQ_EBIT_5YR_ANN_GROWTH">"c357"</definedName>
    <definedName name="IQ_EBIT_7YR_ANN_CAGR">"c6079"</definedName>
    <definedName name="IQ_EBIT_7YR_ANN_GROWTH">"c358"</definedName>
    <definedName name="IQ_EBIT_ACT_OR_EST_THOM">"c5303"</definedName>
    <definedName name="IQ_EBIT_EQ_INC">"c3498"</definedName>
    <definedName name="IQ_EBIT_EQ_INC_EXCL_SBC">"c3502"</definedName>
    <definedName name="IQ_EBIT_EST">"c1681"</definedName>
    <definedName name="IQ_EBIT_EST_THOM">"c5105"</definedName>
    <definedName name="IQ_EBIT_EXCL_SBC">"c3082"</definedName>
    <definedName name="IQ_EBIT_GW_ACT_OR_EST">"c4306"</definedName>
    <definedName name="IQ_EBIT_HIGH_EST">"c1683"</definedName>
    <definedName name="IQ_EBIT_HIGH_EST_THOM">"c5107"</definedName>
    <definedName name="IQ_EBIT_INT">"c360"</definedName>
    <definedName name="IQ_EBIT_LOW_EST">"c1684"</definedName>
    <definedName name="IQ_EBIT_LOW_EST_THOM">"c5108"</definedName>
    <definedName name="IQ_EBIT_MARGIN">"c359"</definedName>
    <definedName name="IQ_EBIT_MEDIAN_EST">"c1682"</definedName>
    <definedName name="IQ_EBIT_MEDIAN_EST_THOM">"c5106"</definedName>
    <definedName name="IQ_EBIT_NUM_EST">"c1685"</definedName>
    <definedName name="IQ_EBIT_NUM_EST_THOM">"c5109"</definedName>
    <definedName name="IQ_EBIT_OVER_IE">"c1369"</definedName>
    <definedName name="IQ_EBIT_SBC_ACT_OR_EST">"c4316"</definedName>
    <definedName name="IQ_EBIT_SBC_ACT_OR_EST_CIQ">"c4841"</definedName>
    <definedName name="IQ_EBIT_SBC_GW_ACT_OR_EST">"c4320"</definedName>
    <definedName name="IQ_EBIT_SBC_GW_ACT_OR_EST_CIQ">"c4845"</definedName>
    <definedName name="IQ_EBIT_STDDEV_EST">"c1686"</definedName>
    <definedName name="IQ_EBIT_STDDEV_EST_THOM">"c5110"</definedName>
    <definedName name="IQ_EBITA">"c1910"</definedName>
    <definedName name="IQ_EBITA_10YR_ANN_CAGR">"c6184"</definedName>
    <definedName name="IQ_EBITA_10YR_ANN_GROWTH">"c1954"</definedName>
    <definedName name="IQ_EBITA_1YR_ANN_GROWTH">"c1949"</definedName>
    <definedName name="IQ_EBITA_2YR_ANN_CAGR">"c6180"</definedName>
    <definedName name="IQ_EBITA_2YR_ANN_GROWTH">"c1950"</definedName>
    <definedName name="IQ_EBITA_3YR_ANN_CAGR">"c6181"</definedName>
    <definedName name="IQ_EBITA_3YR_ANN_GROWTH">"c1951"</definedName>
    <definedName name="IQ_EBITA_5YR_ANN_CAGR">"c6182"</definedName>
    <definedName name="IQ_EBITA_5YR_ANN_GROWTH">"c1952"</definedName>
    <definedName name="IQ_EBITA_7YR_ANN_CAGR">"c6183"</definedName>
    <definedName name="IQ_EBITA_7YR_ANN_GROWTH">"c1953"</definedName>
    <definedName name="IQ_EBITA_EQ_INC">"c3497"</definedName>
    <definedName name="IQ_EBITA_EQ_INC_EXCL_SBC">"c3501"</definedName>
    <definedName name="IQ_EBITA_EXCL_SBC">"c3080"</definedName>
    <definedName name="IQ_EBITA_MARGIN">"c1963"</definedName>
    <definedName name="IQ_EBITDA">"c361"</definedName>
    <definedName name="IQ_EBITDA_10YR_ANN_CAGR">"c6080"</definedName>
    <definedName name="IQ_EBITDA_10YR_ANN_GROWTH">"c362"</definedName>
    <definedName name="IQ_EBITDA_1YR_ANN_GROWTH">"c363"</definedName>
    <definedName name="IQ_EBITDA_2YR_ANN_CAGR">"c6081"</definedName>
    <definedName name="IQ_EBITDA_2YR_ANN_GROWTH">"c364"</definedName>
    <definedName name="IQ_EBITDA_3YR_ANN_CAGR">"c6082"</definedName>
    <definedName name="IQ_EBITDA_3YR_ANN_GROWTH">"c365"</definedName>
    <definedName name="IQ_EBITDA_5YR_ANN_CAGR">"c6083"</definedName>
    <definedName name="IQ_EBITDA_5YR_ANN_GROWTH">"c366"</definedName>
    <definedName name="IQ_EBITDA_7YR_ANN_CAGR">"c6084"</definedName>
    <definedName name="IQ_EBITDA_7YR_ANN_GROWTH">"c367"</definedName>
    <definedName name="IQ_EBITDA_ACT_OR_EST_CIQ">"c5060"</definedName>
    <definedName name="IQ_EBITDA_ACT_OR_EST_THOM">"c5300"</definedName>
    <definedName name="IQ_EBITDA_CAPEX_INT">"c368"</definedName>
    <definedName name="IQ_EBITDA_CAPEX_OVER_TOTAL_IE">"c1370"</definedName>
    <definedName name="IQ_EBITDA_EQ_INC">"c3496"</definedName>
    <definedName name="IQ_EBITDA_EQ_INC_EXCL_SBC">"c3500"</definedName>
    <definedName name="IQ_EBITDA_EST">"c369"</definedName>
    <definedName name="IQ_EBITDA_EST_CIQ">"c3622"</definedName>
    <definedName name="IQ_EBITDA_EST_REUT">"c3640"</definedName>
    <definedName name="IQ_EBITDA_EST_THOM">"c3658"</definedName>
    <definedName name="IQ_EBITDA_EXCL_SBC">"c3081"</definedName>
    <definedName name="IQ_EBITDA_HIGH_EST">"c370"</definedName>
    <definedName name="IQ_EBITDA_HIGH_EST_CIQ">"c3624"</definedName>
    <definedName name="IQ_EBITDA_HIGH_EST_REUT">"c3642"</definedName>
    <definedName name="IQ_EBITDA_HIGH_EST_THOM">"c3660"</definedName>
    <definedName name="IQ_EBITDA_INT">"c373"</definedName>
    <definedName name="IQ_EBITDA_LOW_EST">"c371"</definedName>
    <definedName name="IQ_EBITDA_LOW_EST_CIQ">"c3625"</definedName>
    <definedName name="IQ_EBITDA_LOW_EST_REUT">"c3643"</definedName>
    <definedName name="IQ_EBITDA_LOW_EST_THOM">"c3661"</definedName>
    <definedName name="IQ_EBITDA_MARGIN">"c372"</definedName>
    <definedName name="IQ_EBITDA_MEDIAN_EST">"c1663"</definedName>
    <definedName name="IQ_EBITDA_MEDIAN_EST_CIQ">"c3623"</definedName>
    <definedName name="IQ_EBITDA_MEDIAN_EST_REUT">"c3641"</definedName>
    <definedName name="IQ_EBITDA_MEDIAN_EST_THOM">"c3659"</definedName>
    <definedName name="IQ_EBITDA_NUM_EST">"c374"</definedName>
    <definedName name="IQ_EBITDA_NUM_EST_CIQ">"c3626"</definedName>
    <definedName name="IQ_EBITDA_NUM_EST_REUT">"c3644"</definedName>
    <definedName name="IQ_EBITDA_NUM_EST_THOM">"c3662"</definedName>
    <definedName name="IQ_EBITDA_OVER_TOTAL_IE">"c1371"</definedName>
    <definedName name="IQ_EBITDA_SBC_ACT_OR_EST">"c4337"</definedName>
    <definedName name="IQ_EBITDA_SBC_ACT_OR_EST_CIQ">"c4862"</definedName>
    <definedName name="IQ_EBITDA_STDDEV_EST">"c375"</definedName>
    <definedName name="IQ_EBITDA_STDDEV_EST_CIQ">"c3627"</definedName>
    <definedName name="IQ_EBITDA_STDDEV_EST_REUT">"c3645"</definedName>
    <definedName name="IQ_EBITDA_STDDEV_EST_THOM">"c3663"</definedName>
    <definedName name="IQ_EBITDAR">"c2989"</definedName>
    <definedName name="IQ_EBITDAR_EQ_INC">"c3499"</definedName>
    <definedName name="IQ_EBITDAR_EQ_INC_EXCL_SBC">"c3503"</definedName>
    <definedName name="IQ_EBITDAR_EXCL_SBC">"c3083"</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"c6214"</definedName>
    <definedName name="IQ_EBT_EXCL_REIT">"c384"</definedName>
    <definedName name="IQ_EBT_EXCL_UTI">"c385"</definedName>
    <definedName name="IQ_EBT_FIN">"c386"</definedName>
    <definedName name="IQ_EBT_INCL_MARGIN">"c387"</definedName>
    <definedName name="IQ_EBT_INS">"c388"</definedName>
    <definedName name="IQ_EBT_RE">"c6215"</definedName>
    <definedName name="IQ_EBT_REIT">"c389"</definedName>
    <definedName name="IQ_EBT_SBC_ACT_OR_EST">"c4350"</definedName>
    <definedName name="IQ_EBT_SBC_ACT_OR_EST_CIQ">"c4875"</definedName>
    <definedName name="IQ_EBT_SBC_GW_ACT_OR_EST">"c4354"</definedName>
    <definedName name="IQ_EBT_SBC_GW_ACT_OR_EST_CIQ">"c4879"</definedName>
    <definedName name="IQ_EBT_SUBTOTAL_AP">"c8982"</definedName>
    <definedName name="IQ_EBT_UTI">"c390"</definedName>
    <definedName name="IQ_ECO_METRIC_6825_UNUSED_UNUSED_UNUSED">"c6825"</definedName>
    <definedName name="IQ_ECO_METRIC_6839_UNUSED_UNUSED_UNUSED">"c6839"</definedName>
    <definedName name="IQ_ECO_METRIC_6896_UNUSED_UNUSED_UNUSED">"c6896"</definedName>
    <definedName name="IQ_ECO_METRIC_6897_UNUSED_UNUSED_UNUSED">"c6897"</definedName>
    <definedName name="IQ_ECO_METRIC_6927">"c6927"</definedName>
    <definedName name="IQ_ECO_METRIC_6988_UNUSED_UNUSED_UNUSED">"c6988"</definedName>
    <definedName name="IQ_ECO_METRIC_7045_UNUSED_UNUSED_UNUSED">"c7045"</definedName>
    <definedName name="IQ_ECO_METRIC_7059_UNUSED_UNUSED_UNUSED">"c7059"</definedName>
    <definedName name="IQ_ECO_METRIC_7116_UNUSED_UNUSED_UNUSED">"c7116"</definedName>
    <definedName name="IQ_ECO_METRIC_7117_UNUSED_UNUSED_UNUSED">"c7117"</definedName>
    <definedName name="IQ_ECO_METRIC_7147">"c7147"</definedName>
    <definedName name="IQ_ECO_METRIC_7208_UNUSED_UNUSED_UNUSED">"c7208"</definedName>
    <definedName name="IQ_ECO_METRIC_7265_UNUSED_UNUSED_UNUSED">"c7265"</definedName>
    <definedName name="IQ_ECO_METRIC_7279_UNUSED_UNUSED_UNUSED">"c7279"</definedName>
    <definedName name="IQ_ECO_METRIC_7336_UNUSED_UNUSED_UNUSED">"c7336"</definedName>
    <definedName name="IQ_ECO_METRIC_7337_UNUSED_UNUSED_UNUSED">"c7337"</definedName>
    <definedName name="IQ_ECO_METRIC_7367">"c7367"</definedName>
    <definedName name="IQ_ECO_METRIC_7428_UNUSED_UNUSED_UNUSED">"c7428"</definedName>
    <definedName name="IQ_ECO_METRIC_7556_UNUSED_UNUSED_UNUSED">"c7556"</definedName>
    <definedName name="IQ_ECO_METRIC_7557_UNUSED_UNUSED_UNUSED">"c7557"</definedName>
    <definedName name="IQ_ECO_METRIC_7587">"c7587"</definedName>
    <definedName name="IQ_ECO_METRIC_7648_UNUSED_UNUSED_UNUSED">"c7648"</definedName>
    <definedName name="IQ_ECO_METRIC_7704">"c7704"</definedName>
    <definedName name="IQ_ECO_METRIC_7705_UNUSED_UNUSED_UNUSED">"c7705"</definedName>
    <definedName name="IQ_ECO_METRIC_7706">"c7706"</definedName>
    <definedName name="IQ_ECO_METRIC_7718">"c7718"</definedName>
    <definedName name="IQ_ECO_METRIC_7719_UNUSED_UNUSED_UNUSED">"c7719"</definedName>
    <definedName name="IQ_ECO_METRIC_7776_UNUSED_UNUSED_UNUSED">"c7776"</definedName>
    <definedName name="IQ_ECO_METRIC_7777_UNUSED_UNUSED_UNUSED">"c7777"</definedName>
    <definedName name="IQ_ECO_METRIC_7807">"c7807"</definedName>
    <definedName name="IQ_ECO_METRIC_7811">"c7811"</definedName>
    <definedName name="IQ_ECO_METRIC_7868_UNUSED_UNUSED_UNUSED">"c7868"</definedName>
    <definedName name="IQ_ECO_METRIC_7873">"c7873"</definedName>
    <definedName name="IQ_ECO_METRIC_7924">"c7924"</definedName>
    <definedName name="IQ_ECO_METRIC_7925_UNUSED_UNUSED_UNUSED">"c7925"</definedName>
    <definedName name="IQ_ECO_METRIC_7926">"c7926"</definedName>
    <definedName name="IQ_ECO_METRIC_7938">"c7938"</definedName>
    <definedName name="IQ_ECO_METRIC_7939_UNUSED_UNUSED_UNUSED">"c7939"</definedName>
    <definedName name="IQ_ECO_METRIC_7996_UNUSED_UNUSED_UNUSED">"c7996"</definedName>
    <definedName name="IQ_ECO_METRIC_7997_UNUSED_UNUSED_UNUSED">"c7997"</definedName>
    <definedName name="IQ_ECO_METRIC_8027">"c8027"</definedName>
    <definedName name="IQ_ECO_METRIC_8031">"c8031"</definedName>
    <definedName name="IQ_ECO_METRIC_8088_UNUSED_UNUSED_UNUSED">"c8088"</definedName>
    <definedName name="IQ_ECO_METRIC_8093">"c8093"</definedName>
    <definedName name="IQ_ECO_METRIC_8144">"c8144"</definedName>
    <definedName name="IQ_ECO_METRIC_8145_UNUSED_UNUSED_UNUSED">"c8145"</definedName>
    <definedName name="IQ_ECO_METRIC_8146">"c8146"</definedName>
    <definedName name="IQ_ECO_METRIC_8158">"c8158"</definedName>
    <definedName name="IQ_ECO_METRIC_8159_UNUSED_UNUSED_UNUSED">"c8159"</definedName>
    <definedName name="IQ_ECO_METRIC_8216_UNUSED_UNUSED_UNUSED">"c8216"</definedName>
    <definedName name="IQ_ECO_METRIC_8217_UNUSED_UNUSED_UNUSED">"c8217"</definedName>
    <definedName name="IQ_ECO_METRIC_8247">"c8247"</definedName>
    <definedName name="IQ_ECO_METRIC_8251">"c8251"</definedName>
    <definedName name="IQ_ECO_METRIC_8308_UNUSED_UNUSED_UNUSED">"c8308"</definedName>
    <definedName name="IQ_ECO_METRIC_8313">"c8313"</definedName>
    <definedName name="IQ_ECO_METRIC_8366">"c8366"</definedName>
    <definedName name="IQ_ECO_METRIC_8378">"c8378"</definedName>
    <definedName name="IQ_ECO_METRIC_8436_UNUSED_UNUSED_UNUSED">"c8436"</definedName>
    <definedName name="IQ_ECO_METRIC_8437_UNUSED_UNUSED_UNUSED">"c8437"</definedName>
    <definedName name="IQ_ECO_METRIC_8467">"c8467"</definedName>
    <definedName name="IQ_ECO_METRIC_8471">"c8471"</definedName>
    <definedName name="IQ_ECO_METRIC_8528_UNUSED_UNUSED_UNUSED">"c8528"</definedName>
    <definedName name="IQ_ECO_METRIC_8533">"c8533"</definedName>
    <definedName name="IQ_ECS_AUTHORIZED_SHARES">"c5583"</definedName>
    <definedName name="IQ_ECS_AUTHORIZED_SHARES_ABS">"c5597"</definedName>
    <definedName name="IQ_ECS_CONVERT_FACTOR">"c5581"</definedName>
    <definedName name="IQ_ECS_CONVERT_FACTOR_ABS">"c5595"</definedName>
    <definedName name="IQ_ECS_CONVERT_INTO">"c5580"</definedName>
    <definedName name="IQ_ECS_CONVERT_INTO_ABS">"c5594"</definedName>
    <definedName name="IQ_ECS_CONVERT_TYPE">"c5579"</definedName>
    <definedName name="IQ_ECS_CONVERT_TYPE_ABS">"c5593"</definedName>
    <definedName name="IQ_ECS_INACTIVE_DATE">"c5576"</definedName>
    <definedName name="IQ_ECS_INACTIVE_DATE_ABS">"c5590"</definedName>
    <definedName name="IQ_ECS_NAME">"c5571"</definedName>
    <definedName name="IQ_ECS_NAME_ABS">"c5585"</definedName>
    <definedName name="IQ_ECS_NUM_SHAREHOLDERS">"c5584"</definedName>
    <definedName name="IQ_ECS_NUM_SHAREHOLDERS_ABS">"c5598"</definedName>
    <definedName name="IQ_ECS_PAR_VALUE">"c5577"</definedName>
    <definedName name="IQ_ECS_PAR_VALUE_ABS">"c5591"</definedName>
    <definedName name="IQ_ECS_PAR_VALUE_CURRENCY">"c5578"</definedName>
    <definedName name="IQ_ECS_PAR_VALUE_CURRENCY_ABS">"c5592"</definedName>
    <definedName name="IQ_ECS_SHARES_OUT_BS_DATE">"c5572"</definedName>
    <definedName name="IQ_ECS_SHARES_OUT_BS_DATE_ABS">"c5586"</definedName>
    <definedName name="IQ_ECS_SHARES_OUT_FILING_DATE">"c5573"</definedName>
    <definedName name="IQ_ECS_SHARES_OUT_FILING_DATE_ABS">"c5587"</definedName>
    <definedName name="IQ_ECS_START_DATE">"c5575"</definedName>
    <definedName name="IQ_ECS_START_DATE_ABS">"c5589"</definedName>
    <definedName name="IQ_ECS_TYPE">"c5574"</definedName>
    <definedName name="IQ_ECS_TYPE_ABS">"c5588"</definedName>
    <definedName name="IQ_ECS_VOTING">"c5582"</definedName>
    <definedName name="IQ_ECS_VOTING_ABS">"c5596"</definedName>
    <definedName name="IQ_EFFECT_SPECIAL_CHARGE">"c1595"</definedName>
    <definedName name="IQ_EFFECT_TAX_RATE">"c1899"</definedName>
    <definedName name="IQ_EFFICIENCY_RATIO">"c391"</definedName>
    <definedName name="IQ_EFFICIENCY_RATIO_FDIC">"c6736"</definedName>
    <definedName name="IQ_EMBEDDED_VAL_COVERED">"c9962"</definedName>
    <definedName name="IQ_EMBEDDED_VAL_COVERED_BEG">"c9957"</definedName>
    <definedName name="IQ_EMBEDDED_VAL_GROUP">"c9948"</definedName>
    <definedName name="IQ_EMBEDDED_VAL_GROUP_BEG">"c9943"</definedName>
    <definedName name="IQ_EMPLOY_COST_INDEX_BENEFITS">"c6857"</definedName>
    <definedName name="IQ_EMPLOY_COST_INDEX_BENEFITS_APR">"c7517"</definedName>
    <definedName name="IQ_EMPLOY_COST_INDEX_BENEFITS_APR_FC">"c8397"</definedName>
    <definedName name="IQ_EMPLOY_COST_INDEX_BENEFITS_FC">"c7737"</definedName>
    <definedName name="IQ_EMPLOY_COST_INDEX_BENEFITS_POP">"c7077"</definedName>
    <definedName name="IQ_EMPLOY_COST_INDEX_BENEFITS_POP_FC">"c7957"</definedName>
    <definedName name="IQ_EMPLOY_COST_INDEX_BENEFITS_YOY">"c7297"</definedName>
    <definedName name="IQ_EMPLOY_COST_INDEX_BENEFITS_YOY_FC">"c8177"</definedName>
    <definedName name="IQ_EMPLOY_COST_INDEX_COMP">"c6856"</definedName>
    <definedName name="IQ_EMPLOY_COST_INDEX_COMP_APR">"c7516"</definedName>
    <definedName name="IQ_EMPLOY_COST_INDEX_COMP_APR_FC">"c8396"</definedName>
    <definedName name="IQ_EMPLOY_COST_INDEX_COMP_FC">"c7736"</definedName>
    <definedName name="IQ_EMPLOY_COST_INDEX_COMP_POP">"c7076"</definedName>
    <definedName name="IQ_EMPLOY_COST_INDEX_COMP_POP_FC">"c7956"</definedName>
    <definedName name="IQ_EMPLOY_COST_INDEX_COMP_YOY">"c7296"</definedName>
    <definedName name="IQ_EMPLOY_COST_INDEX_COMP_YOY_FC">"c8176"</definedName>
    <definedName name="IQ_EMPLOY_COST_INDEX_WAGE_SALARY">"c6858"</definedName>
    <definedName name="IQ_EMPLOY_COST_INDEX_WAGE_SALARY_APR">"c7518"</definedName>
    <definedName name="IQ_EMPLOY_COST_INDEX_WAGE_SALARY_APR_FC">"c8398"</definedName>
    <definedName name="IQ_EMPLOY_COST_INDEX_WAGE_SALARY_FC">"c7738"</definedName>
    <definedName name="IQ_EMPLOY_COST_INDEX_WAGE_SALARY_POP">"c7078"</definedName>
    <definedName name="IQ_EMPLOY_COST_INDEX_WAGE_SALARY_POP_FC">"c7958"</definedName>
    <definedName name="IQ_EMPLOY_COST_INDEX_WAGE_SALARY_YOY">"c7298"</definedName>
    <definedName name="IQ_EMPLOY_COST_INDEX_WAGE_SALARY_YOY_FC">"c8178"</definedName>
    <definedName name="IQ_EMPLOYEES">"c392"</definedName>
    <definedName name="IQ_ENTERPRISE_VALUE">"c1348"</definedName>
    <definedName name="IQ_ENTREPRENEURAL_PROPERTY_INC">"c6859"</definedName>
    <definedName name="IQ_ENTREPRENEURAL_PROPERTY_INC_APR">"c7519"</definedName>
    <definedName name="IQ_ENTREPRENEURAL_PROPERTY_INC_APR_FC">"c8399"</definedName>
    <definedName name="IQ_ENTREPRENEURAL_PROPERTY_INC_FC">"c7739"</definedName>
    <definedName name="IQ_ENTREPRENEURAL_PROPERTY_INC_POP">"c7079"</definedName>
    <definedName name="IQ_ENTREPRENEURAL_PROPERTY_INC_POP_FC">"c7959"</definedName>
    <definedName name="IQ_ENTREPRENEURAL_PROPERTY_INC_YOY">"c7299"</definedName>
    <definedName name="IQ_ENTREPRENEURAL_PROPERTY_INC_YOY_FC">"c8179"</definedName>
    <definedName name="IQ_EPS_10YR_ANN_CAGR">"c6085"</definedName>
    <definedName name="IQ_EPS_10YR_ANN_GROWTH">"c393"</definedName>
    <definedName name="IQ_EPS_1YR_ANN_GROWTH">"c394"</definedName>
    <definedName name="IQ_EPS_2YR_ANN_CAGR">"c6086"</definedName>
    <definedName name="IQ_EPS_2YR_ANN_GROWTH">"c395"</definedName>
    <definedName name="IQ_EPS_3YR_ANN_CAGR">"c6087"</definedName>
    <definedName name="IQ_EPS_3YR_ANN_GROWTH">"c396"</definedName>
    <definedName name="IQ_EPS_5YR_ANN_CAGR">"c6088"</definedName>
    <definedName name="IQ_EPS_5YR_ANN_GROWTH">"c397"</definedName>
    <definedName name="IQ_EPS_7YR_ANN_CAGR">"c6089"</definedName>
    <definedName name="IQ_EPS_7YR_ANN_GROWTH">"c398"</definedName>
    <definedName name="IQ_EPS_ACT_OR_EST">"c2213"</definedName>
    <definedName name="IQ_EPS_ACT_OR_EST_CIQ">"c5058"</definedName>
    <definedName name="IQ_EPS_ACT_OR_EST_THOM">"c5298"</definedName>
    <definedName name="IQ_EPS_AP">"c8880"</definedName>
    <definedName name="IQ_EPS_AP_ABS">"c8899"</definedName>
    <definedName name="IQ_EPS_EST">"c399"</definedName>
    <definedName name="IQ_EPS_EST_BOTTOM_UP">"c5489"</definedName>
    <definedName name="IQ_EPS_EST_BOTTOM_UP_THOM">"c5647"</definedName>
    <definedName name="IQ_EPS_EST_CIQ">"c4994"</definedName>
    <definedName name="IQ_EPS_EST_REUT">"c5453"</definedName>
    <definedName name="IQ_EPS_EST_THOM">"c5290"</definedName>
    <definedName name="IQ_EPS_GW_ACT_OR_EST_CIQ">"c5066"</definedName>
    <definedName name="IQ_EPS_GW_EST">"c1737"</definedName>
    <definedName name="IQ_EPS_GW_EST_CIQ">"c4723"</definedName>
    <definedName name="IQ_EPS_GW_EST_REUT">"c5389"</definedName>
    <definedName name="IQ_EPS_GW_EST_THOM">"c5133"</definedName>
    <definedName name="IQ_EPS_GW_HIGH_EST">"c1739"</definedName>
    <definedName name="IQ_EPS_GW_HIGH_EST_CIQ">"c4725"</definedName>
    <definedName name="IQ_EPS_GW_HIGH_EST_REUT">"c5391"</definedName>
    <definedName name="IQ_EPS_GW_HIGH_EST_THOM">"c5135"</definedName>
    <definedName name="IQ_EPS_GW_LOW_EST">"c1740"</definedName>
    <definedName name="IQ_EPS_GW_LOW_EST_CIQ">"c4726"</definedName>
    <definedName name="IQ_EPS_GW_LOW_EST_REUT">"c5392"</definedName>
    <definedName name="IQ_EPS_GW_LOW_EST_THOM">"c5136"</definedName>
    <definedName name="IQ_EPS_GW_MEDIAN_EST">"c1738"</definedName>
    <definedName name="IQ_EPS_GW_MEDIAN_EST_CIQ">"c4724"</definedName>
    <definedName name="IQ_EPS_GW_MEDIAN_EST_REUT">"c5390"</definedName>
    <definedName name="IQ_EPS_GW_MEDIAN_EST_THOM">"c5134"</definedName>
    <definedName name="IQ_EPS_GW_NUM_EST">"c1741"</definedName>
    <definedName name="IQ_EPS_GW_NUM_EST_CIQ">"c4727"</definedName>
    <definedName name="IQ_EPS_GW_NUM_EST_REUT">"c5393"</definedName>
    <definedName name="IQ_EPS_GW_NUM_EST_THOM">"c5137"</definedName>
    <definedName name="IQ_EPS_GW_STDDEV_EST">"c1742"</definedName>
    <definedName name="IQ_EPS_GW_STDDEV_EST_CIQ">"c4728"</definedName>
    <definedName name="IQ_EPS_GW_STDDEV_EST_REUT">"c5394"</definedName>
    <definedName name="IQ_EPS_GW_STDDEV_EST_THOM">"c5138"</definedName>
    <definedName name="IQ_EPS_HIGH_EST">"c400"</definedName>
    <definedName name="IQ_EPS_HIGH_EST_CIQ">"c4995"</definedName>
    <definedName name="IQ_EPS_HIGH_EST_REUT">"c5454"</definedName>
    <definedName name="IQ_EPS_HIGH_EST_THOM">"c5291"</definedName>
    <definedName name="IQ_EPS_LOW_EST">"c401"</definedName>
    <definedName name="IQ_EPS_LOW_EST_CIQ">"c4996"</definedName>
    <definedName name="IQ_EPS_LOW_EST_REUT">"c5455"</definedName>
    <definedName name="IQ_EPS_LOW_EST_THOM">"c5292"</definedName>
    <definedName name="IQ_EPS_MEDIAN_EST">"c1661"</definedName>
    <definedName name="IQ_EPS_MEDIAN_EST_CIQ">"c4997"</definedName>
    <definedName name="IQ_EPS_MEDIAN_EST_REUT">"c5456"</definedName>
    <definedName name="IQ_EPS_MEDIAN_EST_THOM">"c5293"</definedName>
    <definedName name="IQ_EPS_NAME_AP">"c8918"</definedName>
    <definedName name="IQ_EPS_NAME_AP_ABS">"c8937"</definedName>
    <definedName name="IQ_EPS_NORM">"c1902"</definedName>
    <definedName name="IQ_EPS_NORM_EST">"c2226"</definedName>
    <definedName name="IQ_EPS_NORM_EST_CIQ">"c4667"</definedName>
    <definedName name="IQ_EPS_NORM_EST_REUT">"c5326"</definedName>
    <definedName name="IQ_EPS_NORM_HIGH_EST">"c2228"</definedName>
    <definedName name="IQ_EPS_NORM_HIGH_EST_CIQ">"c4669"</definedName>
    <definedName name="IQ_EPS_NORM_HIGH_EST_REUT">"c5328"</definedName>
    <definedName name="IQ_EPS_NORM_LOW_EST">"c2229"</definedName>
    <definedName name="IQ_EPS_NORM_LOW_EST_CIQ">"c4670"</definedName>
    <definedName name="IQ_EPS_NORM_LOW_EST_REUT">"c5329"</definedName>
    <definedName name="IQ_EPS_NORM_MEDIAN_EST">"c2227"</definedName>
    <definedName name="IQ_EPS_NORM_MEDIAN_EST_CIQ">"c4668"</definedName>
    <definedName name="IQ_EPS_NORM_MEDIAN_EST_REUT">"c5327"</definedName>
    <definedName name="IQ_EPS_NORM_NUM_EST">"c2230"</definedName>
    <definedName name="IQ_EPS_NORM_NUM_EST_CIQ">"c4671"</definedName>
    <definedName name="IQ_EPS_NORM_NUM_EST_REUT">"c5330"</definedName>
    <definedName name="IQ_EPS_NORM_STDDEV_EST">"c2231"</definedName>
    <definedName name="IQ_EPS_NORM_STDDEV_EST_CIQ">"c4672"</definedName>
    <definedName name="IQ_EPS_NORM_STDDEV_EST_REUT">"c5331"</definedName>
    <definedName name="IQ_EPS_NUM_EST">"c402"</definedName>
    <definedName name="IQ_EPS_NUM_EST_CIQ">"c4992"</definedName>
    <definedName name="IQ_EPS_NUM_EST_REUT">"c5451"</definedName>
    <definedName name="IQ_EPS_NUM_EST_THOM">"c5288"</definedName>
    <definedName name="IQ_EPS_REPORT_ACT_OR_EST_CIQ">"c5067"</definedName>
    <definedName name="IQ_EPS_REPORT_ACT_OR_EST_THOM">"c5307"</definedName>
    <definedName name="IQ_EPS_REPORTED_EST">"c1744"</definedName>
    <definedName name="IQ_EPS_REPORTED_EST_CIQ">"c4730"</definedName>
    <definedName name="IQ_EPS_REPORTED_EST_REUT">"c5396"</definedName>
    <definedName name="IQ_EPS_REPORTED_EST_THOM">"c5140"</definedName>
    <definedName name="IQ_EPS_REPORTED_HIGH_EST">"c1746"</definedName>
    <definedName name="IQ_EPS_REPORTED_HIGH_EST_CIQ">"c4732"</definedName>
    <definedName name="IQ_EPS_REPORTED_HIGH_EST_REUT">"c5398"</definedName>
    <definedName name="IQ_EPS_REPORTED_HIGH_EST_THOM">"c5142"</definedName>
    <definedName name="IQ_EPS_REPORTED_LOW_EST">"c1747"</definedName>
    <definedName name="IQ_EPS_REPORTED_LOW_EST_CIQ">"c4733"</definedName>
    <definedName name="IQ_EPS_REPORTED_LOW_EST_REUT">"c5399"</definedName>
    <definedName name="IQ_EPS_REPORTED_LOW_EST_THOM">"c5143"</definedName>
    <definedName name="IQ_EPS_REPORTED_MEDIAN_EST">"c1745"</definedName>
    <definedName name="IQ_EPS_REPORTED_MEDIAN_EST_CIQ">"c4731"</definedName>
    <definedName name="IQ_EPS_REPORTED_MEDIAN_EST_REUT">"c5397"</definedName>
    <definedName name="IQ_EPS_REPORTED_MEDIAN_EST_THOM">"c5141"</definedName>
    <definedName name="IQ_EPS_REPORTED_NUM_EST">"c1748"</definedName>
    <definedName name="IQ_EPS_REPORTED_NUM_EST_CIQ">"c4734"</definedName>
    <definedName name="IQ_EPS_REPORTED_NUM_EST_REUT">"c5400"</definedName>
    <definedName name="IQ_EPS_REPORTED_NUM_EST_THOM">"c5144"</definedName>
    <definedName name="IQ_EPS_REPORTED_STDDEV_EST">"c1749"</definedName>
    <definedName name="IQ_EPS_REPORTED_STDDEV_EST_CIQ">"c4735"</definedName>
    <definedName name="IQ_EPS_REPORTED_STDDEV_EST_REUT">"c5401"</definedName>
    <definedName name="IQ_EPS_REPORTED_STDDEV_EST_THOM">"c5145"</definedName>
    <definedName name="IQ_EPS_SBC_ACT_OR_EST">"c4376"</definedName>
    <definedName name="IQ_EPS_SBC_ACT_OR_EST_CIQ">"c4901"</definedName>
    <definedName name="IQ_EPS_SBC_GW_ACT_OR_EST">"c4380"</definedName>
    <definedName name="IQ_EPS_SBC_GW_ACT_OR_EST_CIQ">"c4905"</definedName>
    <definedName name="IQ_EPS_STDDEV_EST">"c403"</definedName>
    <definedName name="IQ_EPS_STDDEV_EST_CIQ">"c4993"</definedName>
    <definedName name="IQ_EPS_STDDEV_EST_REUT">"c5452"</definedName>
    <definedName name="IQ_EPS_STDDEV_EST_THOM">"c5289"</definedName>
    <definedName name="IQ_EQUITY_AFFIL">"c1451"</definedName>
    <definedName name="IQ_EQUITY_AP">"c8887"</definedName>
    <definedName name="IQ_EQUITY_AP_ABS">"c8906"</definedName>
    <definedName name="IQ_EQUITY_CAPITAL_ASSETS_FDIC">"c6744"</definedName>
    <definedName name="IQ_EQUITY_FDIC">"c6353"</definedName>
    <definedName name="IQ_EQUITY_METHOD">"c404"</definedName>
    <definedName name="IQ_EQUITY_NAME_AP">"c8925"</definedName>
    <definedName name="IQ_EQUITY_NAME_AP_ABS">"c8944"</definedName>
    <definedName name="IQ_EQUITY_SECURITIES_FDIC">"c6304"</definedName>
    <definedName name="IQ_EQUITY_SECURITY_EXPOSURES_FDIC">"c6664"</definedName>
    <definedName name="IQ_EQV_OVER_BV">"c1596"</definedName>
    <definedName name="IQ_EQV_OVER_LTM_PRETAX_INC">"c1390"</definedName>
    <definedName name="IQ_ESOP_DEBT">"c1597"</definedName>
    <definedName name="IQ_EST_ACT_BV_SHARE">"c3549"</definedName>
    <definedName name="IQ_EST_ACT_BV_SHARE_THOM">"c4026"</definedName>
    <definedName name="IQ_EST_ACT_CAPEX">"c3546"</definedName>
    <definedName name="IQ_EST_ACT_CAPEX_THOM">"c5508"</definedName>
    <definedName name="IQ_EST_ACT_CASH_EPS">"c5637"</definedName>
    <definedName name="IQ_EST_ACT_CASH_EPS_THOM">"c5645"</definedName>
    <definedName name="IQ_EST_ACT_CFPS">"c1673"</definedName>
    <definedName name="IQ_EST_ACT_CFPS_THOM">"c4012"</definedName>
    <definedName name="IQ_EST_ACT_DPS">"c1680"</definedName>
    <definedName name="IQ_EST_ACT_DPS_THOM">"c4019"</definedName>
    <definedName name="IQ_EST_ACT_EBIT">"c1687"</definedName>
    <definedName name="IQ_EST_ACT_EBIT_THOM">"c5111"</definedName>
    <definedName name="IQ_EST_ACT_EBITDA">"c1664"</definedName>
    <definedName name="IQ_EST_ACT_EBITDA_THOM">"c3998"</definedName>
    <definedName name="IQ_EST_ACT_EPS">"c1648"</definedName>
    <definedName name="IQ_EST_ACT_EPS_GW">"c1743"</definedName>
    <definedName name="IQ_EST_ACT_EPS_GW_CIQ">"c4729"</definedName>
    <definedName name="IQ_EST_ACT_EPS_GW_REUT">"c5395"</definedName>
    <definedName name="IQ_EST_ACT_EPS_GW_THOM">"c5139"</definedName>
    <definedName name="IQ_EST_ACT_EPS_NORM">"c2232"</definedName>
    <definedName name="IQ_EST_ACT_EPS_NORM_CIQ">"c4673"</definedName>
    <definedName name="IQ_EST_ACT_EPS_NORM_REUT">"c5332"</definedName>
    <definedName name="IQ_EST_ACT_EPS_REPORTED">"c1750"</definedName>
    <definedName name="IQ_EST_ACT_EPS_REPORTED_CIQ">"c4736"</definedName>
    <definedName name="IQ_EST_ACT_EPS_REPORTED_REUT">"c5402"</definedName>
    <definedName name="IQ_EST_ACT_EPS_REPORTED_THOM">"c5146"</definedName>
    <definedName name="IQ_EST_ACT_EPS_THOM">"c5294"</definedName>
    <definedName name="IQ_EST_ACT_FFO">"c1666"</definedName>
    <definedName name="IQ_EST_ACT_FFO_THOM">"c4005"</definedName>
    <definedName name="IQ_EST_ACT_GROSS_MARGIN">"c5553"</definedName>
    <definedName name="IQ_EST_ACT_GROSS_MARGIN_THOM">"c5561"</definedName>
    <definedName name="IQ_EST_ACT_NAV">"c1757"</definedName>
    <definedName name="IQ_EST_ACT_NAV_THOM">"c5600"</definedName>
    <definedName name="IQ_EST_ACT_NET_DEBT">"c3545"</definedName>
    <definedName name="IQ_EST_ACT_NET_DEBT_THOM">"c4033"</definedName>
    <definedName name="IQ_EST_ACT_NI">"c1722"</definedName>
    <definedName name="IQ_EST_ACT_NI_GW">"c1729"</definedName>
    <definedName name="IQ_EST_ACT_NI_REPORTED">"c1736"</definedName>
    <definedName name="IQ_EST_ACT_NI_THOM">"c5132"</definedName>
    <definedName name="IQ_EST_ACT_OPER_INC">"c1694"</definedName>
    <definedName name="IQ_EST_ACT_OPER_INC_THOM">"c5118"</definedName>
    <definedName name="IQ_EST_ACT_PRETAX_GW_INC">"c1708"</definedName>
    <definedName name="IQ_EST_ACT_PRETAX_INC">"c1701"</definedName>
    <definedName name="IQ_EST_ACT_PRETAX_INC_THOM">"c5125"</definedName>
    <definedName name="IQ_EST_ACT_PRETAX_REPORT_INC">"c1715"</definedName>
    <definedName name="IQ_EST_ACT_RECURRING_PROFIT">"c4411"</definedName>
    <definedName name="IQ_EST_ACT_RETURN_ASSETS">"c3547"</definedName>
    <definedName name="IQ_EST_ACT_RETURN_ASSETS_THOM">"c4040"</definedName>
    <definedName name="IQ_EST_ACT_RETURN_EQUITY">"c3548"</definedName>
    <definedName name="IQ_EST_ACT_RETURN_EQUITY_THOM">"c5287"</definedName>
    <definedName name="IQ_EST_ACT_REV">"c2113"</definedName>
    <definedName name="IQ_EST_ACT_REV_THOM">"c3997"</definedName>
    <definedName name="IQ_EST_CAPEX_GROWTH_1YR">"c3588"</definedName>
    <definedName name="IQ_EST_CAPEX_GROWTH_1YR_THOM">"c5542"</definedName>
    <definedName name="IQ_EST_CAPEX_GROWTH_2YR">"c3589"</definedName>
    <definedName name="IQ_EST_CAPEX_GROWTH_2YR_THOM">"c5543"</definedName>
    <definedName name="IQ_EST_CAPEX_GROWTH_Q_1YR">"c3590"</definedName>
    <definedName name="IQ_EST_CAPEX_GROWTH_Q_1YR_THOM">"c5544"</definedName>
    <definedName name="IQ_EST_CAPEX_SEQ_GROWTH_Q">"c3591"</definedName>
    <definedName name="IQ_EST_CAPEX_SEQ_GROWTH_Q_THOM">"c5545"</definedName>
    <definedName name="IQ_EST_CFPS_DIFF">"c1871"</definedName>
    <definedName name="IQ_EST_CFPS_DIFF_THOM">"c5188"</definedName>
    <definedName name="IQ_EST_CFPS_GROWTH_1YR">"c1774"</definedName>
    <definedName name="IQ_EST_CFPS_GROWTH_1YR_THOM">"c5174"</definedName>
    <definedName name="IQ_EST_CFPS_GROWTH_2YR">"c1775"</definedName>
    <definedName name="IQ_EST_CFPS_GROWTH_2YR_THOM">"c5175"</definedName>
    <definedName name="IQ_EST_CFPS_GROWTH_Q_1YR">"c1776"</definedName>
    <definedName name="IQ_EST_CFPS_GROWTH_Q_1YR_THOM">"c5176"</definedName>
    <definedName name="IQ_EST_CFPS_SEQ_GROWTH_Q">"c1777"</definedName>
    <definedName name="IQ_EST_CFPS_SEQ_GROWTH_Q_THOM">"c5177"</definedName>
    <definedName name="IQ_EST_CFPS_SURPRISE_PERCENT">"c1872"</definedName>
    <definedName name="IQ_EST_CFPS_SURPRISE_PERCENT_THOM">"c5189"</definedName>
    <definedName name="IQ_EST_CURRENCY">"c2140"</definedName>
    <definedName name="IQ_EST_CURRENCY_CIQ">"c4769"</definedName>
    <definedName name="IQ_EST_CURRENCY_REUT">"c5437"</definedName>
    <definedName name="IQ_EST_CURRENCY_THOM">"c5280"</definedName>
    <definedName name="IQ_EST_DATE">"c1634"</definedName>
    <definedName name="IQ_EST_DATE_CIQ">"c4770"</definedName>
    <definedName name="IQ_EST_DATE_REUT">"c5438"</definedName>
    <definedName name="IQ_EST_DATE_THOM">"c5281"</definedName>
    <definedName name="IQ_EST_DPS_DIFF">"c1873"</definedName>
    <definedName name="IQ_EST_DPS_DIFF_THOM">"c5190"</definedName>
    <definedName name="IQ_EST_DPS_GROWTH_1YR">"c1778"</definedName>
    <definedName name="IQ_EST_DPS_GROWTH_1YR_THOM">"c5178"</definedName>
    <definedName name="IQ_EST_DPS_GROWTH_2YR">"c1779"</definedName>
    <definedName name="IQ_EST_DPS_GROWTH_2YR_THOM">"c5179"</definedName>
    <definedName name="IQ_EST_DPS_GROWTH_Q_1YR">"c1780"</definedName>
    <definedName name="IQ_EST_DPS_GROWTH_Q_1YR_THOM">"c5180"</definedName>
    <definedName name="IQ_EST_DPS_SEQ_GROWTH_Q">"c1781"</definedName>
    <definedName name="IQ_EST_DPS_SEQ_GROWTH_Q_THOM">"c5181"</definedName>
    <definedName name="IQ_EST_DPS_SURPRISE_PERCENT">"c1874"</definedName>
    <definedName name="IQ_EST_DPS_SURPRISE_PERCENT_THOM">"c5191"</definedName>
    <definedName name="IQ_EST_EBIT_DIFF">"c1875"</definedName>
    <definedName name="IQ_EST_EBIT_DIFF_THOM">"c5192"</definedName>
    <definedName name="IQ_EST_EBIT_SURPRISE_PERCENT">"c1876"</definedName>
    <definedName name="IQ_EST_EBIT_SURPRISE_PERCENT_THOM">"c5193"</definedName>
    <definedName name="IQ_EST_EBITDA_DIFF">"c1867"</definedName>
    <definedName name="IQ_EST_EBITDA_DIFF_THOM">"c5184"</definedName>
    <definedName name="IQ_EST_EBITDA_GROWTH_1YR">"c1766"</definedName>
    <definedName name="IQ_EST_EBITDA_GROWTH_1YR_THOM">"c5161"</definedName>
    <definedName name="IQ_EST_EBITDA_GROWTH_2YR">"c1767"</definedName>
    <definedName name="IQ_EST_EBITDA_GROWTH_2YR_THOM">"c5162"</definedName>
    <definedName name="IQ_EST_EBITDA_GROWTH_Q_1YR">"c1768"</definedName>
    <definedName name="IQ_EST_EBITDA_GROWTH_Q_1YR_THOM">"c5163"</definedName>
    <definedName name="IQ_EST_EBITDA_SEQ_GROWTH_Q">"c1769"</definedName>
    <definedName name="IQ_EST_EBITDA_SEQ_GROWTH_Q_THOM">"c5164"</definedName>
    <definedName name="IQ_EST_EBITDA_SURPRISE_PERCENT">"c1868"</definedName>
    <definedName name="IQ_EST_EBITDA_SURPRISE_PERCENT_THOM">"c5185"</definedName>
    <definedName name="IQ_EST_EPS_DIFF">"c1864"</definedName>
    <definedName name="IQ_EST_EPS_DIFF_THOM">"c5295"</definedName>
    <definedName name="IQ_EST_EPS_GROWTH_1YR">"c1636"</definedName>
    <definedName name="IQ_EST_EPS_GROWTH_1YR_CIQ">"c3628"</definedName>
    <definedName name="IQ_EST_EPS_GROWTH_1YR_REUT">"c3646"</definedName>
    <definedName name="IQ_EST_EPS_GROWTH_1YR_THOM">"c3664"</definedName>
    <definedName name="IQ_EST_EPS_GROWTH_2YR">"c1637"</definedName>
    <definedName name="IQ_EST_EPS_GROWTH_2YR_THOM">"c5154"</definedName>
    <definedName name="IQ_EST_EPS_GROWTH_5YR">"c1655"</definedName>
    <definedName name="IQ_EST_EPS_GROWTH_5YR_CIQ">"c3615"</definedName>
    <definedName name="IQ_EST_EPS_GROWTH_5YR_HIGH">"c1657"</definedName>
    <definedName name="IQ_EST_EPS_GROWTH_5YR_HIGH_CIQ">"c4663"</definedName>
    <definedName name="IQ_EST_EPS_GROWTH_5YR_HIGH_THOM">"c5101"</definedName>
    <definedName name="IQ_EST_EPS_GROWTH_5YR_LOW">"c1658"</definedName>
    <definedName name="IQ_EST_EPS_GROWTH_5YR_LOW_CIQ">"c4664"</definedName>
    <definedName name="IQ_EST_EPS_GROWTH_5YR_LOW_THOM">"c5102"</definedName>
    <definedName name="IQ_EST_EPS_GROWTH_5YR_MEDIAN">"c1656"</definedName>
    <definedName name="IQ_EST_EPS_GROWTH_5YR_MEDIAN_CIQ">"c5480"</definedName>
    <definedName name="IQ_EST_EPS_GROWTH_5YR_MEDIAN_THOM">"c5100"</definedName>
    <definedName name="IQ_EST_EPS_GROWTH_5YR_NUM">"c1659"</definedName>
    <definedName name="IQ_EST_EPS_GROWTH_5YR_NUM_CIQ">"c4665"</definedName>
    <definedName name="IQ_EST_EPS_GROWTH_5YR_NUM_THOM">"c5103"</definedName>
    <definedName name="IQ_EST_EPS_GROWTH_5YR_REUT">"c3633"</definedName>
    <definedName name="IQ_EST_EPS_GROWTH_5YR_STDDEV">"c1660"</definedName>
    <definedName name="IQ_EST_EPS_GROWTH_5YR_STDDEV_CIQ">"c4666"</definedName>
    <definedName name="IQ_EST_EPS_GROWTH_5YR_STDDEV_THOM">"c5104"</definedName>
    <definedName name="IQ_EST_EPS_GROWTH_5YR_THOM">"c3651"</definedName>
    <definedName name="IQ_EST_EPS_GROWTH_Q_1YR">"c1641"</definedName>
    <definedName name="IQ_EST_EPS_GROWTH_Q_1YR_CIQ">"c4744"</definedName>
    <definedName name="IQ_EST_EPS_GROWTH_Q_1YR_REUT">"c5410"</definedName>
    <definedName name="IQ_EST_EPS_GROWTH_Q_1YR_THOM">"c5155"</definedName>
    <definedName name="IQ_EST_EPS_GW_DIFF">"c1891"</definedName>
    <definedName name="IQ_EST_EPS_GW_DIFF_CIQ">"c4761"</definedName>
    <definedName name="IQ_EST_EPS_GW_DIFF_REUT">"c5429"</definedName>
    <definedName name="IQ_EST_EPS_GW_DIFF_THOM">"c5200"</definedName>
    <definedName name="IQ_EST_EPS_GW_SURPRISE_PERCENT">"c1892"</definedName>
    <definedName name="IQ_EST_EPS_GW_SURPRISE_PERCENT_CIQ">"c4762"</definedName>
    <definedName name="IQ_EST_EPS_GW_SURPRISE_PERCENT_REUT">"c5430"</definedName>
    <definedName name="IQ_EST_EPS_GW_SURPRISE_PERCENT_THOM">"c5201"</definedName>
    <definedName name="IQ_EST_EPS_NORM_DIFF">"c2247"</definedName>
    <definedName name="IQ_EST_EPS_NORM_DIFF_CIQ">"c4745"</definedName>
    <definedName name="IQ_EST_EPS_NORM_DIFF_REUT">"c5411"</definedName>
    <definedName name="IQ_EST_EPS_NORM_SURPRISE_PERCENT">"c2248"</definedName>
    <definedName name="IQ_EST_EPS_NORM_SURPRISE_PERCENT_CIQ">"c4746"</definedName>
    <definedName name="IQ_EST_EPS_NORM_SURPRISE_PERCENT_REUT">"c5412"</definedName>
    <definedName name="IQ_EST_EPS_REPORT_DIFF">"c1893"</definedName>
    <definedName name="IQ_EST_EPS_REPORT_DIFF_CIQ">"c4763"</definedName>
    <definedName name="IQ_EST_EPS_REPORT_DIFF_REUT">"c5431"</definedName>
    <definedName name="IQ_EST_EPS_REPORT_DIFF_THOM">"c5202"</definedName>
    <definedName name="IQ_EST_EPS_REPORT_SURPRISE_PERCENT">"c1894"</definedName>
    <definedName name="IQ_EST_EPS_REPORT_SURPRISE_PERCENT_CIQ">"c4764"</definedName>
    <definedName name="IQ_EST_EPS_REPORT_SURPRISE_PERCENT_REUT">"c5432"</definedName>
    <definedName name="IQ_EST_EPS_REPORT_SURPRISE_PERCENT_THOM">"c5203"</definedName>
    <definedName name="IQ_EST_EPS_SEQ_GROWTH_Q">"c1764"</definedName>
    <definedName name="IQ_EST_EPS_SEQ_GROWTH_Q_THOM">"c5156"</definedName>
    <definedName name="IQ_EST_EPS_SURPRISE_PERCENT">"c1635"</definedName>
    <definedName name="IQ_EST_EPS_SURPRISE_PERCENT_THOM">"c5296"</definedName>
    <definedName name="IQ_EST_FFO_DIFF">"c1869"</definedName>
    <definedName name="IQ_EST_FFO_DIFF_THOM">"c5186"</definedName>
    <definedName name="IQ_EST_FFO_GROWTH_1YR">"c1770"</definedName>
    <definedName name="IQ_EST_FFO_GROWTH_1YR_THOM">"c5170"</definedName>
    <definedName name="IQ_EST_FFO_GROWTH_2YR">"c1771"</definedName>
    <definedName name="IQ_EST_FFO_GROWTH_2YR_THOM">"c5171"</definedName>
    <definedName name="IQ_EST_FFO_GROWTH_Q_1YR">"c1772"</definedName>
    <definedName name="IQ_EST_FFO_GROWTH_Q_1YR_THOM">"c5172"</definedName>
    <definedName name="IQ_EST_FFO_SEQ_GROWTH_Q">"c1773"</definedName>
    <definedName name="IQ_EST_FFO_SEQ_GROWTH_Q_THOM">"c5173"</definedName>
    <definedName name="IQ_EST_FFO_SURPRISE_PERCENT">"c1870"</definedName>
    <definedName name="IQ_EST_FFO_SURPRISE_PERCENT_THOM">"c5187"</definedName>
    <definedName name="IQ_EST_FOOTNOTE">"c4540"</definedName>
    <definedName name="IQ_EST_FOOTNOTE_THOM">"c5313"</definedName>
    <definedName name="IQ_EST_NAV_DIFF">"c1895"</definedName>
    <definedName name="IQ_EST_NAV_SURPRISE_PERCENT">"c1896"</definedName>
    <definedName name="IQ_EST_NI_DIFF">"c1885"</definedName>
    <definedName name="IQ_EST_NI_DIFF_THOM">"c5198"</definedName>
    <definedName name="IQ_EST_NI_GW_DIFF">"c1887"</definedName>
    <definedName name="IQ_EST_NI_GW_SURPRISE_PERCENT">"c1888"</definedName>
    <definedName name="IQ_EST_NI_REPORT_DIFF">"c1889"</definedName>
    <definedName name="IQ_EST_NI_REPORT_SURPRISE_PERCENT">"c1890"</definedName>
    <definedName name="IQ_EST_NI_SURPRISE_PERCENT">"c1886"</definedName>
    <definedName name="IQ_EST_NI_SURPRISE_PERCENT_THOM">"c5199"</definedName>
    <definedName name="IQ_EST_NUM_BUY">"c1759"</definedName>
    <definedName name="IQ_EST_NUM_HIGH_REC">"c5649"</definedName>
    <definedName name="IQ_EST_NUM_HIGH_REC_THOM">"c5166"</definedName>
    <definedName name="IQ_EST_NUM_HIGHEST_REC">"c5648"</definedName>
    <definedName name="IQ_EST_NUM_HIGHEST_REC_THOM">"c5165"</definedName>
    <definedName name="IQ_EST_NUM_HOLD">"c1761"</definedName>
    <definedName name="IQ_EST_NUM_LOW_REC">"c5651"</definedName>
    <definedName name="IQ_EST_NUM_LOW_REC_THOM">"c5168"</definedName>
    <definedName name="IQ_EST_NUM_LOWEST_REC">"c5652"</definedName>
    <definedName name="IQ_EST_NUM_LOWEST_REC_THOM">"c5169"</definedName>
    <definedName name="IQ_EST_NUM_NEUTRAL_REC">"c5650"</definedName>
    <definedName name="IQ_EST_NUM_NEUTRAL_REC_THOM">"c5167"</definedName>
    <definedName name="IQ_EST_NUM_NO_OPINION">"c1758"</definedName>
    <definedName name="IQ_EST_NUM_OUTPERFORM">"c1760"</definedName>
    <definedName name="IQ_EST_NUM_SELL">"c1763"</definedName>
    <definedName name="IQ_EST_NUM_UNDERPERFORM">"c1762"</definedName>
    <definedName name="IQ_EST_OPER_INC_DIFF">"c1877"</definedName>
    <definedName name="IQ_EST_OPER_INC_DIFF_THOM">"c5194"</definedName>
    <definedName name="IQ_EST_OPER_INC_SURPRISE_PERCENT">"c1878"</definedName>
    <definedName name="IQ_EST_OPER_INC_SURPRISE_PERCENT_THOM">"c5195"</definedName>
    <definedName name="IQ_EST_PRE_TAX_DIFF">"c1879"</definedName>
    <definedName name="IQ_EST_PRE_TAX_DIFF_THOM">"c5196"</definedName>
    <definedName name="IQ_EST_PRE_TAX_GW_DIFF">"c1881"</definedName>
    <definedName name="IQ_EST_PRE_TAX_GW_SURPRISE_PERCENT">"c1882"</definedName>
    <definedName name="IQ_EST_PRE_TAX_REPORT_DIFF">"c1883"</definedName>
    <definedName name="IQ_EST_PRE_TAX_REPORT_SURPRISE_PERCENT">"c1884"</definedName>
    <definedName name="IQ_EST_PRE_TAX_SURPRISE_PERCENT">"c1880"</definedName>
    <definedName name="IQ_EST_PRE_TAX_SURPRISE_PERCENT_THOM">"c5197"</definedName>
    <definedName name="IQ_EST_REV_DIFF">"c1865"</definedName>
    <definedName name="IQ_EST_REV_DIFF_THOM">"c5182"</definedName>
    <definedName name="IQ_EST_REV_GROWTH_1YR">"c1638"</definedName>
    <definedName name="IQ_EST_REV_GROWTH_1YR_THOM">"c5157"</definedName>
    <definedName name="IQ_EST_REV_GROWTH_2YR">"c1639"</definedName>
    <definedName name="IQ_EST_REV_GROWTH_2YR_THOM">"c5158"</definedName>
    <definedName name="IQ_EST_REV_GROWTH_Q_1YR">"c1640"</definedName>
    <definedName name="IQ_EST_REV_GROWTH_Q_1YR_THOM">"c5159"</definedName>
    <definedName name="IQ_EST_REV_SEQ_GROWTH_Q">"c1765"</definedName>
    <definedName name="IQ_EST_REV_SEQ_GROWTH_Q_THOM">"c5160"</definedName>
    <definedName name="IQ_EST_REV_SURPRISE_PERCENT">"c1866"</definedName>
    <definedName name="IQ_EST_REV_SURPRISE_PERCENT_THOM">"c5183"</definedName>
    <definedName name="IQ_EST_VENDOR">"c5564"</definedName>
    <definedName name="IQ_ESTIMATED_ASSESSABLE_DEPOSITS_FDIC">"c6490"</definedName>
    <definedName name="IQ_ESTIMATED_INSURED_DEPOSITS_FDIC">"c6491"</definedName>
    <definedName name="IQ_EV_OVER_EMPLOYEE">"c1428"</definedName>
    <definedName name="IQ_EV_OVER_LTM_EBIT">"c1426"</definedName>
    <definedName name="IQ_EV_OVER_LTM_EBITDA">"c1427"</definedName>
    <definedName name="IQ_EV_OVER_LTM_REVENUE">"c1429"</definedName>
    <definedName name="IQ_EVAL_DATE">"c2180"</definedName>
    <definedName name="IQ_EXCHANGE">"c405"</definedName>
    <definedName name="IQ_EXCISE_TAXES_EXCL_SALES">"c5515"</definedName>
    <definedName name="IQ_EXCISE_TAXES_INCL_SALES">"c5514"</definedName>
    <definedName name="IQ_EXERCISE_PRICE">"c1897"</definedName>
    <definedName name="IQ_EXERCISED">"c406"</definedName>
    <definedName name="IQ_EXP_RETURN_PENSION_DOMESTIC">"c407"</definedName>
    <definedName name="IQ_EXP_RETURN_PENSION_FOREIGN">"c408"</definedName>
    <definedName name="IQ_EXPENSES_AP">"c8875"</definedName>
    <definedName name="IQ_EXPENSES_AP_ABS">"c8894"</definedName>
    <definedName name="IQ_EXPENSES_NAME_AP">"c8913"</definedName>
    <definedName name="IQ_EXPENSES_NAME_AP_ABS">"c8932"</definedName>
    <definedName name="IQ_EXPLORATION_EXPENDITURE_ALUM">"c9255"</definedName>
    <definedName name="IQ_EXPLORATION_EXPENDITURE_COAL">"c9827"</definedName>
    <definedName name="IQ_EXPLORATION_EXPENDITURE_COP">"c9202"</definedName>
    <definedName name="IQ_EXPLORATION_EXPENDITURE_DIAM">"c9679"</definedName>
    <definedName name="IQ_EXPLORATION_EXPENDITURE_GOLD">"c9040"</definedName>
    <definedName name="IQ_EXPLORATION_EXPENDITURE_IRON">"c9414"</definedName>
    <definedName name="IQ_EXPLORATION_EXPENDITURE_LEAD">"c9467"</definedName>
    <definedName name="IQ_EXPLORATION_EXPENDITURE_MANG">"c9520"</definedName>
    <definedName name="IQ_EXPLORATION_EXPENDITURE_MOLYB">"c9732"</definedName>
    <definedName name="IQ_EXPLORATION_EXPENDITURE_NICK">"c9308"</definedName>
    <definedName name="IQ_EXPLORATION_EXPENDITURE_PLAT">"c9146"</definedName>
    <definedName name="IQ_EXPLORATION_EXPENDITURE_SILVER">"c9093"</definedName>
    <definedName name="IQ_EXPLORATION_EXPENDITURE_TITAN">"c9573"</definedName>
    <definedName name="IQ_EXPLORATION_EXPENDITURE_URAN">"c9626"</definedName>
    <definedName name="IQ_EXPLORATION_EXPENDITURE_ZINC">"c9361"</definedName>
    <definedName name="IQ_EXPLORE_DRILL">"c409"</definedName>
    <definedName name="IQ_EXPORT_PRICE_INDEX">"c6860"</definedName>
    <definedName name="IQ_EXPORT_PRICE_INDEX_APR">"c7520"</definedName>
    <definedName name="IQ_EXPORT_PRICE_INDEX_APR_FC">"c8400"</definedName>
    <definedName name="IQ_EXPORT_PRICE_INDEX_FC">"c7740"</definedName>
    <definedName name="IQ_EXPORT_PRICE_INDEX_POP">"c7080"</definedName>
    <definedName name="IQ_EXPORT_PRICE_INDEX_POP_FC">"c7960"</definedName>
    <definedName name="IQ_EXPORT_PRICE_INDEX_YOY">"c7300"</definedName>
    <definedName name="IQ_EXPORT_PRICE_INDEX_YOY_FC">"c8180"</definedName>
    <definedName name="IQ_EXPORTS_APR_FC_UNUSED_UNUSED_UNUSED">"c8401"</definedName>
    <definedName name="IQ_EXPORTS_APR_UNUSED_UNUSED_UNUSED">"c7521"</definedName>
    <definedName name="IQ_EXPORTS_FACTOR_SERVICES">"c6862"</definedName>
    <definedName name="IQ_EXPORTS_FACTOR_SERVICES_APR">"c7522"</definedName>
    <definedName name="IQ_EXPORTS_FACTOR_SERVICES_APR_FC">"c8402"</definedName>
    <definedName name="IQ_EXPORTS_FACTOR_SERVICES_FC">"c7742"</definedName>
    <definedName name="IQ_EXPORTS_FACTOR_SERVICES_POP">"c7082"</definedName>
    <definedName name="IQ_EXPORTS_FACTOR_SERVICES_POP_FC">"c7962"</definedName>
    <definedName name="IQ_EXPORTS_FACTOR_SERVICES_SAAR">"c6863"</definedName>
    <definedName name="IQ_EXPORTS_FACTOR_SERVICES_SAAR_APR">"c7523"</definedName>
    <definedName name="IQ_EXPORTS_FACTOR_SERVICES_SAAR_APR_FC">"c8403"</definedName>
    <definedName name="IQ_EXPORTS_FACTOR_SERVICES_SAAR_FC">"c7743"</definedName>
    <definedName name="IQ_EXPORTS_FACTOR_SERVICES_SAAR_POP">"c7083"</definedName>
    <definedName name="IQ_EXPORTS_FACTOR_SERVICES_SAAR_POP_FC">"c7963"</definedName>
    <definedName name="IQ_EXPORTS_FACTOR_SERVICES_SAAR_USD_APR_FC">"c11817"</definedName>
    <definedName name="IQ_EXPORTS_FACTOR_SERVICES_SAAR_USD_FC">"c11814"</definedName>
    <definedName name="IQ_EXPORTS_FACTOR_SERVICES_SAAR_USD_POP_FC">"c11815"</definedName>
    <definedName name="IQ_EXPORTS_FACTOR_SERVICES_SAAR_USD_YOY_FC">"c11816"</definedName>
    <definedName name="IQ_EXPORTS_FACTOR_SERVICES_SAAR_YOY">"c7303"</definedName>
    <definedName name="IQ_EXPORTS_FACTOR_SERVICES_SAAR_YOY_FC">"c8183"</definedName>
    <definedName name="IQ_EXPORTS_FACTOR_SERVICES_USD_APR_FC">"c11813"</definedName>
    <definedName name="IQ_EXPORTS_FACTOR_SERVICES_USD_FC">"c11810"</definedName>
    <definedName name="IQ_EXPORTS_FACTOR_SERVICES_USD_POP_FC">"c11811"</definedName>
    <definedName name="IQ_EXPORTS_FACTOR_SERVICES_USD_YOY_FC">"c11812"</definedName>
    <definedName name="IQ_EXPORTS_FACTOR_SERVICES_YOY">"c7302"</definedName>
    <definedName name="IQ_EXPORTS_FACTOR_SERVICES_YOY_FC">"c8182"</definedName>
    <definedName name="IQ_EXPORTS_FC_UNUSED_UNUSED_UNUSED">"c7741"</definedName>
    <definedName name="IQ_EXPORTS_GOODS">"c6864"</definedName>
    <definedName name="IQ_EXPORTS_GOODS_APR">"c7524"</definedName>
    <definedName name="IQ_EXPORTS_GOODS_APR_FC">"c8404"</definedName>
    <definedName name="IQ_EXPORTS_GOODS_FC">"c7744"</definedName>
    <definedName name="IQ_EXPORTS_GOODS_NONFACTOR_SERVICES">"c6865"</definedName>
    <definedName name="IQ_EXPORTS_GOODS_NONFACTOR_SERVICES_APR">"c7525"</definedName>
    <definedName name="IQ_EXPORTS_GOODS_NONFACTOR_SERVICES_APR_FC">"c8405"</definedName>
    <definedName name="IQ_EXPORTS_GOODS_NONFACTOR_SERVICES_FC">"c7745"</definedName>
    <definedName name="IQ_EXPORTS_GOODS_NONFACTOR_SERVICES_POP">"c7085"</definedName>
    <definedName name="IQ_EXPORTS_GOODS_NONFACTOR_SERVICES_POP_FC">"c7965"</definedName>
    <definedName name="IQ_EXPORTS_GOODS_NONFACTOR_SERVICES_YOY">"c7305"</definedName>
    <definedName name="IQ_EXPORTS_GOODS_NONFACTOR_SERVICES_YOY_FC">"c8185"</definedName>
    <definedName name="IQ_EXPORTS_GOODS_POP">"c7084"</definedName>
    <definedName name="IQ_EXPORTS_GOODS_POP_FC">"c7964"</definedName>
    <definedName name="IQ_EXPORTS_GOODS_REAL">"c6973"</definedName>
    <definedName name="IQ_EXPORTS_GOODS_REAL_APR">"c7633"</definedName>
    <definedName name="IQ_EXPORTS_GOODS_REAL_APR_FC">"c8513"</definedName>
    <definedName name="IQ_EXPORTS_GOODS_REAL_FC">"c7853"</definedName>
    <definedName name="IQ_EXPORTS_GOODS_REAL_POP">"c7193"</definedName>
    <definedName name="IQ_EXPORTS_GOODS_REAL_POP_FC">"c8073"</definedName>
    <definedName name="IQ_EXPORTS_GOODS_REAL_SAAR">"c11930"</definedName>
    <definedName name="IQ_EXPORTS_GOODS_REAL_SAAR_APR">"c11933"</definedName>
    <definedName name="IQ_EXPORTS_GOODS_REAL_SAAR_APR_FC_UNUSED_UNUSED_UNUSED">"c8512"</definedName>
    <definedName name="IQ_EXPORTS_GOODS_REAL_SAAR_APR_UNUSED_UNUSED_UNUSED">"c7632"</definedName>
    <definedName name="IQ_EXPORTS_GOODS_REAL_SAAR_FC_UNUSED_UNUSED_UNUSED">"c7852"</definedName>
    <definedName name="IQ_EXPORTS_GOODS_REAL_SAAR_POP">"c11931"</definedName>
    <definedName name="IQ_EXPORTS_GOODS_REAL_SAAR_POP_FC_UNUSED_UNUSED_UNUSED">"c8072"</definedName>
    <definedName name="IQ_EXPORTS_GOODS_REAL_SAAR_POP_UNUSED_UNUSED_UNUSED">"c7192"</definedName>
    <definedName name="IQ_EXPORTS_GOODS_REAL_SAAR_UNUSED_UNUSED_UNUSED">"c6972"</definedName>
    <definedName name="IQ_EXPORTS_GOODS_REAL_SAAR_YOY">"c11932"</definedName>
    <definedName name="IQ_EXPORTS_GOODS_REAL_SAAR_YOY_FC_UNUSED_UNUSED_UNUSED">"c8292"</definedName>
    <definedName name="IQ_EXPORTS_GOODS_REAL_SAAR_YOY_UNUSED_UNUSED_UNUSED">"c7412"</definedName>
    <definedName name="IQ_EXPORTS_GOODS_REAL_YOY">"c7413"</definedName>
    <definedName name="IQ_EXPORTS_GOODS_REAL_YOY_FC">"c8293"</definedName>
    <definedName name="IQ_EXPORTS_GOODS_SERVICES">"c6866"</definedName>
    <definedName name="IQ_EXPORTS_GOODS_SERVICES_APR">"c7526"</definedName>
    <definedName name="IQ_EXPORTS_GOODS_SERVICES_APR_FC">"c8406"</definedName>
    <definedName name="IQ_EXPORTS_GOODS_SERVICES_FC">"c7746"</definedName>
    <definedName name="IQ_EXPORTS_GOODS_SERVICES_POP">"c7086"</definedName>
    <definedName name="IQ_EXPORTS_GOODS_SERVICES_POP_FC">"c7966"</definedName>
    <definedName name="IQ_EXPORTS_GOODS_SERVICES_REAL">"c6974"</definedName>
    <definedName name="IQ_EXPORTS_GOODS_SERVICES_REAL_APR">"c7634"</definedName>
    <definedName name="IQ_EXPORTS_GOODS_SERVICES_REAL_APR_FC">"c8514"</definedName>
    <definedName name="IQ_EXPORTS_GOODS_SERVICES_REAL_FC">"c7854"</definedName>
    <definedName name="IQ_EXPORTS_GOODS_SERVICES_REAL_POP">"c7194"</definedName>
    <definedName name="IQ_EXPORTS_GOODS_SERVICES_REAL_POP_FC">"c8074"</definedName>
    <definedName name="IQ_EXPORTS_GOODS_SERVICES_REAL_SAAR">"c6975"</definedName>
    <definedName name="IQ_EXPORTS_GOODS_SERVICES_REAL_SAAR_APR">"c7635"</definedName>
    <definedName name="IQ_EXPORTS_GOODS_SERVICES_REAL_SAAR_APR_FC">"c8515"</definedName>
    <definedName name="IQ_EXPORTS_GOODS_SERVICES_REAL_SAAR_FC">"c7855"</definedName>
    <definedName name="IQ_EXPORTS_GOODS_SERVICES_REAL_SAAR_POP">"c7195"</definedName>
    <definedName name="IQ_EXPORTS_GOODS_SERVICES_REAL_SAAR_POP_FC">"c8075"</definedName>
    <definedName name="IQ_EXPORTS_GOODS_SERVICES_REAL_SAAR_YOY">"c7415"</definedName>
    <definedName name="IQ_EXPORTS_GOODS_SERVICES_REAL_SAAR_YOY_FC">"c8295"</definedName>
    <definedName name="IQ_EXPORTS_GOODS_SERVICES_REAL_USD">"c11926"</definedName>
    <definedName name="IQ_EXPORTS_GOODS_SERVICES_REAL_USD_APR">"c11929"</definedName>
    <definedName name="IQ_EXPORTS_GOODS_SERVICES_REAL_USD_POP">"c11927"</definedName>
    <definedName name="IQ_EXPORTS_GOODS_SERVICES_REAL_USD_YOY">"c11928"</definedName>
    <definedName name="IQ_EXPORTS_GOODS_SERVICES_REAL_YOY">"c7414"</definedName>
    <definedName name="IQ_EXPORTS_GOODS_SERVICES_REAL_YOY_FC">"c8294"</definedName>
    <definedName name="IQ_EXPORTS_GOODS_SERVICES_SAAR">"c6867"</definedName>
    <definedName name="IQ_EXPORTS_GOODS_SERVICES_SAAR_APR">"c7527"</definedName>
    <definedName name="IQ_EXPORTS_GOODS_SERVICES_SAAR_APR_FC">"c8407"</definedName>
    <definedName name="IQ_EXPORTS_GOODS_SERVICES_SAAR_FC">"c7747"</definedName>
    <definedName name="IQ_EXPORTS_GOODS_SERVICES_SAAR_POP">"c7087"</definedName>
    <definedName name="IQ_EXPORTS_GOODS_SERVICES_SAAR_POP_FC">"c7967"</definedName>
    <definedName name="IQ_EXPORTS_GOODS_SERVICES_SAAR_YOY">"c7307"</definedName>
    <definedName name="IQ_EXPORTS_GOODS_SERVICES_SAAR_YOY_FC">"c8187"</definedName>
    <definedName name="IQ_EXPORTS_GOODS_SERVICES_USD">"c11822"</definedName>
    <definedName name="IQ_EXPORTS_GOODS_SERVICES_USD_APR">"c11825"</definedName>
    <definedName name="IQ_EXPORTS_GOODS_SERVICES_USD_POP">"c11823"</definedName>
    <definedName name="IQ_EXPORTS_GOODS_SERVICES_USD_YOY">"c11824"</definedName>
    <definedName name="IQ_EXPORTS_GOODS_SERVICES_YOY">"c7306"</definedName>
    <definedName name="IQ_EXPORTS_GOODS_SERVICES_YOY_FC">"c8186"</definedName>
    <definedName name="IQ_EXPORTS_GOODS_USD">"c11818"</definedName>
    <definedName name="IQ_EXPORTS_GOODS_USD_APR">"c11821"</definedName>
    <definedName name="IQ_EXPORTS_GOODS_USD_POP">"c11819"</definedName>
    <definedName name="IQ_EXPORTS_GOODS_USD_YOY">"c11820"</definedName>
    <definedName name="IQ_EXPORTS_GOODS_YOY">"c7304"</definedName>
    <definedName name="IQ_EXPORTS_GOODS_YOY_FC">"c8184"</definedName>
    <definedName name="IQ_EXPORTS_NONFACTOR_SERVICES">"c6868"</definedName>
    <definedName name="IQ_EXPORTS_NONFACTOR_SERVICES_APR">"c7528"</definedName>
    <definedName name="IQ_EXPORTS_NONFACTOR_SERVICES_APR_FC">"c8408"</definedName>
    <definedName name="IQ_EXPORTS_NONFACTOR_SERVICES_FC">"c7748"</definedName>
    <definedName name="IQ_EXPORTS_NONFACTOR_SERVICES_POP">"c7088"</definedName>
    <definedName name="IQ_EXPORTS_NONFACTOR_SERVICES_POP_FC">"c7968"</definedName>
    <definedName name="IQ_EXPORTS_NONFACTOR_SERVICES_YOY">"c7308"</definedName>
    <definedName name="IQ_EXPORTS_NONFACTOR_SERVICES_YOY_FC">"c8188"</definedName>
    <definedName name="IQ_EXPORTS_POP_FC_UNUSED_UNUSED_UNUSED">"c7961"</definedName>
    <definedName name="IQ_EXPORTS_POP_UNUSED_UNUSED_UNUSED">"c7081"</definedName>
    <definedName name="IQ_EXPORTS_SERVICES_REAL">"c6977"</definedName>
    <definedName name="IQ_EXPORTS_SERVICES_REAL_APR">"c7637"</definedName>
    <definedName name="IQ_EXPORTS_SERVICES_REAL_APR_FC">"c8517"</definedName>
    <definedName name="IQ_EXPORTS_SERVICES_REAL_FC">"c7857"</definedName>
    <definedName name="IQ_EXPORTS_SERVICES_REAL_POP">"c7197"</definedName>
    <definedName name="IQ_EXPORTS_SERVICES_REAL_POP_FC">"c8077"</definedName>
    <definedName name="IQ_EXPORTS_SERVICES_REAL_SAAR">"c11934"</definedName>
    <definedName name="IQ_EXPORTS_SERVICES_REAL_SAAR_APR">"c11937"</definedName>
    <definedName name="IQ_EXPORTS_SERVICES_REAL_SAAR_APR_FC_UNUSED_UNUSED_UNUSED">"c8516"</definedName>
    <definedName name="IQ_EXPORTS_SERVICES_REAL_SAAR_APR_UNUSED_UNUSED_UNUSED">"c7636"</definedName>
    <definedName name="IQ_EXPORTS_SERVICES_REAL_SAAR_FC_UNUSED_UNUSED_UNUSED">"c7856"</definedName>
    <definedName name="IQ_EXPORTS_SERVICES_REAL_SAAR_POP">"c11935"</definedName>
    <definedName name="IQ_EXPORTS_SERVICES_REAL_SAAR_POP_FC_UNUSED_UNUSED_UNUSED">"c8076"</definedName>
    <definedName name="IQ_EXPORTS_SERVICES_REAL_SAAR_POP_UNUSED_UNUSED_UNUSED">"c7196"</definedName>
    <definedName name="IQ_EXPORTS_SERVICES_REAL_SAAR_UNUSED_UNUSED_UNUSED">"c6976"</definedName>
    <definedName name="IQ_EXPORTS_SERVICES_REAL_SAAR_YOY">"c11936"</definedName>
    <definedName name="IQ_EXPORTS_SERVICES_REAL_SAAR_YOY_FC_UNUSED_UNUSED_UNUSED">"c8296"</definedName>
    <definedName name="IQ_EXPORTS_SERVICES_REAL_SAAR_YOY_UNUSED_UNUSED_UNUSED">"c7416"</definedName>
    <definedName name="IQ_EXPORTS_SERVICES_REAL_YOY">"c7417"</definedName>
    <definedName name="IQ_EXPORTS_SERVICES_REAL_YOY_FC">"c8297"</definedName>
    <definedName name="IQ_EXPORTS_UNUSED_UNUSED_UNUSED">"c6861"</definedName>
    <definedName name="IQ_EXPORTS_USD">"c11806"</definedName>
    <definedName name="IQ_EXPORTS_USD_APR">"c11809"</definedName>
    <definedName name="IQ_EXPORTS_USD_POP">"c11807"</definedName>
    <definedName name="IQ_EXPORTS_USD_YOY">"c11808"</definedName>
    <definedName name="IQ_EXPORTS_YOY_FC_UNUSED_UNUSED_UNUSED">"c8181"</definedName>
    <definedName name="IQ_EXPORTS_YOY_UNUSED_UNUSED_UNUSED">"c7301"</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"c6216"</definedName>
    <definedName name="IQ_EXTRA_ACC_ITEMS_REIT">"c415"</definedName>
    <definedName name="IQ_EXTRA_ACC_ITEMS_UTI">"c416"</definedName>
    <definedName name="IQ_EXTRA_ITEMS">"c1459"</definedName>
    <definedName name="IQ_EXTRAORDINARY_GAINS_FDIC">"c6586"</definedName>
    <definedName name="IQ_FAD">"c8757"</definedName>
    <definedName name="IQ_FAD_PAYOUT_RATIO">"c8872"</definedName>
    <definedName name="IQ_FAIR_VALUE_FDIC">"c6427"</definedName>
    <definedName name="IQ_FARM_LOANS_NET_FDIC">"c6316"</definedName>
    <definedName name="IQ_FARM_LOANS_TOTAL_LOANS_FOREIGN_FDIC">"c6450"</definedName>
    <definedName name="IQ_FARMLAND_LOANS_FDIC">"c6314"</definedName>
    <definedName name="IQ_FDIC">"c417"</definedName>
    <definedName name="IQ_FED_BUDGET_RECEIPTS">"c6869"</definedName>
    <definedName name="IQ_FED_BUDGET_RECEIPTS_APR">"c7529"</definedName>
    <definedName name="IQ_FED_BUDGET_RECEIPTS_APR_FC">"c8409"</definedName>
    <definedName name="IQ_FED_BUDGET_RECEIPTS_FC">"c7749"</definedName>
    <definedName name="IQ_FED_BUDGET_RECEIPTS_POP">"c7089"</definedName>
    <definedName name="IQ_FED_BUDGET_RECEIPTS_POP_FC">"c7969"</definedName>
    <definedName name="IQ_FED_BUDGET_RECEIPTS_YOY">"c7309"</definedName>
    <definedName name="IQ_FED_BUDGET_RECEIPTS_YOY_FC">"c8189"</definedName>
    <definedName name="IQ_FED_FUNDS_PURCHASED_FDIC">"c6343"</definedName>
    <definedName name="IQ_FED_FUNDS_SOLD_FDIC">"c6307"</definedName>
    <definedName name="IQ_FEDFUNDS_SOLD">"c2256"</definedName>
    <definedName name="IQ_FFO">"c1574"</definedName>
    <definedName name="IQ_FFO_ADJ_ACT_OR_EST">"c4435"</definedName>
    <definedName name="IQ_FFO_ADJ_ACT_OR_EST_CIQ">"c4960"</definedName>
    <definedName name="IQ_FFO_EST">"c418"</definedName>
    <definedName name="IQ_FFO_EST_THOM">"c3999"</definedName>
    <definedName name="IQ_FFO_HIGH_EST">"c419"</definedName>
    <definedName name="IQ_FFO_HIGH_EST_THOM">"c4001"</definedName>
    <definedName name="IQ_FFO_LOW_EST">"c420"</definedName>
    <definedName name="IQ_FFO_LOW_EST_THOM">"c4002"</definedName>
    <definedName name="IQ_FFO_MEDIAN_EST">"c1665"</definedName>
    <definedName name="IQ_FFO_MEDIAN_EST_THOM">"c4000"</definedName>
    <definedName name="IQ_FFO_NUM_EST">"c421"</definedName>
    <definedName name="IQ_FFO_NUM_EST_THOM">"c4003"</definedName>
    <definedName name="IQ_FFO_PAYOUT_RATIO">"c3492"</definedName>
    <definedName name="IQ_FFO_PER_SHARE_BASIC">"c8867"</definedName>
    <definedName name="IQ_FFO_PER_SHARE_DILUTED">"c8868"</definedName>
    <definedName name="IQ_FFO_SHARE_ACT_OR_EST">"c4446"</definedName>
    <definedName name="IQ_FFO_SHARE_ACT_OR_EST_CIQ">"c4971"</definedName>
    <definedName name="IQ_FFO_STDDEV_EST">"c422"</definedName>
    <definedName name="IQ_FFO_STDDEV_EST_THOM">"c4004"</definedName>
    <definedName name="IQ_FH">100000</definedName>
    <definedName name="IQ_FHLB_ADVANCES_FDIC">"c6366"</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DUCIARY_ACTIVITIES_FDIC">"c6571"</definedName>
    <definedName name="IQ_FIFETEEN_YEAR_FIXED_AND_FLOATING_RATE_FDIC">"c6423"</definedName>
    <definedName name="IQ_FIFETEEN_YEAR_MORTGAGE_PASS_THROUGHS_FDIC">"c6415"</definedName>
    <definedName name="IQ_FILING_CURRENCY">"c2129"</definedName>
    <definedName name="IQ_FILING_CURRENCY_AP">"c11747"</definedName>
    <definedName name="IQ_FILINGDATE_BS">"c424"</definedName>
    <definedName name="IQ_FILINGDATE_CF">"c425"</definedName>
    <definedName name="IQ_FILINGDATE_IS">"c426"</definedName>
    <definedName name="IQ_FILM_RIGHTS">"c2254"</definedName>
    <definedName name="IQ_FIN_DATA_SOURCE">"c6788"</definedName>
    <definedName name="IQ_FIN_DIV_ASSETS_CURRENT">"c427"</definedName>
    <definedName name="IQ_FIN_DIV_ASSETS_LT">"c428"</definedName>
    <definedName name="IQ_FIN_DIV_CASH_EQUIV">"c6289"</definedName>
    <definedName name="IQ_FIN_DIV_DEBT_CURRENT">"c429"</definedName>
    <definedName name="IQ_FIN_DIV_DEBT_LT">"c430"</definedName>
    <definedName name="IQ_FIN_DIV_DEBT_TOTAL">"c5656"</definedName>
    <definedName name="IQ_FIN_DIV_EXP">"c431"</definedName>
    <definedName name="IQ_FIN_DIV_INT_EXP">"c432"</definedName>
    <definedName name="IQ_FIN_DIV_LIAB_CURRENT">"c433"</definedName>
    <definedName name="IQ_FIN_DIV_LIAB_LT">"c434"</definedName>
    <definedName name="IQ_FIN_DIV_LOANS_CURRENT">"c435"</definedName>
    <definedName name="IQ_FIN_DIV_LOANS_LT">"c436"</definedName>
    <definedName name="IQ_FIN_DIV_LT_DEBT_TOTAL">"c5655"</definedName>
    <definedName name="IQ_FIN_DIV_REV">"c437"</definedName>
    <definedName name="IQ_FIN_DIV_ST_DEBT_TOTAL">"c5527"</definedName>
    <definedName name="IQ_FIN_DIV_ST_INVEST">"c6288"</definedName>
    <definedName name="IQ_FINANCING_CASH">"c1405"</definedName>
    <definedName name="IQ_FINANCING_CASH_SUPPL">"c1406"</definedName>
    <definedName name="IQ_FINANCING_OBLIG_CURRENT">"c6190"</definedName>
    <definedName name="IQ_FINANCING_OBLIG_NON_CURRENT">"c6191"</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Q">"c440"</definedName>
    <definedName name="IQ_FISCAL_Q_EST">"c6794"</definedName>
    <definedName name="IQ_FISCAL_Q_EST_CIQ">"c6806"</definedName>
    <definedName name="IQ_FISCAL_Q_EST_REUT">"c6798"</definedName>
    <definedName name="IQ_FISCAL_Q_EST_THOM">"c6802"</definedName>
    <definedName name="IQ_FISCAL_Y">"c441"</definedName>
    <definedName name="IQ_FISCAL_Y_EST">"c6795"</definedName>
    <definedName name="IQ_FISCAL_Y_EST_CIQ">"c6807"</definedName>
    <definedName name="IQ_FISCAL_Y_EST_REUT">"c6799"</definedName>
    <definedName name="IQ_FISCAL_Y_EST_THOM">"c6803"</definedName>
    <definedName name="IQ_FIVE_PERCENT_OWNER">"c442"</definedName>
    <definedName name="IQ_FIVE_YEAR_FIXED_AND_FLOATING_RATE_FDIC">"c6422"</definedName>
    <definedName name="IQ_FIVE_YEAR_MORTGAGE_PASS_THROUGHS_FDIC">"c6414"</definedName>
    <definedName name="IQ_FIVEPERCENT_PERCENT">"c443"</definedName>
    <definedName name="IQ_FIVEPERCENT_SHARES">"c444"</definedName>
    <definedName name="IQ_FIXED_ASSET_TURNS">"c445"</definedName>
    <definedName name="IQ_FIXED_INVEST_APR_FC_UNUSED_UNUSED_UNUSED">"c8410"</definedName>
    <definedName name="IQ_FIXED_INVEST_APR_UNUSED_UNUSED_UNUSED">"c7530"</definedName>
    <definedName name="IQ_FIXED_INVEST_FC_UNUSED_UNUSED_UNUSED">"c7750"</definedName>
    <definedName name="IQ_FIXED_INVEST_MACH_EQUIP">"c6871"</definedName>
    <definedName name="IQ_FIXED_INVEST_MACH_EQUIP_APR">"c7531"</definedName>
    <definedName name="IQ_FIXED_INVEST_MACH_EQUIP_APR_FC">"c8411"</definedName>
    <definedName name="IQ_FIXED_INVEST_MACH_EQUIP_FC">"c7751"</definedName>
    <definedName name="IQ_FIXED_INVEST_MACH_EQUIP_POP">"c7091"</definedName>
    <definedName name="IQ_FIXED_INVEST_MACH_EQUIP_POP_FC">"c7971"</definedName>
    <definedName name="IQ_FIXED_INVEST_MACH_EQUIP_REAL">"c6979"</definedName>
    <definedName name="IQ_FIXED_INVEST_MACH_EQUIP_REAL_APR">"c7639"</definedName>
    <definedName name="IQ_FIXED_INVEST_MACH_EQUIP_REAL_APR_FC">"c8519"</definedName>
    <definedName name="IQ_FIXED_INVEST_MACH_EQUIP_REAL_FC">"c7859"</definedName>
    <definedName name="IQ_FIXED_INVEST_MACH_EQUIP_REAL_POP">"c7199"</definedName>
    <definedName name="IQ_FIXED_INVEST_MACH_EQUIP_REAL_POP_FC">"c8079"</definedName>
    <definedName name="IQ_FIXED_INVEST_MACH_EQUIP_REAL_YOY">"c7419"</definedName>
    <definedName name="IQ_FIXED_INVEST_MACH_EQUIP_REAL_YOY_FC">"c8299"</definedName>
    <definedName name="IQ_FIXED_INVEST_MACH_EQUIP_YOY">"c7311"</definedName>
    <definedName name="IQ_FIXED_INVEST_MACH_EQUIP_YOY_FC">"c8191"</definedName>
    <definedName name="IQ_FIXED_INVEST_POP_FC_UNUSED_UNUSED_UNUSED">"c7970"</definedName>
    <definedName name="IQ_FIXED_INVEST_POP_UNUSED_UNUSED_UNUSED">"c7090"</definedName>
    <definedName name="IQ_FIXED_INVEST_REAL_APR_FC_UNUSED_UNUSED_UNUSED">"c8518"</definedName>
    <definedName name="IQ_FIXED_INVEST_REAL_APR_UNUSED_UNUSED_UNUSED">"c7638"</definedName>
    <definedName name="IQ_FIXED_INVEST_REAL_FC_UNUSED_UNUSED_UNUSED">"c7858"</definedName>
    <definedName name="IQ_FIXED_INVEST_REAL_POP_FC_UNUSED_UNUSED_UNUSED">"c8078"</definedName>
    <definedName name="IQ_FIXED_INVEST_REAL_POP_UNUSED_UNUSED_UNUSED">"c7198"</definedName>
    <definedName name="IQ_FIXED_INVEST_REAL_SAAR">"c6980"</definedName>
    <definedName name="IQ_FIXED_INVEST_REAL_SAAR_APR">"c7640"</definedName>
    <definedName name="IQ_FIXED_INVEST_REAL_SAAR_APR_FC">"c8520"</definedName>
    <definedName name="IQ_FIXED_INVEST_REAL_SAAR_FC">"c7860"</definedName>
    <definedName name="IQ_FIXED_INVEST_REAL_SAAR_POP">"c7200"</definedName>
    <definedName name="IQ_FIXED_INVEST_REAL_SAAR_POP_FC">"c8080"</definedName>
    <definedName name="IQ_FIXED_INVEST_REAL_SAAR_USD_APR_FC">"c11945"</definedName>
    <definedName name="IQ_FIXED_INVEST_REAL_SAAR_USD_FC">"c11942"</definedName>
    <definedName name="IQ_FIXED_INVEST_REAL_SAAR_USD_POP_FC">"c11943"</definedName>
    <definedName name="IQ_FIXED_INVEST_REAL_SAAR_USD_YOY_FC">"c11944"</definedName>
    <definedName name="IQ_FIXED_INVEST_REAL_SAAR_YOY">"c7420"</definedName>
    <definedName name="IQ_FIXED_INVEST_REAL_SAAR_YOY_FC">"c8300"</definedName>
    <definedName name="IQ_FIXED_INVEST_REAL_UNUSED_UNUSED_UNUSED">"c6978"</definedName>
    <definedName name="IQ_FIXED_INVEST_REAL_USD_APR_FC">"c11941"</definedName>
    <definedName name="IQ_FIXED_INVEST_REAL_USD_FC">"c11938"</definedName>
    <definedName name="IQ_FIXED_INVEST_REAL_USD_POP_FC">"c11939"</definedName>
    <definedName name="IQ_FIXED_INVEST_REAL_USD_YOY_FC">"c11940"</definedName>
    <definedName name="IQ_FIXED_INVEST_REAL_YOY_FC_UNUSED_UNUSED_UNUSED">"c8298"</definedName>
    <definedName name="IQ_FIXED_INVEST_REAL_YOY_UNUSED_UNUSED_UNUSED">"c7418"</definedName>
    <definedName name="IQ_FIXED_INVEST_SAAR">"c6872"</definedName>
    <definedName name="IQ_FIXED_INVEST_SAAR_APR">"c7532"</definedName>
    <definedName name="IQ_FIXED_INVEST_SAAR_APR_FC">"c8412"</definedName>
    <definedName name="IQ_FIXED_INVEST_SAAR_FC">"c7752"</definedName>
    <definedName name="IQ_FIXED_INVEST_SAAR_POP">"c7092"</definedName>
    <definedName name="IQ_FIXED_INVEST_SAAR_POP_FC">"c7972"</definedName>
    <definedName name="IQ_FIXED_INVEST_SAAR_USD_APR_FC">"c11833"</definedName>
    <definedName name="IQ_FIXED_INVEST_SAAR_USD_FC">"c11830"</definedName>
    <definedName name="IQ_FIXED_INVEST_SAAR_USD_POP_FC">"c11831"</definedName>
    <definedName name="IQ_FIXED_INVEST_SAAR_USD_YOY_FC">"c11832"</definedName>
    <definedName name="IQ_FIXED_INVEST_SAAR_YOY">"c7312"</definedName>
    <definedName name="IQ_FIXED_INVEST_SAAR_YOY_FC">"c8192"</definedName>
    <definedName name="IQ_FIXED_INVEST_UNUSED_UNUSED_UNUSED">"c6870"</definedName>
    <definedName name="IQ_FIXED_INVEST_USD_APR_FC">"c11829"</definedName>
    <definedName name="IQ_FIXED_INVEST_USD_FC">"c11826"</definedName>
    <definedName name="IQ_FIXED_INVEST_USD_POP_FC">"c11827"</definedName>
    <definedName name="IQ_FIXED_INVEST_USD_YOY_FC">"c11828"</definedName>
    <definedName name="IQ_FIXED_INVEST_YOY_FC_UNUSED_UNUSED_UNUSED">"c8190"</definedName>
    <definedName name="IQ_FIXED_INVEST_YOY_UNUSED_UNUSED_UNUSED">"c7310"</definedName>
    <definedName name="IQ_FLOAT_PERCENT">"c1575"</definedName>
    <definedName name="IQ_FNMA_FHLMC_FDIC">"c6397"</definedName>
    <definedName name="IQ_FNMA_FHLMC_GNMA_FDIC">"c6399"</definedName>
    <definedName name="IQ_FORECLOSED_PROPERTIES_FDIC">"c6459"</definedName>
    <definedName name="IQ_FOREIGN_BANK_LOANS_FDIC">"c6437"</definedName>
    <definedName name="IQ_FOREIGN_BANKS_DEPOSITS_FOREIGN_FDIC">"c6481"</definedName>
    <definedName name="IQ_FOREIGN_BANKS_LOAN_CHARG_OFFS_FDIC">"c6645"</definedName>
    <definedName name="IQ_FOREIGN_BANKS_NET_CHARGE_OFFS_FDIC">"c6647"</definedName>
    <definedName name="IQ_FOREIGN_BANKS_NONTRANSACTION_ACCOUNTS_FDIC">"c6550"</definedName>
    <definedName name="IQ_FOREIGN_BANKS_RECOVERIES_FDIC">"c6646"</definedName>
    <definedName name="IQ_FOREIGN_BANKS_TRANSACTION_ACCOUNTS_FDIC">"c6542"</definedName>
    <definedName name="IQ_FOREIGN_BRANCHES_U.S._BANKS_LOANS_FDIC">"c6438"</definedName>
    <definedName name="IQ_FOREIGN_BRANCHES_US_BANKS_FDIC">"c6392"</definedName>
    <definedName name="IQ_FOREIGN_BRANCHES_US_BANKS_LOANS_FDIC">"c6438"</definedName>
    <definedName name="IQ_FOREIGN_COUNTRIES_BANKS_TOTAL_LOANS_FOREIGN_FDIC">"c6445"</definedName>
    <definedName name="IQ_FOREIGN_DEBT_SECURITIES_FDIC">"c6303"</definedName>
    <definedName name="IQ_FOREIGN_DEP_IB">"c446"</definedName>
    <definedName name="IQ_FOREIGN_DEP_NON_IB">"c447"</definedName>
    <definedName name="IQ_FOREIGN_DEPOSITS_NONTRANSACTION_ACCOUNTS_FDIC">"c6549"</definedName>
    <definedName name="IQ_FOREIGN_DEPOSITS_TRANSACTION_ACCOUNTS_FDIC">"c6541"</definedName>
    <definedName name="IQ_FOREIGN_EXCHANGE">"c1376"</definedName>
    <definedName name="IQ_FOREIGN_EXCHANGE_EXPOSURES_FDIC">"c6663"</definedName>
    <definedName name="IQ_FOREIGN_GOVERNMENT_LOANS_FDIC">"c6430"</definedName>
    <definedName name="IQ_FOREIGN_GOVERNMENTS_CHARGE_OFFS_FDIC">"c6600"</definedName>
    <definedName name="IQ_FOREIGN_GOVERNMENTS_DEPOSITS_FOREIGN_FDIC">"c6482"</definedName>
    <definedName name="IQ_FOREIGN_GOVERNMENTS_NET_CHARGE_OFFS_FDIC">"c6638"</definedName>
    <definedName name="IQ_FOREIGN_GOVERNMENTS_NONTRANSACTION_ACCOUNTS_FDIC">"c6551"</definedName>
    <definedName name="IQ_FOREIGN_GOVERNMENTS_RECOVERIES_FDIC">"c6619"</definedName>
    <definedName name="IQ_FOREIGN_GOVERNMENTS_TOTAL_DEPOSITS_FDIC">"c6476"</definedName>
    <definedName name="IQ_FOREIGN_GOVERNMENTS_TRANSACTION_ACCOUNTS_FDIC">"c6543"</definedName>
    <definedName name="IQ_FOREIGN_LOANS">"c448"</definedName>
    <definedName name="IQ_FQ">500</definedName>
    <definedName name="IQ_FUEL">"c449"</definedName>
    <definedName name="IQ_FULL_TIME">"c450"</definedName>
    <definedName name="IQ_FULLY_INSURED_DEPOSITS_FDIC">"c6487"</definedName>
    <definedName name="IQ_FUTURES_FORWARD_CONTRACTS_NOTIONAL_AMOUNT_FDIC">"c6518"</definedName>
    <definedName name="IQ_FUTURES_FORWARD_CONTRACTS_RATE_RISK_FDIC">"c6508"</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X_CONTRACTS_FDIC">"c6517"</definedName>
    <definedName name="IQ_FX_CONTRACTS_SPOT_FDIC">"c6356"</definedName>
    <definedName name="IQ_FY">1000</definedName>
    <definedName name="IQ_GA_EXP">"c2241"</definedName>
    <definedName name="IQ_GAAP_BS">"c6789"</definedName>
    <definedName name="IQ_GAAP_CF">"c6790"</definedName>
    <definedName name="IQ_GAAP_IS">"c6194"</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"c6217"</definedName>
    <definedName name="IQ_GAIN_ASSETS_CF_REIT">"c460"</definedName>
    <definedName name="IQ_GAIN_ASSETS_CF_UTI">"c461"</definedName>
    <definedName name="IQ_GAIN_ASSETS_FIN">"c462"</definedName>
    <definedName name="IQ_GAIN_ASSETS_INS">"c463"</definedName>
    <definedName name="IQ_GAIN_ASSETS_RE">"c6218"</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"c6219"</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"c6220"</definedName>
    <definedName name="IQ_GAIN_INVEST_CF_REIT">"c485"</definedName>
    <definedName name="IQ_GAIN_INVEST_CF_UTI">"c486"</definedName>
    <definedName name="IQ_GAIN_INVEST_FIN">"c1465"</definedName>
    <definedName name="IQ_GAIN_INVEST_INS">"c1466"</definedName>
    <definedName name="IQ_GAIN_INVEST_RE">"c6278"</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"c6221"</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AIN_SALE_LOANS_FDIC">"c6673"</definedName>
    <definedName name="IQ_GAIN_SALE_RE_FDIC">"c6674"</definedName>
    <definedName name="IQ_GAINS_SALE_ASSETS_FDIC">"c6675"</definedName>
    <definedName name="IQ_GDP">"c6874"</definedName>
    <definedName name="IQ_GDP_APR">"c7534"</definedName>
    <definedName name="IQ_GDP_APR_FC">"c8414"</definedName>
    <definedName name="IQ_GDP_FC">"c7754"</definedName>
    <definedName name="IQ_GDP_POP">"c7094"</definedName>
    <definedName name="IQ_GDP_POP_FC">"c7974"</definedName>
    <definedName name="IQ_GDP_REAL">"c6981"</definedName>
    <definedName name="IQ_GDP_REAL_APR">"c7641"</definedName>
    <definedName name="IQ_GDP_REAL_APR_FC">"c8521"</definedName>
    <definedName name="IQ_GDP_REAL_FC">"c7861"</definedName>
    <definedName name="IQ_GDP_REAL_POP">"c7201"</definedName>
    <definedName name="IQ_GDP_REAL_POP_FC">"c8081"</definedName>
    <definedName name="IQ_GDP_REAL_SAAR">"c6982"</definedName>
    <definedName name="IQ_GDP_REAL_SAAR_APR">"c7642"</definedName>
    <definedName name="IQ_GDP_REAL_SAAR_APR_FC">"c8522"</definedName>
    <definedName name="IQ_GDP_REAL_SAAR_FC">"c7862"</definedName>
    <definedName name="IQ_GDP_REAL_SAAR_POP">"c7202"</definedName>
    <definedName name="IQ_GDP_REAL_SAAR_POP_FC">"c8082"</definedName>
    <definedName name="IQ_GDP_REAL_SAAR_YOY">"c7422"</definedName>
    <definedName name="IQ_GDP_REAL_SAAR_YOY_FC">"c8302"</definedName>
    <definedName name="IQ_GDP_REAL_USD">"c11946"</definedName>
    <definedName name="IQ_GDP_REAL_USD_APR">"c11949"</definedName>
    <definedName name="IQ_GDP_REAL_USD_POP">"c11947"</definedName>
    <definedName name="IQ_GDP_REAL_USD_YOY">"c11948"</definedName>
    <definedName name="IQ_GDP_REAL_YOY">"c7421"</definedName>
    <definedName name="IQ_GDP_REAL_YOY_FC">"c8301"</definedName>
    <definedName name="IQ_GDP_SAAR">"c6875"</definedName>
    <definedName name="IQ_GDP_SAAR_APR">"c7535"</definedName>
    <definedName name="IQ_GDP_SAAR_APR_FC">"c8415"</definedName>
    <definedName name="IQ_GDP_SAAR_FC">"c7755"</definedName>
    <definedName name="IQ_GDP_SAAR_POP">"c7095"</definedName>
    <definedName name="IQ_GDP_SAAR_POP_FC">"c7975"</definedName>
    <definedName name="IQ_GDP_SAAR_YOY">"c7315"</definedName>
    <definedName name="IQ_GDP_SAAR_YOY_FC">"c8195"</definedName>
    <definedName name="IQ_GDP_USD">"c11834"</definedName>
    <definedName name="IQ_GDP_USD_APR">"c11837"</definedName>
    <definedName name="IQ_GDP_USD_POP">"c11835"</definedName>
    <definedName name="IQ_GDP_USD_YOY">"c11836"</definedName>
    <definedName name="IQ_GDP_YOY">"c7314"</definedName>
    <definedName name="IQ_GDP_YOY_FC">"c8194"</definedName>
    <definedName name="IQ_GEO_SEG_ASSETS">"c4069"</definedName>
    <definedName name="IQ_GEO_SEG_ASSETS_ABS">"c4091"</definedName>
    <definedName name="IQ_GEO_SEG_ASSETS_TOTAL">"c4123"</definedName>
    <definedName name="IQ_GEO_SEG_CAPEX">"c4083"</definedName>
    <definedName name="IQ_GEO_SEG_CAPEX_ABS">"c4105"</definedName>
    <definedName name="IQ_GEO_SEG_CAPEX_TOTAL">"c4127"</definedName>
    <definedName name="IQ_GEO_SEG_DA">"c4082"</definedName>
    <definedName name="IQ_GEO_SEG_DA_ABS">"c4104"</definedName>
    <definedName name="IQ_GEO_SEG_DA_TOTAL">"c4126"</definedName>
    <definedName name="IQ_GEO_SEG_EARNINGS_OP">"c4073"</definedName>
    <definedName name="IQ_GEO_SEG_EARNINGS_OP_ABS">"c4095"</definedName>
    <definedName name="IQ_GEO_SEG_EARNINGS_OP_TOTAL">"c4119"</definedName>
    <definedName name="IQ_GEO_SEG_EBT">"c4072"</definedName>
    <definedName name="IQ_GEO_SEG_EBT_ABS">"c4094"</definedName>
    <definedName name="IQ_GEO_SEG_EBT_TOTAL">"c4121"</definedName>
    <definedName name="IQ_GEO_SEG_GP">"c4070"</definedName>
    <definedName name="IQ_GEO_SEG_GP_ABS">"c4092"</definedName>
    <definedName name="IQ_GEO_SEG_GP_TOTAL">"c4120"</definedName>
    <definedName name="IQ_GEO_SEG_INC_TAX">"c4081"</definedName>
    <definedName name="IQ_GEO_SEG_INC_TAX_ABS">"c4103"</definedName>
    <definedName name="IQ_GEO_SEG_INC_TAX_TOTAL">"c4125"</definedName>
    <definedName name="IQ_GEO_SEG_INTEREST_EXP">"c4080"</definedName>
    <definedName name="IQ_GEO_SEG_INTEREST_EXP_ABS">"c4102"</definedName>
    <definedName name="IQ_GEO_SEG_INTEREST_EXP_TOTAL">"c4124"</definedName>
    <definedName name="IQ_GEO_SEG_NAME">"c5484"</definedName>
    <definedName name="IQ_GEO_SEG_NAME_ABS">"c5485"</definedName>
    <definedName name="IQ_GEO_SEG_NI">"c4071"</definedName>
    <definedName name="IQ_GEO_SEG_NI_ABS">"c4093"</definedName>
    <definedName name="IQ_GEO_SEG_NI_TOTAL">"c4122"</definedName>
    <definedName name="IQ_GEO_SEG_OPER_INC">"c4075"</definedName>
    <definedName name="IQ_GEO_SEG_OPER_INC_ABS">"c4097"</definedName>
    <definedName name="IQ_GEO_SEG_OPER_INC_TOTAL">"c4118"</definedName>
    <definedName name="IQ_GEO_SEG_REV">"c4074"</definedName>
    <definedName name="IQ_GEO_SEG_REV_ABS">"c4096"</definedName>
    <definedName name="IQ_GEO_SEG_REV_TOTAL">"c4117"</definedName>
    <definedName name="IQ_GLA_PCT_LEASED_CONSOL">"c8810"</definedName>
    <definedName name="IQ_GLA_PCT_LEASED_MANAGED">"c8812"</definedName>
    <definedName name="IQ_GLA_PCT_LEASED_OTHER">"c8813"</definedName>
    <definedName name="IQ_GLA_PCT_LEASED_TOTAL">"c8814"</definedName>
    <definedName name="IQ_GLA_PCT_LEASED_UNCONSOL">"c8811"</definedName>
    <definedName name="IQ_GLA_SQ_FT_CONSOL">"c8790"</definedName>
    <definedName name="IQ_GLA_SQ_FT_MANAGED">"c8792"</definedName>
    <definedName name="IQ_GLA_SQ_FT_OTHER">"c8793"</definedName>
    <definedName name="IQ_GLA_SQ_FT_TOTAL">"c8794"</definedName>
    <definedName name="IQ_GLA_SQ_FT_UNCONSOL">"c8791"</definedName>
    <definedName name="IQ_GLA_SQ_METER_CONSOL">"c8795"</definedName>
    <definedName name="IQ_GLA_SQ_METER_MANAGED">"c8797"</definedName>
    <definedName name="IQ_GLA_SQ_METER_OTHER">"c8798"</definedName>
    <definedName name="IQ_GLA_SQ_METER_TOTAL">"c8799"</definedName>
    <definedName name="IQ_GLA_SQ_METER_UNCONSOL">"c8796"</definedName>
    <definedName name="IQ_GNMA_FDIC">"c6398"</definedName>
    <definedName name="IQ_GOODWILL_FDIC">"c6334"</definedName>
    <definedName name="IQ_GOODWILL_IMPAIRMENT_FDIC">"c6678"</definedName>
    <definedName name="IQ_GOODWILL_INTAN_FDIC">"c6333"</definedName>
    <definedName name="IQ_GOODWILL_NET">"c1380"</definedName>
    <definedName name="IQ_GOVT_PERSONAL_TAXES_RECEIPTS">"c6876"</definedName>
    <definedName name="IQ_GOVT_PERSONAL_TAXES_RECEIPTS_APR">"c7536"</definedName>
    <definedName name="IQ_GOVT_PERSONAL_TAXES_RECEIPTS_APR_FC">"c8416"</definedName>
    <definedName name="IQ_GOVT_PERSONAL_TAXES_RECEIPTS_FC">"c7756"</definedName>
    <definedName name="IQ_GOVT_PERSONAL_TAXES_RECEIPTS_POP">"c7096"</definedName>
    <definedName name="IQ_GOVT_PERSONAL_TAXES_RECEIPTS_POP_FC">"c7976"</definedName>
    <definedName name="IQ_GOVT_PERSONAL_TAXES_RECEIPTS_YOY">"c7316"</definedName>
    <definedName name="IQ_GOVT_PERSONAL_TAXES_RECEIPTS_YOY_FC">"c8196"</definedName>
    <definedName name="IQ_GOVT_RECEIPTS">"c6877"</definedName>
    <definedName name="IQ_GOVT_RECEIPTS_APR">"c7537"</definedName>
    <definedName name="IQ_GOVT_RECEIPTS_APR_FC">"c8417"</definedName>
    <definedName name="IQ_GOVT_RECEIPTS_FC">"c7757"</definedName>
    <definedName name="IQ_GOVT_RECEIPTS_POP">"c7097"</definedName>
    <definedName name="IQ_GOVT_RECEIPTS_POP_FC">"c7977"</definedName>
    <definedName name="IQ_GOVT_RECEIPTS_YOY">"c7317"</definedName>
    <definedName name="IQ_GOVT_RECEIPTS_YOY_FC">"c8197"</definedName>
    <definedName name="IQ_GP">"c511"</definedName>
    <definedName name="IQ_GP_10YR_ANN_CAGR">"c6090"</definedName>
    <definedName name="IQ_GP_10YR_ANN_GROWTH">"c512"</definedName>
    <definedName name="IQ_GP_1YR_ANN_GROWTH">"c513"</definedName>
    <definedName name="IQ_GP_2YR_ANN_CAGR">"c6091"</definedName>
    <definedName name="IQ_GP_2YR_ANN_GROWTH">"c514"</definedName>
    <definedName name="IQ_GP_3YR_ANN_CAGR">"c6092"</definedName>
    <definedName name="IQ_GP_3YR_ANN_GROWTH">"c515"</definedName>
    <definedName name="IQ_GP_5YR_ANN_CAGR">"c6093"</definedName>
    <definedName name="IQ_GP_5YR_ANN_GROWTH">"c516"</definedName>
    <definedName name="IQ_GP_7YR_ANN_CAGR">"c6094"</definedName>
    <definedName name="IQ_GP_7YR_ANN_GROWTH">"c517"</definedName>
    <definedName name="IQ_GPPE">"c518"</definedName>
    <definedName name="IQ_GROSS_AH_EARNED">"c2742"</definedName>
    <definedName name="IQ_GROSS_CLAIM_EXP_INCUR">"c2755"</definedName>
    <definedName name="IQ_GROSS_CLAIM_EXP_PAID">"c2758"</definedName>
    <definedName name="IQ_GROSS_CLAIM_EXP_RES">"c2752"</definedName>
    <definedName name="IQ_GROSS_DIVID">"c1446"</definedName>
    <definedName name="IQ_GROSS_EARNED">"c2732"</definedName>
    <definedName name="IQ_GROSS_LIFE_EARNED">"c2737"</definedName>
    <definedName name="IQ_GROSS_LIFE_IN_FORCE">"c2767"</definedName>
    <definedName name="IQ_GROSS_LOANS">"c521"</definedName>
    <definedName name="IQ_GROSS_LOANS_10YR_ANN_CAGR">"c6095"</definedName>
    <definedName name="IQ_GROSS_LOANS_10YR_ANN_GROWTH">"c522"</definedName>
    <definedName name="IQ_GROSS_LOANS_1YR_ANN_GROWTH">"c523"</definedName>
    <definedName name="IQ_GROSS_LOANS_2YR_ANN_CAGR">"c6096"</definedName>
    <definedName name="IQ_GROSS_LOANS_2YR_ANN_GROWTH">"c524"</definedName>
    <definedName name="IQ_GROSS_LOANS_3YR_ANN_CAGR">"c6097"</definedName>
    <definedName name="IQ_GROSS_LOANS_3YR_ANN_GROWTH">"c525"</definedName>
    <definedName name="IQ_GROSS_LOANS_5YR_ANN_CAGR">"c6098"</definedName>
    <definedName name="IQ_GROSS_LOANS_5YR_ANN_GROWTH">"c526"</definedName>
    <definedName name="IQ_GROSS_LOANS_7YR_ANN_CAGR">"c6099"</definedName>
    <definedName name="IQ_GROSS_LOANS_7YR_ANN_GROWTH">"c527"</definedName>
    <definedName name="IQ_GROSS_LOANS_TOTAL_DEPOSITS">"c528"</definedName>
    <definedName name="IQ_GROSS_MARGIN">"c529"</definedName>
    <definedName name="IQ_GROSS_MARGIN_ACT_OR_EST_THOM">"c5562"</definedName>
    <definedName name="IQ_GROSS_MARGIN_EST">"c5547"</definedName>
    <definedName name="IQ_GROSS_MARGIN_EST_THOM">"c5555"</definedName>
    <definedName name="IQ_GROSS_MARGIN_HIGH_EST">"c5549"</definedName>
    <definedName name="IQ_GROSS_MARGIN_HIGH_EST_THOM">"c5557"</definedName>
    <definedName name="IQ_GROSS_MARGIN_LOW_EST">"c5550"</definedName>
    <definedName name="IQ_GROSS_MARGIN_LOW_EST_THOM">"c5558"</definedName>
    <definedName name="IQ_GROSS_MARGIN_MEDIAN_EST">"c5548"</definedName>
    <definedName name="IQ_GROSS_MARGIN_MEDIAN_EST_THOM">"c5556"</definedName>
    <definedName name="IQ_GROSS_MARGIN_NUM_EST">"c5551"</definedName>
    <definedName name="IQ_GROSS_MARGIN_NUM_EST_THOM">"c5559"</definedName>
    <definedName name="IQ_GROSS_MARGIN_STDDEV_EST">"c5552"</definedName>
    <definedName name="IQ_GROSS_MARGIN_STDDEV_EST_THOM">"c5560"</definedName>
    <definedName name="IQ_GROSS_PC_EARNED">"c2747"</definedName>
    <definedName name="IQ_GROSS_PROFIT">"c1378"</definedName>
    <definedName name="IQ_GROSS_SPRD">"c2155"</definedName>
    <definedName name="IQ_GROSS_WRITTEN">"c2726"</definedName>
    <definedName name="IQ_GROUP_EMBEDDED_VALUE_ASSET_MANAGEMENT">"c9955"</definedName>
    <definedName name="IQ_GROUP_EMBEDDED_VALUE_HEALTH">"c9954"</definedName>
    <definedName name="IQ_GROUP_EMBEDDED_VALUE_LIFE">"c9953"</definedName>
    <definedName name="IQ_GROUP_EMBEDDED_VALUE_LIFE_OTHER">"c9956"</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"c6279"</definedName>
    <definedName name="IQ_GW_INTAN_AMORT_CF_REIT">"c1476"</definedName>
    <definedName name="IQ_GW_INTAN_AMORT_CF_UTI">"c1477"</definedName>
    <definedName name="IQ_GW_INTAN_AMORT_FIN">"c1478"</definedName>
    <definedName name="IQ_GW_INTAN_AMORT_INS">"c1479"</definedName>
    <definedName name="IQ_GW_INTAN_AMORT_RE">"c6280"</definedName>
    <definedName name="IQ_GW_INTAN_AMORT_REIT">"c1480"</definedName>
    <definedName name="IQ_GW_INTAN_AMORT_UTI">"c1481"</definedName>
    <definedName name="IQ_HC_ADJUSTED_DISCHARGES">"c9977"</definedName>
    <definedName name="IQ_HC_ADMISSIONS">"c5953"</definedName>
    <definedName name="IQ_HC_ADMISSIONS_GROWTH">"c5997"</definedName>
    <definedName name="IQ_HC_ADMISSIONS_MANAGED_CARE">"c5956"</definedName>
    <definedName name="IQ_HC_ADMISSIONS_MEDICAID">"c5955"</definedName>
    <definedName name="IQ_HC_ADMISSIONS_MEDICARE">"c5954"</definedName>
    <definedName name="IQ_HC_ADMISSIONS_OTHER">"c5957"</definedName>
    <definedName name="IQ_HC_ADMISSIONS_SF">"c6006"</definedName>
    <definedName name="IQ_HC_ALFS">"c5952"</definedName>
    <definedName name="IQ_HC_ASO_COVERED_LIVES">"c9982"</definedName>
    <definedName name="IQ_HC_ASO_MEMBERSHIP">"c9985"</definedName>
    <definedName name="IQ_HC_AVG_BEDS_SVC">"c5951"</definedName>
    <definedName name="IQ_HC_AVG_DAILY_CENSUS">"c5965"</definedName>
    <definedName name="IQ_HC_AVG_LICENSED_BEDS">"c5949"</definedName>
    <definedName name="IQ_HC_AVG_LICENSED_BEDS_SF">"c6004"</definedName>
    <definedName name="IQ_HC_AVG_STAY">"c5966"</definedName>
    <definedName name="IQ_HC_AVG_STAY_SF">"c6016"</definedName>
    <definedName name="IQ_HC_BEDS_SVC">"c5950"</definedName>
    <definedName name="IQ_HC_CASES">"c9978"</definedName>
    <definedName name="IQ_HC_CLAIMS_RESERVES">"c9989"</definedName>
    <definedName name="IQ_HC_DAYS_REV_OUT">"c5993"</definedName>
    <definedName name="IQ_HC_DISCHARGES">"c9976"</definedName>
    <definedName name="IQ_HC_EQUIV_ADMISSIONS_GROWTH">"c5998"</definedName>
    <definedName name="IQ_HC_EQUIVALENT_ADMISSIONS">"c5958"</definedName>
    <definedName name="IQ_HC_EQUIVALENT_ADMISSIONS_SF">"c6007"</definedName>
    <definedName name="IQ_HC_EQUIVALENT_PATIENT_DAYS">"c9980"</definedName>
    <definedName name="IQ_HC_ER_VISITS">"c5964"</definedName>
    <definedName name="IQ_HC_ER_VISITS_SF">"c6017"</definedName>
    <definedName name="IQ_HC_GROSS_INPATIENT_REV">"c5987"</definedName>
    <definedName name="IQ_HC_GROSS_OUTPATIENT_REV">"c5988"</definedName>
    <definedName name="IQ_HC_GROSS_PATIENT_REV">"c5989"</definedName>
    <definedName name="IQ_HC_HOSP_FACILITIES_CONSOL">"c5945"</definedName>
    <definedName name="IQ_HC_HOSP_FACILITIES_CONSOL_SF">"c6000"</definedName>
    <definedName name="IQ_HC_HOSP_FACILITIES_NON_CONSOL">"c5946"</definedName>
    <definedName name="IQ_HC_HOSP_FACILITIES_NON_CONSOL_SF">"c6001"</definedName>
    <definedName name="IQ_HC_HOSP_FACILITIES_TOTAL">"c5947"</definedName>
    <definedName name="IQ_HC_HOSP_FACILITIES_TOTAL_SF">"c6002"</definedName>
    <definedName name="IQ_HC_INPATIENT_PROCEDURES">"c5961"</definedName>
    <definedName name="IQ_HC_INPATIENT_PROCEDURES_SF">"c6011"</definedName>
    <definedName name="IQ_HC_INPATIENT_REV_PER_ADMISSION">"c5994"</definedName>
    <definedName name="IQ_HC_INTPATIENT_SVCS_PCT_REV">"c5975"</definedName>
    <definedName name="IQ_HC_INTPATIENT_SVCS_PCT_REV_SF">"c6015"</definedName>
    <definedName name="IQ_HC_LICENSED_BEDS">"c5948"</definedName>
    <definedName name="IQ_HC_LICENSED_BEDS_SF">"c6003"</definedName>
    <definedName name="IQ_HC_MANAGED_CARE_PCT_ADMISSIONS">"c5982"</definedName>
    <definedName name="IQ_HC_MANAGED_CARE_PCT_REV">"c5978"</definedName>
    <definedName name="IQ_HC_MEDICAID_PCT_ADMISSIONS">"c5981"</definedName>
    <definedName name="IQ_HC_MEDICAID_PCT_REV">"c5977"</definedName>
    <definedName name="IQ_HC_MEDICAL_EXPENSE_RATIO">"c9987"</definedName>
    <definedName name="IQ_HC_MEDICARE_PCT_ADMISSIONS">"c5980"</definedName>
    <definedName name="IQ_HC_MEDICARE_PCT_REV">"c5976"</definedName>
    <definedName name="IQ_HC_NET_INPATIENT_REV">"c5984"</definedName>
    <definedName name="IQ_HC_NET_OUTPATIENT_REV">"c5985"</definedName>
    <definedName name="IQ_HC_NET_PATIENT_REV">"c5986"</definedName>
    <definedName name="IQ_HC_NET_PATIENT_REV_SF">"c6005"</definedName>
    <definedName name="IQ_HC_OCC_RATE">"c5967"</definedName>
    <definedName name="IQ_HC_OCC_RATE_LICENSED_BEDS">"c5968"</definedName>
    <definedName name="IQ_HC_OCC_RATE_SF">"c6009"</definedName>
    <definedName name="IQ_HC_OPEX_SUPPLIES">"c5990"</definedName>
    <definedName name="IQ_HC_OTHER_OPEX_PCT_REV">"c5973"</definedName>
    <definedName name="IQ_HC_OUTPATIENT_PROCEDURES">"c5962"</definedName>
    <definedName name="IQ_HC_OUTPATIENT_PROCEDURES_SF">"c6012"</definedName>
    <definedName name="IQ_HC_OUTPATIENT_REV_PER_ADMISSION">"c5995"</definedName>
    <definedName name="IQ_HC_OUTPATIENT_SVCS_PCT_REV">"c5974"</definedName>
    <definedName name="IQ_HC_OUTPATIENT_SVCS_PCT_REV_SF">"c6014"</definedName>
    <definedName name="IQ_HC_PATIENT_DAYS">"c5960"</definedName>
    <definedName name="IQ_HC_PATIENT_DAYS_SF">"c6010"</definedName>
    <definedName name="IQ_HC_PROF_GEN_LIAB_CLAIM_PAID">"c5991"</definedName>
    <definedName name="IQ_HC_PROF_GEN_LIAB_EXP_BENEFIT">"c5992"</definedName>
    <definedName name="IQ_HC_PROVISION_DOUBTFUL_PCT_REV">"c5972"</definedName>
    <definedName name="IQ_HC_REV_GROWTH">"c5996"</definedName>
    <definedName name="IQ_HC_REV_PER_CASE">"c9979"</definedName>
    <definedName name="IQ_HC_REV_PER_DISCHARGE">"c9990"</definedName>
    <definedName name="IQ_HC_REV_PER_EQUIV_ADMISSION">"c5959"</definedName>
    <definedName name="IQ_HC_REV_PER_EQUIV_ADMISSION_SF">"c6008"</definedName>
    <definedName name="IQ_HC_REV_PER_EQUIV_ADMISSIONS_GROWTH">"c5999"</definedName>
    <definedName name="IQ_HC_REV_PER_PATIENT_DAY">"c5969"</definedName>
    <definedName name="IQ_HC_REV_PER_PATIENT_DAY_SF">"c6018"</definedName>
    <definedName name="IQ_HC_RISK_COVERED_LIVES">"c9981"</definedName>
    <definedName name="IQ_HC_RISK_MEMBERSHIP">"c9984"</definedName>
    <definedName name="IQ_HC_SALARIES_PCT_REV">"c5970"</definedName>
    <definedName name="IQ_HC_SGA_MARGIN">"c9988"</definedName>
    <definedName name="IQ_HC_SUPPLIES_PCT_REV">"c5971"</definedName>
    <definedName name="IQ_HC_TOTAL_COVERED_LIVES">"c9983"</definedName>
    <definedName name="IQ_HC_TOTAL_MEMBERSHIP">"c9986"</definedName>
    <definedName name="IQ_HC_TOTAL_PROCEDURES">"c5963"</definedName>
    <definedName name="IQ_HC_TOTAL_PROCEDURES_SF">"c6013"</definedName>
    <definedName name="IQ_HC_UNINSURED_PCT_ADMISSIONS">"c5983"</definedName>
    <definedName name="IQ_HC_UNINSURED_PCT_REV">"c5979"</definedName>
    <definedName name="IQ_HELD_MATURITY_FDIC">"c6408"</definedName>
    <definedName name="IQ_HG_ACQUIRED_FRANCHISE_HOTEL_PROPERTIES">"c8584"</definedName>
    <definedName name="IQ_HG_ACQUIRED_FRANCHISE_ROOMS">"c8614"</definedName>
    <definedName name="IQ_HG_ACQUIRED_HOTEL_PROPERTIES">"c8572"</definedName>
    <definedName name="IQ_HG_ACQUIRED_MANAGED_HOTEL_PROPERTIES">"c8590"</definedName>
    <definedName name="IQ_HG_ACQUIRED_MANAGED_ROOMS">"c8620"</definedName>
    <definedName name="IQ_HG_ACQUIRED_OTHER_HOTEL_PROPERTIES">"c8596"</definedName>
    <definedName name="IQ_HG_ACQUIRED_OTHER_ROOMS">"c8626"</definedName>
    <definedName name="IQ_HG_ACQUIRED_OWNED_HOTEL_PROPERTIES">"c8578"</definedName>
    <definedName name="IQ_HG_ACQUIRED_OWNED_ROOMS">"c8608"</definedName>
    <definedName name="IQ_HG_ACQUIRED_ROOMS">"c8602"</definedName>
    <definedName name="IQ_HG_ADR_CHANGE_FRANCHISE">"c8684"</definedName>
    <definedName name="IQ_HG_ADR_CHANGE_MANAGED">"c8685"</definedName>
    <definedName name="IQ_HG_ADR_CHANGE_OTHER">"c8686"</definedName>
    <definedName name="IQ_HG_ADR_CHANGE_OWNED">"c8683"</definedName>
    <definedName name="IQ_HG_ADR_CHANGE_OWNED_COMP">"c8709"</definedName>
    <definedName name="IQ_HG_ADR_CHANGE_TOTAL">"c8687"</definedName>
    <definedName name="IQ_HG_ADR_CHANGE_TOTAL_COMP">"c8710"</definedName>
    <definedName name="IQ_HG_ADR_FRANCHISE">"c8664"</definedName>
    <definedName name="IQ_HG_ADR_MANAGED">"c8665"</definedName>
    <definedName name="IQ_HG_ADR_OTHER">"c8666"</definedName>
    <definedName name="IQ_HG_ADR_OWNED">"c8663"</definedName>
    <definedName name="IQ_HG_ADR_OWNED_COMP">"c8701"</definedName>
    <definedName name="IQ_HG_ADR_TOTAL">"c8667"</definedName>
    <definedName name="IQ_HG_ADR_TOTAL_COMP">"c8702"</definedName>
    <definedName name="IQ_HG_CASINOS_JV">"c8631"</definedName>
    <definedName name="IQ_HG_CASINOS_MANAGED">"c8632"</definedName>
    <definedName name="IQ_HG_CASINOS_OWNED">"c8630"</definedName>
    <definedName name="IQ_HG_CASINOS_TOTAL">"c8633"</definedName>
    <definedName name="IQ_HG_CLOSED_FRANCHISE_HOTEL_PROPERTIES">"c8586"</definedName>
    <definedName name="IQ_HG_CLOSED_FRANCHISE_ROOMS">"c8616"</definedName>
    <definedName name="IQ_HG_CLOSED_HOTEL_PROPERTIES">"c8574"</definedName>
    <definedName name="IQ_HG_CLOSED_MANAGED_HOTEL_PROPERTIES">"c8592"</definedName>
    <definedName name="IQ_HG_CLOSED_MANAGED_ROOMS">"c8622"</definedName>
    <definedName name="IQ_HG_CLOSED_OTHER_HOTEL_PROPERTIES">"c8598"</definedName>
    <definedName name="IQ_HG_CLOSED_OTHER_ROOMS">"c8628"</definedName>
    <definedName name="IQ_HG_CLOSED_OWNED_HOTEL_PROPERTIES">"c8580"</definedName>
    <definedName name="IQ_HG_CLOSED_OWNED_ROOMS">"c8610"</definedName>
    <definedName name="IQ_HG_CLOSED_ROOMS">"c8604"</definedName>
    <definedName name="IQ_HG_EXP_CASINO">"c8733"</definedName>
    <definedName name="IQ_HG_EXP_DEVELOPMENT">"c8738"</definedName>
    <definedName name="IQ_HG_EXP_ENTERTAINMENT">"c8736"</definedName>
    <definedName name="IQ_HG_EXP_FOOD_BEV">"c8734"</definedName>
    <definedName name="IQ_HG_EXP_FRANCHISE_MANAGEMENT">"c8744"</definedName>
    <definedName name="IQ_HG_EXP_OTHER_MNGD_FRANCHISE_PROP">"c8742"</definedName>
    <definedName name="IQ_HG_EXP_OWNED_LEASED_CONSOL_JV">"c8740"</definedName>
    <definedName name="IQ_HG_EXP_REIMBURSEMENTS">"c8743"</definedName>
    <definedName name="IQ_HG_EXP_RETAIL">"c8737"</definedName>
    <definedName name="IQ_HG_EXP_ROOMS">"c8735"</definedName>
    <definedName name="IQ_HG_EXP_THEATRE_CONCESSION">"c8739"</definedName>
    <definedName name="IQ_HG_EXP_VACA_OWNERSHIP_RES">"c8741"</definedName>
    <definedName name="IQ_HG_FOOD_PROM_COSTS">"c8746"</definedName>
    <definedName name="IQ_HG_FRANCHISE_HOTEL_PROPERTIES_BEG">"c8582"</definedName>
    <definedName name="IQ_HG_FRANCHISE_ROOMS_BEG">"c8612"</definedName>
    <definedName name="IQ_HG_GAMING_SPACE_JV">"c8635"</definedName>
    <definedName name="IQ_HG_GAMING_SPACE_MANAGED">"c8636"</definedName>
    <definedName name="IQ_HG_GAMING_SPACE_OWNED">"c8634"</definedName>
    <definedName name="IQ_HG_GAMING_SPACE_TOTAL">"c8637"</definedName>
    <definedName name="IQ_HG_HOTEL_PROPERTIES_BEG">"c8570"</definedName>
    <definedName name="IQ_HG_LAND_AVAIL_JV">"c8647"</definedName>
    <definedName name="IQ_HG_LAND_AVAIL_MANAGED">"c8648"</definedName>
    <definedName name="IQ_HG_LAND_AVAIL_OWNED">"c8646"</definedName>
    <definedName name="IQ_HG_LAND_AVAIL_TOTAL">"c8649"</definedName>
    <definedName name="IQ_HG_LAND_JV">"c8651"</definedName>
    <definedName name="IQ_HG_LAND_MANAGED">"c8652"</definedName>
    <definedName name="IQ_HG_LAND_OWNED">"c8650"</definedName>
    <definedName name="IQ_HG_LAND_TOTAL">"c8653"</definedName>
    <definedName name="IQ_HG_MANAGED_HOTEL_PROPERTIES_BEG">"c8588"</definedName>
    <definedName name="IQ_HG_MANAGED_ROOMS_BEG">"c8618"</definedName>
    <definedName name="IQ_HG_OCCUPANCY_CHANGE_FRANCHISE">"c8675"</definedName>
    <definedName name="IQ_HG_OCCUPANCY_CHANGE_MANAGED">"c8677"</definedName>
    <definedName name="IQ_HG_OCCUPANCY_CHANGE_OTHER">"c8679"</definedName>
    <definedName name="IQ_HG_OCCUPANCY_CHANGE_OWNED">"c8673"</definedName>
    <definedName name="IQ_HG_OCCUPANCY_CHANGE_OWNED_COMP">"c8705"</definedName>
    <definedName name="IQ_HG_OCCUPANCY_CHANGE_TOTAL">"c8681"</definedName>
    <definedName name="IQ_HG_OCCUPANCY_CHANGE_TOTAL_COMP">"c8707"</definedName>
    <definedName name="IQ_HG_OCCUPANCY_FRANCHISE">"c8659"</definedName>
    <definedName name="IQ_HG_OCCUPANCY_INCDEC_FRANCHISE">"c8676"</definedName>
    <definedName name="IQ_HG_OCCUPANCY_INCDEC_MANAGED">"c8678"</definedName>
    <definedName name="IQ_HG_OCCUPANCY_INCDEC_OTHER">"c8680"</definedName>
    <definedName name="IQ_HG_OCCUPANCY_INCDEC_OWNED">"c8674"</definedName>
    <definedName name="IQ_HG_OCCUPANCY_INCDEC_OWNED_COMP">"c8706"</definedName>
    <definedName name="IQ_HG_OCCUPANCY_INCDEC_TOTAL">"c8682"</definedName>
    <definedName name="IQ_HG_OCCUPANCY_INCDEC_TOTAL_COMP">"c8708"</definedName>
    <definedName name="IQ_HG_OCCUPANCY_MANAGED">"c8660"</definedName>
    <definedName name="IQ_HG_OCCUPANCY_OTHER">"c8661"</definedName>
    <definedName name="IQ_HG_OCCUPANCY_OWNED">"c8658"</definedName>
    <definedName name="IQ_HG_OCCUPANCY_OWNED_COMP">"c8699"</definedName>
    <definedName name="IQ_HG_OCCUPANCY_TOTAL">"c8662"</definedName>
    <definedName name="IQ_HG_OCCUPANCY_TOTAL_COMP">"c8700"</definedName>
    <definedName name="IQ_HG_OPENED_FRANCHISE_HOTEL_PROPERTIES">"c8583"</definedName>
    <definedName name="IQ_HG_OPENED_FRANCHISE_ROOMS">"c8613"</definedName>
    <definedName name="IQ_HG_OPENED_HOTEL_PROPERTIES">"c8571"</definedName>
    <definedName name="IQ_HG_OPENED_MANAGED_HOTEL_PROPERTIES">"c8589"</definedName>
    <definedName name="IQ_HG_OPENED_MANAGED_ROOMS">"c8619"</definedName>
    <definedName name="IQ_HG_OPENED_OTHER_HOTEL_PROPERTIES">"c8595"</definedName>
    <definedName name="IQ_HG_OPENED_OTHER_ROOMS">"c8625"</definedName>
    <definedName name="IQ_HG_OPENED_OWNED_HOTEL_PROPERTIES">"c8577"</definedName>
    <definedName name="IQ_HG_OPENED_OWNED_ROOMS">"c8607"</definedName>
    <definedName name="IQ_HG_OPENED_ROOMS">"c8601"</definedName>
    <definedName name="IQ_HG_OTHER_HOTEL_PROPERTIES_BEG">"c8594"</definedName>
    <definedName name="IQ_HG_OTHER_PROM_COSTS">"c8747"</definedName>
    <definedName name="IQ_HG_OTHER_ROOMS_BEG">"c8624"</definedName>
    <definedName name="IQ_HG_OWNED_HOTEL_PROPERTIES_BEG">"c8576"</definedName>
    <definedName name="IQ_HG_OWNED_ROOMS_BEG">"c8606"</definedName>
    <definedName name="IQ_HG_PARKING_SPACES_JV">"c8655"</definedName>
    <definedName name="IQ_HG_PARKING_SPACES_MANAGED">"c8656"</definedName>
    <definedName name="IQ_HG_PARKING_SPACES_OWNED">"c8654"</definedName>
    <definedName name="IQ_HG_PARKING_SPACES_TOTAL">"c8657"</definedName>
    <definedName name="IQ_HG_REV_BASE_MANAGEMENT_FEES">"c8726"</definedName>
    <definedName name="IQ_HG_REV_CASINO">"c8713"</definedName>
    <definedName name="IQ_HG_REV_COST_REIMBURSEMENT">"c8728"</definedName>
    <definedName name="IQ_HG_REV_ENTERTAINMENT">"c8716"</definedName>
    <definedName name="IQ_HG_REV_FOOD_BEV">"c8714"</definedName>
    <definedName name="IQ_HG_REV_FRANCHISE">"c8725"</definedName>
    <definedName name="IQ_HG_REV_INCENTIVE_MANAGEMENT_FEES">"c8727"</definedName>
    <definedName name="IQ_HG_REV_MANAGEMENT_FEES">"c8718"</definedName>
    <definedName name="IQ_HG_REV_OTHER_MNGD_FRANCHISE_PROP">"c8730"</definedName>
    <definedName name="IQ_HG_REV_OTHER_OP_SEGMENT">"c8721"</definedName>
    <definedName name="IQ_HG_REV_OTHER_OWNERSHIP_MIX">"c8731"</definedName>
    <definedName name="IQ_HG_REV_OWNED_LEASED_CONSOL_JV_HOTELS">"c8724"</definedName>
    <definedName name="IQ_HG_REV_PROMOTIONAL_ALLOWANCE">"c8722"</definedName>
    <definedName name="IQ_HG_REV_RACING">"c8719"</definedName>
    <definedName name="IQ_HG_REV_RETAIL">"c8717"</definedName>
    <definedName name="IQ_HG_REV_ROOMS">"c8715"</definedName>
    <definedName name="IQ_HG_REV_THEATRE_CONCESSION">"c8720"</definedName>
    <definedName name="IQ_HG_REV_TOTAL_OP_SEGMENT">"c8723"</definedName>
    <definedName name="IQ_HG_REV_TOTAL_OWNERSHIP_MIX">"c8732"</definedName>
    <definedName name="IQ_HG_REV_VACA_OWNERSHIP_RES_SALES_SVCS">"c8729"</definedName>
    <definedName name="IQ_HG_REVENUES_CHANGE_OWNED_COMP">"c8697"</definedName>
    <definedName name="IQ_HG_REVENUES_CHANGE_TOTAL_COMP">"c8698"</definedName>
    <definedName name="IQ_HG_REVPAR_CHANGE_MANAGED">"c8690"</definedName>
    <definedName name="IQ_HG_REVPAR_CHANGE_OTHER">"c8691"</definedName>
    <definedName name="IQ_HG_REVPAR_CHANGE_OWNED">"c8688"</definedName>
    <definedName name="IQ_HG_REVPAR_CHANGE_OWNED_COMP">"c8711"</definedName>
    <definedName name="IQ_HG_REVPAR_CHANGE_TOTAL">"c8692"</definedName>
    <definedName name="IQ_HG_REVPAR_CHANGE_TOTAL_COMP">"c8712"</definedName>
    <definedName name="IQ_HG_REVPAR_CHNAGE_FRANCHISE">"c8689"</definedName>
    <definedName name="IQ_HG_REVPAR_FRANCHISE">"c8669"</definedName>
    <definedName name="IQ_HG_REVPAR_MANAGED">"c8670"</definedName>
    <definedName name="IQ_HG_REVPAR_OTHER">"c8671"</definedName>
    <definedName name="IQ_HG_REVPAR_OWNED">"c8668"</definedName>
    <definedName name="IQ_HG_REVPAR_OWNED_COMP">"c8703"</definedName>
    <definedName name="IQ_HG_REVPAR_TOTAL">"c8672"</definedName>
    <definedName name="IQ_HG_REVPAR_TOTAL_COMP">"c8704"</definedName>
    <definedName name="IQ_HG_ROOM_PROM_COSTS">"c8745"</definedName>
    <definedName name="IQ_HG_ROOMS_BEG">"c8600"</definedName>
    <definedName name="IQ_HG_SLOT_MACHINES_JV">"c8639"</definedName>
    <definedName name="IQ_HG_SLOT_MACHINES_MANAGED">"c8640"</definedName>
    <definedName name="IQ_HG_SLOT_MACHINES_OWNED">"c8638"</definedName>
    <definedName name="IQ_HG_SLOT_MACHINES_TOTAL">"c8641"</definedName>
    <definedName name="IQ_HG_SOLD_FRANCHISE_HOTEL_PROPERTIES">"c8585"</definedName>
    <definedName name="IQ_HG_SOLD_FRANCHISE_ROOMS">"c8615"</definedName>
    <definedName name="IQ_HG_SOLD_HOTEL_PROPERTIES">"c8573"</definedName>
    <definedName name="IQ_HG_SOLD_MANAGED_HOTEL_PROPERTIES">"c8591"</definedName>
    <definedName name="IQ_HG_SOLD_MANAGED_ROOMS">"c8621"</definedName>
    <definedName name="IQ_HG_SOLD_OTHER_HOTEL_PROPERTIES">"c8597"</definedName>
    <definedName name="IQ_HG_SOLD_OTHER_ROOMS">"c8627"</definedName>
    <definedName name="IQ_HG_SOLD_OWNED_HOTEL_PROPERTIES">"c8579"</definedName>
    <definedName name="IQ_HG_SOLD_OWNED_ROOMS">"c8609"</definedName>
    <definedName name="IQ_HG_SOLD_ROOMS">"c8603"</definedName>
    <definedName name="IQ_HG_TABLE_GAMES_JV">"c8643"</definedName>
    <definedName name="IQ_HG_TABLE_GAMES_MANAGED">"c8644"</definedName>
    <definedName name="IQ_HG_TABLE_GAMES_OWNED">"c8642"</definedName>
    <definedName name="IQ_HG_TABLE_GAMES_TOTAL">"c8645"</definedName>
    <definedName name="IQ_HG_TOTAL_FRANCHISE_HOTEL_PROPERTIES">"c8587"</definedName>
    <definedName name="IQ_HG_TOTAL_FRANCHISE_ROOMS">"c8617"</definedName>
    <definedName name="IQ_HG_TOTAL_HOTEL_PROPERTIES">"c8575"</definedName>
    <definedName name="IQ_HG_TOTAL_MANAGED_HOTEL_PROPERTIES">"c8593"</definedName>
    <definedName name="IQ_HG_TOTAL_MANAGED_ROOMS">"c8623"</definedName>
    <definedName name="IQ_HG_TOTAL_OTHER_HOTEL_PROPERTIES">"c8599"</definedName>
    <definedName name="IQ_HG_TOTAL_OTHER_ROOMS">"c8629"</definedName>
    <definedName name="IQ_HG_TOTAL_OWNED_HOTEL_PROPERTIES">"c8581"</definedName>
    <definedName name="IQ_HG_TOTAL_OWNED_PROPERTIES_COMP">"c8693"</definedName>
    <definedName name="IQ_HG_TOTAL_OWNED_ROOMS">"c8611"</definedName>
    <definedName name="IQ_HG_TOTAL_OWNED_ROOMS_COMP">"c8695"</definedName>
    <definedName name="IQ_HG_TOTAL_PROM_COSTS">"c8748"</definedName>
    <definedName name="IQ_HG_TOTAL_PROPERTIES_COMP">"c8694"</definedName>
    <definedName name="IQ_HG_TOTAL_ROOMS">"c8605"</definedName>
    <definedName name="IQ_HG_TOTAL_ROOMS_COMP">"c8696"</definedName>
    <definedName name="IQ_HIGH_TARGET_PRICE">"c1651"</definedName>
    <definedName name="IQ_HIGH_TARGET_PRICE_CIQ">"c4659"</definedName>
    <definedName name="IQ_HIGH_TARGET_PRICE_REUT">"c5317"</definedName>
    <definedName name="IQ_HIGH_TARGET_PRICE_THOM">"c5096"</definedName>
    <definedName name="IQ_HIGHPRICE">"c545"</definedName>
    <definedName name="IQ_HOME_AVG_LOAN_SIZE">"c5911"</definedName>
    <definedName name="IQ_HOME_BACKLOG">"c5844"</definedName>
    <definedName name="IQ_HOME_BACKLOG_AVG_JV">"c5848"</definedName>
    <definedName name="IQ_HOME_BACKLOG_AVG_JV_GROWTH">"c5928"</definedName>
    <definedName name="IQ_HOME_BACKLOG_AVG_JV_INC">"c5851"</definedName>
    <definedName name="IQ_HOME_BACKLOG_AVG_JV_INC_GROWTH">"c5931"</definedName>
    <definedName name="IQ_HOME_BACKLOG_AVG_PRICE">"c5845"</definedName>
    <definedName name="IQ_HOME_BACKLOG_AVG_PRICE_GROWTH">"c5925"</definedName>
    <definedName name="IQ_HOME_BACKLOG_GROWTH">"c5924"</definedName>
    <definedName name="IQ_HOME_BACKLOG_JV">"c5847"</definedName>
    <definedName name="IQ_HOME_BACKLOG_JV_GROWTH">"c5927"</definedName>
    <definedName name="IQ_HOME_BACKLOG_JV_INC">"c5850"</definedName>
    <definedName name="IQ_HOME_BACKLOG_JV_INC_GROWTH">"c5930"</definedName>
    <definedName name="IQ_HOME_BACKLOG_VALUE">"c5846"</definedName>
    <definedName name="IQ_HOME_BACKLOG_VALUE_GROWTH">"c5926"</definedName>
    <definedName name="IQ_HOME_BACKLOG_VALUE_JV">"c5849"</definedName>
    <definedName name="IQ_HOME_BACKLOG_VALUE_JV_GROWTH">"c5929"</definedName>
    <definedName name="IQ_HOME_BACKLOG_VALUE_JV_INC">"c5852"</definedName>
    <definedName name="IQ_HOME_BACKLOG_VALUE_JV_INC_GROWTH">"c5932"</definedName>
    <definedName name="IQ_HOME_COMMUNITIES_ACTIVE">"c5862"</definedName>
    <definedName name="IQ_HOME_COMMUNITIES_ACTIVE_GROWTH">"c5942"</definedName>
    <definedName name="IQ_HOME_COMMUNITIES_ACTIVE_JV">"c5863"</definedName>
    <definedName name="IQ_HOME_COMMUNITIES_ACTIVE_JV_GROWTH">"c5943"</definedName>
    <definedName name="IQ_HOME_COMMUNITIES_ACTIVE_JV_INC">"c5864"</definedName>
    <definedName name="IQ_HOME_COMMUNITIES_ACTIVE_JV_INC_GROWTH">"c5944"</definedName>
    <definedName name="IQ_HOME_COST_CONSTRUCTION_SVCS">"c5882"</definedName>
    <definedName name="IQ_HOME_COST_ELIMINATIONS_OTHER">"c5883"</definedName>
    <definedName name="IQ_HOME_COST_FINANCIAL_SVCS">"c5881"</definedName>
    <definedName name="IQ_HOME_COST_HOUSING">"c5877"</definedName>
    <definedName name="IQ_HOME_COST_LAND_LOT">"c5878"</definedName>
    <definedName name="IQ_HOME_COST_OTHER_HOMEBUILDING">"c5879"</definedName>
    <definedName name="IQ_HOME_COST_TOTAL">"c5884"</definedName>
    <definedName name="IQ_HOME_COST_TOTAL_HOMEBUILDING">"c5880"</definedName>
    <definedName name="IQ_HOME_DELIVERED">"c5835"</definedName>
    <definedName name="IQ_HOME_DELIVERED_AVG_PRICE">"c5836"</definedName>
    <definedName name="IQ_HOME_DELIVERED_AVG_PRICE_GROWTH">"c5916"</definedName>
    <definedName name="IQ_HOME_DELIVERED_AVG_PRICE_JV">"c5839"</definedName>
    <definedName name="IQ_HOME_DELIVERED_AVG_PRICE_JV_GROWTH">"c5919"</definedName>
    <definedName name="IQ_HOME_DELIVERED_AVG_PRICE_JV_INC">"c5842"</definedName>
    <definedName name="IQ_HOME_DELIVERED_AVG_PRICE_JV_INC_GROWTH">"c5922"</definedName>
    <definedName name="IQ_HOME_DELIVERED_GROWTH">"c5915"</definedName>
    <definedName name="IQ_HOME_DELIVERED_JV">"c5838"</definedName>
    <definedName name="IQ_HOME_DELIVERED_JV_GROWTH">"c5918"</definedName>
    <definedName name="IQ_HOME_DELIVERED_JV_INC">"c5841"</definedName>
    <definedName name="IQ_HOME_DELIVERED_JV_INC_GROWTH">"c5921"</definedName>
    <definedName name="IQ_HOME_DELIVERED_VALUE">"c5837"</definedName>
    <definedName name="IQ_HOME_DELIVERED_VALUE_GROWTH">"c5917"</definedName>
    <definedName name="IQ_HOME_DELIVERED_VALUE_JV">"c5840"</definedName>
    <definedName name="IQ_HOME_DELIVERED_VALUE_JV_GROWTH">"c5920"</definedName>
    <definedName name="IQ_HOME_DELIVERED_VALUE_JV_INC">"c5843"</definedName>
    <definedName name="IQ_HOME_DELIVERED_VALUE_JV_INC_GROWTH">"c5923"</definedName>
    <definedName name="IQ_HOME_EQUITY_LOC_NET_CHARGE_OFFS_FDIC">"c6644"</definedName>
    <definedName name="IQ_HOME_EQUITY_LOC_TOTAL_CHARGE_OFFS_FDIC">"c6606"</definedName>
    <definedName name="IQ_HOME_EQUITY_LOC_TOTAL_RECOVERIES_FDIC">"c6625"</definedName>
    <definedName name="IQ_HOME_FINISHED_HOMES_CIP">"c5865"</definedName>
    <definedName name="IQ_HOME_FIRSTLIEN_MORT_ORIGINATED">"c5905"</definedName>
    <definedName name="IQ_HOME_FIRSTLIEN_MORT_ORIGINATED_VOL">"c5908"</definedName>
    <definedName name="IQ_HOME_HUC">"c5822"</definedName>
    <definedName name="IQ_HOME_HUC_JV">"c5823"</definedName>
    <definedName name="IQ_HOME_HUC_JV_INC">"c5824"</definedName>
    <definedName name="IQ_HOME_INV_NOT_OWNED">"c5868"</definedName>
    <definedName name="IQ_HOME_LAND_DEVELOPMENT">"c5866"</definedName>
    <definedName name="IQ_HOME_LAND_FUTURE_DEVELOPMENT">"c5867"</definedName>
    <definedName name="IQ_HOME_LOAN_APPLICATIONS">"c5910"</definedName>
    <definedName name="IQ_HOME_LOANS_SOLD_COUNT">"c5912"</definedName>
    <definedName name="IQ_HOME_LOANS_SOLD_VALUE">"c5913"</definedName>
    <definedName name="IQ_HOME_LOTS_CONTROLLED">"c5831"</definedName>
    <definedName name="IQ_HOME_LOTS_FINISHED">"c5827"</definedName>
    <definedName name="IQ_HOME_LOTS_HELD_SALE">"c5830"</definedName>
    <definedName name="IQ_HOME_LOTS_JV">"c5833"</definedName>
    <definedName name="IQ_HOME_LOTS_JV_INC">"c5834"</definedName>
    <definedName name="IQ_HOME_LOTS_OTHER">"c5832"</definedName>
    <definedName name="IQ_HOME_LOTS_OWNED">"c5828"</definedName>
    <definedName name="IQ_HOME_LOTS_UNDER_DEVELOPMENT">"c5826"</definedName>
    <definedName name="IQ_HOME_LOTS_UNDER_OPTION">"c5829"</definedName>
    <definedName name="IQ_HOME_LOTS_UNDEVELOPED">"c5825"</definedName>
    <definedName name="IQ_HOME_MORT_CAPTURE_RATE">"c5906"</definedName>
    <definedName name="IQ_HOME_MORT_ORIGINATED">"c5907"</definedName>
    <definedName name="IQ_HOME_OBLIGATIONS_INV_NOT_OWNED">"c5914"</definedName>
    <definedName name="IQ_HOME_ORDERS">"c5853"</definedName>
    <definedName name="IQ_HOME_ORDERS_AVG_PRICE">"c5854"</definedName>
    <definedName name="IQ_HOME_ORDERS_AVG_PRICE_GROWTH">"c5934"</definedName>
    <definedName name="IQ_HOME_ORDERS_AVG_PRICE_JV">"c5857"</definedName>
    <definedName name="IQ_HOME_ORDERS_AVG_PRICE_JV_GROWTH">"c5937"</definedName>
    <definedName name="IQ_HOME_ORDERS_AVG_PRICE_JV_INC">"c5860"</definedName>
    <definedName name="IQ_HOME_ORDERS_AVG_PRICE_JV_INC_GROWTH">"c5940"</definedName>
    <definedName name="IQ_HOME_ORDERS_GROWTH">"c5933"</definedName>
    <definedName name="IQ_HOME_ORDERS_JV">"c5856"</definedName>
    <definedName name="IQ_HOME_ORDERS_JV_GROWTH">"c5936"</definedName>
    <definedName name="IQ_HOME_ORDERS_JV_INC">"c5859"</definedName>
    <definedName name="IQ_HOME_ORDERS_JV_INC_GROWTH">"c5939"</definedName>
    <definedName name="IQ_HOME_ORDERS_VALUE">"c5855"</definedName>
    <definedName name="IQ_HOME_ORDERS_VALUE_GROWTH">"c5935"</definedName>
    <definedName name="IQ_HOME_ORDERS_VALUE_JV">"c5858"</definedName>
    <definedName name="IQ_HOME_ORDERS_VALUE_JV_GROWTH">"c5938"</definedName>
    <definedName name="IQ_HOME_ORDERS_VALUE_JV_INC">"c5861"</definedName>
    <definedName name="IQ_HOME_ORDERS_VALUE_JV_INC_GROWTH">"c5941"</definedName>
    <definedName name="IQ_HOME_ORIGINATION_TOTAL">"c5909"</definedName>
    <definedName name="IQ_HOME_PRETAX_INC_CONSTRUCTION_SVCS">"c5890"</definedName>
    <definedName name="IQ_HOME_PRETAX_INC_ELIMINATIONS_OTHER">"c5891"</definedName>
    <definedName name="IQ_HOME_PRETAX_INC_FINANCIAL_SVCS">"c5889"</definedName>
    <definedName name="IQ_HOME_PRETAX_INC_HOUSING">"c5885"</definedName>
    <definedName name="IQ_HOME_PRETAX_INC_LAND_LOT">"c5886"</definedName>
    <definedName name="IQ_HOME_PRETAX_INC_OTHER_HOMEBUILDING">"c5887"</definedName>
    <definedName name="IQ_HOME_PRETAX_INC_TOTAL">"c5892"</definedName>
    <definedName name="IQ_HOME_PRETAX_INC_TOTAL_HOMEBUILDING">"c5888"</definedName>
    <definedName name="IQ_HOME_PURCH_OBLIGATION_1YR">"c5898"</definedName>
    <definedName name="IQ_HOME_PURCH_OBLIGATION_2YR">"c5899"</definedName>
    <definedName name="IQ_HOME_PURCH_OBLIGATION_3YR">"c5900"</definedName>
    <definedName name="IQ_HOME_PURCH_OBLIGATION_4YR">"c5901"</definedName>
    <definedName name="IQ_HOME_PURCH_OBLIGATION_5YR">"c5902"</definedName>
    <definedName name="IQ_HOME_PURCH_OBLIGATION_AFTER5">"c5903"</definedName>
    <definedName name="IQ_HOME_PURCH_OBLIGATION_TOTAL">"c5904"</definedName>
    <definedName name="IQ_HOME_REV_CONSTRUCTION_SERVICES">"c5874"</definedName>
    <definedName name="IQ_HOME_REV_ELIMINATIONS_OTHER">"c5875"</definedName>
    <definedName name="IQ_HOME_REV_FINANCIAL_SERVICES">"c5873"</definedName>
    <definedName name="IQ_HOME_REV_HOUSING">"c5872"</definedName>
    <definedName name="IQ_HOME_REV_LAND_LOT">"c5870"</definedName>
    <definedName name="IQ_HOME_REV_OTHER_HOMEBUILDING">"c5871"</definedName>
    <definedName name="IQ_HOME_REV_TOTAL">"c5876"</definedName>
    <definedName name="IQ_HOME_SALES_NEW">"c6924"</definedName>
    <definedName name="IQ_HOME_SALES_NEW_APR">"c7584"</definedName>
    <definedName name="IQ_HOME_SALES_NEW_APR_FC">"c8464"</definedName>
    <definedName name="IQ_HOME_SALES_NEW_FC">"c7804"</definedName>
    <definedName name="IQ_HOME_SALES_NEW_POP">"c7144"</definedName>
    <definedName name="IQ_HOME_SALES_NEW_POP_FC">"c8024"</definedName>
    <definedName name="IQ_HOME_SALES_NEW_YOY">"c7364"</definedName>
    <definedName name="IQ_HOME_SALES_NEW_YOY_FC">"c8244"</definedName>
    <definedName name="IQ_HOME_TOTAL_INV">"c5869"</definedName>
    <definedName name="IQ_HOME_WARRANTY_RES_BEG">"c5893"</definedName>
    <definedName name="IQ_HOME_WARRANTY_RES_END">"c5897"</definedName>
    <definedName name="IQ_HOME_WARRANTY_RES_ISS">"c5894"</definedName>
    <definedName name="IQ_HOME_WARRANTY_RES_OTHER">"c5896"</definedName>
    <definedName name="IQ_HOME_WARRANTY_RES_PAY">"c5895"</definedName>
    <definedName name="IQ_HOMEOWNERS_WRITTEN">"c546"</definedName>
    <definedName name="IQ_HOURLY_COMP">"c6879"</definedName>
    <definedName name="IQ_HOURLY_COMP_APR">"c7539"</definedName>
    <definedName name="IQ_HOURLY_COMP_APR_FC">"c8419"</definedName>
    <definedName name="IQ_HOURLY_COMP_FC">"c7759"</definedName>
    <definedName name="IQ_HOURLY_COMP_POP">"c7099"</definedName>
    <definedName name="IQ_HOURLY_COMP_POP_FC">"c7979"</definedName>
    <definedName name="IQ_HOURLY_COMP_YOY">"c7319"</definedName>
    <definedName name="IQ_HOURLY_COMP_YOY_FC">"c8199"</definedName>
    <definedName name="IQ_HOUSING_COMPLETIONS">"c6881"</definedName>
    <definedName name="IQ_HOUSING_COMPLETIONS_APR">"c7541"</definedName>
    <definedName name="IQ_HOUSING_COMPLETIONS_APR_FC">"c8421"</definedName>
    <definedName name="IQ_HOUSING_COMPLETIONS_FC">"c7761"</definedName>
    <definedName name="IQ_HOUSING_COMPLETIONS_POP">"c7101"</definedName>
    <definedName name="IQ_HOUSING_COMPLETIONS_POP_FC">"c7981"</definedName>
    <definedName name="IQ_HOUSING_COMPLETIONS_SINGLE_FAM_APR_FC_UNUSED_UNUSED_UNUSED">"c8422"</definedName>
    <definedName name="IQ_HOUSING_COMPLETIONS_SINGLE_FAM_APR_UNUSED_UNUSED_UNUSED">"c7542"</definedName>
    <definedName name="IQ_HOUSING_COMPLETIONS_SINGLE_FAM_FC_UNUSED_UNUSED_UNUSED">"c7762"</definedName>
    <definedName name="IQ_HOUSING_COMPLETIONS_SINGLE_FAM_POP_FC_UNUSED_UNUSED_UNUSED">"c7982"</definedName>
    <definedName name="IQ_HOUSING_COMPLETIONS_SINGLE_FAM_POP_UNUSED_UNUSED_UNUSED">"c7102"</definedName>
    <definedName name="IQ_HOUSING_COMPLETIONS_SINGLE_FAM_UNUSED_UNUSED_UNUSED">"c6882"</definedName>
    <definedName name="IQ_HOUSING_COMPLETIONS_SINGLE_FAM_YOY_FC_UNUSED_UNUSED_UNUSED">"c8202"</definedName>
    <definedName name="IQ_HOUSING_COMPLETIONS_SINGLE_FAM_YOY_UNUSED_UNUSED_UNUSED">"c7322"</definedName>
    <definedName name="IQ_HOUSING_COMPLETIONS_YOY">"c7321"</definedName>
    <definedName name="IQ_HOUSING_COMPLETIONS_YOY_FC">"c8201"</definedName>
    <definedName name="IQ_HOUSING_PERMITS">"c6883"</definedName>
    <definedName name="IQ_HOUSING_PERMITS_APR">"c7543"</definedName>
    <definedName name="IQ_HOUSING_PERMITS_APR_FC">"c8423"</definedName>
    <definedName name="IQ_HOUSING_PERMITS_FC">"c7763"</definedName>
    <definedName name="IQ_HOUSING_PERMITS_POP">"c7103"</definedName>
    <definedName name="IQ_HOUSING_PERMITS_POP_FC">"c7983"</definedName>
    <definedName name="IQ_HOUSING_PERMITS_YOY">"c7323"</definedName>
    <definedName name="IQ_HOUSING_PERMITS_YOY_FC">"c8203"</definedName>
    <definedName name="IQ_HOUSING_STARTS">"c6884"</definedName>
    <definedName name="IQ_HOUSING_STARTS_APR">"c7544"</definedName>
    <definedName name="IQ_HOUSING_STARTS_APR_FC">"c8424"</definedName>
    <definedName name="IQ_HOUSING_STARTS_FC">"c7764"</definedName>
    <definedName name="IQ_HOUSING_STARTS_POP">"c7104"</definedName>
    <definedName name="IQ_HOUSING_STARTS_POP_FC">"c7984"</definedName>
    <definedName name="IQ_HOUSING_STARTS_SAAR">"c6885"</definedName>
    <definedName name="IQ_HOUSING_STARTS_SAAR_APR">"c7545"</definedName>
    <definedName name="IQ_HOUSING_STARTS_SAAR_APR_FC">"c8425"</definedName>
    <definedName name="IQ_HOUSING_STARTS_SAAR_FC">"c7765"</definedName>
    <definedName name="IQ_HOUSING_STARTS_SAAR_POP">"c7105"</definedName>
    <definedName name="IQ_HOUSING_STARTS_SAAR_POP_FC">"c7985"</definedName>
    <definedName name="IQ_HOUSING_STARTS_SAAR_YOY">"c7325"</definedName>
    <definedName name="IQ_HOUSING_STARTS_SAAR_YOY_FC">"c8205"</definedName>
    <definedName name="IQ_HOUSING_STARTS_YOY">"c7324"</definedName>
    <definedName name="IQ_HOUSING_STARTS_YOY_FC">"c8204"</definedName>
    <definedName name="IQ_HRS_WORKED_FULL_PT">"c6880"</definedName>
    <definedName name="IQ_HRS_WORKED_FULL_PT_APR">"c7540"</definedName>
    <definedName name="IQ_HRS_WORKED_FULL_PT_APR_FC">"c8420"</definedName>
    <definedName name="IQ_HRS_WORKED_FULL_PT_FC">"c7760"</definedName>
    <definedName name="IQ_HRS_WORKED_FULL_PT_POP">"c7100"</definedName>
    <definedName name="IQ_HRS_WORKED_FULL_PT_POP_FC">"c7980"</definedName>
    <definedName name="IQ_HRS_WORKED_FULL_PT_YOY">"c7320"</definedName>
    <definedName name="IQ_HRS_WORKED_FULL_PT_YOY_FC">"c8200"</definedName>
    <definedName name="IQ_IM_AVG_REV_PER_CLICK">"c9991"</definedName>
    <definedName name="IQ_IM_NUMBER_PAGE_VIEWS">"c9993"</definedName>
    <definedName name="IQ_IM_NUMBER_PAID_CLICKS">"c9995"</definedName>
    <definedName name="IQ_IM_NUMBER_PAID_CLICKS_GROWTH">"c9996"</definedName>
    <definedName name="IQ_IM_PAGE_VIEWS_GROWTH">"c9994"</definedName>
    <definedName name="IQ_IM_REV_PER_PAGE_VIEW_GROWTH">"c9992"</definedName>
    <definedName name="IQ_IM_TRAFFIC_ACQUISITION_CHANGE">"c9998"</definedName>
    <definedName name="IQ_IM_TRAFFIC_ACQUISITION_COST_TO_AD_REV_RATIO">"c10000"</definedName>
    <definedName name="IQ_IM_TRAFFIC_ACQUISITION_COST_TO_TOTAL_REV_RATIO">"c9999"</definedName>
    <definedName name="IQ_IM_TRAFFIC_ACQUISITION_COSTS">"c9997"</definedName>
    <definedName name="IQ_IMPAIR_OIL">"c547"</definedName>
    <definedName name="IQ_IMPAIRMENT_GW">"c548"</definedName>
    <definedName name="IQ_IMPORT_PRICE_INDEX">"c6886"</definedName>
    <definedName name="IQ_IMPORT_PRICE_INDEX_APR">"c7546"</definedName>
    <definedName name="IQ_IMPORT_PRICE_INDEX_APR_FC">"c8426"</definedName>
    <definedName name="IQ_IMPORT_PRICE_INDEX_FC">"c7766"</definedName>
    <definedName name="IQ_IMPORT_PRICE_INDEX_POP">"c7106"</definedName>
    <definedName name="IQ_IMPORT_PRICE_INDEX_POP_FC">"c7986"</definedName>
    <definedName name="IQ_IMPORT_PRICE_INDEX_YOY">"c7326"</definedName>
    <definedName name="IQ_IMPORT_PRICE_INDEX_YOY_FC">"c8206"</definedName>
    <definedName name="IQ_IMPORTS_GOODS">"c6887"</definedName>
    <definedName name="IQ_IMPORTS_GOODS_APR">"c7547"</definedName>
    <definedName name="IQ_IMPORTS_GOODS_APR_FC">"c8427"</definedName>
    <definedName name="IQ_IMPORTS_GOODS_FC">"c7767"</definedName>
    <definedName name="IQ_IMPORTS_GOODS_NONFACTOR_SERVICES">"c6888"</definedName>
    <definedName name="IQ_IMPORTS_GOODS_NONFACTOR_SERVICES_APR">"c7548"</definedName>
    <definedName name="IQ_IMPORTS_GOODS_NONFACTOR_SERVICES_APR_FC">"c8428"</definedName>
    <definedName name="IQ_IMPORTS_GOODS_NONFACTOR_SERVICES_FC">"c7768"</definedName>
    <definedName name="IQ_IMPORTS_GOODS_NONFACTOR_SERVICES_POP">"c7108"</definedName>
    <definedName name="IQ_IMPORTS_GOODS_NONFACTOR_SERVICES_POP_FC">"c7988"</definedName>
    <definedName name="IQ_IMPORTS_GOODS_NONFACTOR_SERVICES_YOY">"c7328"</definedName>
    <definedName name="IQ_IMPORTS_GOODS_NONFACTOR_SERVICES_YOY_FC">"c8208"</definedName>
    <definedName name="IQ_IMPORTS_GOODS_POP">"c7107"</definedName>
    <definedName name="IQ_IMPORTS_GOODS_POP_FC">"c7987"</definedName>
    <definedName name="IQ_IMPORTS_GOODS_REAL">"c11950"</definedName>
    <definedName name="IQ_IMPORTS_GOODS_REAL_APR">"c11953"</definedName>
    <definedName name="IQ_IMPORTS_GOODS_REAL_POP">"c11951"</definedName>
    <definedName name="IQ_IMPORTS_GOODS_REAL_SAAR_APR_FC_UNUSED_UNUSED_UNUSED">"c8523"</definedName>
    <definedName name="IQ_IMPORTS_GOODS_REAL_SAAR_APR_UNUSED_UNUSED_UNUSED">"c7643"</definedName>
    <definedName name="IQ_IMPORTS_GOODS_REAL_SAAR_FC_UNUSED_UNUSED_UNUSED">"c7863"</definedName>
    <definedName name="IQ_IMPORTS_GOODS_REAL_SAAR_POP_FC_UNUSED_UNUSED_UNUSED">"c8083"</definedName>
    <definedName name="IQ_IMPORTS_GOODS_REAL_SAAR_POP_UNUSED_UNUSED_UNUSED">"c7203"</definedName>
    <definedName name="IQ_IMPORTS_GOODS_REAL_SAAR_UNUSED_UNUSED_UNUSED">"c6983"</definedName>
    <definedName name="IQ_IMPORTS_GOODS_REAL_SAAR_YOY_FC_UNUSED_UNUSED_UNUSED">"c8303"</definedName>
    <definedName name="IQ_IMPORTS_GOODS_REAL_SAAR_YOY_UNUSED_UNUSED_UNUSED">"c7423"</definedName>
    <definedName name="IQ_IMPORTS_GOODS_REAL_YOY">"c11952"</definedName>
    <definedName name="IQ_IMPORTS_GOODS_SAAR">"c6891"</definedName>
    <definedName name="IQ_IMPORTS_GOODS_SAAR_APR">"c7551"</definedName>
    <definedName name="IQ_IMPORTS_GOODS_SAAR_APR_FC">"c8431"</definedName>
    <definedName name="IQ_IMPORTS_GOODS_SAAR_FC">"c7771"</definedName>
    <definedName name="IQ_IMPORTS_GOODS_SAAR_POP">"c7111"</definedName>
    <definedName name="IQ_IMPORTS_GOODS_SAAR_POP_FC">"c7991"</definedName>
    <definedName name="IQ_IMPORTS_GOODS_SAAR_USD_APR_FC">"c11849"</definedName>
    <definedName name="IQ_IMPORTS_GOODS_SAAR_USD_FC">"c11846"</definedName>
    <definedName name="IQ_IMPORTS_GOODS_SAAR_USD_POP_FC">"c11847"</definedName>
    <definedName name="IQ_IMPORTS_GOODS_SAAR_USD_YOY_FC">"c11848"</definedName>
    <definedName name="IQ_IMPORTS_GOODS_SAAR_YOY">"c7331"</definedName>
    <definedName name="IQ_IMPORTS_GOODS_SAAR_YOY_FC">"c8211"</definedName>
    <definedName name="IQ_IMPORTS_GOODS_SERVICES_APR_FC_UNUSED_UNUSED_UNUSED">"c8429"</definedName>
    <definedName name="IQ_IMPORTS_GOODS_SERVICES_APR_UNUSED_UNUSED_UNUSED">"c7549"</definedName>
    <definedName name="IQ_IMPORTS_GOODS_SERVICES_FC_UNUSED_UNUSED_UNUSED">"c7769"</definedName>
    <definedName name="IQ_IMPORTS_GOODS_SERVICES_POP_FC_UNUSED_UNUSED_UNUSED">"c7989"</definedName>
    <definedName name="IQ_IMPORTS_GOODS_SERVICES_POP_UNUSED_UNUSED_UNUSED">"c7109"</definedName>
    <definedName name="IQ_IMPORTS_GOODS_SERVICES_REAL">"c6985"</definedName>
    <definedName name="IQ_IMPORTS_GOODS_SERVICES_REAL_APR">"c7645"</definedName>
    <definedName name="IQ_IMPORTS_GOODS_SERVICES_REAL_APR_FC">"c8525"</definedName>
    <definedName name="IQ_IMPORTS_GOODS_SERVICES_REAL_FC">"c7865"</definedName>
    <definedName name="IQ_IMPORTS_GOODS_SERVICES_REAL_POP">"c7205"</definedName>
    <definedName name="IQ_IMPORTS_GOODS_SERVICES_REAL_POP_FC">"c8085"</definedName>
    <definedName name="IQ_IMPORTS_GOODS_SERVICES_REAL_SAAR">"c11958"</definedName>
    <definedName name="IQ_IMPORTS_GOODS_SERVICES_REAL_SAAR_APR">"c11961"</definedName>
    <definedName name="IQ_IMPORTS_GOODS_SERVICES_REAL_SAAR_APR_FC_UNUSED_UNUSED_UNUSED">"c8524"</definedName>
    <definedName name="IQ_IMPORTS_GOODS_SERVICES_REAL_SAAR_APR_UNUSED_UNUSED_UNUSED">"c7644"</definedName>
    <definedName name="IQ_IMPORTS_GOODS_SERVICES_REAL_SAAR_FC_UNUSED_UNUSED_UNUSED">"c7864"</definedName>
    <definedName name="IQ_IMPORTS_GOODS_SERVICES_REAL_SAAR_POP">"c11959"</definedName>
    <definedName name="IQ_IMPORTS_GOODS_SERVICES_REAL_SAAR_POP_FC_UNUSED_UNUSED_UNUSED">"c8084"</definedName>
    <definedName name="IQ_IMPORTS_GOODS_SERVICES_REAL_SAAR_POP_UNUSED_UNUSED_UNUSED">"c7204"</definedName>
    <definedName name="IQ_IMPORTS_GOODS_SERVICES_REAL_SAAR_UNUSED_UNUSED_UNUSED">"c6984"</definedName>
    <definedName name="IQ_IMPORTS_GOODS_SERVICES_REAL_SAAR_USD">"c11962"</definedName>
    <definedName name="IQ_IMPORTS_GOODS_SERVICES_REAL_SAAR_USD_APR">"c11965"</definedName>
    <definedName name="IQ_IMPORTS_GOODS_SERVICES_REAL_SAAR_USD_APR_FC">"c11969"</definedName>
    <definedName name="IQ_IMPORTS_GOODS_SERVICES_REAL_SAAR_USD_FC">"c11966"</definedName>
    <definedName name="IQ_IMPORTS_GOODS_SERVICES_REAL_SAAR_USD_POP">"c11963"</definedName>
    <definedName name="IQ_IMPORTS_GOODS_SERVICES_REAL_SAAR_USD_POP_FC">"c11967"</definedName>
    <definedName name="IQ_IMPORTS_GOODS_SERVICES_REAL_SAAR_USD_YOY">"c11964"</definedName>
    <definedName name="IQ_IMPORTS_GOODS_SERVICES_REAL_SAAR_USD_YOY_FC">"c11968"</definedName>
    <definedName name="IQ_IMPORTS_GOODS_SERVICES_REAL_SAAR_YOY">"c11960"</definedName>
    <definedName name="IQ_IMPORTS_GOODS_SERVICES_REAL_SAAR_YOY_FC_UNUSED_UNUSED_UNUSED">"c8304"</definedName>
    <definedName name="IQ_IMPORTS_GOODS_SERVICES_REAL_SAAR_YOY_UNUSED_UNUSED_UNUSED">"c7424"</definedName>
    <definedName name="IQ_IMPORTS_GOODS_SERVICES_REAL_USD">"c11954"</definedName>
    <definedName name="IQ_IMPORTS_GOODS_SERVICES_REAL_USD_APR">"c11957"</definedName>
    <definedName name="IQ_IMPORTS_GOODS_SERVICES_REAL_USD_POP">"c11955"</definedName>
    <definedName name="IQ_IMPORTS_GOODS_SERVICES_REAL_USD_YOY">"c11956"</definedName>
    <definedName name="IQ_IMPORTS_GOODS_SERVICES_REAL_YOY">"c7425"</definedName>
    <definedName name="IQ_IMPORTS_GOODS_SERVICES_REAL_YOY_FC">"c8305"</definedName>
    <definedName name="IQ_IMPORTS_GOODS_SERVICES_SAAR">"c6890"</definedName>
    <definedName name="IQ_IMPORTS_GOODS_SERVICES_SAAR_APR">"c7550"</definedName>
    <definedName name="IQ_IMPORTS_GOODS_SERVICES_SAAR_APR_FC">"c8430"</definedName>
    <definedName name="IQ_IMPORTS_GOODS_SERVICES_SAAR_FC">"c7770"</definedName>
    <definedName name="IQ_IMPORTS_GOODS_SERVICES_SAAR_POP">"c7110"</definedName>
    <definedName name="IQ_IMPORTS_GOODS_SERVICES_SAAR_POP_FC">"c7990"</definedName>
    <definedName name="IQ_IMPORTS_GOODS_SERVICES_SAAR_YOY">"c7330"</definedName>
    <definedName name="IQ_IMPORTS_GOODS_SERVICES_SAAR_YOY_FC">"c8210"</definedName>
    <definedName name="IQ_IMPORTS_GOODS_SERVICES_UNUSED_UNUSED_UNUSED">"c6889"</definedName>
    <definedName name="IQ_IMPORTS_GOODS_SERVICES_USD">"c11842"</definedName>
    <definedName name="IQ_IMPORTS_GOODS_SERVICES_USD_APR">"c11845"</definedName>
    <definedName name="IQ_IMPORTS_GOODS_SERVICES_USD_POP">"c11843"</definedName>
    <definedName name="IQ_IMPORTS_GOODS_SERVICES_USD_YOY">"c11844"</definedName>
    <definedName name="IQ_IMPORTS_GOODS_SERVICES_YOY_FC_UNUSED_UNUSED_UNUSED">"c8209"</definedName>
    <definedName name="IQ_IMPORTS_GOODS_SERVICES_YOY_UNUSED_UNUSED_UNUSED">"c7329"</definedName>
    <definedName name="IQ_IMPORTS_GOODS_USD_APR_FC">"c11841"</definedName>
    <definedName name="IQ_IMPORTS_GOODS_USD_FC">"c11838"</definedName>
    <definedName name="IQ_IMPORTS_GOODS_USD_POP_FC">"c11839"</definedName>
    <definedName name="IQ_IMPORTS_GOODS_USD_YOY_FC">"c11840"</definedName>
    <definedName name="IQ_IMPORTS_GOODS_YOY">"c7327"</definedName>
    <definedName name="IQ_IMPORTS_GOODS_YOY_FC">"c8207"</definedName>
    <definedName name="IQ_IMPORTS_NONFACTOR_SERVICES">"c6892"</definedName>
    <definedName name="IQ_IMPORTS_NONFACTOR_SERVICES_APR">"c7552"</definedName>
    <definedName name="IQ_IMPORTS_NONFACTOR_SERVICES_APR_FC">"c8432"</definedName>
    <definedName name="IQ_IMPORTS_NONFACTOR_SERVICES_FC">"c7772"</definedName>
    <definedName name="IQ_IMPORTS_NONFACTOR_SERVICES_POP">"c7112"</definedName>
    <definedName name="IQ_IMPORTS_NONFACTOR_SERVICES_POP_FC">"c7992"</definedName>
    <definedName name="IQ_IMPORTS_NONFACTOR_SERVICES_SAAR">"c6893"</definedName>
    <definedName name="IQ_IMPORTS_NONFACTOR_SERVICES_SAAR_APR">"c7553"</definedName>
    <definedName name="IQ_IMPORTS_NONFACTOR_SERVICES_SAAR_APR_FC">"c8433"</definedName>
    <definedName name="IQ_IMPORTS_NONFACTOR_SERVICES_SAAR_FC">"c7773"</definedName>
    <definedName name="IQ_IMPORTS_NONFACTOR_SERVICES_SAAR_POP">"c7113"</definedName>
    <definedName name="IQ_IMPORTS_NONFACTOR_SERVICES_SAAR_POP_FC">"c7993"</definedName>
    <definedName name="IQ_IMPORTS_NONFACTOR_SERVICES_SAAR_USD_APR_FC">"c11857"</definedName>
    <definedName name="IQ_IMPORTS_NONFACTOR_SERVICES_SAAR_USD_FC">"c11854"</definedName>
    <definedName name="IQ_IMPORTS_NONFACTOR_SERVICES_SAAR_USD_POP_FC">"c11855"</definedName>
    <definedName name="IQ_IMPORTS_NONFACTOR_SERVICES_SAAR_USD_YOY_FC">"c11856"</definedName>
    <definedName name="IQ_IMPORTS_NONFACTOR_SERVICES_SAAR_YOY">"c7333"</definedName>
    <definedName name="IQ_IMPORTS_NONFACTOR_SERVICES_SAAR_YOY_FC">"c8213"</definedName>
    <definedName name="IQ_IMPORTS_NONFACTOR_SERVICES_USD_APR_FC">"c11853"</definedName>
    <definedName name="IQ_IMPORTS_NONFACTOR_SERVICES_USD_FC">"c11850"</definedName>
    <definedName name="IQ_IMPORTS_NONFACTOR_SERVICES_USD_POP_FC">"c11851"</definedName>
    <definedName name="IQ_IMPORTS_NONFACTOR_SERVICES_USD_YOY_FC">"c11852"</definedName>
    <definedName name="IQ_IMPORTS_NONFACTOR_SERVICES_YOY">"c7332"</definedName>
    <definedName name="IQ_IMPORTS_NONFACTOR_SERVICES_YOY_FC">"c8212"</definedName>
    <definedName name="IQ_IMPORTS_SERVICES">"c11858"</definedName>
    <definedName name="IQ_IMPORTS_SERVICES_APR">"c11861"</definedName>
    <definedName name="IQ_IMPORTS_SERVICES_POP">"c11859"</definedName>
    <definedName name="IQ_IMPORTS_SERVICES_REAL">"c6986"</definedName>
    <definedName name="IQ_IMPORTS_SERVICES_REAL_APR">"c7646"</definedName>
    <definedName name="IQ_IMPORTS_SERVICES_REAL_APR_FC">"c8526"</definedName>
    <definedName name="IQ_IMPORTS_SERVICES_REAL_FC">"c7866"</definedName>
    <definedName name="IQ_IMPORTS_SERVICES_REAL_POP">"c7206"</definedName>
    <definedName name="IQ_IMPORTS_SERVICES_REAL_POP_FC">"c8086"</definedName>
    <definedName name="IQ_IMPORTS_SERVICES_REAL_YOY">"c7426"</definedName>
    <definedName name="IQ_IMPORTS_SERVICES_REAL_YOY_FC">"c8306"</definedName>
    <definedName name="IQ_IMPORTS_SERVICES_YOY">"c11860"</definedName>
    <definedName name="IQ_IMPUT_OPER_LEASE_DEPR">"c2987"</definedName>
    <definedName name="IQ_IMPUT_OPER_LEASE_INT_EXP">"c2986"</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"c6222"</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CIDENTAL_CHANGES_BUSINESS_COMBINATIONS_FDIC">"c6502"</definedName>
    <definedName name="IQ_INCOME_BEFORE_EXTRA_FDIC">"c6585"</definedName>
    <definedName name="IQ_INCOME_EARNED_FDIC">"c6359"</definedName>
    <definedName name="IQ_INCOME_TAXES_FDIC">"c6582"</definedName>
    <definedName name="IQ_INDEX_LEADING_IND">"c6894"</definedName>
    <definedName name="IQ_INDEX_LEADING_IND_APR">"c7554"</definedName>
    <definedName name="IQ_INDEX_LEADING_IND_APR_FC">"c8434"</definedName>
    <definedName name="IQ_INDEX_LEADING_IND_FC">"c7774"</definedName>
    <definedName name="IQ_INDEX_LEADING_IND_POP">"c7114"</definedName>
    <definedName name="IQ_INDEX_LEADING_IND_POP_FC">"c7994"</definedName>
    <definedName name="IQ_INDEX_LEADING_IND_YOY">"c7334"</definedName>
    <definedName name="IQ_INDEX_LEADING_IND_YOY_FC">"c8214"</definedName>
    <definedName name="IQ_INDICATED_ATTRIB_ORE_RESOURCES_ALUM">"c9238"</definedName>
    <definedName name="IQ_INDICATED_ATTRIB_ORE_RESOURCES_COP">"c9182"</definedName>
    <definedName name="IQ_INDICATED_ATTRIB_ORE_RESOURCES_DIAM">"c9662"</definedName>
    <definedName name="IQ_INDICATED_ATTRIB_ORE_RESOURCES_GOLD">"c9023"</definedName>
    <definedName name="IQ_INDICATED_ATTRIB_ORE_RESOURCES_IRON">"c9397"</definedName>
    <definedName name="IQ_INDICATED_ATTRIB_ORE_RESOURCES_LEAD">"c9450"</definedName>
    <definedName name="IQ_INDICATED_ATTRIB_ORE_RESOURCES_MANG">"c9503"</definedName>
    <definedName name="IQ_INDICATED_ATTRIB_ORE_RESOURCES_MOLYB">"c9715"</definedName>
    <definedName name="IQ_INDICATED_ATTRIB_ORE_RESOURCES_NICK">"c9291"</definedName>
    <definedName name="IQ_INDICATED_ATTRIB_ORE_RESOURCES_PLAT">"c9129"</definedName>
    <definedName name="IQ_INDICATED_ATTRIB_ORE_RESOURCES_SILVER">"c9076"</definedName>
    <definedName name="IQ_INDICATED_ATTRIB_ORE_RESOURCES_TITAN">"c9556"</definedName>
    <definedName name="IQ_INDICATED_ATTRIB_ORE_RESOURCES_URAN">"c9609"</definedName>
    <definedName name="IQ_INDICATED_ATTRIB_ORE_RESOURCES_ZINC">"c9344"</definedName>
    <definedName name="IQ_INDICATED_ORE_RESOURCES_ALUM">"c9224"</definedName>
    <definedName name="IQ_INDICATED_ORE_RESOURCES_COP">"c9168"</definedName>
    <definedName name="IQ_INDICATED_ORE_RESOURCES_DIAM">"c9648"</definedName>
    <definedName name="IQ_INDICATED_ORE_RESOURCES_GOLD">"c9009"</definedName>
    <definedName name="IQ_INDICATED_ORE_RESOURCES_IRON">"c9383"</definedName>
    <definedName name="IQ_INDICATED_ORE_RESOURCES_LEAD">"c9436"</definedName>
    <definedName name="IQ_INDICATED_ORE_RESOURCES_MANG">"c9489"</definedName>
    <definedName name="IQ_INDICATED_ORE_RESOURCES_MOLYB">"c9701"</definedName>
    <definedName name="IQ_INDICATED_ORE_RESOURCES_NICK">"c9277"</definedName>
    <definedName name="IQ_INDICATED_ORE_RESOURCES_PLAT">"c9115"</definedName>
    <definedName name="IQ_INDICATED_ORE_RESOURCES_SILVER">"c9062"</definedName>
    <definedName name="IQ_INDICATED_ORE_RESOURCES_TITAN">"c9542"</definedName>
    <definedName name="IQ_INDICATED_ORE_RESOURCES_URAN">"c9595"</definedName>
    <definedName name="IQ_INDICATED_ORE_RESOURCES_ZINC">"c9330"</definedName>
    <definedName name="IQ_INDICATED_RECOV_ATTRIB_RESOURCES_ALUM">"c9243"</definedName>
    <definedName name="IQ_INDICATED_RECOV_ATTRIB_RESOURCES_COAL">"c9817"</definedName>
    <definedName name="IQ_INDICATED_RECOV_ATTRIB_RESOURCES_COP">"c9187"</definedName>
    <definedName name="IQ_INDICATED_RECOV_ATTRIB_RESOURCES_DIAM">"c9667"</definedName>
    <definedName name="IQ_INDICATED_RECOV_ATTRIB_RESOURCES_GOLD">"c9028"</definedName>
    <definedName name="IQ_INDICATED_RECOV_ATTRIB_RESOURCES_IRON">"c9402"</definedName>
    <definedName name="IQ_INDICATED_RECOV_ATTRIB_RESOURCES_LEAD">"c9455"</definedName>
    <definedName name="IQ_INDICATED_RECOV_ATTRIB_RESOURCES_MANG">"c9508"</definedName>
    <definedName name="IQ_INDICATED_RECOV_ATTRIB_RESOURCES_MET_COAL">"c9757"</definedName>
    <definedName name="IQ_INDICATED_RECOV_ATTRIB_RESOURCES_MOLYB">"c9720"</definedName>
    <definedName name="IQ_INDICATED_RECOV_ATTRIB_RESOURCES_NICK">"c9296"</definedName>
    <definedName name="IQ_INDICATED_RECOV_ATTRIB_RESOURCES_PLAT">"c9134"</definedName>
    <definedName name="IQ_INDICATED_RECOV_ATTRIB_RESOURCES_SILVER">"c9081"</definedName>
    <definedName name="IQ_INDICATED_RECOV_ATTRIB_RESOURCES_STEAM">"c9787"</definedName>
    <definedName name="IQ_INDICATED_RECOV_ATTRIB_RESOURCES_TITAN">"c9561"</definedName>
    <definedName name="IQ_INDICATED_RECOV_ATTRIB_RESOURCES_URAN">"c9614"</definedName>
    <definedName name="IQ_INDICATED_RECOV_ATTRIB_RESOURCES_ZINC">"c9349"</definedName>
    <definedName name="IQ_INDICATED_RECOV_RESOURCES_ALUM">"c9233"</definedName>
    <definedName name="IQ_INDICATED_RECOV_RESOURCES_COAL">"c9812"</definedName>
    <definedName name="IQ_INDICATED_RECOV_RESOURCES_COP">"c9177"</definedName>
    <definedName name="IQ_INDICATED_RECOV_RESOURCES_DIAM">"c9657"</definedName>
    <definedName name="IQ_INDICATED_RECOV_RESOURCES_GOLD">"c9018"</definedName>
    <definedName name="IQ_INDICATED_RECOV_RESOURCES_IRON">"c9392"</definedName>
    <definedName name="IQ_INDICATED_RECOV_RESOURCES_LEAD">"c9445"</definedName>
    <definedName name="IQ_INDICATED_RECOV_RESOURCES_MANG">"c9498"</definedName>
    <definedName name="IQ_INDICATED_RECOV_RESOURCES_MET_COAL">"c9752"</definedName>
    <definedName name="IQ_INDICATED_RECOV_RESOURCES_MOLYB">"c9710"</definedName>
    <definedName name="IQ_INDICATED_RECOV_RESOURCES_NICK">"c9286"</definedName>
    <definedName name="IQ_INDICATED_RECOV_RESOURCES_PLAT">"c9124"</definedName>
    <definedName name="IQ_INDICATED_RECOV_RESOURCES_SILVER">"c9071"</definedName>
    <definedName name="IQ_INDICATED_RECOV_RESOURCES_STEAM">"c9782"</definedName>
    <definedName name="IQ_INDICATED_RECOV_RESOURCES_TITAN">"c9551"</definedName>
    <definedName name="IQ_INDICATED_RECOV_RESOURCES_URAN">"c9604"</definedName>
    <definedName name="IQ_INDICATED_RECOV_RESOURCES_ZINC">"c9339"</definedName>
    <definedName name="IQ_INDICATED_RESOURCES_CALORIFIC_VALUE_COAL">"c9807"</definedName>
    <definedName name="IQ_INDICATED_RESOURCES_CALORIFIC_VALUE_MET_COAL">"c9747"</definedName>
    <definedName name="IQ_INDICATED_RESOURCES_CALORIFIC_VALUE_STEAM">"c9777"</definedName>
    <definedName name="IQ_INDICATED_RESOURCES_GRADE_ALUM">"c9225"</definedName>
    <definedName name="IQ_INDICATED_RESOURCES_GRADE_COP">"c9169"</definedName>
    <definedName name="IQ_INDICATED_RESOURCES_GRADE_DIAM">"c9649"</definedName>
    <definedName name="IQ_INDICATED_RESOURCES_GRADE_GOLD">"c9010"</definedName>
    <definedName name="IQ_INDICATED_RESOURCES_GRADE_IRON">"c9384"</definedName>
    <definedName name="IQ_INDICATED_RESOURCES_GRADE_LEAD">"c9437"</definedName>
    <definedName name="IQ_INDICATED_RESOURCES_GRADE_MANG">"c9490"</definedName>
    <definedName name="IQ_INDICATED_RESOURCES_GRADE_MOLYB">"c9702"</definedName>
    <definedName name="IQ_INDICATED_RESOURCES_GRADE_NICK">"c9278"</definedName>
    <definedName name="IQ_INDICATED_RESOURCES_GRADE_PLAT">"c9116"</definedName>
    <definedName name="IQ_INDICATED_RESOURCES_GRADE_SILVER">"c9063"</definedName>
    <definedName name="IQ_INDICATED_RESOURCES_GRADE_TITAN">"c9543"</definedName>
    <definedName name="IQ_INDICATED_RESOURCES_GRADE_URAN">"c9596"</definedName>
    <definedName name="IQ_INDICATED_RESOURCES_GRADE_ZINC">"c9331"</definedName>
    <definedName name="IQ_INDIVIDUALS_CHARGE_OFFS_FDIC">"c6599"</definedName>
    <definedName name="IQ_INDIVIDUALS_LOANS_FDIC">"c6318"</definedName>
    <definedName name="IQ_INDIVIDUALS_NET_CHARGE_OFFS_FDIC">"c6637"</definedName>
    <definedName name="IQ_INDIVIDUALS_OTHER_LOANS_FDIC">"c6321"</definedName>
    <definedName name="IQ_INDIVIDUALS_PARTNERSHIPS_CORP_DEPOSITS_FOREIGN_FDIC">"c6479"</definedName>
    <definedName name="IQ_INDIVIDUALS_PARTNERSHIPS_CORP_NONTRANSACTION_ACCOUNTS_FDIC">"c6545"</definedName>
    <definedName name="IQ_INDIVIDUALS_PARTNERSHIPS_CORP_TOTAL_DEPOSITS_FDIC">"c6471"</definedName>
    <definedName name="IQ_INDIVIDUALS_PARTNERSHIPS_CORP_TRANSACTION_ACCOUNTS_FDIC">"c6537"</definedName>
    <definedName name="IQ_INDIVIDUALS_RECOVERIES_FDIC">"c6618"</definedName>
    <definedName name="IQ_INDUSTRIAL_PROD">"c6895"</definedName>
    <definedName name="IQ_INDUSTRIAL_PROD_APR">"c7555"</definedName>
    <definedName name="IQ_INDUSTRIAL_PROD_APR_FC">"c8435"</definedName>
    <definedName name="IQ_INDUSTRIAL_PROD_FC">"c7775"</definedName>
    <definedName name="IQ_INDUSTRIAL_PROD_POP">"c7115"</definedName>
    <definedName name="IQ_INDUSTRIAL_PROD_POP_FC">"c7995"</definedName>
    <definedName name="IQ_INDUSTRIAL_PROD_YOY">"c7335"</definedName>
    <definedName name="IQ_INDUSTRIAL_PROD_YOY_FC">"c8215"</definedName>
    <definedName name="IQ_INDUSTRY">"c3601"</definedName>
    <definedName name="IQ_INDUSTRY_GROUP">"c3602"</definedName>
    <definedName name="IQ_INDUSTRY_SECTOR">"c3603"</definedName>
    <definedName name="IQ_INFERRED_ATTRIB_ORE_RESOURCES_ALUM">"c9240"</definedName>
    <definedName name="IQ_INFERRED_ATTRIB_ORE_RESOURCES_COP">"c9184"</definedName>
    <definedName name="IQ_INFERRED_ATTRIB_ORE_RESOURCES_DIAM">"c9664"</definedName>
    <definedName name="IQ_INFERRED_ATTRIB_ORE_RESOURCES_GOLD">"c9025"</definedName>
    <definedName name="IQ_INFERRED_ATTRIB_ORE_RESOURCES_IRON">"c9399"</definedName>
    <definedName name="IQ_INFERRED_ATTRIB_ORE_RESOURCES_LEAD">"c9452"</definedName>
    <definedName name="IQ_INFERRED_ATTRIB_ORE_RESOURCES_MANG">"c9505"</definedName>
    <definedName name="IQ_INFERRED_ATTRIB_ORE_RESOURCES_MOLYB">"c9717"</definedName>
    <definedName name="IQ_INFERRED_ATTRIB_ORE_RESOURCES_NICK">"c9293"</definedName>
    <definedName name="IQ_INFERRED_ATTRIB_ORE_RESOURCES_PLAT">"c9131"</definedName>
    <definedName name="IQ_INFERRED_ATTRIB_ORE_RESOURCES_SILVER">"c9078"</definedName>
    <definedName name="IQ_INFERRED_ATTRIB_ORE_RESOURCES_TITAN">"c9558"</definedName>
    <definedName name="IQ_INFERRED_ATTRIB_ORE_RESOURCES_URAN">"c9611"</definedName>
    <definedName name="IQ_INFERRED_ATTRIB_ORE_RESOURCES_ZINC">"c9346"</definedName>
    <definedName name="IQ_INFERRED_ORE_RESOURCES_ALUM">"c9228"</definedName>
    <definedName name="IQ_INFERRED_ORE_RESOURCES_COP">"c9172"</definedName>
    <definedName name="IQ_INFERRED_ORE_RESOURCES_DIAM">"c9652"</definedName>
    <definedName name="IQ_INFERRED_ORE_RESOURCES_GOLD">"c9013"</definedName>
    <definedName name="IQ_INFERRED_ORE_RESOURCES_IRON">"c9387"</definedName>
    <definedName name="IQ_INFERRED_ORE_RESOURCES_LEAD">"c9440"</definedName>
    <definedName name="IQ_INFERRED_ORE_RESOURCES_MANG">"c9493"</definedName>
    <definedName name="IQ_INFERRED_ORE_RESOURCES_MOLYB">"c9705"</definedName>
    <definedName name="IQ_INFERRED_ORE_RESOURCES_NICK">"c9281"</definedName>
    <definedName name="IQ_INFERRED_ORE_RESOURCES_PLAT">"c9119"</definedName>
    <definedName name="IQ_INFERRED_ORE_RESOURCES_SILVER">"c9066"</definedName>
    <definedName name="IQ_INFERRED_ORE_RESOURCES_TITAN">"c9546"</definedName>
    <definedName name="IQ_INFERRED_ORE_RESOURCES_URAN">"c9599"</definedName>
    <definedName name="IQ_INFERRED_ORE_RESOURCES_ZINC">"c9334"</definedName>
    <definedName name="IQ_INFERRED_RECOV_ATTRIB_RESOURCES_ALUM">"c9245"</definedName>
    <definedName name="IQ_INFERRED_RECOV_ATTRIB_RESOURCES_COAL">"c9819"</definedName>
    <definedName name="IQ_INFERRED_RECOV_ATTRIB_RESOURCES_COP">"c9189"</definedName>
    <definedName name="IQ_INFERRED_RECOV_ATTRIB_RESOURCES_DIAM">"c9669"</definedName>
    <definedName name="IQ_INFERRED_RECOV_ATTRIB_RESOURCES_GOLD">"c9030"</definedName>
    <definedName name="IQ_INFERRED_RECOV_ATTRIB_RESOURCES_IRON">"c9404"</definedName>
    <definedName name="IQ_INFERRED_RECOV_ATTRIB_RESOURCES_LEAD">"c9457"</definedName>
    <definedName name="IQ_INFERRED_RECOV_ATTRIB_RESOURCES_MANG">"c9510"</definedName>
    <definedName name="IQ_INFERRED_RECOV_ATTRIB_RESOURCES_MET_COAL">"c9759"</definedName>
    <definedName name="IQ_INFERRED_RECOV_ATTRIB_RESOURCES_MOLYB">"c9722"</definedName>
    <definedName name="IQ_INFERRED_RECOV_ATTRIB_RESOURCES_NICK">"c9298"</definedName>
    <definedName name="IQ_INFERRED_RECOV_ATTRIB_RESOURCES_PLAT">"c9136"</definedName>
    <definedName name="IQ_INFERRED_RECOV_ATTRIB_RESOURCES_SILVER">"c9083"</definedName>
    <definedName name="IQ_INFERRED_RECOV_ATTRIB_RESOURCES_STEAM">"c9789"</definedName>
    <definedName name="IQ_INFERRED_RECOV_ATTRIB_RESOURCES_TITAN">"c9563"</definedName>
    <definedName name="IQ_INFERRED_RECOV_ATTRIB_RESOURCES_URAN">"c9616"</definedName>
    <definedName name="IQ_INFERRED_RECOV_ATTRIB_RESOURCES_ZINC">"c9351"</definedName>
    <definedName name="IQ_INFERRED_RECOV_RESOURCES_ALUM">"c9235"</definedName>
    <definedName name="IQ_INFERRED_RECOV_RESOURCES_COAL">"c9814"</definedName>
    <definedName name="IQ_INFERRED_RECOV_RESOURCES_COP">"c9179"</definedName>
    <definedName name="IQ_INFERRED_RECOV_RESOURCES_DIAM">"c9659"</definedName>
    <definedName name="IQ_INFERRED_RECOV_RESOURCES_GOLD">"c9020"</definedName>
    <definedName name="IQ_INFERRED_RECOV_RESOURCES_IRON">"c9394"</definedName>
    <definedName name="IQ_INFERRED_RECOV_RESOURCES_LEAD">"c9447"</definedName>
    <definedName name="IQ_INFERRED_RECOV_RESOURCES_MANG">"c9500"</definedName>
    <definedName name="IQ_INFERRED_RECOV_RESOURCES_MET_COAL">"c9754"</definedName>
    <definedName name="IQ_INFERRED_RECOV_RESOURCES_MOLYB">"c9712"</definedName>
    <definedName name="IQ_INFERRED_RECOV_RESOURCES_NICK">"c9288"</definedName>
    <definedName name="IQ_INFERRED_RECOV_RESOURCES_PLAT">"c9126"</definedName>
    <definedName name="IQ_INFERRED_RECOV_RESOURCES_SILVER">"c9073"</definedName>
    <definedName name="IQ_INFERRED_RECOV_RESOURCES_STEAM">"c9784"</definedName>
    <definedName name="IQ_INFERRED_RECOV_RESOURCES_TITAN">"c9553"</definedName>
    <definedName name="IQ_INFERRED_RECOV_RESOURCES_URAN">"c9606"</definedName>
    <definedName name="IQ_INFERRED_RECOV_RESOURCES_ZINC">"c9341"</definedName>
    <definedName name="IQ_INFERRED_RESOURCES_CALORIFIC_VALUE_COAL">"c9809"</definedName>
    <definedName name="IQ_INFERRED_RESOURCES_CALORIFIC_VALUE_MET_COAL">"c9749"</definedName>
    <definedName name="IQ_INFERRED_RESOURCES_CALORIFIC_VALUE_STEAM">"c9779"</definedName>
    <definedName name="IQ_INFERRED_RESOURCES_GRADE_ALUM">"c9229"</definedName>
    <definedName name="IQ_INFERRED_RESOURCES_GRADE_COP">"c9173"</definedName>
    <definedName name="IQ_INFERRED_RESOURCES_GRADE_DIAM">"c9653"</definedName>
    <definedName name="IQ_INFERRED_RESOURCES_GRADE_GOLD">"c9014"</definedName>
    <definedName name="IQ_INFERRED_RESOURCES_GRADE_IRON">"c9388"</definedName>
    <definedName name="IQ_INFERRED_RESOURCES_GRADE_LEAD">"c9441"</definedName>
    <definedName name="IQ_INFERRED_RESOURCES_GRADE_MANG">"c9494"</definedName>
    <definedName name="IQ_INFERRED_RESOURCES_GRADE_MOLYB">"c9706"</definedName>
    <definedName name="IQ_INFERRED_RESOURCES_GRADE_NICK">"c9282"</definedName>
    <definedName name="IQ_INFERRED_RESOURCES_GRADE_PLAT">"c9120"</definedName>
    <definedName name="IQ_INFERRED_RESOURCES_GRADE_SILVER">"c9067"</definedName>
    <definedName name="IQ_INFERRED_RESOURCES_GRADE_TITAN">"c9547"</definedName>
    <definedName name="IQ_INFERRED_RESOURCES_GRADE_URAN">"c9600"</definedName>
    <definedName name="IQ_INFERRED_RESOURCES_GRADE_ZINC">"c9335"</definedName>
    <definedName name="IQ_INFLATION_RATE">"c6899"</definedName>
    <definedName name="IQ_INFLATION_RATE_CORE">"c11783"</definedName>
    <definedName name="IQ_INFLATION_RATE_CORE_POP">"c11784"</definedName>
    <definedName name="IQ_INFLATION_RATE_CORE_YOY">"c11785"</definedName>
    <definedName name="IQ_INFLATION_RATE_FC">"c7779"</definedName>
    <definedName name="IQ_INFLATION_RATE_POP">"c7119"</definedName>
    <definedName name="IQ_INFLATION_RATE_POP_FC">"c7999"</definedName>
    <definedName name="IQ_INFLATION_RATE_YOY">"c7339"</definedName>
    <definedName name="IQ_INFLATION_RATE_YOY_FC">"c8219"</definedName>
    <definedName name="IQ_INITIAL_CLAIMS">"c6900"</definedName>
    <definedName name="IQ_INITIAL_CLAIMS_APR">"c7560"</definedName>
    <definedName name="IQ_INITIAL_CLAIMS_APR_FC">"c8440"</definedName>
    <definedName name="IQ_INITIAL_CLAIMS_FC">"c7780"</definedName>
    <definedName name="IQ_INITIAL_CLAIMS_POP">"c7120"</definedName>
    <definedName name="IQ_INITIAL_CLAIMS_POP_FC">"c8000"</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"c6223"</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LOANS_FDIC">"c6365"</definedName>
    <definedName name="IQ_INSIDER_OVER_TOTAL">"c1581"</definedName>
    <definedName name="IQ_INSIDER_OWNER">"c577"</definedName>
    <definedName name="IQ_INSIDER_PERCENT">"c578"</definedName>
    <definedName name="IQ_INSIDER_SHARES">"c579"</definedName>
    <definedName name="IQ_INST_DEPOSITS">"c89"</definedName>
    <definedName name="IQ_INSTITUTIONAL_OVER_TOTAL">"c1580"</definedName>
    <definedName name="IQ_INSTITUTIONAL_OWNER">"c580"</definedName>
    <definedName name="IQ_INSTITUTIONAL_PERCENT">"c581"</definedName>
    <definedName name="IQ_INSTITUTIONAL_SHARES">"c582"</definedName>
    <definedName name="IQ_INSTITUTIONS_EARNINGS_GAINS_FDIC">"c6723"</definedName>
    <definedName name="IQ_INSUR_RECEIV">"c1600"</definedName>
    <definedName name="IQ_INSURANCE_COMMISSION_FEES_FDIC">"c6670"</definedName>
    <definedName name="IQ_INSURANCE_UNDERWRITING_INCOME_FDIC">"c6671"</definedName>
    <definedName name="IQ_INT_BEARING_DEPOSITS">"c1166"</definedName>
    <definedName name="IQ_INT_BORROW">"c583"</definedName>
    <definedName name="IQ_INT_DEMAND_NOTES_FDIC">"c6567"</definedName>
    <definedName name="IQ_INT_DEPOSITS">"c584"</definedName>
    <definedName name="IQ_INT_DIV_INC">"c585"</definedName>
    <definedName name="IQ_INT_DOMESTIC_DEPOSITS_FDIC">"c6564"</definedName>
    <definedName name="IQ_INT_EXP_BR">"c586"</definedName>
    <definedName name="IQ_INT_EXP_COVERAGE">"c587"</definedName>
    <definedName name="IQ_INT_EXP_FIN">"c588"</definedName>
    <definedName name="IQ_INT_EXP_INCL_CAP">"c2988"</definedName>
    <definedName name="IQ_INT_EXP_INS">"c589"</definedName>
    <definedName name="IQ_INT_EXP_LTD">"c2086"</definedName>
    <definedName name="IQ_INT_EXP_RE">"c6224"</definedName>
    <definedName name="IQ_INT_EXP_REIT">"c590"</definedName>
    <definedName name="IQ_INT_EXP_TOTAL">"c591"</definedName>
    <definedName name="IQ_INT_EXP_TOTAL_BNK_SUBTOTAL_AP">"c8977"</definedName>
    <definedName name="IQ_INT_EXP_TOTAL_FDIC">"c6569"</definedName>
    <definedName name="IQ_INT_EXP_UTI">"c592"</definedName>
    <definedName name="IQ_INT_FED_FUNDS_FDIC">"c6566"</definedName>
    <definedName name="IQ_INT_FOREIGN_DEPOSITS_FDIC">"c6565"</definedName>
    <definedName name="IQ_INT_INC_BR">"c593"</definedName>
    <definedName name="IQ_INT_INC_DEPOSITORY_INST_FDIC">"c6558"</definedName>
    <definedName name="IQ_INT_INC_DOM_LOANS_FDIC">"c6555"</definedName>
    <definedName name="IQ_INT_INC_FED_FUNDS_FDIC">"c6561"</definedName>
    <definedName name="IQ_INT_INC_FIN">"c594"</definedName>
    <definedName name="IQ_INT_INC_FOREIGN_LOANS_FDIC">"c6556"</definedName>
    <definedName name="IQ_INT_INC_INVEST">"c595"</definedName>
    <definedName name="IQ_INT_INC_LEASE_RECEIVABLES_FDIC">"c6557"</definedName>
    <definedName name="IQ_INT_INC_LOANS">"c596"</definedName>
    <definedName name="IQ_INT_INC_OTHER_FDIC">"c6562"</definedName>
    <definedName name="IQ_INT_INC_RE">"c6225"</definedName>
    <definedName name="IQ_INT_INC_REIT">"c597"</definedName>
    <definedName name="IQ_INT_INC_SECURITIES_FDIC">"c6559"</definedName>
    <definedName name="IQ_INT_INC_TOTAL">"c598"</definedName>
    <definedName name="IQ_INT_INC_TOTAL_BNK_SUBTOTAL_AP">"c8976"</definedName>
    <definedName name="IQ_INT_INC_TOTAL_FDIC">"c6563"</definedName>
    <definedName name="IQ_INT_INC_TRADING_ACCOUNTS_FDIC">"c6560"</definedName>
    <definedName name="IQ_INT_INC_UTI">"c599"</definedName>
    <definedName name="IQ_INT_INV_INC">"c600"</definedName>
    <definedName name="IQ_INT_INV_INC_RE">"c6226"</definedName>
    <definedName name="IQ_INT_INV_INC_REIT">"c601"</definedName>
    <definedName name="IQ_INT_INV_INC_UTI">"c602"</definedName>
    <definedName name="IQ_INT_ON_BORROWING_COVERAGE">"c603"</definedName>
    <definedName name="IQ_INT_RATE_SPREAD">"c604"</definedName>
    <definedName name="IQ_INT_SUB_NOTES_FDIC">"c6568"</definedName>
    <definedName name="IQ_INTANGIBLES_NET">"c1407"</definedName>
    <definedName name="IQ_INTEREST_BEARING_BALANCES_FDIC">"c6371"</definedName>
    <definedName name="IQ_INTEREST_BEARING_DEPOSITS_DOMESTIC_FDIC">"c6478"</definedName>
    <definedName name="IQ_INTEREST_BEARING_DEPOSITS_FDIC">"c6373"</definedName>
    <definedName name="IQ_INTEREST_BEARING_DEPOSITS_FOREIGN_FDIC">"c6485"</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TEREST_RATE_CONTRACTS_FDIC">"c6512"</definedName>
    <definedName name="IQ_INTEREST_RATE_EXPOSURES_FDIC">"c6662"</definedName>
    <definedName name="IQ_INV_10YR_ANN_CAGR">"c6164"</definedName>
    <definedName name="IQ_INV_10YR_ANN_GROWTH">"c1930"</definedName>
    <definedName name="IQ_INV_1YR_ANN_GROWTH">"c1925"</definedName>
    <definedName name="IQ_INV_2YR_ANN_CAGR">"c6160"</definedName>
    <definedName name="IQ_INV_2YR_ANN_GROWTH">"c1926"</definedName>
    <definedName name="IQ_INV_3YR_ANN_CAGR">"c6161"</definedName>
    <definedName name="IQ_INV_3YR_ANN_GROWTH">"c1927"</definedName>
    <definedName name="IQ_INV_5YR_ANN_CAGR">"c6162"</definedName>
    <definedName name="IQ_INV_5YR_ANN_GROWTH">"c1928"</definedName>
    <definedName name="IQ_INV_7YR_ANN_CAGR">"c6163"</definedName>
    <definedName name="IQ_INV_7YR_ANN_GROWTH">"c1929"</definedName>
    <definedName name="IQ_INV_BANKING_FEE">"c620"</definedName>
    <definedName name="IQ_INV_METHOD">"c621"</definedName>
    <definedName name="IQ_INVENTORIES">"c6901"</definedName>
    <definedName name="IQ_INVENTORIES_APR">"c7561"</definedName>
    <definedName name="IQ_INVENTORIES_APR_FC">"c8441"</definedName>
    <definedName name="IQ_INVENTORIES_FC">"c7781"</definedName>
    <definedName name="IQ_INVENTORIES_POP">"c7121"</definedName>
    <definedName name="IQ_INVENTORIES_POP_FC">"c8001"</definedName>
    <definedName name="IQ_INVENTORIES_YOY">"c7341"</definedName>
    <definedName name="IQ_INVENTORIES_YOY_FC">"c8221"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GOV_SECURITY">"c5510"</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"c6227"</definedName>
    <definedName name="IQ_INVEST_LOANS_CF_REIT">"c633"</definedName>
    <definedName name="IQ_INVEST_LOANS_CF_UTI">"c634"</definedName>
    <definedName name="IQ_INVEST_MUNI_SECURITY">"c5512"</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"c6228"</definedName>
    <definedName name="IQ_INVEST_SECURITY_CF_REIT">"c642"</definedName>
    <definedName name="IQ_INVEST_SECURITY_CF_UTI">"c643"</definedName>
    <definedName name="IQ_INVEST_SECURITY_SUPPL">"c5511"</definedName>
    <definedName name="IQ_INVESTMENT_BANKING_OTHER_FEES_FDIC">"c6666"</definedName>
    <definedName name="IQ_IPRD">"c644"</definedName>
    <definedName name="IQ_IRA_KEOGH_ACCOUNTS_FDIC">"c6496"</definedName>
    <definedName name="IQ_ISM_INDEX">"c6902"</definedName>
    <definedName name="IQ_ISM_INDEX_APR">"c7562"</definedName>
    <definedName name="IQ_ISM_INDEX_APR_FC">"c8442"</definedName>
    <definedName name="IQ_ISM_INDEX_FC">"c7782"</definedName>
    <definedName name="IQ_ISM_INDEX_POP">"c7122"</definedName>
    <definedName name="IQ_ISM_INDEX_POP_FC">"c8002"</definedName>
    <definedName name="IQ_ISM_INDEX_YOY">"c7342"</definedName>
    <definedName name="IQ_ISM_INDEX_YOY_FC">"c8222"</definedName>
    <definedName name="IQ_ISM_SERVICES_APR_FC_UNUSED_UNUSED_UNUSED">"c8443"</definedName>
    <definedName name="IQ_ISM_SERVICES_APR_UNUSED_UNUSED_UNUSED">"c7563"</definedName>
    <definedName name="IQ_ISM_SERVICES_FC_UNUSED_UNUSED_UNUSED">"c7783"</definedName>
    <definedName name="IQ_ISM_SERVICES_INDEX">"c11862"</definedName>
    <definedName name="IQ_ISM_SERVICES_INDEX_APR">"c11865"</definedName>
    <definedName name="IQ_ISM_SERVICES_INDEX_POP">"c11863"</definedName>
    <definedName name="IQ_ISM_SERVICES_INDEX_YOY">"c11864"</definedName>
    <definedName name="IQ_ISM_SERVICES_POP_FC_UNUSED_UNUSED_UNUSED">"c8003"</definedName>
    <definedName name="IQ_ISM_SERVICES_POP_UNUSED_UNUSED_UNUSED">"c7123"</definedName>
    <definedName name="IQ_ISM_SERVICES_UNUSED_UNUSED_UNUSED">"c6903"</definedName>
    <definedName name="IQ_ISM_SERVICES_YOY_FC_UNUSED_UNUSED_UNUSED">"c8223"</definedName>
    <definedName name="IQ_ISM_SERVICES_YOY_UNUSED_UNUSED_UNUSED">"c7343"</definedName>
    <definedName name="IQ_ISS_DEBT_NET">"c1391"</definedName>
    <definedName name="IQ_ISS_STOCK_NET">"c1601"</definedName>
    <definedName name="IQ_ISSUE_CURRENCY">"c2156"</definedName>
    <definedName name="IQ_ISSUE_NAME">"c2142"</definedName>
    <definedName name="IQ_ISSUED_GUARANTEED_US_FDIC">"c6404"</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LAND">"c645"</definedName>
    <definedName name="IQ_LARGE_CAP_LABOR_COST_INDEX">"c6904"</definedName>
    <definedName name="IQ_LARGE_CAP_LABOR_COST_INDEX_APR">"c7564"</definedName>
    <definedName name="IQ_LARGE_CAP_LABOR_COST_INDEX_APR_FC">"c8444"</definedName>
    <definedName name="IQ_LARGE_CAP_LABOR_COST_INDEX_FC">"c7784"</definedName>
    <definedName name="IQ_LARGE_CAP_LABOR_COST_INDEX_POP">"c7124"</definedName>
    <definedName name="IQ_LARGE_CAP_LABOR_COST_INDEX_POP_FC">"c8004"</definedName>
    <definedName name="IQ_LARGE_CAP_LABOR_COST_INDEX_YOY">"c7344"</definedName>
    <definedName name="IQ_LARGE_CAP_LABOR_COST_INDEX_YOY_FC">"c8224"</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K">1000</definedName>
    <definedName name="IQ_LATESTQ">500</definedName>
    <definedName name="IQ_LEASE_FINANCING_RECEIVABLES_CHARGE_OFFS_FDIC">"c6602"</definedName>
    <definedName name="IQ_LEASE_FINANCING_RECEIVABLES_FDIC">"c6433"</definedName>
    <definedName name="IQ_LEASE_FINANCING_RECEIVABLES_NET_CHARGE_OFFS_FDIC">"c6640"</definedName>
    <definedName name="IQ_LEASE_FINANCING_RECEIVABLES_RECOVERIES_FDIC">"c6621"</definedName>
    <definedName name="IQ_LEASE_FINANCING_RECEIVABLES_TOTAL_LOANS_FOREIGN_FDIC">"c6449"</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"c6229"</definedName>
    <definedName name="IQ_LEGAL_SETTLE_REIT">"c652"</definedName>
    <definedName name="IQ_LEGAL_SETTLE_UTI">"c653"</definedName>
    <definedName name="IQ_LEVERAGE_RATIO">"c654"</definedName>
    <definedName name="IQ_LEVERED_FCF">"c1907"</definedName>
    <definedName name="IQ_LFCF_10YR_ANN_CAGR">"c6174"</definedName>
    <definedName name="IQ_LFCF_10YR_ANN_GROWTH">"c1942"</definedName>
    <definedName name="IQ_LFCF_1YR_ANN_GROWTH">"c1937"</definedName>
    <definedName name="IQ_LFCF_2YR_ANN_CAGR">"c6170"</definedName>
    <definedName name="IQ_LFCF_2YR_ANN_GROWTH">"c1938"</definedName>
    <definedName name="IQ_LFCF_3YR_ANN_CAGR">"c6171"</definedName>
    <definedName name="IQ_LFCF_3YR_ANN_GROWTH">"c1939"</definedName>
    <definedName name="IQ_LFCF_5YR_ANN_CAGR">"c6172"</definedName>
    <definedName name="IQ_LFCF_5YR_ANN_GROWTH">"c1940"</definedName>
    <definedName name="IQ_LFCF_7YR_ANN_CAGR">"c6173"</definedName>
    <definedName name="IQ_LFCF_7YR_ANN_GROWTH">"c1941"</definedName>
    <definedName name="IQ_LFCF_MARGIN">"c1961"</definedName>
    <definedName name="IQ_LH_STATUTORY_SURPLUS">"c2771"</definedName>
    <definedName name="IQ_LIAB_AP">"c8886"</definedName>
    <definedName name="IQ_LIAB_AP_ABS">"c8905"</definedName>
    <definedName name="IQ_LIAB_NAME_AP">"c8924"</definedName>
    <definedName name="IQ_LIAB_NAME_AP_ABS">"c8943"</definedName>
    <definedName name="IQ_LICENSED_POPS">"c2123"</definedName>
    <definedName name="IQ_LIFE_EARNED">"c2739"</definedName>
    <definedName name="IQ_LIFE_INSURANCE_ASSETS_FDIC">"c6372"</definedName>
    <definedName name="IQ_LIFOR">"c655"</definedName>
    <definedName name="IQ_LL">"c656"</definedName>
    <definedName name="IQ_LOAN_COMMITMENTS_REVOLVING_FDIC">"c6524"</definedName>
    <definedName name="IQ_LOAN_LEASE_RECEIV">"c657"</definedName>
    <definedName name="IQ_LOAN_LOSS">"c1386"</definedName>
    <definedName name="IQ_LOAN_LOSS_ALLOW_FDIC">"c6326"</definedName>
    <definedName name="IQ_LOAN_LOSS_ALLOWANCE_NONCURRENT_LOANS_FDIC">"c6740"</definedName>
    <definedName name="IQ_LOAN_LOSSES_FDIC">"c6580"</definedName>
    <definedName name="IQ_LOAN_SERVICE_REV">"c658"</definedName>
    <definedName name="IQ_LOANS_AND_LEASES_HELD_FDIC">"c6367"</definedName>
    <definedName name="IQ_LOANS_CF">"c659"</definedName>
    <definedName name="IQ_LOANS_CF_BNK">"c660"</definedName>
    <definedName name="IQ_LOANS_CF_BR">"c661"</definedName>
    <definedName name="IQ_LOANS_CF_FIN">"c662"</definedName>
    <definedName name="IQ_LOANS_CF_INS">"c663"</definedName>
    <definedName name="IQ_LOANS_CF_RE">"c6230"</definedName>
    <definedName name="IQ_LOANS_CF_REIT">"c664"</definedName>
    <definedName name="IQ_LOANS_CF_UTI">"c665"</definedName>
    <definedName name="IQ_LOANS_DEPOSITORY_INSTITUTIONS_FDIC">"c6382"</definedName>
    <definedName name="IQ_LOANS_FOR_SALE">"c666"</definedName>
    <definedName name="IQ_LOANS_HELD_FOREIGN_FDIC">"c6315"</definedName>
    <definedName name="IQ_LOANS_LEASES_FOREIGN_FDIC">"c6383"</definedName>
    <definedName name="IQ_LOANS_LEASES_GROSS_FDIC">"c6323"</definedName>
    <definedName name="IQ_LOANS_LEASES_GROSS_FOREIGN_FDIC">"c6384"</definedName>
    <definedName name="IQ_LOANS_LEASES_NET_FDIC">"c6327"</definedName>
    <definedName name="IQ_LOANS_LEASES_NET_UNEARNED_FDIC">"c6325"</definedName>
    <definedName name="IQ_LOANS_NOT_SECURED_RE_FDIC">"c6381"</definedName>
    <definedName name="IQ_LOANS_PAST_DUE">"c667"</definedName>
    <definedName name="IQ_LOANS_RECEIV_CURRENT">"c668"</definedName>
    <definedName name="IQ_LOANS_RECEIV_LT">"c669"</definedName>
    <definedName name="IQ_LOANS_RECEIV_LT_UTI">"c670"</definedName>
    <definedName name="IQ_LOANS_SECURED_BY_RE_CHARGE_OFFS_FDIC">"c6588"</definedName>
    <definedName name="IQ_LOANS_SECURED_BY_RE_RECOVERIES_FDIC">"c6607"</definedName>
    <definedName name="IQ_LOANS_SECURED_NON_US_FDIC">"c6380"</definedName>
    <definedName name="IQ_LOANS_SECURED_RE_NET_CHARGE_OFFS_FDIC">"c6626"</definedName>
    <definedName name="IQ_LOANS_TO_DEPOSITORY_INSTITUTIONS_FOREIGN_FDIC">"c6453"</definedName>
    <definedName name="IQ_LOANS_TO_FOREIGN_GOVERNMENTS_FDIC">"c6448"</definedName>
    <definedName name="IQ_LOANS_TO_INDIVIDUALS_FOREIGN_FDIC">"c6452"</definedName>
    <definedName name="IQ_LONG_TERM_ASSETS_FDIC">"c6361"</definedName>
    <definedName name="IQ_LONG_TERM_DEBT">"c1387"</definedName>
    <definedName name="IQ_LONG_TERM_DEBT_OVER_TOTAL_CAP">"c1388"</definedName>
    <definedName name="IQ_LONG_TERM_GROWTH">"c671"</definedName>
    <definedName name="IQ_LONG_TERM_INV">"c1389"</definedName>
    <definedName name="IQ_LOSS_ALLOWANCE_LOANS_FDIC">"c6739"</definedName>
    <definedName name="IQ_LOSS_LOSS_EXP">"c672"</definedName>
    <definedName name="IQ_LOSS_TO_NET_EARNED">"c2751"</definedName>
    <definedName name="IQ_LOW_TARGET_PRICE">"c1652"</definedName>
    <definedName name="IQ_LOW_TARGET_PRICE_CIQ">"c4660"</definedName>
    <definedName name="IQ_LOW_TARGET_PRICE_REUT">"c5318"</definedName>
    <definedName name="IQ_LOW_TARGET_PRICE_THOM">"c5097"</definedName>
    <definedName name="IQ_LOWPRICE">"c673"</definedName>
    <definedName name="IQ_LT_ASSETS_AP">"c8882"</definedName>
    <definedName name="IQ_LT_ASSETS_AP_ABS">"c8901"</definedName>
    <definedName name="IQ_LT_ASSETS_NAME_AP">"c8920"</definedName>
    <definedName name="IQ_LT_ASSETS_NAME_AP_ABS">"c8939"</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"c6231"</definedName>
    <definedName name="IQ_LT_DEBT_ISSUED_REIT">"c686"</definedName>
    <definedName name="IQ_LT_DEBT_ISSUED_UTI">"c687"</definedName>
    <definedName name="IQ_LT_DEBT_RE">"c6232"</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"c6233"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"c6234"</definedName>
    <definedName name="IQ_LT_INVEST_REIT">"c700"</definedName>
    <definedName name="IQ_LT_INVEST_UTI">"c701"</definedName>
    <definedName name="IQ_LT_LIAB_AP">"c8885"</definedName>
    <definedName name="IQ_LT_LIAB_AP_ABS">"c8904"</definedName>
    <definedName name="IQ_LT_LIAB_NAME_AP">"c8923"</definedName>
    <definedName name="IQ_LT_LIAB_NAME_AP_ABS">"c8942"</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LTMMONTH">120000</definedName>
    <definedName name="IQ_M1">"c6906"</definedName>
    <definedName name="IQ_M1_APR">"c7566"</definedName>
    <definedName name="IQ_M1_APR_FC">"c8446"</definedName>
    <definedName name="IQ_M1_FC">"c7786"</definedName>
    <definedName name="IQ_M1_POP">"c7126"</definedName>
    <definedName name="IQ_M1_POP_FC">"c8006"</definedName>
    <definedName name="IQ_M1_YOY">"c7346"</definedName>
    <definedName name="IQ_M1_YOY_FC">"c8226"</definedName>
    <definedName name="IQ_M2">"c6907"</definedName>
    <definedName name="IQ_M2_APR">"c7567"</definedName>
    <definedName name="IQ_M2_APR_FC">"c8447"</definedName>
    <definedName name="IQ_M2_FC">"c7787"</definedName>
    <definedName name="IQ_M2_POP">"c7127"</definedName>
    <definedName name="IQ_M2_POP_FC">"c8007"</definedName>
    <definedName name="IQ_M2_YOY">"c7347"</definedName>
    <definedName name="IQ_M2_YOY_FC">"c8227"</definedName>
    <definedName name="IQ_M3">"c6908"</definedName>
    <definedName name="IQ_M3_APR">"c7568"</definedName>
    <definedName name="IQ_M3_APR_FC">"c8448"</definedName>
    <definedName name="IQ_M3_FC">"c7788"</definedName>
    <definedName name="IQ_M3_POP">"c7128"</definedName>
    <definedName name="IQ_M3_POP_FC">"c8008"</definedName>
    <definedName name="IQ_M3_YOY">"c7348"</definedName>
    <definedName name="IQ_M3_YOY_FC">"c8228"</definedName>
    <definedName name="IQ_MACHINERY">"c711"</definedName>
    <definedName name="IQ_MAINT_CAPEX">"c2947"</definedName>
    <definedName name="IQ_MAINT_CAPEX_ACT_OR_EST">"c4458"</definedName>
    <definedName name="IQ_MAINT_CAPEX_ACT_OR_EST_CIQ">"c4987"</definedName>
    <definedName name="IQ_MAINT_REPAIR">"c2087"</definedName>
    <definedName name="IQ_MAKE_WHOLE_END_DATE">"c2493"</definedName>
    <definedName name="IQ_MAKE_WHOLE_SPREAD">"c2494"</definedName>
    <definedName name="IQ_MAKE_WHOLE_START_DATE">"c2492"</definedName>
    <definedName name="IQ_MAN_INVENTORIES">"c6913"</definedName>
    <definedName name="IQ_MAN_INVENTORIES_APR">"c7573"</definedName>
    <definedName name="IQ_MAN_INVENTORIES_APR_FC">"c8453"</definedName>
    <definedName name="IQ_MAN_INVENTORIES_FC">"c7793"</definedName>
    <definedName name="IQ_MAN_INVENTORIES_POP">"c7133"</definedName>
    <definedName name="IQ_MAN_INVENTORIES_POP_FC">"c8013"</definedName>
    <definedName name="IQ_MAN_INVENTORIES_YOY">"c7353"</definedName>
    <definedName name="IQ_MAN_INVENTORIES_YOY_FC">"c8233"</definedName>
    <definedName name="IQ_MAN_IS_RATIO">"c6912"</definedName>
    <definedName name="IQ_MAN_IS_RATIO_APR">"c7572"</definedName>
    <definedName name="IQ_MAN_IS_RATIO_APR_FC">"c8452"</definedName>
    <definedName name="IQ_MAN_IS_RATIO_FC">"c7792"</definedName>
    <definedName name="IQ_MAN_IS_RATIO_POP">"c7132"</definedName>
    <definedName name="IQ_MAN_IS_RATIO_POP_FC">"c8012"</definedName>
    <definedName name="IQ_MAN_IS_RATIO_YOY">"c7352"</definedName>
    <definedName name="IQ_MAN_IS_RATIO_YOY_FC">"c8232"</definedName>
    <definedName name="IQ_MAN_ORDERS">"c6914"</definedName>
    <definedName name="IQ_MAN_ORDERS_APR">"c7574"</definedName>
    <definedName name="IQ_MAN_ORDERS_APR_FC">"c8454"</definedName>
    <definedName name="IQ_MAN_ORDERS_FC">"c7794"</definedName>
    <definedName name="IQ_MAN_ORDERS_POP">"c7134"</definedName>
    <definedName name="IQ_MAN_ORDERS_POP_FC">"c8014"</definedName>
    <definedName name="IQ_MAN_ORDERS_YOY">"c7354"</definedName>
    <definedName name="IQ_MAN_ORDERS_YOY_FC">"c8234"</definedName>
    <definedName name="IQ_MAN_OUTPUT_HR">"c6915"</definedName>
    <definedName name="IQ_MAN_OUTPUT_HR_APR">"c7575"</definedName>
    <definedName name="IQ_MAN_OUTPUT_HR_APR_FC">"c8455"</definedName>
    <definedName name="IQ_MAN_OUTPUT_HR_FC">"c7795"</definedName>
    <definedName name="IQ_MAN_OUTPUT_HR_POP">"c7135"</definedName>
    <definedName name="IQ_MAN_OUTPUT_HR_POP_FC">"c8015"</definedName>
    <definedName name="IQ_MAN_OUTPUT_HR_YOY">"c7355"</definedName>
    <definedName name="IQ_MAN_OUTPUT_HR_YOY_FC">"c8235"</definedName>
    <definedName name="IQ_MAN_PAYROLLS">"c6916"</definedName>
    <definedName name="IQ_MAN_PAYROLLS_APR">"c7576"</definedName>
    <definedName name="IQ_MAN_PAYROLLS_APR_FC">"c8456"</definedName>
    <definedName name="IQ_MAN_PAYROLLS_FC">"c7796"</definedName>
    <definedName name="IQ_MAN_PAYROLLS_POP">"c7136"</definedName>
    <definedName name="IQ_MAN_PAYROLLS_POP_FC">"c8016"</definedName>
    <definedName name="IQ_MAN_PAYROLLS_YOY">"c7356"</definedName>
    <definedName name="IQ_MAN_PAYROLLS_YOY_FC">"c8236"</definedName>
    <definedName name="IQ_MAN_SHIPMENTS">"c6917"</definedName>
    <definedName name="IQ_MAN_SHIPMENTS_APR">"c7577"</definedName>
    <definedName name="IQ_MAN_SHIPMENTS_APR_FC">"c8457"</definedName>
    <definedName name="IQ_MAN_SHIPMENTS_FC">"c7797"</definedName>
    <definedName name="IQ_MAN_SHIPMENTS_POP">"c7137"</definedName>
    <definedName name="IQ_MAN_SHIPMENTS_POP_FC">"c8017"</definedName>
    <definedName name="IQ_MAN_SHIPMENTS_YOY">"c7357"</definedName>
    <definedName name="IQ_MAN_SHIPMENTS_YOY_FC">"c8237"</definedName>
    <definedName name="IQ_MAN_TOTAL_HR">"c6918"</definedName>
    <definedName name="IQ_MAN_TOTAL_HR_APR">"c7578"</definedName>
    <definedName name="IQ_MAN_TOTAL_HR_APR_FC">"c8458"</definedName>
    <definedName name="IQ_MAN_TOTAL_HR_FC">"c7798"</definedName>
    <definedName name="IQ_MAN_TOTAL_HR_POP">"c7138"</definedName>
    <definedName name="IQ_MAN_TOTAL_HR_POP_FC">"c8018"</definedName>
    <definedName name="IQ_MAN_TOTAL_HR_YOY">"c7358"</definedName>
    <definedName name="IQ_MAN_TOTAL_HR_YOY_FC">"c8238"</definedName>
    <definedName name="IQ_MAN_TRADE_INVENTORIES">"c6910"</definedName>
    <definedName name="IQ_MAN_TRADE_INVENTORIES_APR">"c7570"</definedName>
    <definedName name="IQ_MAN_TRADE_INVENTORIES_APR_FC">"c8450"</definedName>
    <definedName name="IQ_MAN_TRADE_INVENTORIES_FC">"c7790"</definedName>
    <definedName name="IQ_MAN_TRADE_INVENTORIES_POP">"c7130"</definedName>
    <definedName name="IQ_MAN_TRADE_INVENTORIES_POP_FC">"c8010"</definedName>
    <definedName name="IQ_MAN_TRADE_INVENTORIES_YOY">"c7350"</definedName>
    <definedName name="IQ_MAN_TRADE_INVENTORIES_YOY_FC">"c8230"</definedName>
    <definedName name="IQ_MAN_TRADE_IS_RATIO">"c6909"</definedName>
    <definedName name="IQ_MAN_TRADE_IS_RATIO_FC">"c7789"</definedName>
    <definedName name="IQ_MAN_TRADE_IS_RATIO_POP">"c7129"</definedName>
    <definedName name="IQ_MAN_TRADE_IS_RATIO_POP_FC">"c8009"</definedName>
    <definedName name="IQ_MAN_TRADE_IS_RATIO_YOY">"c7349"</definedName>
    <definedName name="IQ_MAN_TRADE_IS_RATIO_YOY_FC">"c8229"</definedName>
    <definedName name="IQ_MAN_TRADE_SALES">"c6911"</definedName>
    <definedName name="IQ_MAN_TRADE_SALES_APR">"c7571"</definedName>
    <definedName name="IQ_MAN_TRADE_SALES_APR_FC">"c8451"</definedName>
    <definedName name="IQ_MAN_TRADE_SALES_FC">"c7791"</definedName>
    <definedName name="IQ_MAN_TRADE_SALES_POP">"c7131"</definedName>
    <definedName name="IQ_MAN_TRADE_SALES_POP_FC">"c8011"</definedName>
    <definedName name="IQ_MAN_TRADE_SALES_YOY">"c7351"</definedName>
    <definedName name="IQ_MAN_TRADE_SALES_YOY_FC">"c8231"</definedName>
    <definedName name="IQ_MAN_WAGES">"c6919"</definedName>
    <definedName name="IQ_MAN_WAGES_APR">"c7579"</definedName>
    <definedName name="IQ_MAN_WAGES_APR_FC">"c8459"</definedName>
    <definedName name="IQ_MAN_WAGES_FC">"c7799"</definedName>
    <definedName name="IQ_MAN_WAGES_POP">"c7139"</definedName>
    <definedName name="IQ_MAN_WAGES_POP_FC">"c8019"</definedName>
    <definedName name="IQ_MAN_WAGES_YOY">"c7359"</definedName>
    <definedName name="IQ_MAN_WAGES_YOY_FC">"c8239"</definedName>
    <definedName name="IQ_MANAGED_PROP">"c8763"</definedName>
    <definedName name="IQ_MANAGED_SQ_FT">"c8779"</definedName>
    <definedName name="IQ_MANAGED_UNITS">"c8771"</definedName>
    <definedName name="IQ_MARGIN_ANNUAL_PREMIUM_EQUIVALENT_NEW_BUSINESS">"c9970"</definedName>
    <definedName name="IQ_MARGIN_PV_PREMIUMS_NEW_BUSINESS">"c9971"</definedName>
    <definedName name="IQ_MARKET_CAP_LFCF">"c2209"</definedName>
    <definedName name="IQ_MARKETCAP">"c712"</definedName>
    <definedName name="IQ_MARKETING">"c2239"</definedName>
    <definedName name="IQ_MATURITY_DATE">"c2146"</definedName>
    <definedName name="IQ_MATURITY_ONE_YEAR_LESS_FDIC">"c6425"</definedName>
    <definedName name="IQ_MC_ASO_COVERED_LIVES">"c9918"</definedName>
    <definedName name="IQ_MC_ASO_MEMBERSHIP">"c9921"</definedName>
    <definedName name="IQ_MC_CLAIMS_RESERVES">"c9941"</definedName>
    <definedName name="IQ_MC_COMBINED_RATIO">"c9933"</definedName>
    <definedName name="IQ_MC_DAYS_CLAIMS_PAYABLE">"c9937"</definedName>
    <definedName name="IQ_MC_DAYS_CLAIMS_PAYABLE_EXCL_CAPITATION">"c9938"</definedName>
    <definedName name="IQ_MC_MEDICAL_COSTS_PMPM">"c9925"</definedName>
    <definedName name="IQ_MC_PARENT_CASH">"c9942"</definedName>
    <definedName name="IQ_MC_PREMIUMS_PMPM">"c9924"</definedName>
    <definedName name="IQ_MC_RATIO">"c2783"</definedName>
    <definedName name="IQ_MC_RECEIPT_CYCLE_TIME_DAYS">"c9939"</definedName>
    <definedName name="IQ_MC_RECEIPT_CYCLE_TIME_MONTHS">"c9940"</definedName>
    <definedName name="IQ_MC_RISK_COVERED_LIVES">"c9917"</definedName>
    <definedName name="IQ_MC_RISK_MEMBERSHIP">"c9920"</definedName>
    <definedName name="IQ_MC_SELLILNG_COSTS_RATIO">"c9928"</definedName>
    <definedName name="IQ_MC_SGA_PMPM">"c9926"</definedName>
    <definedName name="IQ_MC_STATUTORY_SURPLUS">"c2772"</definedName>
    <definedName name="IQ_MC_TOTAL_COVERED_LIVES">"c9919"</definedName>
    <definedName name="IQ_MC_TOTAL_MEMBERSHIP">"c9922"</definedName>
    <definedName name="IQ_MC_TOTAL_MEMBERSHIP_CAPITATION">"c9923"</definedName>
    <definedName name="IQ_MC_UNPROCESSED_CLAIMS_INVENTORY_DAYS">"c9936"</definedName>
    <definedName name="IQ_MC_UNPROCESSED_CLAIMS_INVENTORY_NUMBER">"c9934"</definedName>
    <definedName name="IQ_MC_UNPROCESSED_CLAIMS_INVENTORY_VALUE">"c9935"</definedName>
    <definedName name="IQ_MEASURED_ATTRIB_ORE_RESOURCES_ALUM">"c9237"</definedName>
    <definedName name="IQ_MEASURED_ATTRIB_ORE_RESOURCES_COP">"c9181"</definedName>
    <definedName name="IQ_MEASURED_ATTRIB_ORE_RESOURCES_DIAM">"c9661"</definedName>
    <definedName name="IQ_MEASURED_ATTRIB_ORE_RESOURCES_GOLD">"c9022"</definedName>
    <definedName name="IQ_MEASURED_ATTRIB_ORE_RESOURCES_IRON">"c9396"</definedName>
    <definedName name="IQ_MEASURED_ATTRIB_ORE_RESOURCES_LEAD">"c9449"</definedName>
    <definedName name="IQ_MEASURED_ATTRIB_ORE_RESOURCES_MANG">"c9502"</definedName>
    <definedName name="IQ_MEASURED_ATTRIB_ORE_RESOURCES_MOLYB">"c9714"</definedName>
    <definedName name="IQ_MEASURED_ATTRIB_ORE_RESOURCES_NICK">"c9290"</definedName>
    <definedName name="IQ_MEASURED_ATTRIB_ORE_RESOURCES_PLAT">"c9128"</definedName>
    <definedName name="IQ_MEASURED_ATTRIB_ORE_RESOURCES_SILVER">"c9075"</definedName>
    <definedName name="IQ_MEASURED_ATTRIB_ORE_RESOURCES_TITAN">"c9555"</definedName>
    <definedName name="IQ_MEASURED_ATTRIB_ORE_RESOURCES_URAN">"c9608"</definedName>
    <definedName name="IQ_MEASURED_ATTRIB_ORE_RESOURCES_ZINC">"c9343"</definedName>
    <definedName name="IQ_MEASURED_INDICATED_ATTRIB_ORE_RESOURCES_ALUM">"c9239"</definedName>
    <definedName name="IQ_MEASURED_INDICATED_ATTRIB_ORE_RESOURCES_COP">"c9183"</definedName>
    <definedName name="IQ_MEASURED_INDICATED_ATTRIB_ORE_RESOURCES_DIAM">"c9663"</definedName>
    <definedName name="IQ_MEASURED_INDICATED_ATTRIB_ORE_RESOURCES_GOLD">"c9024"</definedName>
    <definedName name="IQ_MEASURED_INDICATED_ATTRIB_ORE_RESOURCES_IRON">"c9398"</definedName>
    <definedName name="IQ_MEASURED_INDICATED_ATTRIB_ORE_RESOURCES_LEAD">"c9451"</definedName>
    <definedName name="IQ_MEASURED_INDICATED_ATTRIB_ORE_RESOURCES_MANG">"c9504"</definedName>
    <definedName name="IQ_MEASURED_INDICATED_ATTRIB_ORE_RESOURCES_MOLYB">"c9716"</definedName>
    <definedName name="IQ_MEASURED_INDICATED_ATTRIB_ORE_RESOURCES_NICK">"c9292"</definedName>
    <definedName name="IQ_MEASURED_INDICATED_ATTRIB_ORE_RESOURCES_PLAT">"c9130"</definedName>
    <definedName name="IQ_MEASURED_INDICATED_ATTRIB_ORE_RESOURCES_SILVER">"c9077"</definedName>
    <definedName name="IQ_MEASURED_INDICATED_ATTRIB_ORE_RESOURCES_TITAN">"c9557"</definedName>
    <definedName name="IQ_MEASURED_INDICATED_ATTRIB_ORE_RESOURCES_URAN">"c9610"</definedName>
    <definedName name="IQ_MEASURED_INDICATED_ATTRIB_ORE_RESOURCES_ZINC">"c9345"</definedName>
    <definedName name="IQ_MEASURED_INDICATED_ORE_RESOURCES_ALUM">"c9226"</definedName>
    <definedName name="IQ_MEASURED_INDICATED_ORE_RESOURCES_COP">"c9170"</definedName>
    <definedName name="IQ_MEASURED_INDICATED_ORE_RESOURCES_DIAM">"c9650"</definedName>
    <definedName name="IQ_MEASURED_INDICATED_ORE_RESOURCES_GOLD">"c9011"</definedName>
    <definedName name="IQ_MEASURED_INDICATED_ORE_RESOURCES_IRON">"c9385"</definedName>
    <definedName name="IQ_MEASURED_INDICATED_ORE_RESOURCES_LEAD">"c9438"</definedName>
    <definedName name="IQ_MEASURED_INDICATED_ORE_RESOURCES_MANG">"c9491"</definedName>
    <definedName name="IQ_MEASURED_INDICATED_ORE_RESOURCES_MOLYB">"c9703"</definedName>
    <definedName name="IQ_MEASURED_INDICATED_ORE_RESOURCES_NICK">"c9279"</definedName>
    <definedName name="IQ_MEASURED_INDICATED_ORE_RESOURCES_PLAT">"c9117"</definedName>
    <definedName name="IQ_MEASURED_INDICATED_ORE_RESOURCES_SILVER">"c9064"</definedName>
    <definedName name="IQ_MEASURED_INDICATED_ORE_RESOURCES_TITAN">"c9544"</definedName>
    <definedName name="IQ_MEASURED_INDICATED_ORE_RESOURCES_URAN">"c9597"</definedName>
    <definedName name="IQ_MEASURED_INDICATED_ORE_RESOURCES_ZINC">"c9332"</definedName>
    <definedName name="IQ_MEASURED_INDICATED_RECOV_RESOURCES_ALUM">"c9234"</definedName>
    <definedName name="IQ_MEASURED_INDICATED_RECOV_RESOURCES_COAL">"c9813"</definedName>
    <definedName name="IQ_MEASURED_INDICATED_RECOV_RESOURCES_COP">"c9178"</definedName>
    <definedName name="IQ_MEASURED_INDICATED_RECOV_RESOURCES_DIAM">"c9658"</definedName>
    <definedName name="IQ_MEASURED_INDICATED_RECOV_RESOURCES_GOLD">"c9019"</definedName>
    <definedName name="IQ_MEASURED_INDICATED_RECOV_RESOURCES_IRON">"c9393"</definedName>
    <definedName name="IQ_MEASURED_INDICATED_RECOV_RESOURCES_LEAD">"c9446"</definedName>
    <definedName name="IQ_MEASURED_INDICATED_RECOV_RESOURCES_MANG">"c9499"</definedName>
    <definedName name="IQ_MEASURED_INDICATED_RECOV_RESOURCES_MET_COAL">"c9753"</definedName>
    <definedName name="IQ_MEASURED_INDICATED_RECOV_RESOURCES_MOLYB">"c9711"</definedName>
    <definedName name="IQ_MEASURED_INDICATED_RECOV_RESOURCES_NICK">"c9287"</definedName>
    <definedName name="IQ_MEASURED_INDICATED_RECOV_RESOURCES_PLAT">"c9125"</definedName>
    <definedName name="IQ_MEASURED_INDICATED_RECOV_RESOURCES_SILVER">"c9072"</definedName>
    <definedName name="IQ_MEASURED_INDICATED_RECOV_RESOURCES_STEAM">"c9783"</definedName>
    <definedName name="IQ_MEASURED_INDICATED_RECOV_RESOURCES_TITAN">"c9552"</definedName>
    <definedName name="IQ_MEASURED_INDICATED_RECOV_RESOURCES_URAN">"c9605"</definedName>
    <definedName name="IQ_MEASURED_INDICATED_RECOV_RESOURCES_ZINC">"c9340"</definedName>
    <definedName name="IQ_MEASURED_INDICATED_RESOURCES_GRADE_ALUM">"c9227"</definedName>
    <definedName name="IQ_MEASURED_INDICATED_RESOURCES_GRADE_COP">"c9171"</definedName>
    <definedName name="IQ_MEASURED_INDICATED_RESOURCES_GRADE_DIAM">"c9651"</definedName>
    <definedName name="IQ_MEASURED_INDICATED_RESOURCES_GRADE_GOLD">"c9012"</definedName>
    <definedName name="IQ_MEASURED_INDICATED_RESOURCES_GRADE_IRON">"c9386"</definedName>
    <definedName name="IQ_MEASURED_INDICATED_RESOURCES_GRADE_LEAD">"c9439"</definedName>
    <definedName name="IQ_MEASURED_INDICATED_RESOURCES_GRADE_MANG">"c9492"</definedName>
    <definedName name="IQ_MEASURED_INDICATED_RESOURCES_GRADE_MOLYB">"c9704"</definedName>
    <definedName name="IQ_MEASURED_INDICATED_RESOURCES_GRADE_NICK">"c9280"</definedName>
    <definedName name="IQ_MEASURED_INDICATED_RESOURCES_GRADE_PLAT">"c9118"</definedName>
    <definedName name="IQ_MEASURED_INDICATED_RESOURCES_GRADE_SILVER">"c9065"</definedName>
    <definedName name="IQ_MEASURED_INDICATED_RESOURCES_GRADE_TITAN">"c9545"</definedName>
    <definedName name="IQ_MEASURED_INDICATED_RESOURCES_GRADE_URAN">"c9598"</definedName>
    <definedName name="IQ_MEASURED_INDICATED_RESOURCES_GRADE_ZINC">"c9333"</definedName>
    <definedName name="IQ_MEASURED_ORE_RESOURCES_ALUM">"c9222"</definedName>
    <definedName name="IQ_MEASURED_ORE_RESOURCES_COP">"c9166"</definedName>
    <definedName name="IQ_MEASURED_ORE_RESOURCES_DIAM">"c9646"</definedName>
    <definedName name="IQ_MEASURED_ORE_RESOURCES_GOLD">"c9007"</definedName>
    <definedName name="IQ_MEASURED_ORE_RESOURCES_IRON">"c9381"</definedName>
    <definedName name="IQ_MEASURED_ORE_RESOURCES_LEAD">"c9434"</definedName>
    <definedName name="IQ_MEASURED_ORE_RESOURCES_MANG">"c9487"</definedName>
    <definedName name="IQ_MEASURED_ORE_RESOURCES_MOLYB">"c9699"</definedName>
    <definedName name="IQ_MEASURED_ORE_RESOURCES_NICK">"c9275"</definedName>
    <definedName name="IQ_MEASURED_ORE_RESOURCES_PLAT">"c9113"</definedName>
    <definedName name="IQ_MEASURED_ORE_RESOURCES_SILVER">"c9060"</definedName>
    <definedName name="IQ_MEASURED_ORE_RESOURCES_TITAN">"c9540"</definedName>
    <definedName name="IQ_MEASURED_ORE_RESOURCES_URAN">"c9593"</definedName>
    <definedName name="IQ_MEASURED_ORE_RESOURCES_ZINC">"c9328"</definedName>
    <definedName name="IQ_MEASURED_RECOV_ATTRIB_RESOURCES_ALUM">"c9242"</definedName>
    <definedName name="IQ_MEASURED_RECOV_ATTRIB_RESOURCES_COAL">"c9816"</definedName>
    <definedName name="IQ_MEASURED_RECOV_ATTRIB_RESOURCES_COP">"c9186"</definedName>
    <definedName name="IQ_MEASURED_RECOV_ATTRIB_RESOURCES_DIAM">"c9666"</definedName>
    <definedName name="IQ_MEASURED_RECOV_ATTRIB_RESOURCES_GOLD">"c9027"</definedName>
    <definedName name="IQ_MEASURED_RECOV_ATTRIB_RESOURCES_IRON">"c9401"</definedName>
    <definedName name="IQ_MEASURED_RECOV_ATTRIB_RESOURCES_LEAD">"c9454"</definedName>
    <definedName name="IQ_MEASURED_RECOV_ATTRIB_RESOURCES_MANG">"c9507"</definedName>
    <definedName name="IQ_MEASURED_RECOV_ATTRIB_RESOURCES_MET_COAL">"c9756"</definedName>
    <definedName name="IQ_MEASURED_RECOV_ATTRIB_RESOURCES_MOLYB">"c9719"</definedName>
    <definedName name="IQ_MEASURED_RECOV_ATTRIB_RESOURCES_NICK">"c9295"</definedName>
    <definedName name="IQ_MEASURED_RECOV_ATTRIB_RESOURCES_PLAT">"c9133"</definedName>
    <definedName name="IQ_MEASURED_RECOV_ATTRIB_RESOURCES_SILVER">"c9080"</definedName>
    <definedName name="IQ_MEASURED_RECOV_ATTRIB_RESOURCES_STEAM">"c9786"</definedName>
    <definedName name="IQ_MEASURED_RECOV_ATTRIB_RESOURCES_TITAN">"c9560"</definedName>
    <definedName name="IQ_MEASURED_RECOV_ATTRIB_RESOURCES_URAN">"c9613"</definedName>
    <definedName name="IQ_MEASURED_RECOV_ATTRIB_RESOURCES_ZINC">"c9348"</definedName>
    <definedName name="IQ_MEASURED_RECOV_RESOURCES_ALUM">"c9232"</definedName>
    <definedName name="IQ_MEASURED_RECOV_RESOURCES_COAL">"c9811"</definedName>
    <definedName name="IQ_MEASURED_RECOV_RESOURCES_COP">"c9176"</definedName>
    <definedName name="IQ_MEASURED_RECOV_RESOURCES_DIAM">"c9656"</definedName>
    <definedName name="IQ_MEASURED_RECOV_RESOURCES_GOLD">"c9017"</definedName>
    <definedName name="IQ_MEASURED_RECOV_RESOURCES_IRON">"c9391"</definedName>
    <definedName name="IQ_MEASURED_RECOV_RESOURCES_LEAD">"c9444"</definedName>
    <definedName name="IQ_MEASURED_RECOV_RESOURCES_MANG">"c9497"</definedName>
    <definedName name="IQ_MEASURED_RECOV_RESOURCES_MET_COAL">"c9751"</definedName>
    <definedName name="IQ_MEASURED_RECOV_RESOURCES_MOLYB">"c9709"</definedName>
    <definedName name="IQ_MEASURED_RECOV_RESOURCES_NICK">"c9285"</definedName>
    <definedName name="IQ_MEASURED_RECOV_RESOURCES_PLAT">"c9123"</definedName>
    <definedName name="IQ_MEASURED_RECOV_RESOURCES_SILVER">"c9070"</definedName>
    <definedName name="IQ_MEASURED_RECOV_RESOURCES_STEAM">"c9781"</definedName>
    <definedName name="IQ_MEASURED_RECOV_RESOURCES_TITAN">"c9550"</definedName>
    <definedName name="IQ_MEASURED_RECOV_RESOURCES_URAN">"c9603"</definedName>
    <definedName name="IQ_MEASURED_RECOV_RESOURCES_ZINC">"c9338"</definedName>
    <definedName name="IQ_MEASURED_RESOURCES_CALORIFIC_VALUE_COAL">"c9806"</definedName>
    <definedName name="IQ_MEASURED_RESOURCES_CALORIFIC_VALUE_MET_COAL">"c9746"</definedName>
    <definedName name="IQ_MEASURED_RESOURCES_CALORIFIC_VALUE_STEAM">"c9776"</definedName>
    <definedName name="IQ_MEASURED_RESOURCES_GRADE_ALUM">"c9223"</definedName>
    <definedName name="IQ_MEASURED_RESOURCES_GRADE_COP">"c9167"</definedName>
    <definedName name="IQ_MEASURED_RESOURCES_GRADE_DIAM">"c9647"</definedName>
    <definedName name="IQ_MEASURED_RESOURCES_GRADE_GOLD">"c9008"</definedName>
    <definedName name="IQ_MEASURED_RESOURCES_GRADE_IRON">"c9382"</definedName>
    <definedName name="IQ_MEASURED_RESOURCES_GRADE_LEAD">"c9435"</definedName>
    <definedName name="IQ_MEASURED_RESOURCES_GRADE_MANG">"c9488"</definedName>
    <definedName name="IQ_MEASURED_RESOURCES_GRADE_MOLYB">"c9700"</definedName>
    <definedName name="IQ_MEASURED_RESOURCES_GRADE_NICK">"c9276"</definedName>
    <definedName name="IQ_MEASURED_RESOURCES_GRADE_PLAT">"c9114"</definedName>
    <definedName name="IQ_MEASURED_RESOURCES_GRADE_SILVER">"c9061"</definedName>
    <definedName name="IQ_MEASURED_RESOURCES_GRADE_TITAN">"c9541"</definedName>
    <definedName name="IQ_MEASURED_RESOURCES_GRADE_URAN">"c9594"</definedName>
    <definedName name="IQ_MEASURED_RESOURCES_GRADE_ZINC">"c9329"</definedName>
    <definedName name="IQ_MEDIAN_NEW_HOME_SALES_APR_FC_UNUSED_UNUSED_UNUSED">"c8460"</definedName>
    <definedName name="IQ_MEDIAN_NEW_HOME_SALES_APR_UNUSED_UNUSED_UNUSED">"c7580"</definedName>
    <definedName name="IQ_MEDIAN_NEW_HOME_SALES_FC_UNUSED_UNUSED_UNUSED">"c7800"</definedName>
    <definedName name="IQ_MEDIAN_NEW_HOME_SALES_POP_FC_UNUSED_UNUSED_UNUSED">"c8020"</definedName>
    <definedName name="IQ_MEDIAN_NEW_HOME_SALES_POP_UNUSED_UNUSED_UNUSED">"c7140"</definedName>
    <definedName name="IQ_MEDIAN_NEW_HOME_SALES_UNUSED_UNUSED_UNUSED">"c6920"</definedName>
    <definedName name="IQ_MEDIAN_NEW_HOME_SALES_YOY_FC_UNUSED_UNUSED_UNUSED">"c8240"</definedName>
    <definedName name="IQ_MEDIAN_NEW_HOME_SALES_YOY_UNUSED_UNUSED_UNUSED">"c7360"</definedName>
    <definedName name="IQ_MEDIAN_TARGET_PRICE">"c1650"</definedName>
    <definedName name="IQ_MEDIAN_TARGET_PRICE_CIQ">"c4658"</definedName>
    <definedName name="IQ_MEDIAN_TARGET_PRICE_REUT">"c5316"</definedName>
    <definedName name="IQ_MEDIAN_TARGET_PRICE_THOM">"c5095"</definedName>
    <definedName name="IQ_MERGER">"c713"</definedName>
    <definedName name="IQ_MERGER_BNK">"c714"</definedName>
    <definedName name="IQ_MERGER_BR">"c715"</definedName>
    <definedName name="IQ_MERGER_FIN">"c716"</definedName>
    <definedName name="IQ_MERGER_INS">"c717"</definedName>
    <definedName name="IQ_MERGER_RE">"c6235"</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"c6236"</definedName>
    <definedName name="IQ_MERGER_RESTRUCTURE_REIT">"c724"</definedName>
    <definedName name="IQ_MERGER_RESTRUCTURE_UTI">"c725"</definedName>
    <definedName name="IQ_MERGER_UTI">"c726"</definedName>
    <definedName name="IQ_MI_RECOV_ATTRIB_RESOURCES_ALUM">"c9244"</definedName>
    <definedName name="IQ_MI_RECOV_ATTRIB_RESOURCES_COAL">"c9818"</definedName>
    <definedName name="IQ_MI_RECOV_ATTRIB_RESOURCES_COP">"c9188"</definedName>
    <definedName name="IQ_MI_RECOV_ATTRIB_RESOURCES_DIAM">"c9668"</definedName>
    <definedName name="IQ_MI_RECOV_ATTRIB_RESOURCES_GOLD">"c9029"</definedName>
    <definedName name="IQ_MI_RECOV_ATTRIB_RESOURCES_IRON">"c9403"</definedName>
    <definedName name="IQ_MI_RECOV_ATTRIB_RESOURCES_LEAD">"c9456"</definedName>
    <definedName name="IQ_MI_RECOV_ATTRIB_RESOURCES_MANG">"c9509"</definedName>
    <definedName name="IQ_MI_RECOV_ATTRIB_RESOURCES_MET_COAL">"c9758"</definedName>
    <definedName name="IQ_MI_RECOV_ATTRIB_RESOURCES_MOLYB">"c9721"</definedName>
    <definedName name="IQ_MI_RECOV_ATTRIB_RESOURCES_NICK">"c9297"</definedName>
    <definedName name="IQ_MI_RECOV_ATTRIB_RESOURCES_PLAT">"c9135"</definedName>
    <definedName name="IQ_MI_RECOV_ATTRIB_RESOURCES_SILVER">"c9082"</definedName>
    <definedName name="IQ_MI_RECOV_ATTRIB_RESOURCES_STEAM">"c9788"</definedName>
    <definedName name="IQ_MI_RECOV_ATTRIB_RESOURCES_TITAN">"c9562"</definedName>
    <definedName name="IQ_MI_RECOV_ATTRIB_RESOURCES_URAN">"c9615"</definedName>
    <definedName name="IQ_MI_RECOV_ATTRIB_RESOURCES_ZINC">"c9350"</definedName>
    <definedName name="IQ_MI_RESOURCES_CALORIFIC_VALUE_COAL">"c9808"</definedName>
    <definedName name="IQ_MI_RESOURCES_CALORIFIC_VALUE_MET_COAL">"c9748"</definedName>
    <definedName name="IQ_MI_RESOURCES_CALORIFIC_VALUE_STEAM">"c9778"</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"c6237"</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"c742"</definedName>
    <definedName name="IQ_MKTCAP_TOTAL_REV_FWD_REUT">"c4048"</definedName>
    <definedName name="IQ_MKTCAP_TOTAL_REV_FWD_THOM">"c4055"</definedName>
    <definedName name="IQ_MM_ACCOUNT">"c743"</definedName>
    <definedName name="IQ_MM_ACCRETION_EXPENSE">"c9845"</definedName>
    <definedName name="IQ_MM_ARO_BEG">"c9842"</definedName>
    <definedName name="IQ_MM_ARO_TOTAL">"c9850"</definedName>
    <definedName name="IQ_MM_CURRENT_PORT_ARO">"c9851"</definedName>
    <definedName name="IQ_MM_DEVELOPED_ACREAGE">"c9832"</definedName>
    <definedName name="IQ_MM_DEVELOPED_SQ_KMS">"c9831"</definedName>
    <definedName name="IQ_MM_DEVELOPED_SQ_MILES">"c9833"</definedName>
    <definedName name="IQ_MM_EXPLORATION_EXPENDITURE_TOT">"c9840"</definedName>
    <definedName name="IQ_MM_FX_ADJUSTMENT">"c9847"</definedName>
    <definedName name="IQ_MM_LIABILITIES_INCURRED_ACQUIRED">"c9843"</definedName>
    <definedName name="IQ_MM_LIABILITIES_REL_SPIN_OFFS">"c9848"</definedName>
    <definedName name="IQ_MM_LIABILITIES_SETTLED_DISPOSED">"c9844"</definedName>
    <definedName name="IQ_MM_NON_CURRENT_PORT_ARO">"c9852"</definedName>
    <definedName name="IQ_MM_NUMBER_MINES">"c9839"</definedName>
    <definedName name="IQ_MM_OTHER_ADJUSTMENTS_ARO">"c9849"</definedName>
    <definedName name="IQ_MM_REMAINING_MINE_LIFE">"c9838"</definedName>
    <definedName name="IQ_MM_RESOURCES_INCL_EXCL_RESERVES">"c9841"</definedName>
    <definedName name="IQ_MM_REVISIONS_ESTIMATE">"c9846"</definedName>
    <definedName name="IQ_MM_STRIPPING_RATIO">"c9837"</definedName>
    <definedName name="IQ_MM_UNDEVELOPED_ACREAGE">"c9835"</definedName>
    <definedName name="IQ_MM_UNDEVELOPED_SQ_KMS">"c9834"</definedName>
    <definedName name="IQ_MM_UNDEVELOPED_SQ_MILES">"c9836"</definedName>
    <definedName name="IQ_MONEY_MARKET_DEPOSIT_ACCOUNTS_FDIC">"c6553"</definedName>
    <definedName name="IQ_MONTH">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BACKED_SECURITIES_FDIC">"c6402"</definedName>
    <definedName name="IQ_MORTGAGE_SERV_RIGHTS">"c2242"</definedName>
    <definedName name="IQ_MORTGAGE_SERVICING_FDIC">"c6335"</definedName>
    <definedName name="IQ_MULTIFAMILY_RESIDENTIAL_LOANS_FDIC">"c6311"</definedName>
    <definedName name="IQ_NAMES_REVISION_DATE_">40735.645474537</definedName>
    <definedName name="IQ_NAPM_BUS_CONDITIONS">"c6921"</definedName>
    <definedName name="IQ_NAPM_BUS_CONDITIONS_APR">"c7581"</definedName>
    <definedName name="IQ_NAPM_BUS_CONDITIONS_APR_FC">"c8461"</definedName>
    <definedName name="IQ_NAPM_BUS_CONDITIONS_FC">"c7801"</definedName>
    <definedName name="IQ_NAPM_BUS_CONDITIONS_POP">"c7141"</definedName>
    <definedName name="IQ_NAPM_BUS_CONDITIONS_POP_FC">"c8021"</definedName>
    <definedName name="IQ_NAPM_BUS_CONDITIONS_YOY">"c7361"</definedName>
    <definedName name="IQ_NAPM_BUS_CONDITIONS_YOY_FC">"c8241"</definedName>
    <definedName name="IQ_NAV_ACT_OR_EST_THOM">"c5607"</definedName>
    <definedName name="IQ_NAV_EST">"c1751"</definedName>
    <definedName name="IQ_NAV_EST_THOM">"c5601"</definedName>
    <definedName name="IQ_NAV_HIGH_EST">"c1753"</definedName>
    <definedName name="IQ_NAV_HIGH_EST_THOM">"c5604"</definedName>
    <definedName name="IQ_NAV_LOW_EST">"c1754"</definedName>
    <definedName name="IQ_NAV_LOW_EST_THOM">"c5605"</definedName>
    <definedName name="IQ_NAV_MEDIAN_EST">"c1752"</definedName>
    <definedName name="IQ_NAV_MEDIAN_EST_THOM">"c5602"</definedName>
    <definedName name="IQ_NAV_NUM_EST">"c1755"</definedName>
    <definedName name="IQ_NAV_NUM_EST_THOM">"c5606"</definedName>
    <definedName name="IQ_NAV_STDDEV_EST">"c1756"</definedName>
    <definedName name="IQ_NAV_STDDEV_EST_THOM">"c5603"</definedName>
    <definedName name="IQ_NET_CHANGE">"c749"</definedName>
    <definedName name="IQ_NET_CHARGE_OFFS_FDIC">"c6641"</definedName>
    <definedName name="IQ_NET_CHARGE_OFFS_LOANS_FDIC">"c6751"</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ACT_OR_EST_THOM">"c5309"</definedName>
    <definedName name="IQ_NET_DEBT_EBITDA">"c750"</definedName>
    <definedName name="IQ_NET_DEBT_EBITDA_CAPEX">"c2949"</definedName>
    <definedName name="IQ_NET_DEBT_EST">"c3517"</definedName>
    <definedName name="IQ_NET_DEBT_EST_THOM">"c4027"</definedName>
    <definedName name="IQ_NET_DEBT_HIGH_EST">"c3518"</definedName>
    <definedName name="IQ_NET_DEBT_HIGH_EST_THOM">"c4029"</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"c6238"</definedName>
    <definedName name="IQ_NET_DEBT_ISSUED_REIT">"c756"</definedName>
    <definedName name="IQ_NET_DEBT_ISSUED_UTI">"c757"</definedName>
    <definedName name="IQ_NET_DEBT_LOW_EST">"c3519"</definedName>
    <definedName name="IQ_NET_DEBT_LOW_EST_THOM">"c4030"</definedName>
    <definedName name="IQ_NET_DEBT_MEDIAN_EST">"c3520"</definedName>
    <definedName name="IQ_NET_DEBT_MEDIAN_EST_THOM">"c4028"</definedName>
    <definedName name="IQ_NET_DEBT_NUM_EST">"c3515"</definedName>
    <definedName name="IQ_NET_DEBT_NUM_EST_THOM">"c4031"</definedName>
    <definedName name="IQ_NET_DEBT_STDDEV_EST">"c3516"</definedName>
    <definedName name="IQ_NET_DEBT_STDDEV_EST_THOM">"c4032"</definedName>
    <definedName name="IQ_NET_EARNED">"c2734"</definedName>
    <definedName name="IQ_NET_INC">"c1394"</definedName>
    <definedName name="IQ_NET_INC_BEFORE">"c1368"</definedName>
    <definedName name="IQ_NET_INC_CF">"c1397"</definedName>
    <definedName name="IQ_NET_INC_MARGIN">"c1398"</definedName>
    <definedName name="IQ_NET_INCOME_FDIC">"c6587"</definedName>
    <definedName name="IQ_NET_INT_INC_10YR_ANN_CAGR">"c6100"</definedName>
    <definedName name="IQ_NET_INT_INC_10YR_ANN_GROWTH">"c758"</definedName>
    <definedName name="IQ_NET_INT_INC_1YR_ANN_GROWTH">"c759"</definedName>
    <definedName name="IQ_NET_INT_INC_2YR_ANN_CAGR">"c6101"</definedName>
    <definedName name="IQ_NET_INT_INC_2YR_ANN_GROWTH">"c760"</definedName>
    <definedName name="IQ_NET_INT_INC_3YR_ANN_CAGR">"c6102"</definedName>
    <definedName name="IQ_NET_INT_INC_3YR_ANN_GROWTH">"c761"</definedName>
    <definedName name="IQ_NET_INT_INC_5YR_ANN_CAGR">"c6103"</definedName>
    <definedName name="IQ_NET_INT_INC_5YR_ANN_GROWTH">"c762"</definedName>
    <definedName name="IQ_NET_INT_INC_7YR_ANN_CAGR">"c6104"</definedName>
    <definedName name="IQ_NET_INT_INC_7YR_ANN_GROWTH">"c763"</definedName>
    <definedName name="IQ_NET_INT_INC_AFTER_LL_BNK_SUBTOTAL_AP">"c8979"</definedName>
    <definedName name="IQ_NET_INT_INC_BNK">"c764"</definedName>
    <definedName name="IQ_NET_INT_INC_BNK_AP">"c8874"</definedName>
    <definedName name="IQ_NET_INT_INC_BNK_AP_ABS">"c8893"</definedName>
    <definedName name="IQ_NET_INT_INC_BNK_FDIC">"c6570"</definedName>
    <definedName name="IQ_NET_INT_INC_BNK_NAME_AP">"c8912"</definedName>
    <definedName name="IQ_NET_INT_INC_BNK_NAME_AP_ABS">"c8931"</definedName>
    <definedName name="IQ_NET_INT_INC_BNK_SUBTOTAL_AP">"c8978"</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"c6239"</definedName>
    <definedName name="IQ_NET_INTEREST_EXP_REIT">"c770"</definedName>
    <definedName name="IQ_NET_INTEREST_EXP_UTI">"c771"</definedName>
    <definedName name="IQ_NET_INTEREST_INC">"c1392"</definedName>
    <definedName name="IQ_NET_INTEREST_INC_AFTER_LL">"c1604"</definedName>
    <definedName name="IQ_NET_INTEREST_MARGIN_FDIC">"c6726"</definedName>
    <definedName name="IQ_NET_LIFE_INS_IN_FORCE">"c2769"</definedName>
    <definedName name="IQ_NET_LOANS">"c772"</definedName>
    <definedName name="IQ_NET_LOANS_10YR_ANN_CAGR">"c6105"</definedName>
    <definedName name="IQ_NET_LOANS_10YR_ANN_GROWTH">"c773"</definedName>
    <definedName name="IQ_NET_LOANS_1YR_ANN_GROWTH">"c774"</definedName>
    <definedName name="IQ_NET_LOANS_2YR_ANN_CAGR">"c6106"</definedName>
    <definedName name="IQ_NET_LOANS_2YR_ANN_GROWTH">"c775"</definedName>
    <definedName name="IQ_NET_LOANS_3YR_ANN_CAGR">"c6107"</definedName>
    <definedName name="IQ_NET_LOANS_3YR_ANN_GROWTH">"c776"</definedName>
    <definedName name="IQ_NET_LOANS_5YR_ANN_CAGR">"c6108"</definedName>
    <definedName name="IQ_NET_LOANS_5YR_ANN_GROWTH">"c777"</definedName>
    <definedName name="IQ_NET_LOANS_7YR_ANN_CAGR">"c6109"</definedName>
    <definedName name="IQ_NET_LOANS_7YR_ANN_GROWTH">"c778"</definedName>
    <definedName name="IQ_NET_LOANS_LEASES_CORE_DEPOSITS_FDIC">"c6743"</definedName>
    <definedName name="IQ_NET_LOANS_LEASES_DEPOSITS_FDIC">"c6742"</definedName>
    <definedName name="IQ_NET_LOANS_TOTAL_DEPOSITS">"c779"</definedName>
    <definedName name="IQ_NET_OPERATING_INCOME_ASSETS_FDIC">"c6729"</definedName>
    <definedName name="IQ_NET_RENTAL_EXP_FN">"c780"</definedName>
    <definedName name="IQ_NET_SECURITIZATION_INCOME_FDIC">"c6669"</definedName>
    <definedName name="IQ_NET_SERVICING_FEES_FDIC">"c6668"</definedName>
    <definedName name="IQ_NET_TO_GROSS_EARNED">"c2750"</definedName>
    <definedName name="IQ_NET_TO_GROSS_WRITTEN">"c2729"</definedName>
    <definedName name="IQ_NET_WORKING_CAP">"c3493"</definedName>
    <definedName name="IQ_NET_WRITTEN">"c2728"</definedName>
    <definedName name="IQ_NEW_PREM">"c2785"</definedName>
    <definedName name="IQ_NEXT_CALL_DATE">"c2198"</definedName>
    <definedName name="IQ_NEXT_CALL_PRICE">"c2199"</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EXT_YR_PROD_EST_MAX_ALUM">"c9251"</definedName>
    <definedName name="IQ_NEXT_YR_PROD_EST_MAX_CATHODE_COP">"c9198"</definedName>
    <definedName name="IQ_NEXT_YR_PROD_EST_MAX_COP">"c9196"</definedName>
    <definedName name="IQ_NEXT_YR_PROD_EST_MAX_DIAM">"c9675"</definedName>
    <definedName name="IQ_NEXT_YR_PROD_EST_MAX_GOLD">"c9036"</definedName>
    <definedName name="IQ_NEXT_YR_PROD_EST_MAX_IRON">"c9410"</definedName>
    <definedName name="IQ_NEXT_YR_PROD_EST_MAX_LEAD">"c9463"</definedName>
    <definedName name="IQ_NEXT_YR_PROD_EST_MAX_MANG">"c9516"</definedName>
    <definedName name="IQ_NEXT_YR_PROD_EST_MAX_MOLYB">"c9728"</definedName>
    <definedName name="IQ_NEXT_YR_PROD_EST_MAX_NICK">"c9304"</definedName>
    <definedName name="IQ_NEXT_YR_PROD_EST_MAX_PLAT">"c9142"</definedName>
    <definedName name="IQ_NEXT_YR_PROD_EST_MAX_SILVER">"c9089"</definedName>
    <definedName name="IQ_NEXT_YR_PROD_EST_MAX_TITAN">"c9569"</definedName>
    <definedName name="IQ_NEXT_YR_PROD_EST_MAX_URAN">"c9622"</definedName>
    <definedName name="IQ_NEXT_YR_PROD_EST_MAX_ZINC">"c9357"</definedName>
    <definedName name="IQ_NEXT_YR_PROD_EST_MIN_ALUM">"c9250"</definedName>
    <definedName name="IQ_NEXT_YR_PROD_EST_MIN_CATHODE_COP">"c9197"</definedName>
    <definedName name="IQ_NEXT_YR_PROD_EST_MIN_COP">"c9195"</definedName>
    <definedName name="IQ_NEXT_YR_PROD_EST_MIN_DIAM">"c9674"</definedName>
    <definedName name="IQ_NEXT_YR_PROD_EST_MIN_GOLD">"c9035"</definedName>
    <definedName name="IQ_NEXT_YR_PROD_EST_MIN_IRON">"c9409"</definedName>
    <definedName name="IQ_NEXT_YR_PROD_EST_MIN_LEAD">"c9462"</definedName>
    <definedName name="IQ_NEXT_YR_PROD_EST_MIN_MANG">"c9515"</definedName>
    <definedName name="IQ_NEXT_YR_PROD_EST_MIN_MOLYB">"c9727"</definedName>
    <definedName name="IQ_NEXT_YR_PROD_EST_MIN_NICK">"c9303"</definedName>
    <definedName name="IQ_NEXT_YR_PROD_EST_MIN_PLAT">"c9141"</definedName>
    <definedName name="IQ_NEXT_YR_PROD_EST_MIN_SILVER">"c9088"</definedName>
    <definedName name="IQ_NEXT_YR_PROD_EST_MIN_TITAN">"c9568"</definedName>
    <definedName name="IQ_NEXT_YR_PROD_EST_MIN_URAN">"c9621"</definedName>
    <definedName name="IQ_NEXT_YR_PROD_EST_MIN_ZINC">"c9356"</definedName>
    <definedName name="IQ_NI">"c781"</definedName>
    <definedName name="IQ_NI_10YR_ANN_CAGR">"c6110"</definedName>
    <definedName name="IQ_NI_10YR_ANN_GROWTH">"c782"</definedName>
    <definedName name="IQ_NI_1YR_ANN_GROWTH">"c783"</definedName>
    <definedName name="IQ_NI_2YR_ANN_CAGR">"c6111"</definedName>
    <definedName name="IQ_NI_2YR_ANN_GROWTH">"c784"</definedName>
    <definedName name="IQ_NI_3YR_ANN_CAGR">"c6112"</definedName>
    <definedName name="IQ_NI_3YR_ANN_GROWTH">"c785"</definedName>
    <definedName name="IQ_NI_5YR_ANN_CAGR">"c6113"</definedName>
    <definedName name="IQ_NI_5YR_ANN_GROWTH">"c786"</definedName>
    <definedName name="IQ_NI_7YR_ANN_CAGR">"c6114"</definedName>
    <definedName name="IQ_NI_7YR_ANN_GROWTH">"c787"</definedName>
    <definedName name="IQ_NI_ACT_OR_EST_THOM">"c5306"</definedName>
    <definedName name="IQ_NI_AFTER_CAPITALIZED">"c788"</definedName>
    <definedName name="IQ_NI_AVAIL_EXCL">"c789"</definedName>
    <definedName name="IQ_NI_AVAIL_EXCL_MARGIN">"c790"</definedName>
    <definedName name="IQ_NI_AVAIL_INCL">"c791"</definedName>
    <definedName name="IQ_NI_AVAIL_SUBTOTAL_AP">"c8984"</definedName>
    <definedName name="IQ_NI_BEFORE_CAPITALIZED">"c792"</definedName>
    <definedName name="IQ_NI_CF">"c793"</definedName>
    <definedName name="IQ_NI_CHARGES_AP">"c8879"</definedName>
    <definedName name="IQ_NI_CHARGES_AP_ABS">"c8898"</definedName>
    <definedName name="IQ_NI_CHARGES_NAME_AP">"c8917"</definedName>
    <definedName name="IQ_NI_CHARGES_NAME_AP_ABS">"c8936"</definedName>
    <definedName name="IQ_NI_EST">"c1716"</definedName>
    <definedName name="IQ_NI_EST_THOM">"c5126"</definedName>
    <definedName name="IQ_NI_GW_EST">"c1723"</definedName>
    <definedName name="IQ_NI_GW_HIGH_EST">"c1725"</definedName>
    <definedName name="IQ_NI_GW_LOW_EST">"c1726"</definedName>
    <definedName name="IQ_NI_GW_MEDIAN_EST">"c1724"</definedName>
    <definedName name="IQ_NI_GW_NUM_EST">"c1727"</definedName>
    <definedName name="IQ_NI_GW_STDDEV_EST">"c1728"</definedName>
    <definedName name="IQ_NI_HIGH_EST">"c1718"</definedName>
    <definedName name="IQ_NI_HIGH_EST_THOM">"c5128"</definedName>
    <definedName name="IQ_NI_LOW_EST">"c1719"</definedName>
    <definedName name="IQ_NI_LOW_EST_THOM">"c5129"</definedName>
    <definedName name="IQ_NI_MARGIN">"c794"</definedName>
    <definedName name="IQ_NI_MEDIAN_EST">"c1717"</definedName>
    <definedName name="IQ_NI_MEDIAN_EST_THOM">"c5127"</definedName>
    <definedName name="IQ_NI_NORM">"c1901"</definedName>
    <definedName name="IQ_NI_NORM_10YR_ANN_CAGR">"c6189"</definedName>
    <definedName name="IQ_NI_NORM_10YR_ANN_GROWTH">"c1960"</definedName>
    <definedName name="IQ_NI_NORM_1YR_ANN_GROWTH">"c1955"</definedName>
    <definedName name="IQ_NI_NORM_2YR_ANN_CAGR">"c6185"</definedName>
    <definedName name="IQ_NI_NORM_2YR_ANN_GROWTH">"c1956"</definedName>
    <definedName name="IQ_NI_NORM_3YR_ANN_CAGR">"c6186"</definedName>
    <definedName name="IQ_NI_NORM_3YR_ANN_GROWTH">"c1957"</definedName>
    <definedName name="IQ_NI_NORM_5YR_ANN_CAGR">"c6187"</definedName>
    <definedName name="IQ_NI_NORM_5YR_ANN_GROWTH">"c1958"</definedName>
    <definedName name="IQ_NI_NORM_7YR_ANN_CAGR">"c6188"</definedName>
    <definedName name="IQ_NI_NORM_7YR_ANN_GROWTH">"c1959"</definedName>
    <definedName name="IQ_NI_NORM_MARGIN">"c1964"</definedName>
    <definedName name="IQ_NI_NUM_EST">"c1720"</definedName>
    <definedName name="IQ_NI_NUM_EST_THOM">"c5130"</definedName>
    <definedName name="IQ_NI_REPORTED_EST">"c1730"</definedName>
    <definedName name="IQ_NI_REPORTED_HIGH_EST">"c1732"</definedName>
    <definedName name="IQ_NI_REPORTED_LOW_EST">"c1733"</definedName>
    <definedName name="IQ_NI_REPORTED_MEDIAN_EST">"c1731"</definedName>
    <definedName name="IQ_NI_REPORTED_NUM_EST">"c1734"</definedName>
    <definedName name="IQ_NI_REPORTED_STDDEV_EST">"c1735"</definedName>
    <definedName name="IQ_NI_SBC_ACT_OR_EST">"c4474"</definedName>
    <definedName name="IQ_NI_SBC_ACT_OR_EST_CIQ">"c5012"</definedName>
    <definedName name="IQ_NI_SBC_GW_ACT_OR_EST">"c4478"</definedName>
    <definedName name="IQ_NI_SBC_GW_ACT_OR_EST_CIQ">"c5016"</definedName>
    <definedName name="IQ_NI_SFAS">"c795"</definedName>
    <definedName name="IQ_NI_STDDEV_EST">"c1721"</definedName>
    <definedName name="IQ_NI_STDDEV_EST_THOM">"c5131"</definedName>
    <definedName name="IQ_NI_SUBTOTAL_AP">"c8983"</definedName>
    <definedName name="IQ_NLA_PCT_LEASED_CONSOL">"c8815"</definedName>
    <definedName name="IQ_NLA_PCT_LEASED_MANAGED">"c8817"</definedName>
    <definedName name="IQ_NLA_PCT_LEASED_OTHER">"c8818"</definedName>
    <definedName name="IQ_NLA_PCT_LEASED_TOTAL">"c8819"</definedName>
    <definedName name="IQ_NLA_PCT_LEASED_UNCONSOL">"c8816"</definedName>
    <definedName name="IQ_NLA_SQ_FT_CONSOL">"c8800"</definedName>
    <definedName name="IQ_NLA_SQ_FT_MANAGED">"c8802"</definedName>
    <definedName name="IQ_NLA_SQ_FT_OTHER">"c8803"</definedName>
    <definedName name="IQ_NLA_SQ_FT_TOTAL">"c8804"</definedName>
    <definedName name="IQ_NLA_SQ_FT_UNCONSOL">"c8801"</definedName>
    <definedName name="IQ_NLA_SQ_METER_CONSOL">"c8805"</definedName>
    <definedName name="IQ_NLA_SQ_METER_MANAGED">"c8807"</definedName>
    <definedName name="IQ_NLA_SQ_METER_OTHER">"c8808"</definedName>
    <definedName name="IQ_NLA_SQ_METER_TOTAL">"c8809"</definedName>
    <definedName name="IQ_NLA_SQ_METER_UNCONSOL">"c8806"</definedName>
    <definedName name="IQ_NOL_CF_1YR">"c3465"</definedName>
    <definedName name="IQ_NOL_CF_2YR">"c3466"</definedName>
    <definedName name="IQ_NOL_CF_3YR">"c3467"</definedName>
    <definedName name="IQ_NOL_CF_4YR">"c3468"</definedName>
    <definedName name="IQ_NOL_CF_5YR">"c3469"</definedName>
    <definedName name="IQ_NOL_CF_AFTER_FIVE">"c3470"</definedName>
    <definedName name="IQ_NOL_CF_MAX_YEAR">"c3473"</definedName>
    <definedName name="IQ_NOL_CF_NO_EXP">"c3471"</definedName>
    <definedName name="IQ_NOL_CF_TOTAL">"c3472"</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BEARING_DEPOSITS">"c800"</definedName>
    <definedName name="IQ_NON_INT_EXP">"c801"</definedName>
    <definedName name="IQ_NON_INT_EXP_BNK_AP">"c8877"</definedName>
    <definedName name="IQ_NON_INT_EXP_BNK_AP_ABS">"c8896"</definedName>
    <definedName name="IQ_NON_INT_EXP_BNK_NAME_AP">"c8915"</definedName>
    <definedName name="IQ_NON_INT_EXP_BNK_NAME_AP_ABS">"c8934"</definedName>
    <definedName name="IQ_NON_INT_EXP_BNK_SUBTOTAL_AP">"c8981"</definedName>
    <definedName name="IQ_NON_INT_EXP_FDIC">"c6579"</definedName>
    <definedName name="IQ_NON_INT_INC">"c802"</definedName>
    <definedName name="IQ_NON_INT_INC_10YR_ANN_CAGR">"c6115"</definedName>
    <definedName name="IQ_NON_INT_INC_10YR_ANN_GROWTH">"c803"</definedName>
    <definedName name="IQ_NON_INT_INC_1YR_ANN_GROWTH">"c804"</definedName>
    <definedName name="IQ_NON_INT_INC_2YR_ANN_CAGR">"c6116"</definedName>
    <definedName name="IQ_NON_INT_INC_2YR_ANN_GROWTH">"c805"</definedName>
    <definedName name="IQ_NON_INT_INC_3YR_ANN_CAGR">"c6117"</definedName>
    <definedName name="IQ_NON_INT_INC_3YR_ANN_GROWTH">"c806"</definedName>
    <definedName name="IQ_NON_INT_INC_5YR_ANN_CAGR">"c6118"</definedName>
    <definedName name="IQ_NON_INT_INC_5YR_ANN_GROWTH">"c807"</definedName>
    <definedName name="IQ_NON_INT_INC_7YR_ANN_CAGR">"c6119"</definedName>
    <definedName name="IQ_NON_INT_INC_7YR_ANN_GROWTH">"c808"</definedName>
    <definedName name="IQ_NON_INT_INC_BNK_AP">"c8876"</definedName>
    <definedName name="IQ_NON_INT_INC_BNK_AP_ABS">"c8895"</definedName>
    <definedName name="IQ_NON_INT_INC_BNK_NAME_AP">"c8914"</definedName>
    <definedName name="IQ_NON_INT_INC_BNK_NAME_AP_ABS">"c8933"</definedName>
    <definedName name="IQ_NON_INT_INC_BNK_SUBTOTAL_AP">"c8980"</definedName>
    <definedName name="IQ_NON_INT_INC_FDIC">"c6575"</definedName>
    <definedName name="IQ_NON_INTEREST_EXP">"c1400"</definedName>
    <definedName name="IQ_NON_INTEREST_INC">"c1401"</definedName>
    <definedName name="IQ_NON_OPER_EXP">"c809"</definedName>
    <definedName name="IQ_NON_OPER_INC">"c810"</definedName>
    <definedName name="IQ_NON_PERF_ASSETS_10YR_ANN_CAGR">"c6120"</definedName>
    <definedName name="IQ_NON_PERF_ASSETS_10YR_ANN_GROWTH">"c811"</definedName>
    <definedName name="IQ_NON_PERF_ASSETS_1YR_ANN_GROWTH">"c812"</definedName>
    <definedName name="IQ_NON_PERF_ASSETS_2YR_ANN_CAGR">"c6121"</definedName>
    <definedName name="IQ_NON_PERF_ASSETS_2YR_ANN_GROWTH">"c813"</definedName>
    <definedName name="IQ_NON_PERF_ASSETS_3YR_ANN_CAGR">"c6122"</definedName>
    <definedName name="IQ_NON_PERF_ASSETS_3YR_ANN_GROWTH">"c814"</definedName>
    <definedName name="IQ_NON_PERF_ASSETS_5YR_ANN_CAGR">"c6123"</definedName>
    <definedName name="IQ_NON_PERF_ASSETS_5YR_ANN_GROWTH">"c815"</definedName>
    <definedName name="IQ_NON_PERF_ASSETS_7YR_ANN_CAGR">"c6124"</definedName>
    <definedName name="IQ_NON_PERF_ASSETS_7YR_ANN_GROWTH">"c816"</definedName>
    <definedName name="IQ_NON_PERF_ASSETS_TOTAL_ASSETS">"c817"</definedName>
    <definedName name="IQ_NON_PERF_LOANS_10YR_ANN_CAGR">"c6125"</definedName>
    <definedName name="IQ_NON_PERF_LOANS_10YR_ANN_GROWTH">"c818"</definedName>
    <definedName name="IQ_NON_PERF_LOANS_1YR_ANN_GROWTH">"c819"</definedName>
    <definedName name="IQ_NON_PERF_LOANS_2YR_ANN_CAGR">"c6126"</definedName>
    <definedName name="IQ_NON_PERF_LOANS_2YR_ANN_GROWTH">"c820"</definedName>
    <definedName name="IQ_NON_PERF_LOANS_3YR_ANN_CAGR">"c6127"</definedName>
    <definedName name="IQ_NON_PERF_LOANS_3YR_ANN_GROWTH">"c821"</definedName>
    <definedName name="IQ_NON_PERF_LOANS_5YR_ANN_CAGR">"c6128"</definedName>
    <definedName name="IQ_NON_PERF_LOANS_5YR_ANN_GROWTH">"c822"</definedName>
    <definedName name="IQ_NON_PERF_LOANS_7YR_ANN_CAGR">"c6129"</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_US_ADDRESSEES_TOTAL_LOANS_FOREIGN_FDIC">"c6443"</definedName>
    <definedName name="IQ_NON_US_CHARGE_OFFS_AND_RECOVERIES_FDIC">"c6650"</definedName>
    <definedName name="IQ_NON_US_CHARGE_OFFS_FDIC">"c6648"</definedName>
    <definedName name="IQ_NON_US_COMMERCIAL_INDUSTRIAL_CHARGE_OFFS_FDIC">"c6651"</definedName>
    <definedName name="IQ_NON_US_NET_LOANS_FDIC">"c6376"</definedName>
    <definedName name="IQ_NON_US_RECOVERIES_FDIC">"c6649"</definedName>
    <definedName name="IQ_NONCASH_PENSION_EXP">"c3000"</definedName>
    <definedName name="IQ_NONCURRENT_LOANS_1_4_FAMILY_FDIC">"c6770"</definedName>
    <definedName name="IQ_NONCURRENT_LOANS_COMMERCIAL_INDUSTRIAL_FDIC">"c6773"</definedName>
    <definedName name="IQ_NONCURRENT_LOANS_COMMERCIAL_RE_FDIC">"c6768"</definedName>
    <definedName name="IQ_NONCURRENT_LOANS_COMMERCIAL_RE_NOT_SECURED_FDIC">"c6778"</definedName>
    <definedName name="IQ_NONCURRENT_LOANS_CONSTRUCTION_LAND_DEV_FDIC">"c6767"</definedName>
    <definedName name="IQ_NONCURRENT_LOANS_CREDIT_CARD_FDIC">"c6775"</definedName>
    <definedName name="IQ_NONCURRENT_LOANS_GUARANTEED_FDIC">"c6358"</definedName>
    <definedName name="IQ_NONCURRENT_LOANS_HOME_EQUITY_FDIC">"c6771"</definedName>
    <definedName name="IQ_NONCURRENT_LOANS_INDIVIDUALS_FDIC">"c6774"</definedName>
    <definedName name="IQ_NONCURRENT_LOANS_LEASES_FDIC">"c6357"</definedName>
    <definedName name="IQ_NONCURRENT_LOANS_MULTIFAMILY_FDIC">"c6769"</definedName>
    <definedName name="IQ_NONCURRENT_LOANS_OTHER_FAMILY_FDIC">"c6772"</definedName>
    <definedName name="IQ_NONCURRENT_LOANS_OTHER_INDIVIDUAL_FDIC">"c6776"</definedName>
    <definedName name="IQ_NONCURRENT_LOANS_OTHER_LOANS_FDIC">"c6777"</definedName>
    <definedName name="IQ_NONCURRENT_LOANS_RE_FDIC">"c6766"</definedName>
    <definedName name="IQ_NONCURRENT_LOANS_TOTAL_LOANS_FDIC">"c6765"</definedName>
    <definedName name="IQ_NONCURRENT_OREO_ASSETS_FDIC">"c6741"</definedName>
    <definedName name="IQ_NONDEF_CAPITAL_GOODS_ORDERS">"c6932"</definedName>
    <definedName name="IQ_NONDEF_CAPITAL_GOODS_ORDERS_APR">"c7592"</definedName>
    <definedName name="IQ_NONDEF_CAPITAL_GOODS_ORDERS_APR_FC">"c8472"</definedName>
    <definedName name="IQ_NONDEF_CAPITAL_GOODS_ORDERS_FC">"c7812"</definedName>
    <definedName name="IQ_NONDEF_CAPITAL_GOODS_ORDERS_POP">"c7152"</definedName>
    <definedName name="IQ_NONDEF_CAPITAL_GOODS_ORDERS_POP_FC">"c8032"</definedName>
    <definedName name="IQ_NONDEF_CAPITAL_GOODS_ORDERS_YOY">"c7372"</definedName>
    <definedName name="IQ_NONDEF_CAPITAL_GOODS_ORDERS_YOY_FC">"c8252"</definedName>
    <definedName name="IQ_NONDEF_CAPITAL_GOODS_SHIPMENTS">"c6933"</definedName>
    <definedName name="IQ_NONDEF_CAPITAL_GOODS_SHIPMENTS_APR">"c7593"</definedName>
    <definedName name="IQ_NONDEF_CAPITAL_GOODS_SHIPMENTS_APR_FC">"c8473"</definedName>
    <definedName name="IQ_NONDEF_CAPITAL_GOODS_SHIPMENTS_FC">"c7813"</definedName>
    <definedName name="IQ_NONDEF_CAPITAL_GOODS_SHIPMENTS_POP">"c7153"</definedName>
    <definedName name="IQ_NONDEF_CAPITAL_GOODS_SHIPMENTS_POP_FC">"c8033"</definedName>
    <definedName name="IQ_NONDEF_CAPITAL_GOODS_SHIPMENTS_YOY">"c7373"</definedName>
    <definedName name="IQ_NONDEF_CAPITAL_GOODS_SHIPMENTS_YOY_FC">"c8253"</definedName>
    <definedName name="IQ_NONDEF_SPENDING_SAAR">"c6934"</definedName>
    <definedName name="IQ_NONDEF_SPENDING_SAAR_APR">"c7594"</definedName>
    <definedName name="IQ_NONDEF_SPENDING_SAAR_APR_FC">"c8474"</definedName>
    <definedName name="IQ_NONDEF_SPENDING_SAAR_FC">"c7814"</definedName>
    <definedName name="IQ_NONDEF_SPENDING_SAAR_POP">"c7154"</definedName>
    <definedName name="IQ_NONDEF_SPENDING_SAAR_POP_FC">"c8034"</definedName>
    <definedName name="IQ_NONDEF_SPENDING_SAAR_YOY">"c7374"</definedName>
    <definedName name="IQ_NONDEF_SPENDING_SAAR_YOY_FC">"c8254"</definedName>
    <definedName name="IQ_NONFARM_EMP_HRS_PCT_CHANGE">"c6935"</definedName>
    <definedName name="IQ_NONFARM_EMP_HRS_PCT_CHANGE_FC">"c7815"</definedName>
    <definedName name="IQ_NONFARM_EMP_HRS_PCT_CHANGE_POP">"c7155"</definedName>
    <definedName name="IQ_NONFARM_EMP_HRS_PCT_CHANGE_POP_FC">"c8035"</definedName>
    <definedName name="IQ_NONFARM_EMP_HRS_PCT_CHANGE_YOY">"c7375"</definedName>
    <definedName name="IQ_NONFARM_EMP_HRS_PCT_CHANGE_YOY_FC">"c8255"</definedName>
    <definedName name="IQ_NONFARM_OUTPUT_PER_HR">"c6936"</definedName>
    <definedName name="IQ_NONFARM_OUTPUT_PER_HR_APR">"c7596"</definedName>
    <definedName name="IQ_NONFARM_OUTPUT_PER_HR_APR_FC">"c8476"</definedName>
    <definedName name="IQ_NONFARM_OUTPUT_PER_HR_FC">"c7816"</definedName>
    <definedName name="IQ_NONFARM_OUTPUT_PER_HR_POP">"c7156"</definedName>
    <definedName name="IQ_NONFARM_OUTPUT_PER_HR_POP_FC">"c8036"</definedName>
    <definedName name="IQ_NONFARM_OUTPUT_PER_HR_YOY">"c7376"</definedName>
    <definedName name="IQ_NONFARM_OUTPUT_PER_HR_YOY_FC">"c8256"</definedName>
    <definedName name="IQ_NONFARM_PAYROLLS">"c6926"</definedName>
    <definedName name="IQ_NONFARM_PAYROLLS_APR">"c7586"</definedName>
    <definedName name="IQ_NONFARM_PAYROLLS_APR_FC">"c8466"</definedName>
    <definedName name="IQ_NONFARM_PAYROLLS_FC">"c7806"</definedName>
    <definedName name="IQ_NONFARM_PAYROLLS_POP">"c7146"</definedName>
    <definedName name="IQ_NONFARM_PAYROLLS_POP_FC">"c8026"</definedName>
    <definedName name="IQ_NONFARM_PAYROLLS_YOY">"c7366"</definedName>
    <definedName name="IQ_NONFARM_PAYROLLS_YOY_FC">"c8246"</definedName>
    <definedName name="IQ_NONFARM_TOTAL_HR_INDEX">"c6937"</definedName>
    <definedName name="IQ_NONFARM_TOTAL_HR_INDEX_APR">"c7597"</definedName>
    <definedName name="IQ_NONFARM_TOTAL_HR_INDEX_APR_FC">"c8477"</definedName>
    <definedName name="IQ_NONFARM_TOTAL_HR_INDEX_FC">"c7817"</definedName>
    <definedName name="IQ_NONFARM_TOTAL_HR_INDEX_POP">"c7157"</definedName>
    <definedName name="IQ_NONFARM_TOTAL_HR_INDEX_POP_FC">"c8037"</definedName>
    <definedName name="IQ_NONFARM_TOTAL_HR_INDEX_YOY">"c7377"</definedName>
    <definedName name="IQ_NONFARM_TOTAL_HR_INDEX_YOY_FC">"c8257"</definedName>
    <definedName name="IQ_NONFARM_WAGES">"c6938"</definedName>
    <definedName name="IQ_NONFARM_WAGES_APR">"c7598"</definedName>
    <definedName name="IQ_NONFARM_WAGES_APR_FC">"c8478"</definedName>
    <definedName name="IQ_NONFARM_WAGES_FC">"c7818"</definedName>
    <definedName name="IQ_NONFARM_WAGES_INDEX">"c6939"</definedName>
    <definedName name="IQ_NONFARM_WAGES_INDEX_APR">"c7599"</definedName>
    <definedName name="IQ_NONFARM_WAGES_INDEX_APR_FC">"c8479"</definedName>
    <definedName name="IQ_NONFARM_WAGES_INDEX_FC">"c7819"</definedName>
    <definedName name="IQ_NONFARM_WAGES_INDEX_POP">"c7159"</definedName>
    <definedName name="IQ_NONFARM_WAGES_INDEX_POP_FC">"c8039"</definedName>
    <definedName name="IQ_NONFARM_WAGES_INDEX_YOY">"c7379"</definedName>
    <definedName name="IQ_NONFARM_WAGES_INDEX_YOY_FC">"c8259"</definedName>
    <definedName name="IQ_NONFARM_WAGES_POP">"c7158"</definedName>
    <definedName name="IQ_NONFARM_WAGES_POP_FC">"c8038"</definedName>
    <definedName name="IQ_NONFARM_WAGES_YOY">"c7378"</definedName>
    <definedName name="IQ_NONFARM_WAGES_YOY_FC">"c8258"</definedName>
    <definedName name="IQ_NONINTEREST_BEARING_BALANCES_FDIC">"c6394"</definedName>
    <definedName name="IQ_NONINTEREST_BEARING_DEPOSITS_DOMESTIC_FDIC">"c6477"</definedName>
    <definedName name="IQ_NONINTEREST_BEARING_DEPOSITS_FOREIGN_FDIC">"c6484"</definedName>
    <definedName name="IQ_NONINTEREST_EXPENSE_EARNING_ASSETS_FDIC">"c6728"</definedName>
    <definedName name="IQ_NONINTEREST_INCOME_EARNING_ASSETS_FDIC">"c6727"</definedName>
    <definedName name="IQ_NONMORTGAGE_SERVICING_FDIC">"c6336"</definedName>
    <definedName name="IQ_NONRECOURSE_DEBT">"c2550"</definedName>
    <definedName name="IQ_NONRECOURSE_DEBT_PCT">"c2551"</definedName>
    <definedName name="IQ_NONRES_FIXED_INVEST">"c6931"</definedName>
    <definedName name="IQ_NONRES_FIXED_INVEST_APR">"c7591"</definedName>
    <definedName name="IQ_NONRES_FIXED_INVEST_POP">"c7151"</definedName>
    <definedName name="IQ_NONRES_FIXED_INVEST_PRIV_APR_FC_UNUSED_UNUSED_UNUSED">"c8468"</definedName>
    <definedName name="IQ_NONRES_FIXED_INVEST_PRIV_APR_UNUSED_UNUSED_UNUSED">"c7588"</definedName>
    <definedName name="IQ_NONRES_FIXED_INVEST_PRIV_FC_UNUSED_UNUSED_UNUSED">"c7808"</definedName>
    <definedName name="IQ_NONRES_FIXED_INVEST_PRIV_POP_FC_UNUSED_UNUSED_UNUSED">"c8028"</definedName>
    <definedName name="IQ_NONRES_FIXED_INVEST_PRIV_POP_UNUSED_UNUSED_UNUSED">"c7148"</definedName>
    <definedName name="IQ_NONRES_FIXED_INVEST_PRIV_REAL">"c6989"</definedName>
    <definedName name="IQ_NONRES_FIXED_INVEST_PRIV_REAL_APR">"c7649"</definedName>
    <definedName name="IQ_NONRES_FIXED_INVEST_PRIV_REAL_APR_FC">"c8529"</definedName>
    <definedName name="IQ_NONRES_FIXED_INVEST_PRIV_REAL_FC">"c7869"</definedName>
    <definedName name="IQ_NONRES_FIXED_INVEST_PRIV_REAL_POP">"c7209"</definedName>
    <definedName name="IQ_NONRES_FIXED_INVEST_PRIV_REAL_POP_FC">"c8089"</definedName>
    <definedName name="IQ_NONRES_FIXED_INVEST_PRIV_REAL_SAAR">"c6990"</definedName>
    <definedName name="IQ_NONRES_FIXED_INVEST_PRIV_REAL_SAAR_APR">"c7650"</definedName>
    <definedName name="IQ_NONRES_FIXED_INVEST_PRIV_REAL_SAAR_APR_FC">"c8530"</definedName>
    <definedName name="IQ_NONRES_FIXED_INVEST_PRIV_REAL_SAAR_FC">"c7870"</definedName>
    <definedName name="IQ_NONRES_FIXED_INVEST_PRIV_REAL_SAAR_POP">"c7210"</definedName>
    <definedName name="IQ_NONRES_FIXED_INVEST_PRIV_REAL_SAAR_POP_FC">"c8090"</definedName>
    <definedName name="IQ_NONRES_FIXED_INVEST_PRIV_REAL_SAAR_USD_APR_FC">"c11981"</definedName>
    <definedName name="IQ_NONRES_FIXED_INVEST_PRIV_REAL_SAAR_USD_FC">"c11978"</definedName>
    <definedName name="IQ_NONRES_FIXED_INVEST_PRIV_REAL_SAAR_USD_POP_FC">"c11979"</definedName>
    <definedName name="IQ_NONRES_FIXED_INVEST_PRIV_REAL_SAAR_USD_YOY_FC">"c11980"</definedName>
    <definedName name="IQ_NONRES_FIXED_INVEST_PRIV_REAL_SAAR_YOY">"c7430"</definedName>
    <definedName name="IQ_NONRES_FIXED_INVEST_PRIV_REAL_SAAR_YOY_FC">"c8310"</definedName>
    <definedName name="IQ_NONRES_FIXED_INVEST_PRIV_REAL_USD_APR_FC">"c11977"</definedName>
    <definedName name="IQ_NONRES_FIXED_INVEST_PRIV_REAL_USD_FC">"c11974"</definedName>
    <definedName name="IQ_NONRES_FIXED_INVEST_PRIV_REAL_USD_POP_FC">"c11975"</definedName>
    <definedName name="IQ_NONRES_FIXED_INVEST_PRIV_REAL_USD_YOY_FC">"c11976"</definedName>
    <definedName name="IQ_NONRES_FIXED_INVEST_PRIV_REAL_YOY">"c7429"</definedName>
    <definedName name="IQ_NONRES_FIXED_INVEST_PRIV_REAL_YOY_FC">"c8309"</definedName>
    <definedName name="IQ_NONRES_FIXED_INVEST_PRIV_SAAR">"c6929"</definedName>
    <definedName name="IQ_NONRES_FIXED_INVEST_PRIV_SAAR_APR">"c7589"</definedName>
    <definedName name="IQ_NONRES_FIXED_INVEST_PRIV_SAAR_APR_FC">"c8469"</definedName>
    <definedName name="IQ_NONRES_FIXED_INVEST_PRIV_SAAR_FC">"c7809"</definedName>
    <definedName name="IQ_NONRES_FIXED_INVEST_PRIV_SAAR_POP">"c7149"</definedName>
    <definedName name="IQ_NONRES_FIXED_INVEST_PRIV_SAAR_POP_FC">"c8029"</definedName>
    <definedName name="IQ_NONRES_FIXED_INVEST_PRIV_SAAR_USD_APR_FC">"c11877"</definedName>
    <definedName name="IQ_NONRES_FIXED_INVEST_PRIV_SAAR_USD_FC">"c11874"</definedName>
    <definedName name="IQ_NONRES_FIXED_INVEST_PRIV_SAAR_USD_POP_FC">"c11875"</definedName>
    <definedName name="IQ_NONRES_FIXED_INVEST_PRIV_SAAR_USD_YOY_FC">"c11876"</definedName>
    <definedName name="IQ_NONRES_FIXED_INVEST_PRIV_SAAR_YOY">"c7369"</definedName>
    <definedName name="IQ_NONRES_FIXED_INVEST_PRIV_SAAR_YOY_FC">"c8249"</definedName>
    <definedName name="IQ_NONRES_FIXED_INVEST_PRIV_UNUSED_UNUSED_UNUSED">"c6928"</definedName>
    <definedName name="IQ_NONRES_FIXED_INVEST_PRIV_USD_APR_FC">"c11873"</definedName>
    <definedName name="IQ_NONRES_FIXED_INVEST_PRIV_USD_FC">"c11870"</definedName>
    <definedName name="IQ_NONRES_FIXED_INVEST_PRIV_USD_POP_FC">"c11871"</definedName>
    <definedName name="IQ_NONRES_FIXED_INVEST_PRIV_USD_YOY_FC">"c11872"</definedName>
    <definedName name="IQ_NONRES_FIXED_INVEST_PRIV_YOY_FC_UNUSED_UNUSED_UNUSED">"c8248"</definedName>
    <definedName name="IQ_NONRES_FIXED_INVEST_PRIV_YOY_UNUSED_UNUSED_UNUSED">"c7368"</definedName>
    <definedName name="IQ_NONRES_FIXED_INVEST_REAL">"c6993"</definedName>
    <definedName name="IQ_NONRES_FIXED_INVEST_REAL_APR">"c7653"</definedName>
    <definedName name="IQ_NONRES_FIXED_INVEST_REAL_POP">"c7213"</definedName>
    <definedName name="IQ_NONRES_FIXED_INVEST_REAL_SAAR">"c6987"</definedName>
    <definedName name="IQ_NONRES_FIXED_INVEST_REAL_SAAR_APR">"c7647"</definedName>
    <definedName name="IQ_NONRES_FIXED_INVEST_REAL_SAAR_APR_FC">"c8527"</definedName>
    <definedName name="IQ_NONRES_FIXED_INVEST_REAL_SAAR_FC">"c7867"</definedName>
    <definedName name="IQ_NONRES_FIXED_INVEST_REAL_SAAR_POP">"c7207"</definedName>
    <definedName name="IQ_NONRES_FIXED_INVEST_REAL_SAAR_POP_FC">"c8087"</definedName>
    <definedName name="IQ_NONRES_FIXED_INVEST_REAL_SAAR_YOY">"c7427"</definedName>
    <definedName name="IQ_NONRES_FIXED_INVEST_REAL_SAAR_YOY_FC">"c8307"</definedName>
    <definedName name="IQ_NONRES_FIXED_INVEST_REAL_USD_APR_FC">"c11973"</definedName>
    <definedName name="IQ_NONRES_FIXED_INVEST_REAL_USD_FC">"c11970"</definedName>
    <definedName name="IQ_NONRES_FIXED_INVEST_REAL_USD_POP_FC">"c11971"</definedName>
    <definedName name="IQ_NONRES_FIXED_INVEST_REAL_USD_YOY_FC">"c11972"</definedName>
    <definedName name="IQ_NONRES_FIXED_INVEST_REAL_YOY">"c7433"</definedName>
    <definedName name="IQ_NONRES_FIXED_INVEST_STRUCT">"c6930"</definedName>
    <definedName name="IQ_NONRES_FIXED_INVEST_STRUCT_APR">"c7590"</definedName>
    <definedName name="IQ_NONRES_FIXED_INVEST_STRUCT_APR_FC">"c8470"</definedName>
    <definedName name="IQ_NONRES_FIXED_INVEST_STRUCT_FC">"c7810"</definedName>
    <definedName name="IQ_NONRES_FIXED_INVEST_STRUCT_POP">"c7150"</definedName>
    <definedName name="IQ_NONRES_FIXED_INVEST_STRUCT_POP_FC">"c8030"</definedName>
    <definedName name="IQ_NONRES_FIXED_INVEST_STRUCT_REAL">"c6992"</definedName>
    <definedName name="IQ_NONRES_FIXED_INVEST_STRUCT_REAL_APR">"c7652"</definedName>
    <definedName name="IQ_NONRES_FIXED_INVEST_STRUCT_REAL_APR_FC">"c8532"</definedName>
    <definedName name="IQ_NONRES_FIXED_INVEST_STRUCT_REAL_FC">"c7872"</definedName>
    <definedName name="IQ_NONRES_FIXED_INVEST_STRUCT_REAL_POP">"c7212"</definedName>
    <definedName name="IQ_NONRES_FIXED_INVEST_STRUCT_REAL_POP_FC">"c8092"</definedName>
    <definedName name="IQ_NONRES_FIXED_INVEST_STRUCT_REAL_SAAR">"c6991"</definedName>
    <definedName name="IQ_NONRES_FIXED_INVEST_STRUCT_REAL_SAAR_APR">"c7651"</definedName>
    <definedName name="IQ_NONRES_FIXED_INVEST_STRUCT_REAL_SAAR_APR_FC">"c8531"</definedName>
    <definedName name="IQ_NONRES_FIXED_INVEST_STRUCT_REAL_SAAR_FC">"c7871"</definedName>
    <definedName name="IQ_NONRES_FIXED_INVEST_STRUCT_REAL_SAAR_POP">"c7211"</definedName>
    <definedName name="IQ_NONRES_FIXED_INVEST_STRUCT_REAL_SAAR_POP_FC">"c8091"</definedName>
    <definedName name="IQ_NONRES_FIXED_INVEST_STRUCT_REAL_SAAR_YOY">"c7431"</definedName>
    <definedName name="IQ_NONRES_FIXED_INVEST_STRUCT_REAL_SAAR_YOY_FC">"c8311"</definedName>
    <definedName name="IQ_NONRES_FIXED_INVEST_STRUCT_REAL_USD_APR_FC">"c11985"</definedName>
    <definedName name="IQ_NONRES_FIXED_INVEST_STRUCT_REAL_USD_FC">"c11982"</definedName>
    <definedName name="IQ_NONRES_FIXED_INVEST_STRUCT_REAL_USD_POP_FC">"c11983"</definedName>
    <definedName name="IQ_NONRES_FIXED_INVEST_STRUCT_REAL_USD_YOY_FC">"c11984"</definedName>
    <definedName name="IQ_NONRES_FIXED_INVEST_STRUCT_REAL_YOY">"c7432"</definedName>
    <definedName name="IQ_NONRES_FIXED_INVEST_STRUCT_REAL_YOY_FC">"c8312"</definedName>
    <definedName name="IQ_NONRES_FIXED_INVEST_STRUCT_USD_APR_FC">"c11881"</definedName>
    <definedName name="IQ_NONRES_FIXED_INVEST_STRUCT_USD_FC">"c11878"</definedName>
    <definedName name="IQ_NONRES_FIXED_INVEST_STRUCT_USD_POP_FC">"c11879"</definedName>
    <definedName name="IQ_NONRES_FIXED_INVEST_STRUCT_USD_YOY_FC">"c11880"</definedName>
    <definedName name="IQ_NONRES_FIXED_INVEST_STRUCT_YOY">"c7370"</definedName>
    <definedName name="IQ_NONRES_FIXED_INVEST_STRUCT_YOY_FC">"c8250"</definedName>
    <definedName name="IQ_NONRES_FIXED_INVEST_USD_APR_FC">"c11869"</definedName>
    <definedName name="IQ_NONRES_FIXED_INVEST_USD_FC">"c11866"</definedName>
    <definedName name="IQ_NONRES_FIXED_INVEST_USD_POP_FC">"c11867"</definedName>
    <definedName name="IQ_NONRES_FIXED_INVEST_USD_YOY_FC">"c11868"</definedName>
    <definedName name="IQ_NONRES_FIXED_INVEST_YOY">"c7371"</definedName>
    <definedName name="IQ_NONTRANSACTION_ACCOUNTS_FDIC">"c6552"</definedName>
    <definedName name="IQ_NONUTIL_REV">"c2089"</definedName>
    <definedName name="IQ_NORM_EPS_ACT_OR_EST_CIQ">"c5069"</definedName>
    <definedName name="IQ_NORMAL_INC_AFTER">"c1605"</definedName>
    <definedName name="IQ_NORMAL_INC_AVAIL">"c1606"</definedName>
    <definedName name="IQ_NORMAL_INC_BEFORE">"c1607"</definedName>
    <definedName name="IQ_NOTES_PAY">"c1423"</definedName>
    <definedName name="IQ_NOTIONAL_AMOUNT_CREDIT_DERIVATIVES_FDIC">"c6507"</definedName>
    <definedName name="IQ_NOTIONAL_VALUE_EXCHANGE_SWAPS_FDIC">"c6516"</definedName>
    <definedName name="IQ_NOTIONAL_VALUE_OTHER_SWAPS_FDIC">"c6521"</definedName>
    <definedName name="IQ_NOTIONAL_VALUE_RATE_SWAPS_FDIC">"c6511"</definedName>
    <definedName name="IQ_NOW_ACCOUNT">"c828"</definedName>
    <definedName name="IQ_NPPE">"c829"</definedName>
    <definedName name="IQ_NPPE_10YR_ANN_CAGR">"c6130"</definedName>
    <definedName name="IQ_NPPE_10YR_ANN_GROWTH">"c830"</definedName>
    <definedName name="IQ_NPPE_1YR_ANN_GROWTH">"c831"</definedName>
    <definedName name="IQ_NPPE_2YR_ANN_CAGR">"c6131"</definedName>
    <definedName name="IQ_NPPE_2YR_ANN_GROWTH">"c832"</definedName>
    <definedName name="IQ_NPPE_3YR_ANN_CAGR">"c6132"</definedName>
    <definedName name="IQ_NPPE_3YR_ANN_GROWTH">"c833"</definedName>
    <definedName name="IQ_NPPE_5YR_ANN_CAGR">"c6133"</definedName>
    <definedName name="IQ_NPPE_5YR_ANN_GROWTH">"c834"</definedName>
    <definedName name="IQ_NPPE_7YR_ANN_CAGR">"c6134"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DEPOSITS_LESS_THAN_100K_FDIC">"c6495"</definedName>
    <definedName name="IQ_NUMBER_DEPOSITS_MORE_THAN_100K_FDIC">"c6493"</definedName>
    <definedName name="IQ_NUMBER_MINES_ALUM">"c9248"</definedName>
    <definedName name="IQ_NUMBER_MINES_COAL">"c9822"</definedName>
    <definedName name="IQ_NUMBER_MINES_COP">"c9193"</definedName>
    <definedName name="IQ_NUMBER_MINES_DIAM">"c9672"</definedName>
    <definedName name="IQ_NUMBER_MINES_GOLD">"c9033"</definedName>
    <definedName name="IQ_NUMBER_MINES_IRON">"c9407"</definedName>
    <definedName name="IQ_NUMBER_MINES_LEAD">"c9460"</definedName>
    <definedName name="IQ_NUMBER_MINES_MANG">"c9513"</definedName>
    <definedName name="IQ_NUMBER_MINES_MOLYB">"c9725"</definedName>
    <definedName name="IQ_NUMBER_MINES_NICK">"c9301"</definedName>
    <definedName name="IQ_NUMBER_MINES_PLAT">"c9139"</definedName>
    <definedName name="IQ_NUMBER_MINES_SILVER">"c9086"</definedName>
    <definedName name="IQ_NUMBER_MINES_TITAN">"c9566"</definedName>
    <definedName name="IQ_NUMBER_MINES_URAN">"c9619"</definedName>
    <definedName name="IQ_NUMBER_MINES_ZINC">"c9354"</definedName>
    <definedName name="IQ_NUMBER_SHAREHOLDERS">"c1967"</definedName>
    <definedName name="IQ_NUMBER_SHAREHOLDERS_CLASSA">"c1968"</definedName>
    <definedName name="IQ_NUMBER_SHAREHOLDERS_OTHER">"c1969"</definedName>
    <definedName name="IQ_OBLIGATIONS_OF_STATES_TOTAL_LOANS_FOREIGN_FDIC">"c6447"</definedName>
    <definedName name="IQ_OBLIGATIONS_STATES_FDIC">"c6431"</definedName>
    <definedName name="IQ_OCCUPANCY_CONSOL">"c8840"</definedName>
    <definedName name="IQ_OCCUPANCY_MANAGED">"c8842"</definedName>
    <definedName name="IQ_OCCUPANCY_OTHER">"c8843"</definedName>
    <definedName name="IQ_OCCUPANCY_SAME_PROP">"c8845"</definedName>
    <definedName name="IQ_OCCUPANCY_TOTAL">"c8844"</definedName>
    <definedName name="IQ_OCCUPANCY_UNCONSOL">"c8841"</definedName>
    <definedName name="IQ_OCCUPY_EXP">"c839"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GAS_EQUIV_PRODUCTION_MMCFE">"c10061"</definedName>
    <definedName name="IQ_OG_AVG_DAILY_OIL_EQUIV_PRODUCTION_KBOE">"c10060"</definedName>
    <definedName name="IQ_OG_AVG_DAILY_PROD_GAS">"c2910"</definedName>
    <definedName name="IQ_OG_AVG_DAILY_PROD_NGL">"c2911"</definedName>
    <definedName name="IQ_OG_AVG_DAILY_PROD_OIL">"c2909"</definedName>
    <definedName name="IQ_OG_AVG_DAILY_PRODUCTION_GAS_MMCM">"c10059"</definedName>
    <definedName name="IQ_OG_AVG_DAILY_SALES_VOL_EQ_INC_GAS">"c5797"</definedName>
    <definedName name="IQ_OG_AVG_DAILY_SALES_VOL_EQ_INC_NGL">"c5798"</definedName>
    <definedName name="IQ_OG_AVG_DAILY_SALES_VOL_EQ_INC_OIL">"c5796"</definedName>
    <definedName name="IQ_OG_AVG_GAS_PRICE_CBM_HEDGED">"c10054"</definedName>
    <definedName name="IQ_OG_AVG_GAS_PRICE_CBM_UNHEDGED">"c10055"</definedName>
    <definedName name="IQ_OG_AVG_PRODUCTION_COST_BBL">"c10062"</definedName>
    <definedName name="IQ_OG_AVG_PRODUCTION_COST_BOE">"c10064"</definedName>
    <definedName name="IQ_OG_AVG_PRODUCTION_COST_MCF">"c10063"</definedName>
    <definedName name="IQ_OG_AVG_PRODUCTION_COST_MCFE">"c10065"</definedName>
    <definedName name="IQ_OG_CLOSE_BALANCE_GAS">"c2049"</definedName>
    <definedName name="IQ_OG_CLOSE_BALANCE_NGL">"c2920"</definedName>
    <definedName name="IQ_OG_CLOSE_BALANCE_OIL">"c2037"</definedName>
    <definedName name="IQ_OG_DAILY_PRDUCTION_GROWTH_GAS">"c10073"</definedName>
    <definedName name="IQ_OG_DAILY_PRDUCTION_GROWTH_GAS_EQUIVALENT">"c10076"</definedName>
    <definedName name="IQ_OG_DAILY_PRDUCTION_GROWTH_NGL">"c10074"</definedName>
    <definedName name="IQ_OG_DAILY_PRDUCTION_GROWTH_OIL">"c10072"</definedName>
    <definedName name="IQ_OG_DAILY_PRDUCTION_GROWTH_OIL_EQUIVALENT">"c10075"</definedName>
    <definedName name="IQ_OG_DCF_BEFORE_TAXES">"c2023"</definedName>
    <definedName name="IQ_OG_DCF_BEFORE_TAXES_GAS">"c2025"</definedName>
    <definedName name="IQ_OG_DCF_BEFORE_TAXES_OIL">"c2024"</definedName>
    <definedName name="IQ_OG_DEVELOPED_ACRE_GROSS_EQ_INC">"c5802"</definedName>
    <definedName name="IQ_OG_DEVELOPED_ACRE_NET_EQ_INC">"c5803"</definedName>
    <definedName name="IQ_OG_DEVELOPED_RESERVES_GAS">"c2053"</definedName>
    <definedName name="IQ_OG_DEVELOPED_RESERVES_GAS_BCM">"c10045"</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AFFILIATES_RESERVES_GAS_BCM">"c10047"</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XPLORATION_COSTS">"c1977"</definedName>
    <definedName name="IQ_OG_EXPLORATION_COSTS_GAS">"c1989"</definedName>
    <definedName name="IQ_OG_EXPLORATION_COSTS_OIL">"c1983"</definedName>
    <definedName name="IQ_OG_EXPLORATION_DEVELOPMENT_COST">"c10081"</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GROSS_DEVELOPED_AREA_SQ_KM">"c10079"</definedName>
    <definedName name="IQ_OG_GROSS_DEVELOPMENT_DRY_WELLS_DRILLED">"c10098"</definedName>
    <definedName name="IQ_OG_GROSS_DEVELOPMENT_PRODUCTIVE_WELLS_DRILLED">"c10097"</definedName>
    <definedName name="IQ_OG_GROSS_DEVELOPMENT_TOTAL_WELLS_DRILLED">"c10099"</definedName>
    <definedName name="IQ_OG_GROSS_EXPLORATORY_DRY_WELLS_DRILLED">"c10095"</definedName>
    <definedName name="IQ_OG_GROSS_EXPLORATORY_PRODUCTIVE_WELLS_DRILLED">"c10094"</definedName>
    <definedName name="IQ_OG_GROSS_EXPLORATORY_TOTAL_WELLS_DRILLED">"c10096"</definedName>
    <definedName name="IQ_OG_GROSS_OPERATED_WELLS">"c10092"</definedName>
    <definedName name="IQ_OG_GROSS_PRODUCTIVE_WELLS_GAS">"c10087"</definedName>
    <definedName name="IQ_OG_GROSS_PRODUCTIVE_WELLS_OIL">"c10086"</definedName>
    <definedName name="IQ_OG_GROSS_PRODUCTIVE_WELLS_TOTAL">"c10088"</definedName>
    <definedName name="IQ_OG_GROSS_TOTAL_WELLS_DRILLED">"c10100"</definedName>
    <definedName name="IQ_OG_GROSS_UNDEVELOPED_AREA_SQ_KM">"c10077"</definedName>
    <definedName name="IQ_OG_GROSS_WELLS_DRILLING">"c10108"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DEVELOPED_AREA_SQ_KM">"c10080"</definedName>
    <definedName name="IQ_OG_NET_DEVELOPMENT_DRY_WELLS_DRILLED">"c10105"</definedName>
    <definedName name="IQ_OG_NET_DEVELOPMENT_PRODUCTIVE_WELLS_DRILLED">"c10104"</definedName>
    <definedName name="IQ_OG_NET_DEVELOPMENT_TOTAL_WELLS_DRILLED">"c10106"</definedName>
    <definedName name="IQ_OG_NET_EXPLORATORY_DRY_WELLS_DRILLED">"c10102"</definedName>
    <definedName name="IQ_OG_NET_EXPLORATORY_PRODUCTIVE_WELLS_DRILLED">"c10101"</definedName>
    <definedName name="IQ_OG_NET_EXPLORATORY_TOTAL_WELLS_DRILLED">"c10103"</definedName>
    <definedName name="IQ_OG_NET_FUTURE_CASH_FLOWS">"c1996"</definedName>
    <definedName name="IQ_OG_NET_FUTURE_CASH_FLOWS_GAS">"c2016"</definedName>
    <definedName name="IQ_OG_NET_FUTURE_CASH_FLOWS_OIL">"c2006"</definedName>
    <definedName name="IQ_OG_NET_OPERATED_WELLS">"c10093"</definedName>
    <definedName name="IQ_OG_NET_PRODUCTIVE_WELLS_GAS">"c10090"</definedName>
    <definedName name="IQ_OG_NET_PRODUCTIVE_WELLS_OIL">"c10089"</definedName>
    <definedName name="IQ_OG_NET_PRODUCTIVE_WELLS_TOTAL">"c10091"</definedName>
    <definedName name="IQ_OG_NET_TOTAL_WELLS_DRILLED">"c10107"</definedName>
    <definedName name="IQ_OG_NET_UNDEVELOPED_AREA_SQ_KM">"c10078"</definedName>
    <definedName name="IQ_OG_NET_WELLS_DRILLING">"c10109"</definedName>
    <definedName name="IQ_OG_NUMBER_WELLS_NEW">"c10085"</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DUCTION_GROWTH_GAS">"c10067"</definedName>
    <definedName name="IQ_OG_PRDUCTION_GROWTH_GAS_EQUIVALENT">"c10070"</definedName>
    <definedName name="IQ_OG_PRDUCTION_GROWTH_NGL">"c10068"</definedName>
    <definedName name="IQ_OG_PRDUCTION_GROWTH_OIL">"c10066"</definedName>
    <definedName name="IQ_OG_PRDUCTION_GROWTH_OIL_EQUIVALENT">"c10069"</definedName>
    <definedName name="IQ_OG_PRDUCTION_GROWTH_TOAL">"c10071"</definedName>
    <definedName name="IQ_OG_PRODUCTION_GAS">"c2047"</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SERVE_REPLACEMENT_RATIO">"c5799"</definedName>
    <definedName name="IQ_OG_REVISIONS_GAS">"c2042"</definedName>
    <definedName name="IQ_OG_REVISIONS_NGL">"c2913"</definedName>
    <definedName name="IQ_OG_REVISIONS_OIL">"c2030"</definedName>
    <definedName name="IQ_OG_RIGS_NON_OPERATED">"c10083"</definedName>
    <definedName name="IQ_OG_RIGS_OPERATED">"c10082"</definedName>
    <definedName name="IQ_OG_RIGS_TOTAL">"c10084"</definedName>
    <definedName name="IQ_OG_SALES_IN_PLACE_GAS">"c2046"</definedName>
    <definedName name="IQ_OG_SALES_IN_PLACE_NGL">"c2917"</definedName>
    <definedName name="IQ_OG_SALES_IN_PLACE_OIL">"c2034"</definedName>
    <definedName name="IQ_OG_SALES_VOL_EQ_INC_GAS">"c5794"</definedName>
    <definedName name="IQ_OG_SALES_VOL_EQ_INC_NGL">"c5795"</definedName>
    <definedName name="IQ_OG_SALES_VOL_EQ_INC_OIL">"c5793"</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EQUIV_PRODUCTION_BCFE">"c10058"</definedName>
    <definedName name="IQ_OG_TOTAL_GAS_PRODUCTION">"c2060"</definedName>
    <definedName name="IQ_OG_TOTAL_LIQUID_GAS_PRODUCTION">"c2235"</definedName>
    <definedName name="IQ_OG_TOTAL_OIL_EQUIV_PRODUCTION_MMBOE">"c10057"</definedName>
    <definedName name="IQ_OG_TOTAL_OIL_PRODUCTION">"c2059"</definedName>
    <definedName name="IQ_OG_TOTAL_OIL_PRODUCTON">"c2059"</definedName>
    <definedName name="IQ_OG_TOTAL_POSSIBLE_RESERVES_GAS_BCF">"c10050"</definedName>
    <definedName name="IQ_OG_TOTAL_POSSIBLE_RESERVES_GAS_BCM">"c10051"</definedName>
    <definedName name="IQ_OG_TOTAL_POSSIBLE_RESERVES_OIL_MMBBLS">"c10053"</definedName>
    <definedName name="IQ_OG_TOTAL_PROBABLE_RESERVES_GAS_BCF">"c10048"</definedName>
    <definedName name="IQ_OG_TOTAL_PROBABLE_RESERVES_GAS_BCM">"c10049"</definedName>
    <definedName name="IQ_OG_TOTAL_PROBABLE_RESERVES_OIL_MMBBLS">"c10052"</definedName>
    <definedName name="IQ_OG_TOTAL_PRODUCTION_GAS_BCM">"c10056"</definedName>
    <definedName name="IQ_OG_TOTAL_PROVED_RESERVES_GAS_BCM">"c10046"</definedName>
    <definedName name="IQ_OG_UNDEVELOPED_ACRE_GROSS_EQ_INC">"c5800"</definedName>
    <definedName name="IQ_OG_UNDEVELOPED_ACRE_NET_EQ_INC">"c5801"</definedName>
    <definedName name="IQ_OG_UNDEVELOPED_RESERVES_GAS">"c2051"</definedName>
    <definedName name="IQ_OG_UNDEVELOPED_RESERVES_GAS_BCM">"c10044"</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B_ACCRUED_LIAB">"c3308"</definedName>
    <definedName name="IQ_OPEB_ACCRUED_LIAB_DOM">"c3306"</definedName>
    <definedName name="IQ_OPEB_ACCRUED_LIAB_FOREIGN">"c3307"</definedName>
    <definedName name="IQ_OPEB_ACCUM_OTHER_CI">"c3314"</definedName>
    <definedName name="IQ_OPEB_ACCUM_OTHER_CI_DOM">"c3312"</definedName>
    <definedName name="IQ_OPEB_ACCUM_OTHER_CI_FOREIGN">"c3313"</definedName>
    <definedName name="IQ_OPEB_ACT_NEXT">"c5774"</definedName>
    <definedName name="IQ_OPEB_ACT_NEXT_DOM">"c5772"</definedName>
    <definedName name="IQ_OPEB_ACT_NEXT_FOREIGN">"c5773"</definedName>
    <definedName name="IQ_OPEB_AMT_RECOG_NEXT">"c5783"</definedName>
    <definedName name="IQ_OPEB_AMT_RECOG_NEXT_DOM">"c5781"</definedName>
    <definedName name="IQ_OPEB_AMT_RECOG_NEXT_FOREIGN">"c5782"</definedName>
    <definedName name="IQ_OPEB_ASSETS">"c3356"</definedName>
    <definedName name="IQ_OPEB_ASSETS_ACQ">"c3347"</definedName>
    <definedName name="IQ_OPEB_ASSETS_ACQ_DOM">"c3345"</definedName>
    <definedName name="IQ_OPEB_ASSETS_ACQ_FOREIGN">"c3346"</definedName>
    <definedName name="IQ_OPEB_ASSETS_ACTUAL_RETURN">"c3332"</definedName>
    <definedName name="IQ_OPEB_ASSETS_ACTUAL_RETURN_DOM">"c3330"</definedName>
    <definedName name="IQ_OPEB_ASSETS_ACTUAL_RETURN_FOREIGN">"c3331"</definedName>
    <definedName name="IQ_OPEB_ASSETS_BEG">"c3329"</definedName>
    <definedName name="IQ_OPEB_ASSETS_BEG_DOM">"c3327"</definedName>
    <definedName name="IQ_OPEB_ASSETS_BEG_FOREIGN">"c3328"</definedName>
    <definedName name="IQ_OPEB_ASSETS_BENEFITS_PAID">"c3341"</definedName>
    <definedName name="IQ_OPEB_ASSETS_BENEFITS_PAID_DOM">"c3339"</definedName>
    <definedName name="IQ_OPEB_ASSETS_BENEFITS_PAID_FOREIGN">"c3340"</definedName>
    <definedName name="IQ_OPEB_ASSETS_CURTAIL">"c3350"</definedName>
    <definedName name="IQ_OPEB_ASSETS_CURTAIL_DOM">"c3348"</definedName>
    <definedName name="IQ_OPEB_ASSETS_CURTAIL_FOREIGN">"c3349"</definedName>
    <definedName name="IQ_OPEB_ASSETS_DOM">"c3354"</definedName>
    <definedName name="IQ_OPEB_ASSETS_EMPLOYER_CONTRIBUTIONS">"c3335"</definedName>
    <definedName name="IQ_OPEB_ASSETS_EMPLOYER_CONTRIBUTIONS_DOM">"c3333"</definedName>
    <definedName name="IQ_OPEB_ASSETS_EMPLOYER_CONTRIBUTIONS_FOREIGN">"c3334"</definedName>
    <definedName name="IQ_OPEB_ASSETS_FOREIGN">"c3355"</definedName>
    <definedName name="IQ_OPEB_ASSETS_FX_ADJ">"c3344"</definedName>
    <definedName name="IQ_OPEB_ASSETS_FX_ADJ_DOM">"c3342"</definedName>
    <definedName name="IQ_OPEB_ASSETS_FX_ADJ_FOREIGN">"c3343"</definedName>
    <definedName name="IQ_OPEB_ASSETS_OTHER_PLAN_ADJ">"c3353"</definedName>
    <definedName name="IQ_OPEB_ASSETS_OTHER_PLAN_ADJ_DOM">"c3351"</definedName>
    <definedName name="IQ_OPEB_ASSETS_OTHER_PLAN_ADJ_FOREIGN">"c3352"</definedName>
    <definedName name="IQ_OPEB_ASSETS_PARTICIP_CONTRIBUTIONS">"c3338"</definedName>
    <definedName name="IQ_OPEB_ASSETS_PARTICIP_CONTRIBUTIONS_DOM">"c3336"</definedName>
    <definedName name="IQ_OPEB_ASSETS_PARTICIP_CONTRIBUTIONS_FOREIGN">"c3337"</definedName>
    <definedName name="IQ_OPEB_BENEFIT_INFO_DATE">"c3410"</definedName>
    <definedName name="IQ_OPEB_BENEFIT_INFO_DATE_DOM">"c3408"</definedName>
    <definedName name="IQ_OPEB_BENEFIT_INFO_DATE_FOREIGN">"c3409"</definedName>
    <definedName name="IQ_OPEB_BREAKDOWN_EQ">"c3275"</definedName>
    <definedName name="IQ_OPEB_BREAKDOWN_EQ_DOM">"c3273"</definedName>
    <definedName name="IQ_OPEB_BREAKDOWN_EQ_FOREIGN">"c3274"</definedName>
    <definedName name="IQ_OPEB_BREAKDOWN_FI">"c3278"</definedName>
    <definedName name="IQ_OPEB_BREAKDOWN_FI_DOM">"c3276"</definedName>
    <definedName name="IQ_OPEB_BREAKDOWN_FI_FOREIGN">"c3277"</definedName>
    <definedName name="IQ_OPEB_BREAKDOWN_OTHER">"c3284"</definedName>
    <definedName name="IQ_OPEB_BREAKDOWN_OTHER_DOM">"c3282"</definedName>
    <definedName name="IQ_OPEB_BREAKDOWN_OTHER_FOREIGN">"c3283"</definedName>
    <definedName name="IQ_OPEB_BREAKDOWN_PCT_EQ">"c3263"</definedName>
    <definedName name="IQ_OPEB_BREAKDOWN_PCT_EQ_DOM">"c3261"</definedName>
    <definedName name="IQ_OPEB_BREAKDOWN_PCT_EQ_FOREIGN">"c3262"</definedName>
    <definedName name="IQ_OPEB_BREAKDOWN_PCT_FI">"c3266"</definedName>
    <definedName name="IQ_OPEB_BREAKDOWN_PCT_FI_DOM">"c3264"</definedName>
    <definedName name="IQ_OPEB_BREAKDOWN_PCT_FI_FOREIGN">"c3265"</definedName>
    <definedName name="IQ_OPEB_BREAKDOWN_PCT_OTHER">"c3272"</definedName>
    <definedName name="IQ_OPEB_BREAKDOWN_PCT_OTHER_DOM">"c3270"</definedName>
    <definedName name="IQ_OPEB_BREAKDOWN_PCT_OTHER_FOREIGN">"c3271"</definedName>
    <definedName name="IQ_OPEB_BREAKDOWN_PCT_RE">"c3269"</definedName>
    <definedName name="IQ_OPEB_BREAKDOWN_PCT_RE_DOM">"c3267"</definedName>
    <definedName name="IQ_OPEB_BREAKDOWN_PCT_RE_FOREIGN">"c3268"</definedName>
    <definedName name="IQ_OPEB_BREAKDOWN_RE">"c3281"</definedName>
    <definedName name="IQ_OPEB_BREAKDOWN_RE_DOM">"c3279"</definedName>
    <definedName name="IQ_OPEB_BREAKDOWN_RE_FOREIGN">"c3280"</definedName>
    <definedName name="IQ_OPEB_CI_ACT">"c5759"</definedName>
    <definedName name="IQ_OPEB_CI_ACT_DOM">"c5757"</definedName>
    <definedName name="IQ_OPEB_CI_ACT_FOREIGN">"c5758"</definedName>
    <definedName name="IQ_OPEB_CI_NET_AMT_RECOG">"c5771"</definedName>
    <definedName name="IQ_OPEB_CI_NET_AMT_RECOG_DOM">"c5769"</definedName>
    <definedName name="IQ_OPEB_CI_NET_AMT_RECOG_FOREIGN">"c5770"</definedName>
    <definedName name="IQ_OPEB_CI_OTHER_MISC_ADJ">"c5768"</definedName>
    <definedName name="IQ_OPEB_CI_OTHER_MISC_ADJ_DOM">"c5766"</definedName>
    <definedName name="IQ_OPEB_CI_OTHER_MISC_ADJ_FOREIGN">"c5767"</definedName>
    <definedName name="IQ_OPEB_CI_PRIOR_SERVICE">"c5762"</definedName>
    <definedName name="IQ_OPEB_CI_PRIOR_SERVICE_DOM">"c5760"</definedName>
    <definedName name="IQ_OPEB_CI_PRIOR_SERVICE_FOREIGN">"c5761"</definedName>
    <definedName name="IQ_OPEB_CI_TRANSITION">"c5765"</definedName>
    <definedName name="IQ_OPEB_CI_TRANSITION_DOM">"c5763"</definedName>
    <definedName name="IQ_OPEB_CI_TRANSITION_FOREIGN">"c5764"</definedName>
    <definedName name="IQ_OPEB_CL">"c5789"</definedName>
    <definedName name="IQ_OPEB_CL_DOM">"c5787"</definedName>
    <definedName name="IQ_OPEB_CL_FOREIGN">"c5788"</definedName>
    <definedName name="IQ_OPEB_DECREASE_EFFECT_PBO">"c3458"</definedName>
    <definedName name="IQ_OPEB_DECREASE_EFFECT_PBO_DOM">"c3456"</definedName>
    <definedName name="IQ_OPEB_DECREASE_EFFECT_PBO_FOREIGN">"c3457"</definedName>
    <definedName name="IQ_OPEB_DECREASE_EFFECT_SERVICE_INT_COST">"c3455"</definedName>
    <definedName name="IQ_OPEB_DECREASE_EFFECT_SERVICE_INT_COST_DOM">"c3453"</definedName>
    <definedName name="IQ_OPEB_DECREASE_EFFECT_SERVICE_INT_COST_FOREIGN">"c3454"</definedName>
    <definedName name="IQ_OPEB_DISC_RATE_MAX">"c3422"</definedName>
    <definedName name="IQ_OPEB_DISC_RATE_MAX_DOM">"c3420"</definedName>
    <definedName name="IQ_OPEB_DISC_RATE_MAX_FOREIGN">"c3421"</definedName>
    <definedName name="IQ_OPEB_DISC_RATE_MIN">"c3419"</definedName>
    <definedName name="IQ_OPEB_DISC_RATE_MIN_DOM">"c3417"</definedName>
    <definedName name="IQ_OPEB_DISC_RATE_MIN_FOREIGN">"c3418"</definedName>
    <definedName name="IQ_OPEB_EST_BENEFIT_1YR">"c3287"</definedName>
    <definedName name="IQ_OPEB_EST_BENEFIT_1YR_DOM">"c3285"</definedName>
    <definedName name="IQ_OPEB_EST_BENEFIT_1YR_FOREIGN">"c3286"</definedName>
    <definedName name="IQ_OPEB_EST_BENEFIT_2YR">"c3290"</definedName>
    <definedName name="IQ_OPEB_EST_BENEFIT_2YR_DOM">"c3288"</definedName>
    <definedName name="IQ_OPEB_EST_BENEFIT_2YR_FOREIGN">"c3289"</definedName>
    <definedName name="IQ_OPEB_EST_BENEFIT_3YR">"c3293"</definedName>
    <definedName name="IQ_OPEB_EST_BENEFIT_3YR_DOM">"c3291"</definedName>
    <definedName name="IQ_OPEB_EST_BENEFIT_3YR_FOREIGN">"c3292"</definedName>
    <definedName name="IQ_OPEB_EST_BENEFIT_4YR">"c3296"</definedName>
    <definedName name="IQ_OPEB_EST_BENEFIT_4YR_DOM">"c3294"</definedName>
    <definedName name="IQ_OPEB_EST_BENEFIT_4YR_FOREIGN">"c3295"</definedName>
    <definedName name="IQ_OPEB_EST_BENEFIT_5YR">"c3299"</definedName>
    <definedName name="IQ_OPEB_EST_BENEFIT_5YR_DOM">"c3297"</definedName>
    <definedName name="IQ_OPEB_EST_BENEFIT_5YR_FOREIGN">"c3298"</definedName>
    <definedName name="IQ_OPEB_EST_BENEFIT_AFTER5">"c3302"</definedName>
    <definedName name="IQ_OPEB_EST_BENEFIT_AFTER5_DOM">"c3300"</definedName>
    <definedName name="IQ_OPEB_EST_BENEFIT_AFTER5_FOREIGN">"c3301"</definedName>
    <definedName name="IQ_OPEB_EXP_RATE_RETURN_MAX">"c3434"</definedName>
    <definedName name="IQ_OPEB_EXP_RATE_RETURN_MAX_DOM">"c3432"</definedName>
    <definedName name="IQ_OPEB_EXP_RATE_RETURN_MAX_FOREIGN">"c3433"</definedName>
    <definedName name="IQ_OPEB_EXP_RATE_RETURN_MIN">"c3431"</definedName>
    <definedName name="IQ_OPEB_EXP_RATE_RETURN_MIN_DOM">"c3429"</definedName>
    <definedName name="IQ_OPEB_EXP_RATE_RETURN_MIN_FOREIGN">"c3430"</definedName>
    <definedName name="IQ_OPEB_EXP_RETURN">"c3398"</definedName>
    <definedName name="IQ_OPEB_EXP_RETURN_DOM">"c3396"</definedName>
    <definedName name="IQ_OPEB_EXP_RETURN_FOREIGN">"c3397"</definedName>
    <definedName name="IQ_OPEB_HEALTH_COST_TREND_INITIAL">"c3413"</definedName>
    <definedName name="IQ_OPEB_HEALTH_COST_TREND_INITIAL_DOM">"c3411"</definedName>
    <definedName name="IQ_OPEB_HEALTH_COST_TREND_INITIAL_FOREIGN">"c3412"</definedName>
    <definedName name="IQ_OPEB_HEALTH_COST_TREND_ULTIMATE">"c3416"</definedName>
    <definedName name="IQ_OPEB_HEALTH_COST_TREND_ULTIMATE_DOM">"c3414"</definedName>
    <definedName name="IQ_OPEB_HEALTH_COST_TREND_ULTIMATE_FOREIGN">"c3415"</definedName>
    <definedName name="IQ_OPEB_INCREASE_EFFECT_PBO">"c3452"</definedName>
    <definedName name="IQ_OPEB_INCREASE_EFFECT_PBO_DOM">"c3450"</definedName>
    <definedName name="IQ_OPEB_INCREASE_EFFECT_PBO_FOREIGN">"c3451"</definedName>
    <definedName name="IQ_OPEB_INCREASE_EFFECT_SERVICE_INT_COST">"c3449"</definedName>
    <definedName name="IQ_OPEB_INCREASE_EFFECT_SERVICE_INT_COST_DOM">"c3447"</definedName>
    <definedName name="IQ_OPEB_INCREASE_EFFECT_SERVICE_INT_COST_FOREIGN">"c3448"</definedName>
    <definedName name="IQ_OPEB_INTAN_ASSETS">"c3311"</definedName>
    <definedName name="IQ_OPEB_INTAN_ASSETS_DOM">"c3309"</definedName>
    <definedName name="IQ_OPEB_INTAN_ASSETS_FOREIGN">"c3310"</definedName>
    <definedName name="IQ_OPEB_INTEREST_COST">"c3395"</definedName>
    <definedName name="IQ_OPEB_INTEREST_COST_DOM">"c3393"</definedName>
    <definedName name="IQ_OPEB_INTEREST_COST_FOREIGN">"c3394"</definedName>
    <definedName name="IQ_OPEB_LT_ASSETS">"c5786"</definedName>
    <definedName name="IQ_OPEB_LT_ASSETS_DOM">"c5784"</definedName>
    <definedName name="IQ_OPEB_LT_ASSETS_FOREIGN">"c5785"</definedName>
    <definedName name="IQ_OPEB_LT_LIAB">"c5792"</definedName>
    <definedName name="IQ_OPEB_LT_LIAB_DOM">"c5790"</definedName>
    <definedName name="IQ_OPEB_LT_LIAB_FOREIGN">"c5791"</definedName>
    <definedName name="IQ_OPEB_NET_ASSET_RECOG">"c3326"</definedName>
    <definedName name="IQ_OPEB_NET_ASSET_RECOG_DOM">"c3324"</definedName>
    <definedName name="IQ_OPEB_NET_ASSET_RECOG_FOREIGN">"c3325"</definedName>
    <definedName name="IQ_OPEB_OBLIGATION_ACCUMULATED">"c3407"</definedName>
    <definedName name="IQ_OPEB_OBLIGATION_ACCUMULATED_DOM">"c3405"</definedName>
    <definedName name="IQ_OPEB_OBLIGATION_ACCUMULATED_FOREIGN">"c3406"</definedName>
    <definedName name="IQ_OPEB_OBLIGATION_ACQ">"c3380"</definedName>
    <definedName name="IQ_OPEB_OBLIGATION_ACQ_DOM">"c3378"</definedName>
    <definedName name="IQ_OPEB_OBLIGATION_ACQ_FOREIGN">"c3379"</definedName>
    <definedName name="IQ_OPEB_OBLIGATION_ACTUARIAL_GAIN_LOSS">"c3371"</definedName>
    <definedName name="IQ_OPEB_OBLIGATION_ACTUARIAL_GAIN_LOSS_DOM">"c3369"</definedName>
    <definedName name="IQ_OPEB_OBLIGATION_ACTUARIAL_GAIN_LOSS_FOREIGN">"c3370"</definedName>
    <definedName name="IQ_OPEB_OBLIGATION_BEG">"c3359"</definedName>
    <definedName name="IQ_OPEB_OBLIGATION_BEG_DOM">"c3357"</definedName>
    <definedName name="IQ_OPEB_OBLIGATION_BEG_FOREIGN">"c3358"</definedName>
    <definedName name="IQ_OPEB_OBLIGATION_CURTAIL">"c3383"</definedName>
    <definedName name="IQ_OPEB_OBLIGATION_CURTAIL_DOM">"c3381"</definedName>
    <definedName name="IQ_OPEB_OBLIGATION_CURTAIL_FOREIGN">"c3382"</definedName>
    <definedName name="IQ_OPEB_OBLIGATION_EMPLOYEE_CONTRIBUTIONS">"c3368"</definedName>
    <definedName name="IQ_OPEB_OBLIGATION_EMPLOYEE_CONTRIBUTIONS_DOM">"c3366"</definedName>
    <definedName name="IQ_OPEB_OBLIGATION_EMPLOYEE_CONTRIBUTIONS_FOREIGN">"c3367"</definedName>
    <definedName name="IQ_OPEB_OBLIGATION_FX_ADJ">"c3377"</definedName>
    <definedName name="IQ_OPEB_OBLIGATION_FX_ADJ_DOM">"c3375"</definedName>
    <definedName name="IQ_OPEB_OBLIGATION_FX_ADJ_FOREIGN">"c3376"</definedName>
    <definedName name="IQ_OPEB_OBLIGATION_INTEREST_COST">"c3365"</definedName>
    <definedName name="IQ_OPEB_OBLIGATION_INTEREST_COST_DOM">"c3363"</definedName>
    <definedName name="IQ_OPEB_OBLIGATION_INTEREST_COST_FOREIGN">"c3364"</definedName>
    <definedName name="IQ_OPEB_OBLIGATION_OTHER_PLAN_ADJ">"c3386"</definedName>
    <definedName name="IQ_OPEB_OBLIGATION_OTHER_PLAN_ADJ_DOM">"c3384"</definedName>
    <definedName name="IQ_OPEB_OBLIGATION_OTHER_PLAN_ADJ_FOREIGN">"c3385"</definedName>
    <definedName name="IQ_OPEB_OBLIGATION_PAID">"c3374"</definedName>
    <definedName name="IQ_OPEB_OBLIGATION_PAID_DOM">"c3372"</definedName>
    <definedName name="IQ_OPEB_OBLIGATION_PAID_FOREIGN">"c3373"</definedName>
    <definedName name="IQ_OPEB_OBLIGATION_PROJECTED">"c3389"</definedName>
    <definedName name="IQ_OPEB_OBLIGATION_PROJECTED_DOM">"c3387"</definedName>
    <definedName name="IQ_OPEB_OBLIGATION_PROJECTED_FOREIGN">"c3388"</definedName>
    <definedName name="IQ_OPEB_OBLIGATION_SERVICE_COST">"c3362"</definedName>
    <definedName name="IQ_OPEB_OBLIGATION_SERVICE_COST_DOM">"c3360"</definedName>
    <definedName name="IQ_OPEB_OBLIGATION_SERVICE_COST_FOREIGN">"c3361"</definedName>
    <definedName name="IQ_OPEB_OTHER">"c3317"</definedName>
    <definedName name="IQ_OPEB_OTHER_ADJ">"c3323"</definedName>
    <definedName name="IQ_OPEB_OTHER_ADJ_DOM">"c3321"</definedName>
    <definedName name="IQ_OPEB_OTHER_ADJ_FOREIGN">"c3322"</definedName>
    <definedName name="IQ_OPEB_OTHER_COST">"c3401"</definedName>
    <definedName name="IQ_OPEB_OTHER_COST_DOM">"c3399"</definedName>
    <definedName name="IQ_OPEB_OTHER_COST_FOREIGN">"c3400"</definedName>
    <definedName name="IQ_OPEB_OTHER_DOM">"c3315"</definedName>
    <definedName name="IQ_OPEB_OTHER_FOREIGN">"c3316"</definedName>
    <definedName name="IQ_OPEB_PBO_ASSUMED_RATE_RET_MAX">"c3440"</definedName>
    <definedName name="IQ_OPEB_PBO_ASSUMED_RATE_RET_MAX_DOM">"c3438"</definedName>
    <definedName name="IQ_OPEB_PBO_ASSUMED_RATE_RET_MAX_FOREIGN">"c3439"</definedName>
    <definedName name="IQ_OPEB_PBO_ASSUMED_RATE_RET_MIN">"c3437"</definedName>
    <definedName name="IQ_OPEB_PBO_ASSUMED_RATE_RET_MIN_DOM">"c3435"</definedName>
    <definedName name="IQ_OPEB_PBO_ASSUMED_RATE_RET_MIN_FOREIGN">"c3436"</definedName>
    <definedName name="IQ_OPEB_PBO_RATE_COMP_INCREASE_MAX">"c3446"</definedName>
    <definedName name="IQ_OPEB_PBO_RATE_COMP_INCREASE_MAX_DOM">"c3444"</definedName>
    <definedName name="IQ_OPEB_PBO_RATE_COMP_INCREASE_MAX_FOREIGN">"c3445"</definedName>
    <definedName name="IQ_OPEB_PBO_RATE_COMP_INCREASE_MIN">"c3443"</definedName>
    <definedName name="IQ_OPEB_PBO_RATE_COMP_INCREASE_MIN_DOM">"c3441"</definedName>
    <definedName name="IQ_OPEB_PBO_RATE_COMP_INCREASE_MIN_FOREIGN">"c3442"</definedName>
    <definedName name="IQ_OPEB_PREPAID_COST">"c3305"</definedName>
    <definedName name="IQ_OPEB_PREPAID_COST_DOM">"c3303"</definedName>
    <definedName name="IQ_OPEB_PREPAID_COST_FOREIGN">"c3304"</definedName>
    <definedName name="IQ_OPEB_PRIOR_SERVICE_NEXT">"c5777"</definedName>
    <definedName name="IQ_OPEB_PRIOR_SERVICE_NEXT_DOM">"c5775"</definedName>
    <definedName name="IQ_OPEB_PRIOR_SERVICE_NEXT_FOREIGN">"c5776"</definedName>
    <definedName name="IQ_OPEB_RATE_COMP_INCREASE_MAX">"c3428"</definedName>
    <definedName name="IQ_OPEB_RATE_COMP_INCREASE_MAX_DOM">"c3426"</definedName>
    <definedName name="IQ_OPEB_RATE_COMP_INCREASE_MAX_FOREIGN">"c3427"</definedName>
    <definedName name="IQ_OPEB_RATE_COMP_INCREASE_MIN">"c3425"</definedName>
    <definedName name="IQ_OPEB_RATE_COMP_INCREASE_MIN_DOM">"c3423"</definedName>
    <definedName name="IQ_OPEB_RATE_COMP_INCREASE_MIN_FOREIGN">"c3424"</definedName>
    <definedName name="IQ_OPEB_SERVICE_COST">"c3392"</definedName>
    <definedName name="IQ_OPEB_SERVICE_COST_DOM">"c3390"</definedName>
    <definedName name="IQ_OPEB_SERVICE_COST_FOREIGN">"c3391"</definedName>
    <definedName name="IQ_OPEB_TOTAL_COST">"c3404"</definedName>
    <definedName name="IQ_OPEB_TOTAL_COST_DOM">"c3402"</definedName>
    <definedName name="IQ_OPEB_TOTAL_COST_FOREIGN">"c3403"</definedName>
    <definedName name="IQ_OPEB_TRANSITION_NEXT">"c5780"</definedName>
    <definedName name="IQ_OPEB_TRANSITION_NEXT_DOM">"c5778"</definedName>
    <definedName name="IQ_OPEB_TRANSITION_NEXT_FOREIGN">"c5779"</definedName>
    <definedName name="IQ_OPEB_UNRECOG_PRIOR">"c3320"</definedName>
    <definedName name="IQ_OPEB_UNRECOG_PRIOR_DOM">"c3318"</definedName>
    <definedName name="IQ_OPEB_UNRECOG_PRIOR_FOREIGN">"c3319"</definedName>
    <definedName name="IQ_OPENPRICE">"c848"</definedName>
    <definedName name="IQ_OPER_INC">"c849"</definedName>
    <definedName name="IQ_OPER_INC_ACT_OR_EST_THOM">"c5304"</definedName>
    <definedName name="IQ_OPER_INC_BR">"c850"</definedName>
    <definedName name="IQ_OPER_INC_EST">"c1688"</definedName>
    <definedName name="IQ_OPER_INC_EST_THOM">"c5112"</definedName>
    <definedName name="IQ_OPER_INC_FIN">"c851"</definedName>
    <definedName name="IQ_OPER_INC_HIGH_EST">"c1690"</definedName>
    <definedName name="IQ_OPER_INC_HIGH_EST_THOM">"c5114"</definedName>
    <definedName name="IQ_OPER_INC_INS">"c852"</definedName>
    <definedName name="IQ_OPER_INC_LOW_EST">"c1691"</definedName>
    <definedName name="IQ_OPER_INC_LOW_EST_THOM">"c5115"</definedName>
    <definedName name="IQ_OPER_INC_MARGIN">"c1448"</definedName>
    <definedName name="IQ_OPER_INC_MEDIAN_EST">"c1689"</definedName>
    <definedName name="IQ_OPER_INC_MEDIAN_EST_THOM">"c5113"</definedName>
    <definedName name="IQ_OPER_INC_NUM_EST">"c1692"</definedName>
    <definedName name="IQ_OPER_INC_NUM_EST_THOM">"c5116"</definedName>
    <definedName name="IQ_OPER_INC_RE">"c6240"</definedName>
    <definedName name="IQ_OPER_INC_REIT">"c853"</definedName>
    <definedName name="IQ_OPER_INC_STDDEV_EST">"c1693"</definedName>
    <definedName name="IQ_OPER_INC_STDDEV_EST_THOM">"c5117"</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ABLE_END_OS">"c5804"</definedName>
    <definedName name="IQ_OPTIONS_EXERCISED">"c2116"</definedName>
    <definedName name="IQ_OPTIONS_GRANTED">"c2673"</definedName>
    <definedName name="IQ_OPTIONS_ISSUED">"c857"</definedName>
    <definedName name="IQ_OPTIONS_STRIKE_PRICE_BEG_OS">"c5805"</definedName>
    <definedName name="IQ_OPTIONS_STRIKE_PRICE_CANCELLED">"c5807"</definedName>
    <definedName name="IQ_OPTIONS_STRIKE_PRICE_EXERCISABLE">"c5808"</definedName>
    <definedName name="IQ_OPTIONS_STRIKE_PRICE_EXERCISED">"c5806"</definedName>
    <definedName name="IQ_OPTIONS_STRIKE_PRICE_GRANTED">"c2678"</definedName>
    <definedName name="IQ_OPTIONS_STRIKE_PRICE_OS">"c2677"</definedName>
    <definedName name="IQ_ORDER_BACKLOG">"c2090"</definedName>
    <definedName name="IQ_OREO_1_4_RESIDENTIAL_FDIC">"c6454"</definedName>
    <definedName name="IQ_OREO_COMMERCIAL_RE_FDIC">"c6456"</definedName>
    <definedName name="IQ_OREO_CONSTRUCTION_DEVELOPMENT_FDIC">"c6457"</definedName>
    <definedName name="IQ_OREO_FARMLAND_FDIC">"c6458"</definedName>
    <definedName name="IQ_OREO_FOREIGN_FDIC">"c6460"</definedName>
    <definedName name="IQ_OREO_MULTI_FAMILY_RESIDENTIAL_FDIC">"c6455"</definedName>
    <definedName name="IQ_OTHER_ADJUST_GROSS_LOANS">"c859"</definedName>
    <definedName name="IQ_OTHER_ADJUSTMENTS_COVERED">"c9961"</definedName>
    <definedName name="IQ_OTHER_ADJUSTMENTS_GROUP">"c9947"</definedName>
    <definedName name="IQ_OTHER_AMORT">"c5563"</definedName>
    <definedName name="IQ_OTHER_AMORT_BNK">"c5565"</definedName>
    <definedName name="IQ_OTHER_AMORT_BR">"c5566"</definedName>
    <definedName name="IQ_OTHER_AMORT_FIN">"c5567"</definedName>
    <definedName name="IQ_OTHER_AMORT_INS">"c5568"</definedName>
    <definedName name="IQ_OTHER_AMORT_RE">"c6287"</definedName>
    <definedName name="IQ_OTHER_AMORT_REIT">"c5569"</definedName>
    <definedName name="IQ_OTHER_AMORT_UTI">"c5570"</definedName>
    <definedName name="IQ_OTHER_ASSETS">"c860"</definedName>
    <definedName name="IQ_OTHER_ASSETS_BNK">"c861"</definedName>
    <definedName name="IQ_OTHER_ASSETS_BR">"c862"</definedName>
    <definedName name="IQ_OTHER_ASSETS_FDIC">"c6338"</definedName>
    <definedName name="IQ_OTHER_ASSETS_FIN">"c863"</definedName>
    <definedName name="IQ_OTHER_ASSETS_INS">"c864"</definedName>
    <definedName name="IQ_OTHER_ASSETS_RE">"c6241"</definedName>
    <definedName name="IQ_OTHER_ASSETS_REIT">"c865"</definedName>
    <definedName name="IQ_OTHER_ASSETS_SERV_RIGHTS">"c2243"</definedName>
    <definedName name="IQ_OTHER_ASSETS_UTI">"c866"</definedName>
    <definedName name="IQ_OTHER_BEARING_LIAB">"c1608"</definedName>
    <definedName name="IQ_OTHER_BEDS">"c8784"</definedName>
    <definedName name="IQ_OTHER_BENEFITS_OBLIGATION">"c867"</definedName>
    <definedName name="IQ_OTHER_BORROWED_FUNDS_FDIC">"c6345"</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"c6242"</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INS">"C6021"</definedName>
    <definedName name="IQ_OTHER_CL_SUPPL_RE">"c6243"</definedName>
    <definedName name="IQ_OTHER_CL_SUPPL_REIT">"c882"</definedName>
    <definedName name="IQ_OTHER_CL_SUPPL_UTI">"c883"</definedName>
    <definedName name="IQ_OTHER_CL_UTI">"c884"</definedName>
    <definedName name="IQ_OTHER_COMPREHENSIVE_INCOME_FDIC">"c6503"</definedName>
    <definedName name="IQ_OTHER_CURRENT_ASSETS">"c1403"</definedName>
    <definedName name="IQ_OTHER_CURRENT_LIAB">"c1404"</definedName>
    <definedName name="IQ_OTHER_DEBT">"c2507"</definedName>
    <definedName name="IQ_OTHER_DEBT_PCT">"c2508"</definedName>
    <definedName name="IQ_OTHER_DEP">"c885"</definedName>
    <definedName name="IQ_OTHER_DEPOSITORY_INSTITUTIONS_LOANS_FDIC">"c6436"</definedName>
    <definedName name="IQ_OTHER_DEPOSITORY_INSTITUTIONS_TOTAL_LOANS_FOREIGN_FDIC">"c6442"</definedName>
    <definedName name="IQ_OTHER_DOMESTIC_DEBT_SECURITIES_FDIC">"c6302"</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"c6244"</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"c6245"</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"c6246"</definedName>
    <definedName name="IQ_OTHER_FINANCE_ACT_SUPPL_REIT">"c904"</definedName>
    <definedName name="IQ_OTHER_FINANCE_ACT_SUPPL_UTI">"c905"</definedName>
    <definedName name="IQ_OTHER_FINANCE_ACT_UTI">"c906"</definedName>
    <definedName name="IQ_OTHER_INSURANCE_FEES_FDIC">"c6672"</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"c6247"</definedName>
    <definedName name="IQ_OTHER_INTAN_REIT">"c912"</definedName>
    <definedName name="IQ_OTHER_INTAN_UTI">"c913"</definedName>
    <definedName name="IQ_OTHER_INTANGIBLE_FDIC">"c6337"</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"c6248"</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"c6249"</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"c6250"</definedName>
    <definedName name="IQ_OTHER_LIAB_LT_REIT">"c940"</definedName>
    <definedName name="IQ_OTHER_LIAB_LT_UTI">"c941"</definedName>
    <definedName name="IQ_OTHER_LIAB_RE">"c6251"</definedName>
    <definedName name="IQ_OTHER_LIAB_REIT">"c942"</definedName>
    <definedName name="IQ_OTHER_LIAB_UTI">"c943"</definedName>
    <definedName name="IQ_OTHER_LIAB_WRITTEN">"c944"</definedName>
    <definedName name="IQ_OTHER_LIABILITIES_FDIC">"c6347"</definedName>
    <definedName name="IQ_OTHER_LOANS">"c945"</definedName>
    <definedName name="IQ_OTHER_LOANS_CHARGE_OFFS_FDIC">"c6601"</definedName>
    <definedName name="IQ_OTHER_LOANS_FOREIGN_FDIC">"c6446"</definedName>
    <definedName name="IQ_OTHER_LOANS_LEASES_FDIC">"c6322"</definedName>
    <definedName name="IQ_OTHER_LOANS_NET_CHARGE_OFFS_FDIC">"c6639"</definedName>
    <definedName name="IQ_OTHER_LOANS_RECOVERIES_FDIC">"c6620"</definedName>
    <definedName name="IQ_OTHER_LOANS_TOTAL_FDIC">"c6432"</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"c6252"</definedName>
    <definedName name="IQ_OTHER_LT_ASSETS_REIT">"c951"</definedName>
    <definedName name="IQ_OTHER_LT_ASSETS_UTI">"c952"</definedName>
    <definedName name="IQ_OTHER_NET">"c1453"</definedName>
    <definedName name="IQ_OTHER_NON_INT_EXP">"c953"</definedName>
    <definedName name="IQ_OTHER_NON_INT_EXP_FDIC">"c6578"</definedName>
    <definedName name="IQ_OTHER_NON_INT_EXP_TOTAL">"c954"</definedName>
    <definedName name="IQ_OTHER_NON_INT_EXPENSE_FDIC">"c6679"</definedName>
    <definedName name="IQ_OTHER_NON_INT_INC">"c955"</definedName>
    <definedName name="IQ_OTHER_NON_INT_INC_FDIC">"c6676"</definedName>
    <definedName name="IQ_OTHER_NON_OPER_EXP">"c956"</definedName>
    <definedName name="IQ_OTHER_NON_OPER_EXP_BR">"c957"</definedName>
    <definedName name="IQ_OTHER_NON_OPER_EXP_FIN">"c958"</definedName>
    <definedName name="IQ_OTHER_NON_OPER_EXP_INS">"c959"</definedName>
    <definedName name="IQ_OTHER_NON_OPER_EXP_RE">"c6253"</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"c6254"</definedName>
    <definedName name="IQ_OTHER_NON_OPER_EXP_SUPPL_REIT">"c965"</definedName>
    <definedName name="IQ_OTHER_NON_OPER_EXP_SUPPL_UTI">"c966"</definedName>
    <definedName name="IQ_OTHER_NON_OPER_EXP_UTI">"c967"</definedName>
    <definedName name="IQ_OTHER_OFF_BS_LIAB_FDIC">"c6533"</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"c6255"</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"c6256"</definedName>
    <definedName name="IQ_OTHER_OPER_REIT">"c993"</definedName>
    <definedName name="IQ_OTHER_OPER_SUPPL_BR">"c994"</definedName>
    <definedName name="IQ_OTHER_OPER_SUPPL_FIN">"c995"</definedName>
    <definedName name="IQ_OTHER_OPER_SUPPL_INS">"c996"</definedName>
    <definedName name="IQ_OTHER_OPER_SUPPL_RE">"c6257"</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"c6258"</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ABLE_END_OS">"c5814"</definedName>
    <definedName name="IQ_OTHER_OPTIONS_EXERCISED">"c2688"</definedName>
    <definedName name="IQ_OTHER_OPTIONS_GRANTED">"c2687"</definedName>
    <definedName name="IQ_OTHER_OPTIONS_STRIKE_PRICE_BEG_OS">"c5815"</definedName>
    <definedName name="IQ_OTHER_OPTIONS_STRIKE_PRICE_CANCELLED">"c5817"</definedName>
    <definedName name="IQ_OTHER_OPTIONS_STRIKE_PRICE_EXERCISABLE">"c5818"</definedName>
    <definedName name="IQ_OTHER_OPTIONS_STRIKE_PRICE_EXERCISED">"c5816"</definedName>
    <definedName name="IQ_OTHER_OPTIONS_STRIKE_PRICE_OS">"c2691"</definedName>
    <definedName name="IQ_OTHER_OUTSTANDING_BS_DATE">"c1972"</definedName>
    <definedName name="IQ_OTHER_OUTSTANDING_FILING_DATE">"c1974"</definedName>
    <definedName name="IQ_OTHER_PC_WRITTEN">"c1006"</definedName>
    <definedName name="IQ_OTHER_PROP">"c8764"</definedName>
    <definedName name="IQ_OTHER_RE_OWNED_FDIC">"c6330"</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"c6259"</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"c6260"</definedName>
    <definedName name="IQ_OTHER_REV_SUPPL_REIT">"c1019"</definedName>
    <definedName name="IQ_OTHER_REV_SUPPL_UTI">"c1020"</definedName>
    <definedName name="IQ_OTHER_REV_UTI">"c1021"</definedName>
    <definedName name="IQ_OTHER_REVENUE">"c1410"</definedName>
    <definedName name="IQ_OTHER_ROOMS">"c8788"</definedName>
    <definedName name="IQ_OTHER_SAVINGS_DEPOSITS_FDIC">"c6554"</definedName>
    <definedName name="IQ_OTHER_SQ_FT">"c8780"</definedName>
    <definedName name="IQ_OTHER_STRIKE_PRICE_GRANTED">"c2692"</definedName>
    <definedName name="IQ_OTHER_TRANSACTIONS_FDIC">"c6504"</definedName>
    <definedName name="IQ_OTHER_UNDRAWN">"c2522"</definedName>
    <definedName name="IQ_OTHER_UNITS">"c8772"</definedName>
    <definedName name="IQ_OTHER_UNUSED_COMMITMENTS_FDIC">"c6530"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"c6282"</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"c6281"</definedName>
    <definedName name="IQ_OTHER_UNUSUAL_SUPPL_REIT">"c1499"</definedName>
    <definedName name="IQ_OTHER_UNUSUAL_SUPPL_UTI">"c1500"</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STANDING_BS_DATE">"c2128"</definedName>
    <definedName name="IQ_OUTSTANDING_FILING_DATE">"c2127"</definedName>
    <definedName name="IQ_OVER_FIFETEEN_YEAR_MORTGAGE_PASS_THROUGHS_FDIC">"c6416"</definedName>
    <definedName name="IQ_OVER_FIFTEEN_YEAR_FIXED_AND_FLOATING_RATE_FDIC">"c6424"</definedName>
    <definedName name="IQ_OVER_THREE_YEARS_FDIC">"c6418"</definedName>
    <definedName name="IQ_OWNERSHIP">"c2160"</definedName>
    <definedName name="IQ_PART_TIME">"c1024"</definedName>
    <definedName name="IQ_PARTICIPATION_POOLS_RESIDENTIAL_MORTGAGES_FDIC">"c6403"</definedName>
    <definedName name="IQ_PARTNERSHIP_INC_RE">"c12039"</definedName>
    <definedName name="IQ_PAST_DUE_30_1_4_FAMILY_LOANS_FDIC">"c6693"</definedName>
    <definedName name="IQ_PAST_DUE_30_AUTO_LOANS_FDIC">"c6687"</definedName>
    <definedName name="IQ_PAST_DUE_30_CL_LOANS_FDIC">"c6688"</definedName>
    <definedName name="IQ_PAST_DUE_30_CREDIT_CARDS_RECEIVABLES_FDIC">"c6690"</definedName>
    <definedName name="IQ_PAST_DUE_30_HOME_EQUITY_LINES_FDIC">"c6691"</definedName>
    <definedName name="IQ_PAST_DUE_30_OTHER_CONSUMER_LOANS_FDIC">"c6689"</definedName>
    <definedName name="IQ_PAST_DUE_30_OTHER_LOANS_FDIC">"c6692"</definedName>
    <definedName name="IQ_PAST_DUE_90_1_4_FAMILY_LOANS_FDIC">"c6700"</definedName>
    <definedName name="IQ_PAST_DUE_90_AUTO_LOANS_FDIC">"c6694"</definedName>
    <definedName name="IQ_PAST_DUE_90_CL_LOANS_FDIC">"c6695"</definedName>
    <definedName name="IQ_PAST_DUE_90_CREDIT_CARDS_RECEIVABLES_FDIC">"c6697"</definedName>
    <definedName name="IQ_PAST_DUE_90_HOME_EQUITY_LINES_FDIC">"c6698"</definedName>
    <definedName name="IQ_PAST_DUE_90_OTHER_CONSUMER_LOANS_FDIC">"c6696"</definedName>
    <definedName name="IQ_PAST_DUE_90_OTHER_LOANS_FDIC">"c6699"</definedName>
    <definedName name="IQ_PAY_ACCRUED">"c1457"</definedName>
    <definedName name="IQ_PAYOUT_RATIO">"c1900"</definedName>
    <definedName name="IQ_PBV">"c1025"</definedName>
    <definedName name="IQ_PBV_AVG">"c1026"</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E_EXCL">"c1028"</definedName>
    <definedName name="IQ_PE_EXCL_AVG">"c1029"</definedName>
    <definedName name="IQ_PE_EXCL_FWD">"c1030"</definedName>
    <definedName name="IQ_PE_EXCL_FWD_REUT">"c4049"</definedName>
    <definedName name="IQ_PE_EXCL_FWD_THOM">"c4056"</definedName>
    <definedName name="IQ_PE_NORMALIZED">"c2207"</definedName>
    <definedName name="IQ_PE_RATIO">"c1610"</definedName>
    <definedName name="IQ_PEG_FWD">"c1863"</definedName>
    <definedName name="IQ_PEG_FWD_REUT">"c4052"</definedName>
    <definedName name="IQ_PEG_FWD_THOM">"c4059"</definedName>
    <definedName name="IQ_PENSION">"c1031"</definedName>
    <definedName name="IQ_PENSION_ACCRUED_LIAB">"c3134"</definedName>
    <definedName name="IQ_PENSION_ACCRUED_LIAB_DOM">"c3132"</definedName>
    <definedName name="IQ_PENSION_ACCRUED_LIAB_FOREIGN">"c3133"</definedName>
    <definedName name="IQ_PENSION_ACCUM_OTHER_CI">"c3140"</definedName>
    <definedName name="IQ_PENSION_ACCUM_OTHER_CI_DOM">"c3138"</definedName>
    <definedName name="IQ_PENSION_ACCUM_OTHER_CI_FOREIGN">"c3139"</definedName>
    <definedName name="IQ_PENSION_ACCUMULATED_OBLIGATION">"c3570"</definedName>
    <definedName name="IQ_PENSION_ACCUMULATED_OBLIGATION_DOMESTIC">"c3568"</definedName>
    <definedName name="IQ_PENSION_ACCUMULATED_OBLIGATION_FOREIGN">"c3569"</definedName>
    <definedName name="IQ_PENSION_ACT_NEXT">"c5738"</definedName>
    <definedName name="IQ_PENSION_ACT_NEXT_DOM">"c5736"</definedName>
    <definedName name="IQ_PENSION_ACT_NEXT_FOREIGN">"c5737"</definedName>
    <definedName name="IQ_PENSION_AMT_RECOG_NEXT_DOM">"c5745"</definedName>
    <definedName name="IQ_PENSION_AMT_RECOG_NEXT_FOREIGN">"c5746"</definedName>
    <definedName name="IQ_PENSION_AMT_RECOG_PERIOD">"c5747"</definedName>
    <definedName name="IQ_PENSION_ASSETS">"c3182"</definedName>
    <definedName name="IQ_PENSION_ASSETS_ACQ">"c3173"</definedName>
    <definedName name="IQ_PENSION_ASSETS_ACQ_DOM">"c3171"</definedName>
    <definedName name="IQ_PENSION_ASSETS_ACQ_FOREIGN">"c3172"</definedName>
    <definedName name="IQ_PENSION_ASSETS_ACTUAL_RETURN">"c3158"</definedName>
    <definedName name="IQ_PENSION_ASSETS_ACTUAL_RETURN_DOM">"c3156"</definedName>
    <definedName name="IQ_PENSION_ASSETS_ACTUAL_RETURN_FOREIGN">"c3157"</definedName>
    <definedName name="IQ_PENSION_ASSETS_BEG">"c3155"</definedName>
    <definedName name="IQ_PENSION_ASSETS_BEG_DOM">"c3153"</definedName>
    <definedName name="IQ_PENSION_ASSETS_BEG_FOREIGN">"c3154"</definedName>
    <definedName name="IQ_PENSION_ASSETS_BENEFITS_PAID">"c3167"</definedName>
    <definedName name="IQ_PENSION_ASSETS_BENEFITS_PAID_DOM">"c3165"</definedName>
    <definedName name="IQ_PENSION_ASSETS_BENEFITS_PAID_FOREIGN">"c3166"</definedName>
    <definedName name="IQ_PENSION_ASSETS_CURTAIL">"c3176"</definedName>
    <definedName name="IQ_PENSION_ASSETS_CURTAIL_DOM">"c3174"</definedName>
    <definedName name="IQ_PENSION_ASSETS_CURTAIL_FOREIGN">"c3175"</definedName>
    <definedName name="IQ_PENSION_ASSETS_DOM">"c3180"</definedName>
    <definedName name="IQ_PENSION_ASSETS_EMPLOYER_CONTRIBUTIONS">"c3161"</definedName>
    <definedName name="IQ_PENSION_ASSETS_EMPLOYER_CONTRIBUTIONS_DOM">"c3159"</definedName>
    <definedName name="IQ_PENSION_ASSETS_EMPLOYER_CONTRIBUTIONS_FOREIGN">"c3160"</definedName>
    <definedName name="IQ_PENSION_ASSETS_FOREIGN">"c3181"</definedName>
    <definedName name="IQ_PENSION_ASSETS_FX_ADJ">"c3170"</definedName>
    <definedName name="IQ_PENSION_ASSETS_FX_ADJ_DOM">"c3168"</definedName>
    <definedName name="IQ_PENSION_ASSETS_FX_ADJ_FOREIGN">"c3169"</definedName>
    <definedName name="IQ_PENSION_ASSETS_OTHER_PLAN_ADJ">"c3179"</definedName>
    <definedName name="IQ_PENSION_ASSETS_OTHER_PLAN_ADJ_DOM">"c3177"</definedName>
    <definedName name="IQ_PENSION_ASSETS_OTHER_PLAN_ADJ_FOREIGN">"c3178"</definedName>
    <definedName name="IQ_PENSION_ASSETS_PARTICIP_CONTRIBUTIONS">"c3164"</definedName>
    <definedName name="IQ_PENSION_ASSETS_PARTICIP_CONTRIBUTIONS_DOM">"c3162"</definedName>
    <definedName name="IQ_PENSION_ASSETS_PARTICIP_CONTRIBUTIONS_FOREIGN">"c3163"</definedName>
    <definedName name="IQ_PENSION_BENEFIT_INFO_DATE">"c3230"</definedName>
    <definedName name="IQ_PENSION_BENEFIT_INFO_DATE_DOM">"c3228"</definedName>
    <definedName name="IQ_PENSION_BENEFIT_INFO_DATE_FOREIGN">"c3229"</definedName>
    <definedName name="IQ_PENSION_BREAKDOWN_EQ">"c3101"</definedName>
    <definedName name="IQ_PENSION_BREAKDOWN_EQ_DOM">"c3099"</definedName>
    <definedName name="IQ_PENSION_BREAKDOWN_EQ_FOREIGN">"c3100"</definedName>
    <definedName name="IQ_PENSION_BREAKDOWN_FI">"c3104"</definedName>
    <definedName name="IQ_PENSION_BREAKDOWN_FI_DOM">"c3102"</definedName>
    <definedName name="IQ_PENSION_BREAKDOWN_FI_FOREIGN">"c3103"</definedName>
    <definedName name="IQ_PENSION_BREAKDOWN_OTHER">"c3110"</definedName>
    <definedName name="IQ_PENSION_BREAKDOWN_OTHER_DOM">"c3108"</definedName>
    <definedName name="IQ_PENSION_BREAKDOWN_OTHER_FOREIGN">"c3109"</definedName>
    <definedName name="IQ_PENSION_BREAKDOWN_PCT_EQ">"c3089"</definedName>
    <definedName name="IQ_PENSION_BREAKDOWN_PCT_EQ_DOM">"c3087"</definedName>
    <definedName name="IQ_PENSION_BREAKDOWN_PCT_EQ_FOREIGN">"c3088"</definedName>
    <definedName name="IQ_PENSION_BREAKDOWN_PCT_FI">"c3092"</definedName>
    <definedName name="IQ_PENSION_BREAKDOWN_PCT_FI_DOM">"c3090"</definedName>
    <definedName name="IQ_PENSION_BREAKDOWN_PCT_FI_FOREIGN">"c3091"</definedName>
    <definedName name="IQ_PENSION_BREAKDOWN_PCT_OTHER">"c3098"</definedName>
    <definedName name="IQ_PENSION_BREAKDOWN_PCT_OTHER_DOM">"c3096"</definedName>
    <definedName name="IQ_PENSION_BREAKDOWN_PCT_OTHER_FOREIGN">"c3097"</definedName>
    <definedName name="IQ_PENSION_BREAKDOWN_PCT_RE">"c3095"</definedName>
    <definedName name="IQ_PENSION_BREAKDOWN_PCT_RE_DOM">"c3093"</definedName>
    <definedName name="IQ_PENSION_BREAKDOWN_PCT_RE_FOREIGN">"c3094"</definedName>
    <definedName name="IQ_PENSION_BREAKDOWN_RE">"c3107"</definedName>
    <definedName name="IQ_PENSION_BREAKDOWN_RE_DOM">"c3105"</definedName>
    <definedName name="IQ_PENSION_BREAKDOWN_RE_FOREIGN">"c3106"</definedName>
    <definedName name="IQ_PENSION_CI_ACT">"c5723"</definedName>
    <definedName name="IQ_PENSION_CI_ACT_DOM">"c5721"</definedName>
    <definedName name="IQ_PENSION_CI_ACT_FOREIGN">"c5722"</definedName>
    <definedName name="IQ_PENSION_CI_NET_AMT_RECOG">"c5735"</definedName>
    <definedName name="IQ_PENSION_CI_NET_AMT_RECOG_DOM">"c5733"</definedName>
    <definedName name="IQ_PENSION_CI_NET_AMT_RECOG_FOREIGN">"c5734"</definedName>
    <definedName name="IQ_PENSION_CI_OTHER_MISC_ADJ">"c5732"</definedName>
    <definedName name="IQ_PENSION_CI_OTHER_MISC_ADJ_DOM">"c5730"</definedName>
    <definedName name="IQ_PENSION_CI_OTHER_MISC_ADJ_FOREIGN">"c5731"</definedName>
    <definedName name="IQ_PENSION_CI_PRIOR_SERVICE">"c5726"</definedName>
    <definedName name="IQ_PENSION_CI_PRIOR_SERVICE_DOM">"c5724"</definedName>
    <definedName name="IQ_PENSION_CI_PRIOR_SERVICE_FOREIGN">"c5725"</definedName>
    <definedName name="IQ_PENSION_CI_TRANSITION">"c5729"</definedName>
    <definedName name="IQ_PENSION_CI_TRANSITION_DOM">"c5727"</definedName>
    <definedName name="IQ_PENSION_CI_TRANSITION_FOREIGN">"c5728"</definedName>
    <definedName name="IQ_PENSION_CL">"c5753"</definedName>
    <definedName name="IQ_PENSION_CL_DOM">"c5751"</definedName>
    <definedName name="IQ_PENSION_CL_FOREIGN">"c5752"</definedName>
    <definedName name="IQ_PENSION_CONTRIBUTION_TOTAL_COST">"c3559"</definedName>
    <definedName name="IQ_PENSION_DISC_RATE_MAX">"c3236"</definedName>
    <definedName name="IQ_PENSION_DISC_RATE_MAX_DOM">"c3234"</definedName>
    <definedName name="IQ_PENSION_DISC_RATE_MAX_FOREIGN">"c3235"</definedName>
    <definedName name="IQ_PENSION_DISC_RATE_MIN">"c3233"</definedName>
    <definedName name="IQ_PENSION_DISC_RATE_MIN_DOM">"c3231"</definedName>
    <definedName name="IQ_PENSION_DISC_RATE_MIN_FOREIGN">"c3232"</definedName>
    <definedName name="IQ_PENSION_DISCOUNT_RATE_DOMESTIC">"c3573"</definedName>
    <definedName name="IQ_PENSION_DISCOUNT_RATE_FOREIGN">"c3574"</definedName>
    <definedName name="IQ_PENSION_EST_BENEFIT_1YR">"c3113"</definedName>
    <definedName name="IQ_PENSION_EST_BENEFIT_1YR_DOM">"c3111"</definedName>
    <definedName name="IQ_PENSION_EST_BENEFIT_1YR_FOREIGN">"c3112"</definedName>
    <definedName name="IQ_PENSION_EST_BENEFIT_2YR">"c3116"</definedName>
    <definedName name="IQ_PENSION_EST_BENEFIT_2YR_DOM">"c3114"</definedName>
    <definedName name="IQ_PENSION_EST_BENEFIT_2YR_FOREIGN">"c3115"</definedName>
    <definedName name="IQ_PENSION_EST_BENEFIT_3YR">"c3119"</definedName>
    <definedName name="IQ_PENSION_EST_BENEFIT_3YR_DOM">"c3117"</definedName>
    <definedName name="IQ_PENSION_EST_BENEFIT_3YR_FOREIGN">"c3118"</definedName>
    <definedName name="IQ_PENSION_EST_BENEFIT_4YR">"c3122"</definedName>
    <definedName name="IQ_PENSION_EST_BENEFIT_4YR_DOM">"c3120"</definedName>
    <definedName name="IQ_PENSION_EST_BENEFIT_4YR_FOREIGN">"c3121"</definedName>
    <definedName name="IQ_PENSION_EST_BENEFIT_5YR">"c3125"</definedName>
    <definedName name="IQ_PENSION_EST_BENEFIT_5YR_DOM">"c3123"</definedName>
    <definedName name="IQ_PENSION_EST_BENEFIT_5YR_FOREIGN">"c3124"</definedName>
    <definedName name="IQ_PENSION_EST_BENEFIT_AFTER5">"c3128"</definedName>
    <definedName name="IQ_PENSION_EST_BENEFIT_AFTER5_DOM">"c3126"</definedName>
    <definedName name="IQ_PENSION_EST_BENEFIT_AFTER5_FOREIGN">"c3127"</definedName>
    <definedName name="IQ_PENSION_EST_CONTRIBUTIONS_NEXTYR">"c3218"</definedName>
    <definedName name="IQ_PENSION_EST_CONTRIBUTIONS_NEXTYR_DOM">"c3216"</definedName>
    <definedName name="IQ_PENSION_EST_CONTRIBUTIONS_NEXTYR_FOREIGN">"c3217"</definedName>
    <definedName name="IQ_PENSION_EXP_RATE_RETURN_MAX">"c3248"</definedName>
    <definedName name="IQ_PENSION_EXP_RATE_RETURN_MAX_DOM">"c3246"</definedName>
    <definedName name="IQ_PENSION_EXP_RATE_RETURN_MAX_FOREIGN">"c3247"</definedName>
    <definedName name="IQ_PENSION_EXP_RATE_RETURN_MIN">"c3245"</definedName>
    <definedName name="IQ_PENSION_EXP_RATE_RETURN_MIN_DOM">"c3243"</definedName>
    <definedName name="IQ_PENSION_EXP_RATE_RETURN_MIN_FOREIGN">"c3244"</definedName>
    <definedName name="IQ_PENSION_EXP_RETURN_DOMESTIC">"c3571"</definedName>
    <definedName name="IQ_PENSION_EXP_RETURN_FOREIGN">"c3572"</definedName>
    <definedName name="IQ_PENSION_INTAN_ASSETS">"c3137"</definedName>
    <definedName name="IQ_PENSION_INTAN_ASSETS_DOM">"c3135"</definedName>
    <definedName name="IQ_PENSION_INTAN_ASSETS_FOREIGN">"c3136"</definedName>
    <definedName name="IQ_PENSION_INTEREST_COST">"c3582"</definedName>
    <definedName name="IQ_PENSION_INTEREST_COST_DOM">"c3580"</definedName>
    <definedName name="IQ_PENSION_INTEREST_COST_FOREIGN">"c3581"</definedName>
    <definedName name="IQ_PENSION_LT_ASSETS">"c5750"</definedName>
    <definedName name="IQ_PENSION_LT_ASSETS_DOM">"c5748"</definedName>
    <definedName name="IQ_PENSION_LT_ASSETS_FOREIGN">"c5749"</definedName>
    <definedName name="IQ_PENSION_LT_LIAB">"c5756"</definedName>
    <definedName name="IQ_PENSION_LT_LIAB_DOM">"c5754"</definedName>
    <definedName name="IQ_PENSION_LT_LIAB_FOREIGN">"c5755"</definedName>
    <definedName name="IQ_PENSION_NET_ASSET_RECOG">"c3152"</definedName>
    <definedName name="IQ_PENSION_NET_ASSET_RECOG_DOM">"c3150"</definedName>
    <definedName name="IQ_PENSION_NET_ASSET_RECOG_FOREIGN">"c3151"</definedName>
    <definedName name="IQ_PENSION_OBLIGATION_ACQ">"c3206"</definedName>
    <definedName name="IQ_PENSION_OBLIGATION_ACQ_DOM">"c3204"</definedName>
    <definedName name="IQ_PENSION_OBLIGATION_ACQ_FOREIGN">"c3205"</definedName>
    <definedName name="IQ_PENSION_OBLIGATION_ACTUARIAL_GAIN_LOSS">"c3197"</definedName>
    <definedName name="IQ_PENSION_OBLIGATION_ACTUARIAL_GAIN_LOSS_DOM">"c3195"</definedName>
    <definedName name="IQ_PENSION_OBLIGATION_ACTUARIAL_GAIN_LOSS_FOREIGN">"c3196"</definedName>
    <definedName name="IQ_PENSION_OBLIGATION_BEG">"c3185"</definedName>
    <definedName name="IQ_PENSION_OBLIGATION_BEG_DOM">"c3183"</definedName>
    <definedName name="IQ_PENSION_OBLIGATION_BEG_FOREIGN">"c3184"</definedName>
    <definedName name="IQ_PENSION_OBLIGATION_CURTAIL">"c3209"</definedName>
    <definedName name="IQ_PENSION_OBLIGATION_CURTAIL_DOM">"c3207"</definedName>
    <definedName name="IQ_PENSION_OBLIGATION_CURTAIL_FOREIGN">"c3208"</definedName>
    <definedName name="IQ_PENSION_OBLIGATION_EMPLOYEE_CONTRIBUTIONS">"c3194"</definedName>
    <definedName name="IQ_PENSION_OBLIGATION_EMPLOYEE_CONTRIBUTIONS_DOM">"c3192"</definedName>
    <definedName name="IQ_PENSION_OBLIGATION_EMPLOYEE_CONTRIBUTIONS_FOREIGN">"c3193"</definedName>
    <definedName name="IQ_PENSION_OBLIGATION_FX_ADJ">"c3203"</definedName>
    <definedName name="IQ_PENSION_OBLIGATION_FX_ADJ_DOM">"c3201"</definedName>
    <definedName name="IQ_PENSION_OBLIGATION_FX_ADJ_FOREIGN">"c3202"</definedName>
    <definedName name="IQ_PENSION_OBLIGATION_INTEREST_COST">"c3191"</definedName>
    <definedName name="IQ_PENSION_OBLIGATION_INTEREST_COST_DOM">"c3189"</definedName>
    <definedName name="IQ_PENSION_OBLIGATION_INTEREST_COST_FOREIGN">"c3190"</definedName>
    <definedName name="IQ_PENSION_OBLIGATION_OTHER_COST">"c3555"</definedName>
    <definedName name="IQ_PENSION_OBLIGATION_OTHER_COST_DOM">"c3553"</definedName>
    <definedName name="IQ_PENSION_OBLIGATION_OTHER_COST_FOREIGN">"c3554"</definedName>
    <definedName name="IQ_PENSION_OBLIGATION_OTHER_PLAN_ADJ">"c3212"</definedName>
    <definedName name="IQ_PENSION_OBLIGATION_OTHER_PLAN_ADJ_DOM">"c3210"</definedName>
    <definedName name="IQ_PENSION_OBLIGATION_OTHER_PLAN_ADJ_FOREIGN">"c3211"</definedName>
    <definedName name="IQ_PENSION_OBLIGATION_PAID">"c3200"</definedName>
    <definedName name="IQ_PENSION_OBLIGATION_PAID_DOM">"c3198"</definedName>
    <definedName name="IQ_PENSION_OBLIGATION_PAID_FOREIGN">"c3199"</definedName>
    <definedName name="IQ_PENSION_OBLIGATION_PROJECTED">"c3215"</definedName>
    <definedName name="IQ_PENSION_OBLIGATION_PROJECTED_DOM">"c3213"</definedName>
    <definedName name="IQ_PENSION_OBLIGATION_PROJECTED_FOREIGN">"c3214"</definedName>
    <definedName name="IQ_PENSION_OBLIGATION_ROA">"c3552"</definedName>
    <definedName name="IQ_PENSION_OBLIGATION_ROA_DOM">"c3550"</definedName>
    <definedName name="IQ_PENSION_OBLIGATION_ROA_FOREIGN">"c3551"</definedName>
    <definedName name="IQ_PENSION_OBLIGATION_SERVICE_COST">"c3188"</definedName>
    <definedName name="IQ_PENSION_OBLIGATION_SERVICE_COST_DOM">"c3186"</definedName>
    <definedName name="IQ_PENSION_OBLIGATION_SERVICE_COST_FOREIGN">"c3187"</definedName>
    <definedName name="IQ_PENSION_OBLIGATION_TOTAL_COST">"c3558"</definedName>
    <definedName name="IQ_PENSION_OBLIGATION_TOTAL_COST_DOM">"c3556"</definedName>
    <definedName name="IQ_PENSION_OBLIGATION_TOTAL_COST_FOREIGN">"c3557"</definedName>
    <definedName name="IQ_PENSION_OTHER">"c3143"</definedName>
    <definedName name="IQ_PENSION_OTHER_ADJ">"c3149"</definedName>
    <definedName name="IQ_PENSION_OTHER_ADJ_DOM">"c3147"</definedName>
    <definedName name="IQ_PENSION_OTHER_ADJ_FOREIGN">"c3148"</definedName>
    <definedName name="IQ_PENSION_OTHER_DOM">"c3141"</definedName>
    <definedName name="IQ_PENSION_OTHER_FOREIGN">"c3142"</definedName>
    <definedName name="IQ_PENSION_PBO_ASSUMED_RATE_RET_MAX">"c3254"</definedName>
    <definedName name="IQ_PENSION_PBO_ASSUMED_RATE_RET_MAX_DOM">"c3252"</definedName>
    <definedName name="IQ_PENSION_PBO_ASSUMED_RATE_RET_MAX_FOREIGN">"c3253"</definedName>
    <definedName name="IQ_PENSION_PBO_ASSUMED_RATE_RET_MIN">"c3251"</definedName>
    <definedName name="IQ_PENSION_PBO_ASSUMED_RATE_RET_MIN_DOM">"c3249"</definedName>
    <definedName name="IQ_PENSION_PBO_ASSUMED_RATE_RET_MIN_FOREIGN">"c3250"</definedName>
    <definedName name="IQ_PENSION_PBO_RATE_COMP_INCREASE_MAX">"c3260"</definedName>
    <definedName name="IQ_PENSION_PBO_RATE_COMP_INCREASE_MAX_DOM">"c3258"</definedName>
    <definedName name="IQ_PENSION_PBO_RATE_COMP_INCREASE_MAX_FOREIGN">"c3259"</definedName>
    <definedName name="IQ_PENSION_PBO_RATE_COMP_INCREASE_MIN">"c3257"</definedName>
    <definedName name="IQ_PENSION_PBO_RATE_COMP_INCREASE_MIN_DOM">"c3255"</definedName>
    <definedName name="IQ_PENSION_PBO_RATE_COMP_INCREASE_MIN_FOREIGN">"c3256"</definedName>
    <definedName name="IQ_PENSION_PREPAID_COST">"c3131"</definedName>
    <definedName name="IQ_PENSION_PREPAID_COST_DOM">"c3129"</definedName>
    <definedName name="IQ_PENSION_PREPAID_COST_FOREIGN">"c3130"</definedName>
    <definedName name="IQ_PENSION_PRIOR_SERVICE_NEXT">"c5741"</definedName>
    <definedName name="IQ_PENSION_PRIOR_SERVICE_NEXT_DOM">"c5739"</definedName>
    <definedName name="IQ_PENSION_PRIOR_SERVICE_NEXT_FOREIGN">"c5740"</definedName>
    <definedName name="IQ_PENSION_PROJECTED_OBLIGATION">"c3566"</definedName>
    <definedName name="IQ_PENSION_PROJECTED_OBLIGATION_DOMESTIC">"c3564"</definedName>
    <definedName name="IQ_PENSION_PROJECTED_OBLIGATION_FOREIGN">"c3565"</definedName>
    <definedName name="IQ_PENSION_QUART_ADDL_CONTRIBUTIONS_EXP">"c3224"</definedName>
    <definedName name="IQ_PENSION_QUART_ADDL_CONTRIBUTIONS_EXP_DOM">"c3222"</definedName>
    <definedName name="IQ_PENSION_QUART_ADDL_CONTRIBUTIONS_EXP_FOREIGN">"c3223"</definedName>
    <definedName name="IQ_PENSION_QUART_EMPLOYER_CONTRIBUTIONS">"c3221"</definedName>
    <definedName name="IQ_PENSION_QUART_EMPLOYER_CONTRIBUTIONS_DOM">"c3219"</definedName>
    <definedName name="IQ_PENSION_QUART_EMPLOYER_CONTRIBUTIONS_FOREIGN">"c3220"</definedName>
    <definedName name="IQ_PENSION_RATE_COMP_GROWTH_DOMESTIC">"c3575"</definedName>
    <definedName name="IQ_PENSION_RATE_COMP_GROWTH_FOREIGN">"c3576"</definedName>
    <definedName name="IQ_PENSION_RATE_COMP_INCREASE_MAX">"c3242"</definedName>
    <definedName name="IQ_PENSION_RATE_COMP_INCREASE_MAX_DOM">"c3240"</definedName>
    <definedName name="IQ_PENSION_RATE_COMP_INCREASE_MAX_FOREIGN">"c3241"</definedName>
    <definedName name="IQ_PENSION_RATE_COMP_INCREASE_MIN">"c3239"</definedName>
    <definedName name="IQ_PENSION_RATE_COMP_INCREASE_MIN_DOM">"c3237"</definedName>
    <definedName name="IQ_PENSION_RATE_COMP_INCREASE_MIN_FOREIGN">"c3238"</definedName>
    <definedName name="IQ_PENSION_SERVICE_COST">"c3579"</definedName>
    <definedName name="IQ_PENSION_SERVICE_COST_DOM">"c3577"</definedName>
    <definedName name="IQ_PENSION_SERVICE_COST_FOREIGN">"c3578"</definedName>
    <definedName name="IQ_PENSION_TOTAL_ASSETS">"c3563"</definedName>
    <definedName name="IQ_PENSION_TOTAL_ASSETS_DOMESTIC">"c3561"</definedName>
    <definedName name="IQ_PENSION_TOTAL_ASSETS_FOREIGN">"c3562"</definedName>
    <definedName name="IQ_PENSION_TOTAL_EXP">"c3560"</definedName>
    <definedName name="IQ_PENSION_TRANSITION_NEXT">"c5744"</definedName>
    <definedName name="IQ_PENSION_TRANSITION_NEXT_DOM">"c5742"</definedName>
    <definedName name="IQ_PENSION_TRANSITION_NEXT_FOREIGN">"c5743"</definedName>
    <definedName name="IQ_PENSION_UNFUNDED_ADDL_MIN_LIAB">"c3227"</definedName>
    <definedName name="IQ_PENSION_UNFUNDED_ADDL_MIN_LIAB_DOM">"c3225"</definedName>
    <definedName name="IQ_PENSION_UNFUNDED_ADDL_MIN_LIAB_FOREIGN">"c3226"</definedName>
    <definedName name="IQ_PENSION_UNRECOG_PRIOR">"c3146"</definedName>
    <definedName name="IQ_PENSION_UNRECOG_PRIOR_DOM">"c3144"</definedName>
    <definedName name="IQ_PENSION_UNRECOG_PRIOR_FOREIGN">"c3145"</definedName>
    <definedName name="IQ_PENSION_UV_LIAB">"c3567"</definedName>
    <definedName name="IQ_PERCENT_CHANGE_EST_5YR_GROWTH_RATE_12MONTHS">"c1852"</definedName>
    <definedName name="IQ_PERCENT_CHANGE_EST_5YR_GROWTH_RATE_12MONTHS_THOM">"c5269"</definedName>
    <definedName name="IQ_PERCENT_CHANGE_EST_5YR_GROWTH_RATE_18MONTHS">"c1853"</definedName>
    <definedName name="IQ_PERCENT_CHANGE_EST_5YR_GROWTH_RATE_18MONTHS_THOM">"c5270"</definedName>
    <definedName name="IQ_PERCENT_CHANGE_EST_5YR_GROWTH_RATE_3MONTHS">"c1849"</definedName>
    <definedName name="IQ_PERCENT_CHANGE_EST_5YR_GROWTH_RATE_3MONTHS_THOM">"c5266"</definedName>
    <definedName name="IQ_PERCENT_CHANGE_EST_5YR_GROWTH_RATE_6MONTHS">"c1850"</definedName>
    <definedName name="IQ_PERCENT_CHANGE_EST_5YR_GROWTH_RATE_6MONTHS_THOM">"c5267"</definedName>
    <definedName name="IQ_PERCENT_CHANGE_EST_5YR_GROWTH_RATE_9MONTHS">"c1851"</definedName>
    <definedName name="IQ_PERCENT_CHANGE_EST_5YR_GROWTH_RATE_9MONTHS_THOM">"c5268"</definedName>
    <definedName name="IQ_PERCENT_CHANGE_EST_5YR_GROWTH_RATE_DAY">"c1846"</definedName>
    <definedName name="IQ_PERCENT_CHANGE_EST_5YR_GROWTH_RATE_DAY_THOM">"c5264"</definedName>
    <definedName name="IQ_PERCENT_CHANGE_EST_5YR_GROWTH_RATE_MONTH">"c1848"</definedName>
    <definedName name="IQ_PERCENT_CHANGE_EST_5YR_GROWTH_RATE_MONTH_THOM">"c5265"</definedName>
    <definedName name="IQ_PERCENT_CHANGE_EST_5YR_GROWTH_RATE_WEEK">"c1847"</definedName>
    <definedName name="IQ_PERCENT_CHANGE_EST_5YR_GROWTH_RATE_WEEK_THOM">"c5277"</definedName>
    <definedName name="IQ_PERCENT_CHANGE_EST_CFPS_12MONTHS">"c1812"</definedName>
    <definedName name="IQ_PERCENT_CHANGE_EST_CFPS_12MONTHS_THOM">"c5234"</definedName>
    <definedName name="IQ_PERCENT_CHANGE_EST_CFPS_18MONTHS">"c1813"</definedName>
    <definedName name="IQ_PERCENT_CHANGE_EST_CFPS_18MONTHS_THOM">"c5235"</definedName>
    <definedName name="IQ_PERCENT_CHANGE_EST_CFPS_3MONTHS">"c1809"</definedName>
    <definedName name="IQ_PERCENT_CHANGE_EST_CFPS_3MONTHS_THOM">"c5231"</definedName>
    <definedName name="IQ_PERCENT_CHANGE_EST_CFPS_6MONTHS">"c1810"</definedName>
    <definedName name="IQ_PERCENT_CHANGE_EST_CFPS_6MONTHS_THOM">"c5232"</definedName>
    <definedName name="IQ_PERCENT_CHANGE_EST_CFPS_9MONTHS">"c1811"</definedName>
    <definedName name="IQ_PERCENT_CHANGE_EST_CFPS_9MONTHS_THOM">"c5233"</definedName>
    <definedName name="IQ_PERCENT_CHANGE_EST_CFPS_DAY">"c1806"</definedName>
    <definedName name="IQ_PERCENT_CHANGE_EST_CFPS_DAY_THOM">"c5229"</definedName>
    <definedName name="IQ_PERCENT_CHANGE_EST_CFPS_MONTH">"c1808"</definedName>
    <definedName name="IQ_PERCENT_CHANGE_EST_CFPS_MONTH_THOM">"c5230"</definedName>
    <definedName name="IQ_PERCENT_CHANGE_EST_CFPS_WEEK">"c1807"</definedName>
    <definedName name="IQ_PERCENT_CHANGE_EST_CFPS_WEEK_THOM">"c5272"</definedName>
    <definedName name="IQ_PERCENT_CHANGE_EST_DPS_12MONTHS">"c1820"</definedName>
    <definedName name="IQ_PERCENT_CHANGE_EST_DPS_12MONTHS_THOM">"c5241"</definedName>
    <definedName name="IQ_PERCENT_CHANGE_EST_DPS_18MONTHS">"c1821"</definedName>
    <definedName name="IQ_PERCENT_CHANGE_EST_DPS_18MONTHS_THOM">"c5242"</definedName>
    <definedName name="IQ_PERCENT_CHANGE_EST_DPS_3MONTHS">"c1817"</definedName>
    <definedName name="IQ_PERCENT_CHANGE_EST_DPS_3MONTHS_THOM">"c5238"</definedName>
    <definedName name="IQ_PERCENT_CHANGE_EST_DPS_6MONTHS">"c1818"</definedName>
    <definedName name="IQ_PERCENT_CHANGE_EST_DPS_6MONTHS_THOM">"c5239"</definedName>
    <definedName name="IQ_PERCENT_CHANGE_EST_DPS_9MONTHS">"c1819"</definedName>
    <definedName name="IQ_PERCENT_CHANGE_EST_DPS_9MONTHS_THOM">"c5240"</definedName>
    <definedName name="IQ_PERCENT_CHANGE_EST_DPS_DAY">"c1814"</definedName>
    <definedName name="IQ_PERCENT_CHANGE_EST_DPS_DAY_THOM">"c5236"</definedName>
    <definedName name="IQ_PERCENT_CHANGE_EST_DPS_MONTH">"c1816"</definedName>
    <definedName name="IQ_PERCENT_CHANGE_EST_DPS_MONTH_THOM">"c5237"</definedName>
    <definedName name="IQ_PERCENT_CHANGE_EST_DPS_WEEK">"c1815"</definedName>
    <definedName name="IQ_PERCENT_CHANGE_EST_DPS_WEEK_THOM">"c5273"</definedName>
    <definedName name="IQ_PERCENT_CHANGE_EST_EBITDA_12MONTHS">"c1804"</definedName>
    <definedName name="IQ_PERCENT_CHANGE_EST_EBITDA_12MONTHS_THOM">"c5227"</definedName>
    <definedName name="IQ_PERCENT_CHANGE_EST_EBITDA_18MONTHS">"c1805"</definedName>
    <definedName name="IQ_PERCENT_CHANGE_EST_EBITDA_18MONTHS_THOM">"c5228"</definedName>
    <definedName name="IQ_PERCENT_CHANGE_EST_EBITDA_3MONTHS">"c1801"</definedName>
    <definedName name="IQ_PERCENT_CHANGE_EST_EBITDA_3MONTHS_THOM">"c5224"</definedName>
    <definedName name="IQ_PERCENT_CHANGE_EST_EBITDA_6MONTHS">"c1802"</definedName>
    <definedName name="IQ_PERCENT_CHANGE_EST_EBITDA_6MONTHS_THOM">"c5225"</definedName>
    <definedName name="IQ_PERCENT_CHANGE_EST_EBITDA_9MONTHS">"c1803"</definedName>
    <definedName name="IQ_PERCENT_CHANGE_EST_EBITDA_9MONTHS_THOM">"c5226"</definedName>
    <definedName name="IQ_PERCENT_CHANGE_EST_EBITDA_DAY">"c1798"</definedName>
    <definedName name="IQ_PERCENT_CHANGE_EST_EBITDA_DAY_THOM">"c5222"</definedName>
    <definedName name="IQ_PERCENT_CHANGE_EST_EBITDA_MONTH">"c1800"</definedName>
    <definedName name="IQ_PERCENT_CHANGE_EST_EBITDA_MONTH_THOM">"c5223"</definedName>
    <definedName name="IQ_PERCENT_CHANGE_EST_EBITDA_WEEK">"c1799"</definedName>
    <definedName name="IQ_PERCENT_CHANGE_EST_EBITDA_WEEK_THOM">"c5271"</definedName>
    <definedName name="IQ_PERCENT_CHANGE_EST_EPS_12MONTHS">"c1788"</definedName>
    <definedName name="IQ_PERCENT_CHANGE_EST_EPS_12MONTHS_THOM">"c5212"</definedName>
    <definedName name="IQ_PERCENT_CHANGE_EST_EPS_18MONTHS">"c1789"</definedName>
    <definedName name="IQ_PERCENT_CHANGE_EST_EPS_18MONTHS_THOM">"c5213"</definedName>
    <definedName name="IQ_PERCENT_CHANGE_EST_EPS_3MONTHS">"c1785"</definedName>
    <definedName name="IQ_PERCENT_CHANGE_EST_EPS_3MONTHS_THOM">"c5209"</definedName>
    <definedName name="IQ_PERCENT_CHANGE_EST_EPS_6MONTHS">"c1786"</definedName>
    <definedName name="IQ_PERCENT_CHANGE_EST_EPS_6MONTHS_THOM">"c5210"</definedName>
    <definedName name="IQ_PERCENT_CHANGE_EST_EPS_9MONTHS">"c1787"</definedName>
    <definedName name="IQ_PERCENT_CHANGE_EST_EPS_9MONTHS_THOM">"c5211"</definedName>
    <definedName name="IQ_PERCENT_CHANGE_EST_EPS_DAY">"c1782"</definedName>
    <definedName name="IQ_PERCENT_CHANGE_EST_EPS_DAY_THOM">"c5206"</definedName>
    <definedName name="IQ_PERCENT_CHANGE_EST_EPS_MONTH">"c1784"</definedName>
    <definedName name="IQ_PERCENT_CHANGE_EST_EPS_MONTH_THOM">"c5208"</definedName>
    <definedName name="IQ_PERCENT_CHANGE_EST_EPS_WEEK">"c1783"</definedName>
    <definedName name="IQ_PERCENT_CHANGE_EST_EPS_WEEK_THOM">"c5207"</definedName>
    <definedName name="IQ_PERCENT_CHANGE_EST_FFO_12MONTHS">"c1828"</definedName>
    <definedName name="IQ_PERCENT_CHANGE_EST_FFO_12MONTHS_THOM">"c5248"</definedName>
    <definedName name="IQ_PERCENT_CHANGE_EST_FFO_18MONTHS">"c1829"</definedName>
    <definedName name="IQ_PERCENT_CHANGE_EST_FFO_18MONTHS_THOM">"c5249"</definedName>
    <definedName name="IQ_PERCENT_CHANGE_EST_FFO_3MONTHS">"c1825"</definedName>
    <definedName name="IQ_PERCENT_CHANGE_EST_FFO_3MONTHS_THOM">"c5245"</definedName>
    <definedName name="IQ_PERCENT_CHANGE_EST_FFO_6MONTHS">"c1826"</definedName>
    <definedName name="IQ_PERCENT_CHANGE_EST_FFO_6MONTHS_THOM">"c5246"</definedName>
    <definedName name="IQ_PERCENT_CHANGE_EST_FFO_9MONTHS">"c1827"</definedName>
    <definedName name="IQ_PERCENT_CHANGE_EST_FFO_9MONTHS_THOM">"c5247"</definedName>
    <definedName name="IQ_PERCENT_CHANGE_EST_FFO_DAY">"c1822"</definedName>
    <definedName name="IQ_PERCENT_CHANGE_EST_FFO_DAY_THOM">"c5243"</definedName>
    <definedName name="IQ_PERCENT_CHANGE_EST_FFO_MONTH">"c1824"</definedName>
    <definedName name="IQ_PERCENT_CHANGE_EST_FFO_MONTH_THOM">"c5244"</definedName>
    <definedName name="IQ_PERCENT_CHANGE_EST_FFO_WEEK">"c1823"</definedName>
    <definedName name="IQ_PERCENT_CHANGE_EST_FFO_WEEK_THOM">"c5274"</definedName>
    <definedName name="IQ_PERCENT_CHANGE_EST_PRICE_TARGET_12MONTHS">"c1844"</definedName>
    <definedName name="IQ_PERCENT_CHANGE_EST_PRICE_TARGET_12MONTHS_THOM">"c5262"</definedName>
    <definedName name="IQ_PERCENT_CHANGE_EST_PRICE_TARGET_18MONTHS">"c1845"</definedName>
    <definedName name="IQ_PERCENT_CHANGE_EST_PRICE_TARGET_18MONTHS_THOM">"c5263"</definedName>
    <definedName name="IQ_PERCENT_CHANGE_EST_PRICE_TARGET_3MONTHS">"c1841"</definedName>
    <definedName name="IQ_PERCENT_CHANGE_EST_PRICE_TARGET_3MONTHS_THOM">"c5259"</definedName>
    <definedName name="IQ_PERCENT_CHANGE_EST_PRICE_TARGET_6MONTHS">"c1842"</definedName>
    <definedName name="IQ_PERCENT_CHANGE_EST_PRICE_TARGET_6MONTHS_THOM">"c5260"</definedName>
    <definedName name="IQ_PERCENT_CHANGE_EST_PRICE_TARGET_9MONTHS">"c1843"</definedName>
    <definedName name="IQ_PERCENT_CHANGE_EST_PRICE_TARGET_9MONTHS_THOM">"c5261"</definedName>
    <definedName name="IQ_PERCENT_CHANGE_EST_PRICE_TARGET_DAY">"c1838"</definedName>
    <definedName name="IQ_PERCENT_CHANGE_EST_PRICE_TARGET_DAY_THOM">"c5257"</definedName>
    <definedName name="IQ_PERCENT_CHANGE_EST_PRICE_TARGET_MONTH">"c1840"</definedName>
    <definedName name="IQ_PERCENT_CHANGE_EST_PRICE_TARGET_MONTH_THOM">"c5258"</definedName>
    <definedName name="IQ_PERCENT_CHANGE_EST_PRICE_TARGET_WEEK">"c1839"</definedName>
    <definedName name="IQ_PERCENT_CHANGE_EST_PRICE_TARGET_WEEK_THOM">"c5276"</definedName>
    <definedName name="IQ_PERCENT_CHANGE_EST_RECO_12MONTHS">"c1836"</definedName>
    <definedName name="IQ_PERCENT_CHANGE_EST_RECO_12MONTHS_THOM">"c5255"</definedName>
    <definedName name="IQ_PERCENT_CHANGE_EST_RECO_18MONTHS">"c1837"</definedName>
    <definedName name="IQ_PERCENT_CHANGE_EST_RECO_18MONTHS_THOM">"c5256"</definedName>
    <definedName name="IQ_PERCENT_CHANGE_EST_RECO_3MONTHS">"c1833"</definedName>
    <definedName name="IQ_PERCENT_CHANGE_EST_RECO_3MONTHS_THOM">"c5252"</definedName>
    <definedName name="IQ_PERCENT_CHANGE_EST_RECO_6MONTHS">"c1834"</definedName>
    <definedName name="IQ_PERCENT_CHANGE_EST_RECO_6MONTHS_THOM">"c5253"</definedName>
    <definedName name="IQ_PERCENT_CHANGE_EST_RECO_9MONTHS">"c1835"</definedName>
    <definedName name="IQ_PERCENT_CHANGE_EST_RECO_9MONTHS_THOM">"c5254"</definedName>
    <definedName name="IQ_PERCENT_CHANGE_EST_RECO_DAY">"c1830"</definedName>
    <definedName name="IQ_PERCENT_CHANGE_EST_RECO_DAY_THOM">"c5250"</definedName>
    <definedName name="IQ_PERCENT_CHANGE_EST_RECO_MONTH">"c1832"</definedName>
    <definedName name="IQ_PERCENT_CHANGE_EST_RECO_MONTH_THOM">"c5251"</definedName>
    <definedName name="IQ_PERCENT_CHANGE_EST_RECO_WEEK">"c1831"</definedName>
    <definedName name="IQ_PERCENT_CHANGE_EST_RECO_WEEK_THOM">"c5275"</definedName>
    <definedName name="IQ_PERCENT_CHANGE_EST_REV_12MONTHS">"c1796"</definedName>
    <definedName name="IQ_PERCENT_CHANGE_EST_REV_12MONTHS_THOM">"c5220"</definedName>
    <definedName name="IQ_PERCENT_CHANGE_EST_REV_18MONTHS">"c1797"</definedName>
    <definedName name="IQ_PERCENT_CHANGE_EST_REV_18MONTHS_THOM">"c5221"</definedName>
    <definedName name="IQ_PERCENT_CHANGE_EST_REV_3MONTHS">"c1793"</definedName>
    <definedName name="IQ_PERCENT_CHANGE_EST_REV_3MONTHS_THOM">"c5217"</definedName>
    <definedName name="IQ_PERCENT_CHANGE_EST_REV_6MONTHS">"c1794"</definedName>
    <definedName name="IQ_PERCENT_CHANGE_EST_REV_6MONTHS_THOM">"c5218"</definedName>
    <definedName name="IQ_PERCENT_CHANGE_EST_REV_9MONTHS">"c1795"</definedName>
    <definedName name="IQ_PERCENT_CHANGE_EST_REV_9MONTHS_THOM">"c5219"</definedName>
    <definedName name="IQ_PERCENT_CHANGE_EST_REV_DAY">"c1790"</definedName>
    <definedName name="IQ_PERCENT_CHANGE_EST_REV_DAY_THOM">"c5214"</definedName>
    <definedName name="IQ_PERCENT_CHANGE_EST_REV_MONTH">"c1792"</definedName>
    <definedName name="IQ_PERCENT_CHANGE_EST_REV_MONTH_THOM">"c5216"</definedName>
    <definedName name="IQ_PERCENT_CHANGE_EST_REV_WEEK">"c1791"</definedName>
    <definedName name="IQ_PERCENT_CHANGE_EST_REV_WEEK_THOM">"c5215"</definedName>
    <definedName name="IQ_PERCENT_INSURED_FDIC">"c6374"</definedName>
    <definedName name="IQ_PERIODDATE">"c1414"</definedName>
    <definedName name="IQ_PERIODDATE_AP">"c11745"</definedName>
    <definedName name="IQ_PERIODDATE_BS">"c1032"</definedName>
    <definedName name="IQ_PERIODDATE_CF">"c1033"</definedName>
    <definedName name="IQ_PERIODDATE_IS">"c1034"</definedName>
    <definedName name="IQ_PERIODLENGTH_AP">"c11746"</definedName>
    <definedName name="IQ_PERIODLENGTH_CF">"c1502"</definedName>
    <definedName name="IQ_PERIODLENGTH_IS">"c1503"</definedName>
    <definedName name="IQ_PERSONAL_CONSUMER_SPENDING_DURABLE">"c6942"</definedName>
    <definedName name="IQ_PERSONAL_CONSUMER_SPENDING_DURABLE_APR">"c7602"</definedName>
    <definedName name="IQ_PERSONAL_CONSUMER_SPENDING_DURABLE_APR_FC">"c8482"</definedName>
    <definedName name="IQ_PERSONAL_CONSUMER_SPENDING_DURABLE_FC">"c7822"</definedName>
    <definedName name="IQ_PERSONAL_CONSUMER_SPENDING_DURABLE_POP">"c7162"</definedName>
    <definedName name="IQ_PERSONAL_CONSUMER_SPENDING_DURABLE_POP_FC">"c8042"</definedName>
    <definedName name="IQ_PERSONAL_CONSUMER_SPENDING_DURABLE_YOY">"c7382"</definedName>
    <definedName name="IQ_PERSONAL_CONSUMER_SPENDING_DURABLE_YOY_FC">"c8262"</definedName>
    <definedName name="IQ_PERSONAL_CONSUMER_SPENDING_NONDURABLE">"c6940"</definedName>
    <definedName name="IQ_PERSONAL_CONSUMER_SPENDING_NONDURABLE_APR">"c7600"</definedName>
    <definedName name="IQ_PERSONAL_CONSUMER_SPENDING_NONDURABLE_APR_FC">"c8480"</definedName>
    <definedName name="IQ_PERSONAL_CONSUMER_SPENDING_NONDURABLE_FC">"c7820"</definedName>
    <definedName name="IQ_PERSONAL_CONSUMER_SPENDING_NONDURABLE_POP">"c7160"</definedName>
    <definedName name="IQ_PERSONAL_CONSUMER_SPENDING_NONDURABLE_POP_FC">"c8040"</definedName>
    <definedName name="IQ_PERSONAL_CONSUMER_SPENDING_NONDURABLE_YOY">"c7380"</definedName>
    <definedName name="IQ_PERSONAL_CONSUMER_SPENDING_NONDURABLE_YOY_FC">"c8260"</definedName>
    <definedName name="IQ_PERSONAL_CONSUMER_SPENDING_REAL">"c6994"</definedName>
    <definedName name="IQ_PERSONAL_CONSUMER_SPENDING_REAL_APR">"c7654"</definedName>
    <definedName name="IQ_PERSONAL_CONSUMER_SPENDING_REAL_APR_FC">"c8534"</definedName>
    <definedName name="IQ_PERSONAL_CONSUMER_SPENDING_REAL_FC">"c7874"</definedName>
    <definedName name="IQ_PERSONAL_CONSUMER_SPENDING_REAL_POP">"c7214"</definedName>
    <definedName name="IQ_PERSONAL_CONSUMER_SPENDING_REAL_POP_FC">"c8094"</definedName>
    <definedName name="IQ_PERSONAL_CONSUMER_SPENDING_REAL_YOY">"c7434"</definedName>
    <definedName name="IQ_PERSONAL_CONSUMER_SPENDING_REAL_YOY_FC">"c8314"</definedName>
    <definedName name="IQ_PERSONAL_CONSUMER_SPENDING_SERVICES">"c6941"</definedName>
    <definedName name="IQ_PERSONAL_CONSUMER_SPENDING_SERVICES_APR">"c7601"</definedName>
    <definedName name="IQ_PERSONAL_CONSUMER_SPENDING_SERVICES_APR_FC">"c8481"</definedName>
    <definedName name="IQ_PERSONAL_CONSUMER_SPENDING_SERVICES_FC">"c7821"</definedName>
    <definedName name="IQ_PERSONAL_CONSUMER_SPENDING_SERVICES_POP">"c7161"</definedName>
    <definedName name="IQ_PERSONAL_CONSUMER_SPENDING_SERVICES_POP_FC">"c8041"</definedName>
    <definedName name="IQ_PERSONAL_CONSUMER_SPENDING_SERVICES_YOY">"c7381"</definedName>
    <definedName name="IQ_PERSONAL_CONSUMER_SPENDING_SERVICES_YOY_FC">"c8261"</definedName>
    <definedName name="IQ_PERSONAL_INCOME">"c6943"</definedName>
    <definedName name="IQ_PERSONAL_INCOME_APR">"c7603"</definedName>
    <definedName name="IQ_PERSONAL_INCOME_APR_FC">"c8483"</definedName>
    <definedName name="IQ_PERSONAL_INCOME_FC">"c7823"</definedName>
    <definedName name="IQ_PERSONAL_INCOME_POP">"c7163"</definedName>
    <definedName name="IQ_PERSONAL_INCOME_POP_FC">"c8043"</definedName>
    <definedName name="IQ_PERSONAL_INCOME_SAAR">"c6944"</definedName>
    <definedName name="IQ_PERSONAL_INCOME_SAAR_APR">"c7604"</definedName>
    <definedName name="IQ_PERSONAL_INCOME_SAAR_APR_FC">"c8484"</definedName>
    <definedName name="IQ_PERSONAL_INCOME_SAAR_FC">"c7824"</definedName>
    <definedName name="IQ_PERSONAL_INCOME_SAAR_POP">"c7164"</definedName>
    <definedName name="IQ_PERSONAL_INCOME_SAAR_POP_FC">"c8044"</definedName>
    <definedName name="IQ_PERSONAL_INCOME_SAAR_YOY">"c7384"</definedName>
    <definedName name="IQ_PERSONAL_INCOME_SAAR_YOY_FC">"c8264"</definedName>
    <definedName name="IQ_PERSONAL_INCOME_USD_APR_FC">"c11885"</definedName>
    <definedName name="IQ_PERSONAL_INCOME_USD_FC">"c11882"</definedName>
    <definedName name="IQ_PERSONAL_INCOME_USD_POP_FC">"c11883"</definedName>
    <definedName name="IQ_PERSONAL_INCOME_USD_YOY_FC">"c11884"</definedName>
    <definedName name="IQ_PERSONAL_INCOME_YOY">"c7383"</definedName>
    <definedName name="IQ_PERSONAL_INCOME_YOY_FC">"c8263"</definedName>
    <definedName name="IQ_PERTYPE">"c1611"</definedName>
    <definedName name="IQ_PHARMBIO_NUMBER_LICENSED_PATENT_APP">"c10018"</definedName>
    <definedName name="IQ_PHARMBIO_NUMBER_LICENSED_PATENTS">"c10017"</definedName>
    <definedName name="IQ_PHARMBIO_NUMBER_PATENTS">"c10015"</definedName>
    <definedName name="IQ_PHARMBIO_NUMBER_PROD__APPROVED_DURING_PERIOD">"c10027"</definedName>
    <definedName name="IQ_PHARMBIO_NUMBER_PROD__CLINICAL_DEV">"c10022"</definedName>
    <definedName name="IQ_PHARMBIO_NUMBER_PROD__LAUNCHED_DURING_PERIOD">"c10028"</definedName>
    <definedName name="IQ_PHARMBIO_NUMBER_PROD__PHASE_I">"c10023"</definedName>
    <definedName name="IQ_PHARMBIO_NUMBER_PROD__PHASE_II">"c10024"</definedName>
    <definedName name="IQ_PHARMBIO_NUMBER_PROD__PHASE_III">"c10025"</definedName>
    <definedName name="IQ_PHARMBIO_NUMBER_PROD__PRE_CLINICAL_TRIALS">"c10021"</definedName>
    <definedName name="IQ_PHARMBIO_NUMBER_PROD__PRE_REGISTRATION">"c10026"</definedName>
    <definedName name="IQ_PHARMBIO_NUMBER_PROD__RESEARCH_DEV">"c10020"</definedName>
    <definedName name="IQ_PHARMBIO_NUMBER_PROD_DISCOVERY_RESEARCH">"c10019"</definedName>
    <definedName name="IQ_PHARMBIO_PATENT_APP">"c10016"</definedName>
    <definedName name="IQ_PHILADELPHIA_FED_DIFFUSION_INDEX">"c6945"</definedName>
    <definedName name="IQ_PHILADELPHIA_FED_DIFFUSION_INDEX_APR">"c7605"</definedName>
    <definedName name="IQ_PHILADELPHIA_FED_DIFFUSION_INDEX_APR_FC">"c8485"</definedName>
    <definedName name="IQ_PHILADELPHIA_FED_DIFFUSION_INDEX_FC">"c7825"</definedName>
    <definedName name="IQ_PHILADELPHIA_FED_DIFFUSION_INDEX_POP">"c7165"</definedName>
    <definedName name="IQ_PHILADELPHIA_FED_DIFFUSION_INDEX_POP_FC">"c8045"</definedName>
    <definedName name="IQ_PHILADELPHIA_FED_DIFFUSION_INDEX_YOY">"c7385"</definedName>
    <definedName name="IQ_PHILADELPHIA_FED_DIFFUSION_INDEX_YOY_FC">"c8265"</definedName>
    <definedName name="IQ_PLEDGED_SECURITIES_FDIC">"c6401"</definedName>
    <definedName name="IQ_PLL">"c2114"</definedName>
    <definedName name="IQ_PMAC_DIFFUSION_INDEX">"c6946"</definedName>
    <definedName name="IQ_PMAC_DIFFUSION_INDEX_APR">"c7606"</definedName>
    <definedName name="IQ_PMAC_DIFFUSION_INDEX_APR_FC">"c8486"</definedName>
    <definedName name="IQ_PMAC_DIFFUSION_INDEX_FC">"c7826"</definedName>
    <definedName name="IQ_PMAC_DIFFUSION_INDEX_POP">"c7166"</definedName>
    <definedName name="IQ_PMAC_DIFFUSION_INDEX_POP_FC">"c8046"</definedName>
    <definedName name="IQ_PMAC_DIFFUSION_INDEX_YOY">"c7386"</definedName>
    <definedName name="IQ_PMAC_DIFFUSION_INDEX_YOY_FC">"c8266"</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OTENTIAL_UPSIDE">"c1855"</definedName>
    <definedName name="IQ_POTENTIAL_UPSIDE_THOM">"c5279"</definedName>
    <definedName name="IQ_PP_ATTRIB_ORE_RESERVES_ALUM">"c9218"</definedName>
    <definedName name="IQ_PP_ATTRIB_ORE_RESERVES_COP">"c9162"</definedName>
    <definedName name="IQ_PP_ATTRIB_ORE_RESERVES_DIAM">"c9642"</definedName>
    <definedName name="IQ_PP_ATTRIB_ORE_RESERVES_GOLD">"c9003"</definedName>
    <definedName name="IQ_PP_ATTRIB_ORE_RESERVES_IRON">"c9377"</definedName>
    <definedName name="IQ_PP_ATTRIB_ORE_RESERVES_LEAD">"c9430"</definedName>
    <definedName name="IQ_PP_ATTRIB_ORE_RESERVES_MANG">"c9483"</definedName>
    <definedName name="IQ_PP_ATTRIB_ORE_RESERVES_MOLYB">"c9695"</definedName>
    <definedName name="IQ_PP_ATTRIB_ORE_RESERVES_NICK">"c9271"</definedName>
    <definedName name="IQ_PP_ATTRIB_ORE_RESERVES_PLAT">"c9109"</definedName>
    <definedName name="IQ_PP_ATTRIB_ORE_RESERVES_SILVER">"c9056"</definedName>
    <definedName name="IQ_PP_ATTRIB_ORE_RESERVES_TITAN">"c9536"</definedName>
    <definedName name="IQ_PP_ATTRIB_ORE_RESERVES_URAN">"c9589"</definedName>
    <definedName name="IQ_PP_ATTRIB_ORE_RESERVES_ZINC">"c9324"</definedName>
    <definedName name="IQ_PP_ORE_RESERVES_ALUM">"c9211"</definedName>
    <definedName name="IQ_PP_ORE_RESERVES_COP">"c9155"</definedName>
    <definedName name="IQ_PP_ORE_RESERVES_DIAM">"c9635"</definedName>
    <definedName name="IQ_PP_ORE_RESERVES_GOLD">"c8996"</definedName>
    <definedName name="IQ_PP_ORE_RESERVES_IRON">"c9370"</definedName>
    <definedName name="IQ_PP_ORE_RESERVES_LEAD">"c9423"</definedName>
    <definedName name="IQ_PP_ORE_RESERVES_MANG">"c9476"</definedName>
    <definedName name="IQ_PP_ORE_RESERVES_MOLYB">"c9688"</definedName>
    <definedName name="IQ_PP_ORE_RESERVES_NICK">"c9264"</definedName>
    <definedName name="IQ_PP_ORE_RESERVES_PLAT">"c9102"</definedName>
    <definedName name="IQ_PP_ORE_RESERVES_SILVER">"c9049"</definedName>
    <definedName name="IQ_PP_ORE_RESERVES_TITAN">"c9529"</definedName>
    <definedName name="IQ_PP_ORE_RESERVES_URAN">"c9582"</definedName>
    <definedName name="IQ_PP_ORE_RESERVES_ZINC">"c9317"</definedName>
    <definedName name="IQ_PP_RECOV_ATTRIB_RESERVES_ALUM">"c9221"</definedName>
    <definedName name="IQ_PP_RECOV_ATTRIB_RESERVES_COAL">"c9805"</definedName>
    <definedName name="IQ_PP_RECOV_ATTRIB_RESERVES_COP">"c9165"</definedName>
    <definedName name="IQ_PP_RECOV_ATTRIB_RESERVES_DIAM">"c9645"</definedName>
    <definedName name="IQ_PP_RECOV_ATTRIB_RESERVES_GOLD">"c9006"</definedName>
    <definedName name="IQ_PP_RECOV_ATTRIB_RESERVES_IRON">"c9380"</definedName>
    <definedName name="IQ_PP_RECOV_ATTRIB_RESERVES_LEAD">"c9433"</definedName>
    <definedName name="IQ_PP_RECOV_ATTRIB_RESERVES_MANG">"c9486"</definedName>
    <definedName name="IQ_PP_RECOV_ATTRIB_RESERVES_MET_COAL">"c9745"</definedName>
    <definedName name="IQ_PP_RECOV_ATTRIB_RESERVES_MOLYB">"c9698"</definedName>
    <definedName name="IQ_PP_RECOV_ATTRIB_RESERVES_NICK">"c9274"</definedName>
    <definedName name="IQ_PP_RECOV_ATTRIB_RESERVES_PLAT">"c9112"</definedName>
    <definedName name="IQ_PP_RECOV_ATTRIB_RESERVES_SILVER">"c9059"</definedName>
    <definedName name="IQ_PP_RECOV_ATTRIB_RESERVES_STEAM">"c9775"</definedName>
    <definedName name="IQ_PP_RECOV_ATTRIB_RESERVES_TITAN">"c9539"</definedName>
    <definedName name="IQ_PP_RECOV_ATTRIB_RESERVES_URAN">"c9592"</definedName>
    <definedName name="IQ_PP_RECOV_ATTRIB_RESERVES_ZINC">"c9327"</definedName>
    <definedName name="IQ_PP_RECOV_RESERVES_ALUM">"c9215"</definedName>
    <definedName name="IQ_PP_RECOV_RESERVES_COAL">"c9802"</definedName>
    <definedName name="IQ_PP_RECOV_RESERVES_COP">"c9159"</definedName>
    <definedName name="IQ_PP_RECOV_RESERVES_DIAM">"c9639"</definedName>
    <definedName name="IQ_PP_RECOV_RESERVES_GOLD">"c9000"</definedName>
    <definedName name="IQ_PP_RECOV_RESERVES_IRON">"c9374"</definedName>
    <definedName name="IQ_PP_RECOV_RESERVES_LEAD">"c9427"</definedName>
    <definedName name="IQ_PP_RECOV_RESERVES_MANG">"c9480"</definedName>
    <definedName name="IQ_PP_RECOV_RESERVES_MET_COAL">"c9742"</definedName>
    <definedName name="IQ_PP_RECOV_RESERVES_MOLYB">"c9692"</definedName>
    <definedName name="IQ_PP_RECOV_RESERVES_NICK">"c9268"</definedName>
    <definedName name="IQ_PP_RECOV_RESERVES_PLAT">"c9106"</definedName>
    <definedName name="IQ_PP_RECOV_RESERVES_SILVER">"c9053"</definedName>
    <definedName name="IQ_PP_RECOV_RESERVES_STEAM">"c9772"</definedName>
    <definedName name="IQ_PP_RECOV_RESERVES_TITAN">"c9533"</definedName>
    <definedName name="IQ_PP_RECOV_RESERVES_URAN">"c9586"</definedName>
    <definedName name="IQ_PP_RECOV_RESERVES_ZINC">"c9321"</definedName>
    <definedName name="IQ_PP_RESERVES_CALORIFIC_VALUE_COAL">"c9799"</definedName>
    <definedName name="IQ_PP_RESERVES_CALORIFIC_VALUE_MET_COAL">"c9739"</definedName>
    <definedName name="IQ_PP_RESERVES_CALORIFIC_VALUE_STEAM">"c9769"</definedName>
    <definedName name="IQ_PP_RESERVES_GRADE_ALUM">"c9212"</definedName>
    <definedName name="IQ_PP_RESERVES_GRADE_COP">"c9156"</definedName>
    <definedName name="IQ_PP_RESERVES_GRADE_DIAM">"c9636"</definedName>
    <definedName name="IQ_PP_RESERVES_GRADE_GOLD">"c8997"</definedName>
    <definedName name="IQ_PP_RESERVES_GRADE_IRON">"c9371"</definedName>
    <definedName name="IQ_PP_RESERVES_GRADE_LEAD">"c9424"</definedName>
    <definedName name="IQ_PP_RESERVES_GRADE_MANG">"c9477"</definedName>
    <definedName name="IQ_PP_RESERVES_GRADE_MOLYB">"c9689"</definedName>
    <definedName name="IQ_PP_RESERVES_GRADE_NICK">"c9265"</definedName>
    <definedName name="IQ_PP_RESERVES_GRADE_PLAT">"c9103"</definedName>
    <definedName name="IQ_PP_RESERVES_GRADE_SILVER">"c9050"</definedName>
    <definedName name="IQ_PP_RESERVES_GRADE_TITAN">"c9530"</definedName>
    <definedName name="IQ_PP_RESERVES_GRADE_URAN">"c9583"</definedName>
    <definedName name="IQ_PP_RESERVES_GRADE_ZINC">"c9318"</definedName>
    <definedName name="IQ_PPI">"c6810"</definedName>
    <definedName name="IQ_PPI_APR">"c7470"</definedName>
    <definedName name="IQ_PPI_APR_FC">"c8350"</definedName>
    <definedName name="IQ_PPI_CORE">"c6840"</definedName>
    <definedName name="IQ_PPI_CORE_APR">"c7500"</definedName>
    <definedName name="IQ_PPI_CORE_APR_FC">"c8380"</definedName>
    <definedName name="IQ_PPI_CORE_FC">"c7720"</definedName>
    <definedName name="IQ_PPI_CORE_POP">"c7060"</definedName>
    <definedName name="IQ_PPI_CORE_POP_FC">"c7940"</definedName>
    <definedName name="IQ_PPI_CORE_YOY">"c7280"</definedName>
    <definedName name="IQ_PPI_CORE_YOY_FC">"c8160"</definedName>
    <definedName name="IQ_PPI_FC">"c7690"</definedName>
    <definedName name="IQ_PPI_POP">"c7030"</definedName>
    <definedName name="IQ_PPI_POP_FC">"c7910"</definedName>
    <definedName name="IQ_PPI_YOY">"c7250"</definedName>
    <definedName name="IQ_PPI_YOY_FC">"c8130"</definedName>
    <definedName name="IQ_PRE_OPEN_COST">"c1040"</definedName>
    <definedName name="IQ_PRE_TAX_ACT_OR_EST_THOM">"c5305"</definedName>
    <definedName name="IQ_PRE_TAX_INCOME_FDIC">"c6581"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"c6261"</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"c6262"</definedName>
    <definedName name="IQ_PREF_OTHER_REIT">"c1058"</definedName>
    <definedName name="IQ_PREF_OTHER_UTI">"C6022"</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"c6263"</definedName>
    <definedName name="IQ_PREF_REP_REIT">"c1065"</definedName>
    <definedName name="IQ_PREF_REP_UTI">"c1066"</definedName>
    <definedName name="IQ_PREF_STOCK">"c1416"</definedName>
    <definedName name="IQ_PREF_TOT">"c1415"</definedName>
    <definedName name="IQ_PREFERRED_FDIC">"c6349"</definedName>
    <definedName name="IQ_PREMISES_EQUIPMENT_FDIC">"c6577"</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GW_INC_EST">"c1702"</definedName>
    <definedName name="IQ_PRETAX_GW_INC_HIGH_EST">"c1704"</definedName>
    <definedName name="IQ_PRETAX_GW_INC_LOW_EST">"c1705"</definedName>
    <definedName name="IQ_PRETAX_GW_INC_MEDIAN_EST">"c1703"</definedName>
    <definedName name="IQ_PRETAX_GW_INC_NUM_EST">"c1706"</definedName>
    <definedName name="IQ_PRETAX_GW_INC_STDDEV_EST">"c1707"</definedName>
    <definedName name="IQ_PRETAX_INC_EST">"c1695"</definedName>
    <definedName name="IQ_PRETAX_INC_EST_THOM">"c5119"</definedName>
    <definedName name="IQ_PRETAX_INC_HIGH_EST">"c1697"</definedName>
    <definedName name="IQ_PRETAX_INC_HIGH_EST_THOM">"c5121"</definedName>
    <definedName name="IQ_PRETAX_INC_LOW_EST">"c1698"</definedName>
    <definedName name="IQ_PRETAX_INC_LOW_EST_THOM">"c5122"</definedName>
    <definedName name="IQ_PRETAX_INC_MEDIAN_EST">"c1696"</definedName>
    <definedName name="IQ_PRETAX_INC_MEDIAN_EST_THOM">"c5120"</definedName>
    <definedName name="IQ_PRETAX_INC_NUM_EST">"c1699"</definedName>
    <definedName name="IQ_PRETAX_INC_NUM_EST_THOM">"c5123"</definedName>
    <definedName name="IQ_PRETAX_INC_STDDEV_EST">"c1700"</definedName>
    <definedName name="IQ_PRETAX_INC_STDDEV_EST_THOM">"c5124"</definedName>
    <definedName name="IQ_PRETAX_REPORT_INC_EST">"c1709"</definedName>
    <definedName name="IQ_PRETAX_REPORT_INC_HIGH_EST">"c1711"</definedName>
    <definedName name="IQ_PRETAX_REPORT_INC_LOW_EST">"c1712"</definedName>
    <definedName name="IQ_PRETAX_REPORT_INC_MEDIAN_EST">"c1710"</definedName>
    <definedName name="IQ_PRETAX_REPORT_INC_NUM_EST">"c1713"</definedName>
    <definedName name="IQ_PRETAX_REPORT_INC_STDDEV_EST">"c1714"</definedName>
    <definedName name="IQ_PRETAX_RETURN_ASSETS_FDIC">"c6731"</definedName>
    <definedName name="IQ_PRICE_CFPS_FWD">"c2237"</definedName>
    <definedName name="IQ_PRICE_CFPS_FWD_THOM">"c4060"</definedName>
    <definedName name="IQ_PRICE_OVER_BVPS">"c1412"</definedName>
    <definedName name="IQ_PRICE_OVER_LTM_EPS">"c1413"</definedName>
    <definedName name="IQ_PRICE_PAID_FARM_INDEX">"c6948"</definedName>
    <definedName name="IQ_PRICE_PAID_FARM_INDEX_APR">"c7608"</definedName>
    <definedName name="IQ_PRICE_PAID_FARM_INDEX_APR_FC">"c8488"</definedName>
    <definedName name="IQ_PRICE_PAID_FARM_INDEX_FC">"c7828"</definedName>
    <definedName name="IQ_PRICE_PAID_FARM_INDEX_POP">"c7168"</definedName>
    <definedName name="IQ_PRICE_PAID_FARM_INDEX_POP_FC">"c8048"</definedName>
    <definedName name="IQ_PRICE_PAID_FARM_INDEX_YOY">"c7388"</definedName>
    <definedName name="IQ_PRICE_PAID_FARM_INDEX_YOY_FC">"c8268"</definedName>
    <definedName name="IQ_PRICE_TARGET">"c82"</definedName>
    <definedName name="IQ_PRICE_TARGET_CIQ">"c3613"</definedName>
    <definedName name="IQ_PRICE_TARGET_REUT">"c3631"</definedName>
    <definedName name="IQ_PRICE_TARGET_THOM">"c3649"</definedName>
    <definedName name="IQ_PRICEDATE">"c1069"</definedName>
    <definedName name="IQ_PRICING_DATE">"c1613"</definedName>
    <definedName name="IQ_PRIMARY_EPS_TYPE">"c4498"</definedName>
    <definedName name="IQ_PRIMARY_INDUSTRY">"c1070"</definedName>
    <definedName name="IQ_PRINCIPAL_AMT">"c2157"</definedName>
    <definedName name="IQ_PRIVATE_CONST_TOTAL_APR_FC_UNUSED_UNUSED_UNUSED">"c8559"</definedName>
    <definedName name="IQ_PRIVATE_CONST_TOTAL_APR_UNUSED_UNUSED_UNUSED">"c7679"</definedName>
    <definedName name="IQ_PRIVATE_CONST_TOTAL_FC_UNUSED_UNUSED_UNUSED">"c7899"</definedName>
    <definedName name="IQ_PRIVATE_CONST_TOTAL_POP_FC_UNUSED_UNUSED_UNUSED">"c8119"</definedName>
    <definedName name="IQ_PRIVATE_CONST_TOTAL_POP_UNUSED_UNUSED_UNUSED">"c7239"</definedName>
    <definedName name="IQ_PRIVATE_CONST_TOTAL_UNUSED_UNUSED_UNUSED">"c7019"</definedName>
    <definedName name="IQ_PRIVATE_CONST_TOTAL_YOY_FC_UNUSED_UNUSED_UNUSED">"c8339"</definedName>
    <definedName name="IQ_PRIVATE_CONST_TOTAL_YOY_UNUSED_UNUSED_UNUSED">"c7459"</definedName>
    <definedName name="IQ_PRIVATE_FIXED_INVEST_TOTAL">"c12006"</definedName>
    <definedName name="IQ_PRIVATE_FIXED_INVEST_TOTAL_APR">"c12009"</definedName>
    <definedName name="IQ_PRIVATE_FIXED_INVEST_TOTAL_POP">"c12007"</definedName>
    <definedName name="IQ_PRIVATE_FIXED_INVEST_TOTAL_YOY">"c12008"</definedName>
    <definedName name="IQ_PRIVATE_NONRES_CONST_IMPROV">"c6949"</definedName>
    <definedName name="IQ_PRIVATE_NONRES_CONST_IMPROV_APR">"c7609"</definedName>
    <definedName name="IQ_PRIVATE_NONRES_CONST_IMPROV_APR_FC">"c8489"</definedName>
    <definedName name="IQ_PRIVATE_NONRES_CONST_IMPROV_FC">"c7829"</definedName>
    <definedName name="IQ_PRIVATE_NONRES_CONST_IMPROV_POP">"c7169"</definedName>
    <definedName name="IQ_PRIVATE_NONRES_CONST_IMPROV_POP_FC">"c8049"</definedName>
    <definedName name="IQ_PRIVATE_NONRES_CONST_IMPROV_YOY">"c7389"</definedName>
    <definedName name="IQ_PRIVATE_NONRES_CONST_IMPROV_YOY_FC">"c8269"</definedName>
    <definedName name="IQ_PRIVATE_RES_CONST_IMPROV">"c6950"</definedName>
    <definedName name="IQ_PRIVATE_RES_CONST_IMPROV_APR">"c7610"</definedName>
    <definedName name="IQ_PRIVATE_RES_CONST_IMPROV_APR_FC">"c8490"</definedName>
    <definedName name="IQ_PRIVATE_RES_CONST_IMPROV_FC">"c7830"</definedName>
    <definedName name="IQ_PRIVATE_RES_CONST_IMPROV_POP">"c7170"</definedName>
    <definedName name="IQ_PRIVATE_RES_CONST_IMPROV_POP_FC">"c8050"</definedName>
    <definedName name="IQ_PRIVATE_RES_CONST_IMPROV_YOY">"c7390"</definedName>
    <definedName name="IQ_PRIVATE_RES_CONST_IMPROV_YOY_FC">"c8270"</definedName>
    <definedName name="IQ_PRIVATE_RES_CONST_REAL_APR_FC_UNUSED_UNUSED_UNUSED">"c8535"</definedName>
    <definedName name="IQ_PRIVATE_RES_CONST_REAL_APR_UNUSED_UNUSED_UNUSED">"c7655"</definedName>
    <definedName name="IQ_PRIVATE_RES_CONST_REAL_FC_UNUSED_UNUSED_UNUSED">"c7875"</definedName>
    <definedName name="IQ_PRIVATE_RES_CONST_REAL_POP_FC_UNUSED_UNUSED_UNUSED">"c8095"</definedName>
    <definedName name="IQ_PRIVATE_RES_CONST_REAL_POP_UNUSED_UNUSED_UNUSED">"c7215"</definedName>
    <definedName name="IQ_PRIVATE_RES_CONST_REAL_UNUSED_UNUSED_UNUSED">"c6995"</definedName>
    <definedName name="IQ_PRIVATE_RES_CONST_REAL_YOY_FC_UNUSED_UNUSED_UNUSED">"c8315"</definedName>
    <definedName name="IQ_PRIVATE_RES_CONST_REAL_YOY_UNUSED_UNUSED_UNUSED">"c7435"</definedName>
    <definedName name="IQ_PRIVATE_RES_FIXED_INVEST_REAL">"c11986"</definedName>
    <definedName name="IQ_PRIVATE_RES_FIXED_INVEST_REAL_APR">"c11989"</definedName>
    <definedName name="IQ_PRIVATE_RES_FIXED_INVEST_REAL_POP">"c11987"</definedName>
    <definedName name="IQ_PRIVATE_RES_FIXED_INVEST_REAL_YOY">"c11988"</definedName>
    <definedName name="IQ_PRIVATELY_ISSUED_MORTGAGE_BACKED_SECURITIES_FDIC">"c6407"</definedName>
    <definedName name="IQ_PRIVATELY_ISSUED_MORTGAGE_PASS_THROUGHS_FDIC">"c6405"</definedName>
    <definedName name="IQ_PRO_FORMA_BASIC_EPS">"c1614"</definedName>
    <definedName name="IQ_PRO_FORMA_DILUT_EPS">"c1615"</definedName>
    <definedName name="IQ_PRO_FORMA_NET_INC">"c1452"</definedName>
    <definedName name="IQ_PROBABLE_ATTRIB_ORE_RESERVES_ALUM">"c9217"</definedName>
    <definedName name="IQ_PROBABLE_ATTRIB_ORE_RESERVES_COP">"c9161"</definedName>
    <definedName name="IQ_PROBABLE_ATTRIB_ORE_RESERVES_DIAM">"c9641"</definedName>
    <definedName name="IQ_PROBABLE_ATTRIB_ORE_RESERVES_GOLD">"c9002"</definedName>
    <definedName name="IQ_PROBABLE_ATTRIB_ORE_RESERVES_IRON">"c9376"</definedName>
    <definedName name="IQ_PROBABLE_ATTRIB_ORE_RESERVES_LEAD">"c9429"</definedName>
    <definedName name="IQ_PROBABLE_ATTRIB_ORE_RESERVES_MANG">"c9482"</definedName>
    <definedName name="IQ_PROBABLE_ATTRIB_ORE_RESERVES_MOLYB">"c9694"</definedName>
    <definedName name="IQ_PROBABLE_ATTRIB_ORE_RESERVES_NICK">"c9270"</definedName>
    <definedName name="IQ_PROBABLE_ATTRIB_ORE_RESERVES_PLAT">"c9108"</definedName>
    <definedName name="IQ_PROBABLE_ATTRIB_ORE_RESERVES_SILVER">"c9055"</definedName>
    <definedName name="IQ_PROBABLE_ATTRIB_ORE_RESERVES_TITAN">"c9535"</definedName>
    <definedName name="IQ_PROBABLE_ATTRIB_ORE_RESERVES_URAN">"c9588"</definedName>
    <definedName name="IQ_PROBABLE_ATTRIB_ORE_RESERVES_ZINC">"c9323"</definedName>
    <definedName name="IQ_PROBABLE_ORE_RESERVES_ALUM">"c9209"</definedName>
    <definedName name="IQ_PROBABLE_ORE_RESERVES_COP">"c9153"</definedName>
    <definedName name="IQ_PROBABLE_ORE_RESERVES_DIAM">"c9633"</definedName>
    <definedName name="IQ_PROBABLE_ORE_RESERVES_GOLD">"c8994"</definedName>
    <definedName name="IQ_PROBABLE_ORE_RESERVES_IRON">"c9368"</definedName>
    <definedName name="IQ_PROBABLE_ORE_RESERVES_LEAD">"c9421"</definedName>
    <definedName name="IQ_PROBABLE_ORE_RESERVES_MANG">"c9474"</definedName>
    <definedName name="IQ_PROBABLE_ORE_RESERVES_MOLYB">"c9686"</definedName>
    <definedName name="IQ_PROBABLE_ORE_RESERVES_NICK">"c9262"</definedName>
    <definedName name="IQ_PROBABLE_ORE_RESERVES_PLAT">"c9100"</definedName>
    <definedName name="IQ_PROBABLE_ORE_RESERVES_SILVER">"c9047"</definedName>
    <definedName name="IQ_PROBABLE_ORE_RESERVES_TITAN">"c9527"</definedName>
    <definedName name="IQ_PROBABLE_ORE_RESERVES_URAN">"c9580"</definedName>
    <definedName name="IQ_PROBABLE_ORE_RESERVES_ZINC">"c9315"</definedName>
    <definedName name="IQ_PROBABLE_RECOV_ATTRIB_RESERVES_ALUM">"c9220"</definedName>
    <definedName name="IQ_PROBABLE_RECOV_ATTRIB_RESERVES_COAL">"c9804"</definedName>
    <definedName name="IQ_PROBABLE_RECOV_ATTRIB_RESERVES_COP">"c9164"</definedName>
    <definedName name="IQ_PROBABLE_RECOV_ATTRIB_RESERVES_DIAM">"c9644"</definedName>
    <definedName name="IQ_PROBABLE_RECOV_ATTRIB_RESERVES_GOLD">"c9005"</definedName>
    <definedName name="IQ_PROBABLE_RECOV_ATTRIB_RESERVES_IRON">"c9379"</definedName>
    <definedName name="IQ_PROBABLE_RECOV_ATTRIB_RESERVES_LEAD">"c9432"</definedName>
    <definedName name="IQ_PROBABLE_RECOV_ATTRIB_RESERVES_MANG">"c9485"</definedName>
    <definedName name="IQ_PROBABLE_RECOV_ATTRIB_RESERVES_MET_COAL">"c9744"</definedName>
    <definedName name="IQ_PROBABLE_RECOV_ATTRIB_RESERVES_MOLYB">"c9697"</definedName>
    <definedName name="IQ_PROBABLE_RECOV_ATTRIB_RESERVES_NICK">"c9273"</definedName>
    <definedName name="IQ_PROBABLE_RECOV_ATTRIB_RESERVES_PLAT">"c9111"</definedName>
    <definedName name="IQ_PROBABLE_RECOV_ATTRIB_RESERVES_SILVER">"c9058"</definedName>
    <definedName name="IQ_PROBABLE_RECOV_ATTRIB_RESERVES_STEAM">"c9774"</definedName>
    <definedName name="IQ_PROBABLE_RECOV_ATTRIB_RESERVES_TITAN">"c9538"</definedName>
    <definedName name="IQ_PROBABLE_RECOV_ATTRIB_RESERVES_URAN">"c9591"</definedName>
    <definedName name="IQ_PROBABLE_RECOV_ATTRIB_RESERVES_ZINC">"c9326"</definedName>
    <definedName name="IQ_PROBABLE_RECOV_RESERVES_ALUM">"c9214"</definedName>
    <definedName name="IQ_PROBABLE_RECOV_RESERVES_COAL">"c9801"</definedName>
    <definedName name="IQ_PROBABLE_RECOV_RESERVES_COP">"c9158"</definedName>
    <definedName name="IQ_PROBABLE_RECOV_RESERVES_DIAM">"c9638"</definedName>
    <definedName name="IQ_PROBABLE_RECOV_RESERVES_GOLD">"c8999"</definedName>
    <definedName name="IQ_PROBABLE_RECOV_RESERVES_IRON">"c9373"</definedName>
    <definedName name="IQ_PROBABLE_RECOV_RESERVES_LEAD">"c9426"</definedName>
    <definedName name="IQ_PROBABLE_RECOV_RESERVES_MANG">"c9479"</definedName>
    <definedName name="IQ_PROBABLE_RECOV_RESERVES_MET_COAL">"c9741"</definedName>
    <definedName name="IQ_PROBABLE_RECOV_RESERVES_MOLYB">"c9691"</definedName>
    <definedName name="IQ_PROBABLE_RECOV_RESERVES_NICK">"c9267"</definedName>
    <definedName name="IQ_PROBABLE_RECOV_RESERVES_PLAT">"c9105"</definedName>
    <definedName name="IQ_PROBABLE_RECOV_RESERVES_SILVER">"c9052"</definedName>
    <definedName name="IQ_PROBABLE_RECOV_RESERVES_STEAM">"c9771"</definedName>
    <definedName name="IQ_PROBABLE_RECOV_RESERVES_TITAN">"c9532"</definedName>
    <definedName name="IQ_PROBABLE_RECOV_RESERVES_URAN">"c9585"</definedName>
    <definedName name="IQ_PROBABLE_RECOV_RESERVES_ZINC">"c9320"</definedName>
    <definedName name="IQ_PROBABLE_RESERVES_CALORIFIC_VALUE_COAL">"c9798"</definedName>
    <definedName name="IQ_PROBABLE_RESERVES_CALORIFIC_VALUE_MET_COAL">"c9738"</definedName>
    <definedName name="IQ_PROBABLE_RESERVES_CALORIFIC_VALUE_STEAM">"c9768"</definedName>
    <definedName name="IQ_PROBABLE_RESERVES_GRADE_ALUM">"c9210"</definedName>
    <definedName name="IQ_PROBABLE_RESERVES_GRADE_COP">"c9154"</definedName>
    <definedName name="IQ_PROBABLE_RESERVES_GRADE_DIAM">"c9634"</definedName>
    <definedName name="IQ_PROBABLE_RESERVES_GRADE_GOLD">"c8995"</definedName>
    <definedName name="IQ_PROBABLE_RESERVES_GRADE_IRON">"c9369"</definedName>
    <definedName name="IQ_PROBABLE_RESERVES_GRADE_LEAD">"c9422"</definedName>
    <definedName name="IQ_PROBABLE_RESERVES_GRADE_MANG">"c9475"</definedName>
    <definedName name="IQ_PROBABLE_RESERVES_GRADE_MOLYB">"c9687"</definedName>
    <definedName name="IQ_PROBABLE_RESERVES_GRADE_NICK">"c9263"</definedName>
    <definedName name="IQ_PROBABLE_RESERVES_GRADE_PLAT">"c9101"</definedName>
    <definedName name="IQ_PROBABLE_RESERVES_GRADE_SILVER">"c9048"</definedName>
    <definedName name="IQ_PROBABLE_RESERVES_GRADE_TITAN">"c9528"</definedName>
    <definedName name="IQ_PROBABLE_RESERVES_GRADE_URAN">"c9581"</definedName>
    <definedName name="IQ_PROBABLE_RESERVES_GRADE_ZINC">"c9316"</definedName>
    <definedName name="IQ_PRODUCTION_COST_ALUM">"c9253"</definedName>
    <definedName name="IQ_PRODUCTION_COST_COAL">"c9826"</definedName>
    <definedName name="IQ_PRODUCTION_COST_COP">"c9200"</definedName>
    <definedName name="IQ_PRODUCTION_COST_DIAM">"c9677"</definedName>
    <definedName name="IQ_PRODUCTION_COST_GOLD">"c9038"</definedName>
    <definedName name="IQ_PRODUCTION_COST_IRON">"c9412"</definedName>
    <definedName name="IQ_PRODUCTION_COST_LEAD">"c9465"</definedName>
    <definedName name="IQ_PRODUCTION_COST_MANG">"c9518"</definedName>
    <definedName name="IQ_PRODUCTION_COST_MET_COAL">"c9763"</definedName>
    <definedName name="IQ_PRODUCTION_COST_MOLYB">"c9730"</definedName>
    <definedName name="IQ_PRODUCTION_COST_NICK">"c9306"</definedName>
    <definedName name="IQ_PRODUCTION_COST_PLAT">"c9144"</definedName>
    <definedName name="IQ_PRODUCTION_COST_SILVER">"c9091"</definedName>
    <definedName name="IQ_PRODUCTION_COST_STEAM">"c9793"</definedName>
    <definedName name="IQ_PRODUCTION_COST_TITAN">"c9571"</definedName>
    <definedName name="IQ_PRODUCTION_COST_URAN">"c9624"</definedName>
    <definedName name="IQ_PRODUCTION_COST_ZINC">"c9359"</definedName>
    <definedName name="IQ_PROFESSIONAL">"c1071"</definedName>
    <definedName name="IQ_PROFESSIONAL_TITLE">"c1072"</definedName>
    <definedName name="IQ_PROFIT_AFTER_COST_CAPITAL_NEW_BUSINESS">"c9969"</definedName>
    <definedName name="IQ_PROFIT_BEFORE_COST_CAPITAL_NEW_BUSINESS">"c9967"</definedName>
    <definedName name="IQ_PROJECTED_PENSION_OBLIGATION">"c1292"</definedName>
    <definedName name="IQ_PROJECTED_PENSION_OBLIGATION_DOMESTIC">"c2656"</definedName>
    <definedName name="IQ_PROJECTED_PENSION_OBLIGATION_FOREIGN">"c2664"</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ED_ATTRIB_ORE_RESERVES_ALUM">"c9216"</definedName>
    <definedName name="IQ_PROVED_ATTRIB_ORE_RESERVES_COP">"c9160"</definedName>
    <definedName name="IQ_PROVED_ATTRIB_ORE_RESERVES_DIAM">"c9640"</definedName>
    <definedName name="IQ_PROVED_ATTRIB_ORE_RESERVES_GOLD">"c9001"</definedName>
    <definedName name="IQ_PROVED_ATTRIB_ORE_RESERVES_IRON">"c9375"</definedName>
    <definedName name="IQ_PROVED_ATTRIB_ORE_RESERVES_LEAD">"c9428"</definedName>
    <definedName name="IQ_PROVED_ATTRIB_ORE_RESERVES_MANG">"c9481"</definedName>
    <definedName name="IQ_PROVED_ATTRIB_ORE_RESERVES_MOLYB">"c9693"</definedName>
    <definedName name="IQ_PROVED_ATTRIB_ORE_RESERVES_NICK">"c9269"</definedName>
    <definedName name="IQ_PROVED_ATTRIB_ORE_RESERVES_PLAT">"c9107"</definedName>
    <definedName name="IQ_PROVED_ATTRIB_ORE_RESERVES_SILVER">"c9054"</definedName>
    <definedName name="IQ_PROVED_ATTRIB_ORE_RESERVES_TITAN">"c9534"</definedName>
    <definedName name="IQ_PROVED_ATTRIB_ORE_RESERVES_URAN">"c9587"</definedName>
    <definedName name="IQ_PROVED_ATTRIB_ORE_RESERVES_ZINC">"c9322"</definedName>
    <definedName name="IQ_PROVED_ORE_RESERVES_ALUM">"c9207"</definedName>
    <definedName name="IQ_PROVED_ORE_RESERVES_COP">"c9151"</definedName>
    <definedName name="IQ_PROVED_ORE_RESERVES_DIAM">"c9631"</definedName>
    <definedName name="IQ_PROVED_ORE_RESERVES_GOLD">"c8992"</definedName>
    <definedName name="IQ_PROVED_ORE_RESERVES_IRON">"c9366"</definedName>
    <definedName name="IQ_PROVED_ORE_RESERVES_LEAD">"c9419"</definedName>
    <definedName name="IQ_PROVED_ORE_RESERVES_MANG">"c9472"</definedName>
    <definedName name="IQ_PROVED_ORE_RESERVES_MOLYB">"c9684"</definedName>
    <definedName name="IQ_PROVED_ORE_RESERVES_NICK">"c9260"</definedName>
    <definedName name="IQ_PROVED_ORE_RESERVES_PLAT">"c9098"</definedName>
    <definedName name="IQ_PROVED_ORE_RESERVES_SILVER">"c9045"</definedName>
    <definedName name="IQ_PROVED_ORE_RESERVES_TITAN">"c9525"</definedName>
    <definedName name="IQ_PROVED_ORE_RESERVES_URAN">"c9578"</definedName>
    <definedName name="IQ_PROVED_ORE_RESERVES_ZINC">"c9313"</definedName>
    <definedName name="IQ_PROVED_RECOV_ATTRIB_RESERVES_ALUM">"c9219"</definedName>
    <definedName name="IQ_PROVED_RECOV_ATTRIB_RESERVES_COAL">"c9803"</definedName>
    <definedName name="IQ_PROVED_RECOV_ATTRIB_RESERVES_COP">"c9163"</definedName>
    <definedName name="IQ_PROVED_RECOV_ATTRIB_RESERVES_DIAM">"c9643"</definedName>
    <definedName name="IQ_PROVED_RECOV_ATTRIB_RESERVES_GOLD">"c9004"</definedName>
    <definedName name="IQ_PROVED_RECOV_ATTRIB_RESERVES_IRON">"c9378"</definedName>
    <definedName name="IQ_PROVED_RECOV_ATTRIB_RESERVES_LEAD">"c9431"</definedName>
    <definedName name="IQ_PROVED_RECOV_ATTRIB_RESERVES_MANG">"c9484"</definedName>
    <definedName name="IQ_PROVED_RECOV_ATTRIB_RESERVES_MET_COAL">"c9743"</definedName>
    <definedName name="IQ_PROVED_RECOV_ATTRIB_RESERVES_MOLYB">"c9696"</definedName>
    <definedName name="IQ_PROVED_RECOV_ATTRIB_RESERVES_NICK">"c9272"</definedName>
    <definedName name="IQ_PROVED_RECOV_ATTRIB_RESERVES_PLAT">"c9110"</definedName>
    <definedName name="IQ_PROVED_RECOV_ATTRIB_RESERVES_SILVER">"c9057"</definedName>
    <definedName name="IQ_PROVED_RECOV_ATTRIB_RESERVES_STEAM">"c9773"</definedName>
    <definedName name="IQ_PROVED_RECOV_ATTRIB_RESERVES_TITAN">"c9537"</definedName>
    <definedName name="IQ_PROVED_RECOV_ATTRIB_RESERVES_URAN">"c9590"</definedName>
    <definedName name="IQ_PROVED_RECOV_ATTRIB_RESERVES_ZINC">"c9325"</definedName>
    <definedName name="IQ_PROVED_RECOV_RESERVES_ALUM">"c9213"</definedName>
    <definedName name="IQ_PROVED_RECOV_RESERVES_COAL">"c9800"</definedName>
    <definedName name="IQ_PROVED_RECOV_RESERVES_COP">"c9157"</definedName>
    <definedName name="IQ_PROVED_RECOV_RESERVES_DIAM">"c9637"</definedName>
    <definedName name="IQ_PROVED_RECOV_RESERVES_GOLD">"c8998"</definedName>
    <definedName name="IQ_PROVED_RECOV_RESERVES_IRON">"c9372"</definedName>
    <definedName name="IQ_PROVED_RECOV_RESERVES_LEAD">"c9425"</definedName>
    <definedName name="IQ_PROVED_RECOV_RESERVES_MANG">"c9478"</definedName>
    <definedName name="IQ_PROVED_RECOV_RESERVES_MET_COAL">"c9740"</definedName>
    <definedName name="IQ_PROVED_RECOV_RESERVES_MOLYB">"c9690"</definedName>
    <definedName name="IQ_PROVED_RECOV_RESERVES_NICK">"c9266"</definedName>
    <definedName name="IQ_PROVED_RECOV_RESERVES_PLAT">"c9104"</definedName>
    <definedName name="IQ_PROVED_RECOV_RESERVES_SILVER">"c9051"</definedName>
    <definedName name="IQ_PROVED_RECOV_RESERVES_STEAM">"c9770"</definedName>
    <definedName name="IQ_PROVED_RECOV_RESERVES_TITAN">"c9531"</definedName>
    <definedName name="IQ_PROVED_RECOV_RESERVES_URAN">"c9584"</definedName>
    <definedName name="IQ_PROVED_RECOV_RESERVES_ZINC">"c9319"</definedName>
    <definedName name="IQ_PROVED_RESERVES_CALORIFIC_VALUE_COAL">"c9797"</definedName>
    <definedName name="IQ_PROVED_RESERVES_CALORIFIC_VALUE_MET_COAL">"c9737"</definedName>
    <definedName name="IQ_PROVED_RESERVES_CALORIFIC_VALUE_STEAM">"c9767"</definedName>
    <definedName name="IQ_PROVED_RESERVES_GRADE_ALUM">"c9208"</definedName>
    <definedName name="IQ_PROVED_RESERVES_GRADE_COP">"c9152"</definedName>
    <definedName name="IQ_PROVED_RESERVES_GRADE_DIAM">"c9632"</definedName>
    <definedName name="IQ_PROVED_RESERVES_GRADE_GOLD">"c8993"</definedName>
    <definedName name="IQ_PROVED_RESERVES_GRADE_IRON">"c9367"</definedName>
    <definedName name="IQ_PROVED_RESERVES_GRADE_LEAD">"c9420"</definedName>
    <definedName name="IQ_PROVED_RESERVES_GRADE_MANG">"c9473"</definedName>
    <definedName name="IQ_PROVED_RESERVES_GRADE_MOLYB">"c9685"</definedName>
    <definedName name="IQ_PROVED_RESERVES_GRADE_NICK">"c9261"</definedName>
    <definedName name="IQ_PROVED_RESERVES_GRADE_PLAT">"c9099"</definedName>
    <definedName name="IQ_PROVED_RESERVES_GRADE_SILVER">"c9046"</definedName>
    <definedName name="IQ_PROVED_RESERVES_GRADE_TITAN">"c9526"</definedName>
    <definedName name="IQ_PROVED_RESERVES_GRADE_URAN">"c9579"</definedName>
    <definedName name="IQ_PROVED_RESERVES_GRADE_ZINC">"c9314"</definedName>
    <definedName name="IQ_PROVISION_10YR_ANN_CAGR">"c6135"</definedName>
    <definedName name="IQ_PROVISION_10YR_ANN_GROWTH">"c1077"</definedName>
    <definedName name="IQ_PROVISION_1YR_ANN_GROWTH">"c1078"</definedName>
    <definedName name="IQ_PROVISION_2YR_ANN_CAGR">"c6136"</definedName>
    <definedName name="IQ_PROVISION_2YR_ANN_GROWTH">"c1079"</definedName>
    <definedName name="IQ_PROVISION_3YR_ANN_CAGR">"c6137"</definedName>
    <definedName name="IQ_PROVISION_3YR_ANN_GROWTH">"c1080"</definedName>
    <definedName name="IQ_PROVISION_5YR_ANN_CAGR">"c6138"</definedName>
    <definedName name="IQ_PROVISION_5YR_ANN_GROWTH">"c1081"</definedName>
    <definedName name="IQ_PROVISION_7YR_ANN_CAGR">"c6139"</definedName>
    <definedName name="IQ_PROVISION_7YR_ANN_GROWTH">"c1082"</definedName>
    <definedName name="IQ_PROVISION_CHARGE_OFFS">"c1083"</definedName>
    <definedName name="IQ_PTBV">"c1084"</definedName>
    <definedName name="IQ_PTBV_AVG">"c1085"</definedName>
    <definedName name="IQ_PURCHASE_FOREIGN_CURRENCIES_FDIC">"c6513"</definedName>
    <definedName name="IQ_PURCHASED_OPTION_CONTRACTS_FDIC">"c6510"</definedName>
    <definedName name="IQ_PURCHASED_OPTION_CONTRACTS_FX_RISK_FDIC">"c6515"</definedName>
    <definedName name="IQ_PURCHASED_OPTION_CONTRACTS_NON_FX_IR_FDIC">"c6520"</definedName>
    <definedName name="IQ_PURCHASES_EQUIP_NONRES_SAAR_APR_FC_UNUSED_UNUSED_UNUSED">"c8491"</definedName>
    <definedName name="IQ_PURCHASES_EQUIP_NONRES_SAAR_APR_UNUSED_UNUSED_UNUSED">"c7611"</definedName>
    <definedName name="IQ_PURCHASES_EQUIP_NONRES_SAAR_FC_UNUSED_UNUSED_UNUSED">"c7831"</definedName>
    <definedName name="IQ_PURCHASES_EQUIP_NONRES_SAAR_POP_FC_UNUSED_UNUSED_UNUSED">"c8051"</definedName>
    <definedName name="IQ_PURCHASES_EQUIP_NONRES_SAAR_POP_UNUSED_UNUSED_UNUSED">"c7171"</definedName>
    <definedName name="IQ_PURCHASES_EQUIP_NONRES_SAAR_UNUSED_UNUSED_UNUSED">"c6951"</definedName>
    <definedName name="IQ_PURCHASES_EQUIP_NONRES_SAAR_YOY_FC_UNUSED_UNUSED_UNUSED">"c8271"</definedName>
    <definedName name="IQ_PURCHASES_EQUIP_NONRES_SAAR_YOY_UNUSED_UNUSED_UNUSED">"c7391"</definedName>
    <definedName name="IQ_PUT_DATE_SCHEDULE">"c2483"</definedName>
    <definedName name="IQ_PUT_NOTIFICATION">"c2485"</definedName>
    <definedName name="IQ_PUT_PRICE_SCHEDULE">"c2484"</definedName>
    <definedName name="IQ_PV_PREMIUMS_NEW_BUSINESS">"c9973"</definedName>
    <definedName name="IQ_QUICK_RATIO">"c1086"</definedName>
    <definedName name="IQ_RATE_COMP_GROWTH_DOMESTIC">"c1087"</definedName>
    <definedName name="IQ_RATE_COMP_GROWTH_FOREIGN">"c1088"</definedName>
    <definedName name="IQ_RAW_INV">"c1089"</definedName>
    <definedName name="IQ_RC">"c2497"</definedName>
    <definedName name="IQ_RC_PCT">"c2498"</definedName>
    <definedName name="IQ_RD_EXP">"c1090"</definedName>
    <definedName name="IQ_RD_EXP_FN">"c1091"</definedName>
    <definedName name="IQ_RE">"c1092"</definedName>
    <definedName name="IQ_RE_DEPR_AMORT">"c8750"</definedName>
    <definedName name="IQ_RE_FCCR">"c8858"</definedName>
    <definedName name="IQ_RE_FCCR_CONT_OPS">"c8859"</definedName>
    <definedName name="IQ_RE_FCCR_INCL_DISC_OPS">"c8860"</definedName>
    <definedName name="IQ_RE_FCCR_INCL_PREF_DIV">"c8861"</definedName>
    <definedName name="IQ_RE_FCCR_INCL_PREF_DIV_CONT_OPS">"c8862"</definedName>
    <definedName name="IQ_RE_FCCR_INCL_PREF_DIV_INCL_DISC_OPS">"c8863"</definedName>
    <definedName name="IQ_RE_FIXED_CHARGES">"c8856"</definedName>
    <definedName name="IQ_RE_FIXED_CHARGES_INCL_PREF_DIV">"c8857"</definedName>
    <definedName name="IQ_RE_FORECLOSURE_FDIC">"c6332"</definedName>
    <definedName name="IQ_RE_GAIN_LOSS_SALE_ASSETS">"c8751"</definedName>
    <definedName name="IQ_RE_INVEST_FDIC">"c6331"</definedName>
    <definedName name="IQ_RE_LOANS_DOMESTIC_CHARGE_OFFS_FDIC">"c6589"</definedName>
    <definedName name="IQ_RE_LOANS_DOMESTIC_FDIC">"c6309"</definedName>
    <definedName name="IQ_RE_LOANS_DOMESTIC_NET_CHARGE_OFFS_FDIC">"c6627"</definedName>
    <definedName name="IQ_RE_LOANS_DOMESTIC_RECOVERIES_FDIC">"c6608"</definedName>
    <definedName name="IQ_RE_LOANS_FDIC">"c6308"</definedName>
    <definedName name="IQ_RE_LOANS_FOREIGN_CHARGE_OFFS_FDIC">"c6595"</definedName>
    <definedName name="IQ_RE_LOANS_FOREIGN_NET_CHARGE_OFFS_FDIC">"c6633"</definedName>
    <definedName name="IQ_RE_LOANS_FOREIGN_RECOVERIES_FDIC">"c6614"</definedName>
    <definedName name="IQ_RE_MAINT_CAPEX">"c8755"</definedName>
    <definedName name="IQ_RE_MINORITY_INTEREST">"c8752"</definedName>
    <definedName name="IQ_RE_NET_INCOME">"c8749"</definedName>
    <definedName name="IQ_RE_NOI">"c8864"</definedName>
    <definedName name="IQ_RE_NOI_GROWTH_SAME_PROP">"c8866"</definedName>
    <definedName name="IQ_RE_NOI_SAME_PROP">"c8865"</definedName>
    <definedName name="IQ_RE_OTHER_ITEMS">"c8753"</definedName>
    <definedName name="IQ_REAL_ESTATE">"c1093"</definedName>
    <definedName name="IQ_REAL_ESTATE_ASSETS">"c1094"</definedName>
    <definedName name="IQ_RECOVERIES_1_4_FAMILY_LOANS_FDIC">"c6707"</definedName>
    <definedName name="IQ_RECOVERIES_AUTO_LOANS_FDIC">"c6701"</definedName>
    <definedName name="IQ_RECOVERIES_CL_LOANS_FDIC">"c6702"</definedName>
    <definedName name="IQ_RECOVERIES_CREDIT_CARDS_RECEIVABLES_FDIC">"c6704"</definedName>
    <definedName name="IQ_RECOVERIES_HOME_EQUITY_LINES_FDIC">"c6705"</definedName>
    <definedName name="IQ_RECOVERIES_OTHER_CONSUMER_LOANS_FDIC">"c6703"</definedName>
    <definedName name="IQ_RECOVERIES_OTHER_LOANS_FDIC">"c6706"</definedName>
    <definedName name="IQ_RECURRING_PROFIT_ACT_OR_EST">"c4507"</definedName>
    <definedName name="IQ_RECURRING_PROFIT_ACT_OR_EST_CIQ">"c5045"</definedName>
    <definedName name="IQ_RECURRING_PROFIT_SHARE_ACT_OR_EST">"c4508"</definedName>
    <definedName name="IQ_RECURRING_PROFIT_SHARE_ACT_OR_EST_CIQ">"c5046"</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LATED_PLANS_FDIC">"c6320"</definedName>
    <definedName name="IQ_RENT_PER_SQ_FT_AVG_CONSOL">"c8846"</definedName>
    <definedName name="IQ_RENT_PER_SQ_FT_AVG_MANAGED">"c8848"</definedName>
    <definedName name="IQ_RENT_PER_SQ_FT_AVG_OTHER">"c8849"</definedName>
    <definedName name="IQ_RENT_PER_SQ_FT_AVG_TOTAL">"c8850"</definedName>
    <definedName name="IQ_RENT_PER_SQ_FT_AVG_UNCONSOL">"c8847"</definedName>
    <definedName name="IQ_RENT_PER_SQ_METER_AVG_CONSOL">"c8851"</definedName>
    <definedName name="IQ_RENT_PER_SQ_METER_AVG_MANAGED">"c8853"</definedName>
    <definedName name="IQ_RENT_PER_SQ_METER_AVG_OTHER">"c8854"</definedName>
    <definedName name="IQ_RENT_PER_SQ_METER_AVG_TOTAL">"c8855"</definedName>
    <definedName name="IQ_RENT_PER_SQ_METER_AVG_UNCONSOL">"c8852"</definedName>
    <definedName name="IQ_RENTAL_REV">"c1101"</definedName>
    <definedName name="IQ_RES_CONST_REAL_APR_FC_UNUSED_UNUSED_UNUSED">"c8536"</definedName>
    <definedName name="IQ_RES_CONST_REAL_APR_UNUSED_UNUSED_UNUSED">"c7656"</definedName>
    <definedName name="IQ_RES_CONST_REAL_FC_UNUSED_UNUSED_UNUSED">"c7876"</definedName>
    <definedName name="IQ_RES_CONST_REAL_POP_FC_UNUSED_UNUSED_UNUSED">"c8096"</definedName>
    <definedName name="IQ_RES_CONST_REAL_POP_UNUSED_UNUSED_UNUSED">"c7216"</definedName>
    <definedName name="IQ_RES_CONST_REAL_SAAR_APR_FC_UNUSED_UNUSED_UNUSED">"c8537"</definedName>
    <definedName name="IQ_RES_CONST_REAL_SAAR_APR_UNUSED_UNUSED_UNUSED">"c7657"</definedName>
    <definedName name="IQ_RES_CONST_REAL_SAAR_FC_UNUSED_UNUSED_UNUSED">"c7877"</definedName>
    <definedName name="IQ_RES_CONST_REAL_SAAR_POP_FC_UNUSED_UNUSED_UNUSED">"c8097"</definedName>
    <definedName name="IQ_RES_CONST_REAL_SAAR_POP_UNUSED_UNUSED_UNUSED">"c7217"</definedName>
    <definedName name="IQ_RES_CONST_REAL_SAAR_UNUSED_UNUSED_UNUSED">"c6997"</definedName>
    <definedName name="IQ_RES_CONST_REAL_SAAR_YOY_FC_UNUSED_UNUSED_UNUSED">"c8317"</definedName>
    <definedName name="IQ_RES_CONST_REAL_SAAR_YOY_UNUSED_UNUSED_UNUSED">"c7437"</definedName>
    <definedName name="IQ_RES_CONST_REAL_UNUSED_UNUSED_UNUSED">"c6996"</definedName>
    <definedName name="IQ_RES_CONST_REAL_YOY_FC_UNUSED_UNUSED_UNUSED">"c8316"</definedName>
    <definedName name="IQ_RES_CONST_REAL_YOY_UNUSED_UNUSED_UNUSED">"c7436"</definedName>
    <definedName name="IQ_RES_CONST_SAAR_APR_FC_UNUSED_UNUSED_UNUSED">"c8540"</definedName>
    <definedName name="IQ_RES_CONST_SAAR_APR_UNUSED_UNUSED_UNUSED">"c7660"</definedName>
    <definedName name="IQ_RES_CONST_SAAR_FC_UNUSED_UNUSED_UNUSED">"c7880"</definedName>
    <definedName name="IQ_RES_CONST_SAAR_POP_FC_UNUSED_UNUSED_UNUSED">"c8100"</definedName>
    <definedName name="IQ_RES_CONST_SAAR_POP_UNUSED_UNUSED_UNUSED">"c7220"</definedName>
    <definedName name="IQ_RES_CONST_SAAR_UNUSED_UNUSED_UNUSED">"c7000"</definedName>
    <definedName name="IQ_RES_CONST_SAAR_YOY_FC_UNUSED_UNUSED_UNUSED">"c8320"</definedName>
    <definedName name="IQ_RES_CONST_SAAR_YOY_UNUSED_UNUSED_UNUSED">"c7440"</definedName>
    <definedName name="IQ_RES_FIXED_INVEST">"c7001"</definedName>
    <definedName name="IQ_RES_FIXED_INVEST_APR">"c7661"</definedName>
    <definedName name="IQ_RES_FIXED_INVEST_APR_FC">"c8541"</definedName>
    <definedName name="IQ_RES_FIXED_INVEST_FC">"c7881"</definedName>
    <definedName name="IQ_RES_FIXED_INVEST_POP">"c7221"</definedName>
    <definedName name="IQ_RES_FIXED_INVEST_POP_FC">"c8101"</definedName>
    <definedName name="IQ_RES_FIXED_INVEST_REAL">"c6998"</definedName>
    <definedName name="IQ_RES_FIXED_INVEST_REAL_APR">"c7658"</definedName>
    <definedName name="IQ_RES_FIXED_INVEST_REAL_APR_FC">"c8538"</definedName>
    <definedName name="IQ_RES_FIXED_INVEST_REAL_FC">"c7878"</definedName>
    <definedName name="IQ_RES_FIXED_INVEST_REAL_POP">"c7218"</definedName>
    <definedName name="IQ_RES_FIXED_INVEST_REAL_POP_FC">"c8098"</definedName>
    <definedName name="IQ_RES_FIXED_INVEST_REAL_YOY">"c7438"</definedName>
    <definedName name="IQ_RES_FIXED_INVEST_REAL_YOY_FC">"c8318"</definedName>
    <definedName name="IQ_RES_FIXED_INVEST_SAAR">"c11994"</definedName>
    <definedName name="IQ_RES_FIXED_INVEST_SAAR_APR">"c11997"</definedName>
    <definedName name="IQ_RES_FIXED_INVEST_SAAR_POP">"c11995"</definedName>
    <definedName name="IQ_RES_FIXED_INVEST_SAAR_REAL">"c11990"</definedName>
    <definedName name="IQ_RES_FIXED_INVEST_SAAR_REAL_APR">"c11993"</definedName>
    <definedName name="IQ_RES_FIXED_INVEST_SAAR_REAL_POP">"c11991"</definedName>
    <definedName name="IQ_RES_FIXED_INVEST_SAAR_REAL_YOY">"c11992"</definedName>
    <definedName name="IQ_RES_FIXED_INVEST_SAAR_YOY">"c11996"</definedName>
    <definedName name="IQ_RES_FIXED_INVEST_YOY">"c7441"</definedName>
    <definedName name="IQ_RES_FIXED_INVEST_YOY_FC">"c8321"</definedName>
    <definedName name="IQ_RESEARCH_DEV">"c1419"</definedName>
    <definedName name="IQ_RESIDENTIAL_LOANS">"c1102"</definedName>
    <definedName name="IQ_REST_ACQUIRED_AFFILIATED_OTHER_RESTAURANTS">"c9873"</definedName>
    <definedName name="IQ_REST_ACQUIRED_FRANCHISE_RESTAURANTS">"c9867"</definedName>
    <definedName name="IQ_REST_ACQUIRED_OWNED_RESTAURANTS">"c9861"</definedName>
    <definedName name="IQ_REST_ACQUIRED_RESTAURANTS">"c9855"</definedName>
    <definedName name="IQ_REST_AFFILIATED_OTHER_RESTAURANTS_BEG">"c9871"</definedName>
    <definedName name="IQ_REST_AVG_VALUE_TRANSACTION">"c9887"</definedName>
    <definedName name="IQ_REST_AVG_VALUE_TRANSACTION_GROWTH">"c9888"</definedName>
    <definedName name="IQ_REST_AVG_WEEKLY_SALES">"c9879"</definedName>
    <definedName name="IQ_REST_AVG_WEEKLY_SALES_FRANCHISE">"c9877"</definedName>
    <definedName name="IQ_REST_AVG_WEEKLY_SALES_OWNED">"c9878"</definedName>
    <definedName name="IQ_REST_CLOSED_AFFILIATED_OTHER_RESTAURANTS">"c9874"</definedName>
    <definedName name="IQ_REST_CLOSED_FRANCHISE_RESTAURANTS">"c9868"</definedName>
    <definedName name="IQ_REST_CLOSED_OWNED_RESTAURANTS">"c9862"</definedName>
    <definedName name="IQ_REST_CLOSED_RESTAURANTS">"c9856"</definedName>
    <definedName name="IQ_REST_FRANCHISE_RESTAURANTS_BEG">"c9865"</definedName>
    <definedName name="IQ_REST_GUEST_COUNT_GROWTH">"c9889"</definedName>
    <definedName name="IQ_REST_OPENED_AFFILIATED_OTHER_RESTAURANTS">"c9872"</definedName>
    <definedName name="IQ_REST_OPENED_FRANCHISE_RESTAURANTS">"c9866"</definedName>
    <definedName name="IQ_REST_OPENED_OWNED_RESTAURANTS">"c9860"</definedName>
    <definedName name="IQ_REST_OPENED_RESTAURANTS">"c9854"</definedName>
    <definedName name="IQ_REST_OPERATING_MARGIN">"c9886"</definedName>
    <definedName name="IQ_REST_OWNED_RESTAURANTS_BEG">"c9859"</definedName>
    <definedName name="IQ_REST_RESTAURANTS_BEG">"c9853"</definedName>
    <definedName name="IQ_REST_SAME_RESTAURANT_SALES">"c9885"</definedName>
    <definedName name="IQ_REST_SAME_RESTAURANT_SALES_FRANCHISE">"c9883"</definedName>
    <definedName name="IQ_REST_SAME_RESTAURANT_SALES_GROWTH">"c9882"</definedName>
    <definedName name="IQ_REST_SAME_RESTAURANT_SALES_GROWTH_FRANCHISE">"c9880"</definedName>
    <definedName name="IQ_REST_SAME_RESTAURANT_SALES_GROWTH_OWNED">"c9881"</definedName>
    <definedName name="IQ_REST_SAME_RESTAURANT_SALES_OWNED">"c9884"</definedName>
    <definedName name="IQ_REST_SOLD_AFFILIATED_OTHER_RESTAURANTS">"c9875"</definedName>
    <definedName name="IQ_REST_SOLD_FRANCHISE_RESTAURANTS">"c9869"</definedName>
    <definedName name="IQ_REST_SOLD_OWNED_RESTAURANTS">"c9863"</definedName>
    <definedName name="IQ_REST_SOLD_RESTAURANTS">"c9857"</definedName>
    <definedName name="IQ_REST_TOTAL_AFFILIATED_OTHER_RESTAURANTS">"c9876"</definedName>
    <definedName name="IQ_REST_TOTAL_FRANCHISE_RESTAURANTS">"c9870"</definedName>
    <definedName name="IQ_REST_TOTAL_OWNED_RESTAURANTS">"c9864"</definedName>
    <definedName name="IQ_REST_TOTAL_RESTAURANTS">"c9858"</definedName>
    <definedName name="IQ_RESTATEMENT_BS">"c1643"</definedName>
    <definedName name="IQ_RESTATEMENT_CF">"c1644"</definedName>
    <definedName name="IQ_RESTATEMENT_IS">"c1642"</definedName>
    <definedName name="IQ_RESTATEMENTS_NET_FDIC">"c6500"</definedName>
    <definedName name="IQ_RESTR_STOCK_COMP">"c3506"</definedName>
    <definedName name="IQ_RESTR_STOCK_COMP_PRETAX">"c3504"</definedName>
    <definedName name="IQ_RESTR_STOCK_COMP_TAX">"c3505"</definedName>
    <definedName name="IQ_RESTRICTED_CASH">"c1103"</definedName>
    <definedName name="IQ_RESTRICTED_CASH_NON_CURRENT">"c6192"</definedName>
    <definedName name="IQ_RESTRICTED_CASH_TOTAL">"c6193"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"c6264"</definedName>
    <definedName name="IQ_RESTRUCTURE_REIT">"c1110"</definedName>
    <definedName name="IQ_RESTRUCTURE_UTI">"c1111"</definedName>
    <definedName name="IQ_RESTRUCTURED_LOANS">"c1112"</definedName>
    <definedName name="IQ_RESTRUCTURED_LOANS_1_4_RESIDENTIAL_FDIC">"c6378"</definedName>
    <definedName name="IQ_RESTRUCTURED_LOANS_LEASES_FDIC">"c6377"</definedName>
    <definedName name="IQ_RESTRUCTURED_LOANS_NON_1_4_FDIC">"c6379"</definedName>
    <definedName name="IQ_RETAIL_ACQUIRED_AFFILIATED_OTHER_STORES">"c9892"</definedName>
    <definedName name="IQ_RETAIL_ACQUIRED_FRANCHISE_STORES">"c2895"</definedName>
    <definedName name="IQ_RETAIL_ACQUIRED_OWNED_STORES">"c2903"</definedName>
    <definedName name="IQ_RETAIL_ACQUIRED_STORES">"c2887"</definedName>
    <definedName name="IQ_RETAIL_AFFILIATED_OTHER_STORES_BEG">"c9890"</definedName>
    <definedName name="IQ_RETAIL_AVG_SQ_METERS_GROSS">"c9908"</definedName>
    <definedName name="IQ_RETAIL_AVG_SQ_METERS_NET">"c9907"</definedName>
    <definedName name="IQ_RETAIL_AVG_STORE_SIZE_GROSS">"c2066"</definedName>
    <definedName name="IQ_RETAIL_AVG_STORE_SIZE_NET">"c2067"</definedName>
    <definedName name="IQ_RETAIL_AVG_VALUE_TRANSACTION">"c9915"</definedName>
    <definedName name="IQ_RETAIL_AVG_VALUE_TRANSACTION_GROWTH">"c9916"</definedName>
    <definedName name="IQ_RETAIL_AVG_WK_SALES">"c2891"</definedName>
    <definedName name="IQ_RETAIL_AVG_WK_SALES_FRANCHISE">"c2899"</definedName>
    <definedName name="IQ_RETAIL_AVG_WK_SALES_OWNED">"c2907"</definedName>
    <definedName name="IQ_RETAIL_CLOSED_AFFILIATED_OTHER_STORES">"c9893"</definedName>
    <definedName name="IQ_RETAIL_CLOSED_FRANCHISE_STORES">"c2896"</definedName>
    <definedName name="IQ_RETAIL_CLOSED_OWNED_STORES">"c2904"</definedName>
    <definedName name="IQ_RETAIL_CLOSED_STORES">"c2063"</definedName>
    <definedName name="IQ_RETAIL_DEPOSITS_FDIC">"c6488"</definedName>
    <definedName name="IQ_RETAIL_FRANCHISE_STORES_BEG">"c2893"</definedName>
    <definedName name="IQ_RETAIL_GROSS_MARGIN">"c9899"</definedName>
    <definedName name="IQ_RETAIL_IS_RATIO">"c7002"</definedName>
    <definedName name="IQ_RETAIL_IS_RATIO_FC">"c7882"</definedName>
    <definedName name="IQ_RETAIL_IS_RATIO_POP">"c7222"</definedName>
    <definedName name="IQ_RETAIL_IS_RATIO_POP_FC">"c8102"</definedName>
    <definedName name="IQ_RETAIL_IS_RATIO_YOY">"c7442"</definedName>
    <definedName name="IQ_RETAIL_IS_RATIO_YOY_FC">"c8322"</definedName>
    <definedName name="IQ_RETAIL_MERCHANDISE_MARGIN">"c9901"</definedName>
    <definedName name="IQ_RETAIL_OPENED_AFFILIATED_OTHER_STORES">"c9891"</definedName>
    <definedName name="IQ_RETAIL_OPENED_FRANCHISE_STORES">"c2894"</definedName>
    <definedName name="IQ_RETAIL_OPENED_OWNED_STORES">"c2902"</definedName>
    <definedName name="IQ_RETAIL_OPENED_STORES">"c2062"</definedName>
    <definedName name="IQ_RETAIL_OPERATING_MARGIN">"c9900"</definedName>
    <definedName name="IQ_RETAIL_OWNED_STORES_BEG">"c2901"</definedName>
    <definedName name="IQ_RETAIL_SALES">"c7003"</definedName>
    <definedName name="IQ_RETAIL_SALES_APR">"c7663"</definedName>
    <definedName name="IQ_RETAIL_SALES_APR_FC">"c8543"</definedName>
    <definedName name="IQ_RETAIL_SALES_CATALOG">"c9903"</definedName>
    <definedName name="IQ_RETAIL_SALES_FC">"c7883"</definedName>
    <definedName name="IQ_RETAIL_SALES_FOOD">"c7004"</definedName>
    <definedName name="IQ_RETAIL_SALES_FOOD_APR">"c7664"</definedName>
    <definedName name="IQ_RETAIL_SALES_FOOD_APR_FC">"c8544"</definedName>
    <definedName name="IQ_RETAIL_SALES_FOOD_EXCL_VEHICLE">"c7005"</definedName>
    <definedName name="IQ_RETAIL_SALES_FOOD_EXCL_VEHICLE_APR">"c7665"</definedName>
    <definedName name="IQ_RETAIL_SALES_FOOD_EXCL_VEHICLE_APR_FC">"c8545"</definedName>
    <definedName name="IQ_RETAIL_SALES_FOOD_EXCL_VEHICLE_FC">"c7885"</definedName>
    <definedName name="IQ_RETAIL_SALES_FOOD_EXCL_VEHICLE_POP">"c7225"</definedName>
    <definedName name="IQ_RETAIL_SALES_FOOD_EXCL_VEHICLE_POP_FC">"c8105"</definedName>
    <definedName name="IQ_RETAIL_SALES_FOOD_EXCL_VEHICLE_YOY">"c7445"</definedName>
    <definedName name="IQ_RETAIL_SALES_FOOD_EXCL_VEHICLE_YOY_FC">"c8325"</definedName>
    <definedName name="IQ_RETAIL_SALES_FOOD_FC">"c7884"</definedName>
    <definedName name="IQ_RETAIL_SALES_FOOD_POP">"c7224"</definedName>
    <definedName name="IQ_RETAIL_SALES_FOOD_POP_FC">"c8104"</definedName>
    <definedName name="IQ_RETAIL_SALES_FOOD_YOY">"c7444"</definedName>
    <definedName name="IQ_RETAIL_SALES_FOOD_YOY_FC">"c8324"</definedName>
    <definedName name="IQ_RETAIL_SALES_ONLINE">"c9904"</definedName>
    <definedName name="IQ_RETAIL_SALES_POP">"c7223"</definedName>
    <definedName name="IQ_RETAIL_SALES_POP_FC">"c8103"</definedName>
    <definedName name="IQ_RETAIL_SALES_RETAIL">"c9902"</definedName>
    <definedName name="IQ_RETAIL_SALES_SAAR">"c7009"</definedName>
    <definedName name="IQ_RETAIL_SALES_SAAR_APR">"c7669"</definedName>
    <definedName name="IQ_RETAIL_SALES_SAAR_APR_FC">"c8549"</definedName>
    <definedName name="IQ_RETAIL_SALES_SAAR_FC">"c7889"</definedName>
    <definedName name="IQ_RETAIL_SALES_SAAR_POP">"c7229"</definedName>
    <definedName name="IQ_RETAIL_SALES_SAAR_POP_FC">"c8109"</definedName>
    <definedName name="IQ_RETAIL_SALES_SAAR_YOY">"c7449"</definedName>
    <definedName name="IQ_RETAIL_SALES_SAAR_YOY_FC">"c8329"</definedName>
    <definedName name="IQ_RETAIL_SALES_SQ_METER_COMPARABLE_GROSS">"c9914"</definedName>
    <definedName name="IQ_RETAIL_SALES_SQ_METER_COMPARABLE_NET">"c9913"</definedName>
    <definedName name="IQ_RETAIL_SALES_SQ_METER_GROSS">"c9910"</definedName>
    <definedName name="IQ_RETAIL_SALES_SQ_METER_NET">"c9909"</definedName>
    <definedName name="IQ_RETAIL_SALES_SQ_METER_OWNED_GROSS">"c9912"</definedName>
    <definedName name="IQ_RETAIL_SALES_SQ_METER_OWNED_NET">"c9911"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ALES_VALUE_INDEX">"c7006"</definedName>
    <definedName name="IQ_RETAIL_SALES_VALUE_INDEX_APR">"c7666"</definedName>
    <definedName name="IQ_RETAIL_SALES_VALUE_INDEX_APR_FC">"c8546"</definedName>
    <definedName name="IQ_RETAIL_SALES_VALUE_INDEX_FC">"c7886"</definedName>
    <definedName name="IQ_RETAIL_SALES_VALUE_INDEX_POP">"c7226"</definedName>
    <definedName name="IQ_RETAIL_SALES_VALUE_INDEX_POP_FC">"c8106"</definedName>
    <definedName name="IQ_RETAIL_SALES_VALUE_INDEX_YOY">"c7446"</definedName>
    <definedName name="IQ_RETAIL_SALES_VALUE_INDEX_YOY_FC">"c8326"</definedName>
    <definedName name="IQ_RETAIL_SALES_VOL_INDEX">"c7007"</definedName>
    <definedName name="IQ_RETAIL_SALES_VOL_INDEX_APR">"c7667"</definedName>
    <definedName name="IQ_RETAIL_SALES_VOL_INDEX_APR_FC">"c8547"</definedName>
    <definedName name="IQ_RETAIL_SALES_VOL_INDEX_EXCL_MOTOR">"c7008"</definedName>
    <definedName name="IQ_RETAIL_SALES_VOL_INDEX_EXCL_MOTOR_APR">"c7668"</definedName>
    <definedName name="IQ_RETAIL_SALES_VOL_INDEX_EXCL_MOTOR_APR_FC">"c8548"</definedName>
    <definedName name="IQ_RETAIL_SALES_VOL_INDEX_EXCL_MOTOR_FC">"c7888"</definedName>
    <definedName name="IQ_RETAIL_SALES_VOL_INDEX_EXCL_MOTOR_POP">"c7228"</definedName>
    <definedName name="IQ_RETAIL_SALES_VOL_INDEX_EXCL_MOTOR_POP_FC">"c8108"</definedName>
    <definedName name="IQ_RETAIL_SALES_VOL_INDEX_EXCL_MOTOR_YOY">"c7448"</definedName>
    <definedName name="IQ_RETAIL_SALES_VOL_INDEX_EXCL_MOTOR_YOY_FC">"c8328"</definedName>
    <definedName name="IQ_RETAIL_SALES_VOL_INDEX_FC">"c7887"</definedName>
    <definedName name="IQ_RETAIL_SALES_VOL_INDEX_POP">"c7227"</definedName>
    <definedName name="IQ_RETAIL_SALES_VOL_INDEX_POP_FC">"c8107"</definedName>
    <definedName name="IQ_RETAIL_SALES_VOL_INDEX_YOY">"c7447"</definedName>
    <definedName name="IQ_RETAIL_SALES_VOL_INDEX_YOY_FC">"c8327"</definedName>
    <definedName name="IQ_RETAIL_SALES_YOY">"c7443"</definedName>
    <definedName name="IQ_RETAIL_SALES_YOY_FC">"c8323"</definedName>
    <definedName name="IQ_RETAIL_SAME_STORE_SALES">"c9898"</definedName>
    <definedName name="IQ_RETAIL_SAME_STORE_SALES_FRANCHISE">"c9896"</definedName>
    <definedName name="IQ_RETAIL_SAME_STORE_SALES_OWNED">"c9897"</definedName>
    <definedName name="IQ_RETAIL_SOLD_AFFILIATED_OTHER_STORES">"c9894"</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AFFILIATED_OTHER_STORES">"c9895"</definedName>
    <definedName name="IQ_RETAIL_TOTAL_FRANCHISE_STORES">"c2898"</definedName>
    <definedName name="IQ_RETAIL_TOTAL_OWNED_STORES">"c2906"</definedName>
    <definedName name="IQ_RETAIL_TOTAL_SQ_METERS_GROSS">"c9906"</definedName>
    <definedName name="IQ_RETAIL_TOTAL_SQ_METERS_NET">"c9905"</definedName>
    <definedName name="IQ_RETAIL_TOTAL_STORES">"c2061"</definedName>
    <definedName name="IQ_RETAINED_EARN">"c1420"</definedName>
    <definedName name="IQ_RETAINED_EARNINGS_AVERAGE_EQUITY_FDIC">"c6733"</definedName>
    <definedName name="IQ_RETURN_ASSETS">"c1113"</definedName>
    <definedName name="IQ_RETURN_ASSETS_ACT_OR_EST_THOM">"c5310"</definedName>
    <definedName name="IQ_RETURN_ASSETS_BANK">"c1114"</definedName>
    <definedName name="IQ_RETURN_ASSETS_BROK">"c1115"</definedName>
    <definedName name="IQ_RETURN_ASSETS_EST">"c3529"</definedName>
    <definedName name="IQ_RETURN_ASSETS_EST_THOM">"c4034"</definedName>
    <definedName name="IQ_RETURN_ASSETS_FDIC">"c6730"</definedName>
    <definedName name="IQ_RETURN_ASSETS_FS">"c1116"</definedName>
    <definedName name="IQ_RETURN_ASSETS_HIGH_EST">"c3530"</definedName>
    <definedName name="IQ_RETURN_ASSETS_HIGH_EST_THOM">"c4036"</definedName>
    <definedName name="IQ_RETURN_ASSETS_LOW_EST">"c3531"</definedName>
    <definedName name="IQ_RETURN_ASSETS_LOW_EST_THOM">"c4037"</definedName>
    <definedName name="IQ_RETURN_ASSETS_MEDIAN_EST">"c3532"</definedName>
    <definedName name="IQ_RETURN_ASSETS_MEDIAN_EST_THOM">"c4035"</definedName>
    <definedName name="IQ_RETURN_ASSETS_NUM_EST">"c3527"</definedName>
    <definedName name="IQ_RETURN_ASSETS_NUM_EST_THOM">"c4038"</definedName>
    <definedName name="IQ_RETURN_ASSETS_STDDEV_EST">"c3528"</definedName>
    <definedName name="IQ_RETURN_ASSETS_STDDEV_EST_THOM">"c4039"</definedName>
    <definedName name="IQ_RETURN_CAPITAL">"c1117"</definedName>
    <definedName name="IQ_RETURN_EMBEDDED_VALUE">"c9974"</definedName>
    <definedName name="IQ_RETURN_EQUITY">"c1118"</definedName>
    <definedName name="IQ_RETURN_EQUITY_ACT_OR_EST_THOM">"c5311"</definedName>
    <definedName name="IQ_RETURN_EQUITY_BANK">"c1119"</definedName>
    <definedName name="IQ_RETURN_EQUITY_BROK">"c1120"</definedName>
    <definedName name="IQ_RETURN_EQUITY_EST">"c3535"</definedName>
    <definedName name="IQ_RETURN_EQUITY_EST_THOM">"c5479"</definedName>
    <definedName name="IQ_RETURN_EQUITY_FDIC">"c6732"</definedName>
    <definedName name="IQ_RETURN_EQUITY_FS">"c1121"</definedName>
    <definedName name="IQ_RETURN_EQUITY_HIGH_EST">"c3536"</definedName>
    <definedName name="IQ_RETURN_EQUITY_HIGH_EST_THOM">"c5283"</definedName>
    <definedName name="IQ_RETURN_EQUITY_LOW_EST">"c3537"</definedName>
    <definedName name="IQ_RETURN_EQUITY_LOW_EST_THOM">"c5284"</definedName>
    <definedName name="IQ_RETURN_EQUITY_MEDIAN_EST">"c3538"</definedName>
    <definedName name="IQ_RETURN_EQUITY_MEDIAN_EST_THOM">"c5282"</definedName>
    <definedName name="IQ_RETURN_EQUITY_NUM_EST">"c3533"</definedName>
    <definedName name="IQ_RETURN_EQUITY_NUM_EST_THOM">"c5285"</definedName>
    <definedName name="IQ_RETURN_EQUITY_STDDEV_EST">"c3534"</definedName>
    <definedName name="IQ_RETURN_EQUITY_STDDEV_EST_THOM">"c5286"</definedName>
    <definedName name="IQ_RETURN_INVESTMENT">"c1421"</definedName>
    <definedName name="IQ_REV">"c1122"</definedName>
    <definedName name="IQ_REV_AP">"c8873"</definedName>
    <definedName name="IQ_REV_AP_ABS">"c8892"</definedName>
    <definedName name="IQ_REV_BEFORE_LL">"c1123"</definedName>
    <definedName name="IQ_REV_NAME_AP">"c8911"</definedName>
    <definedName name="IQ_REV_NAME_AP_ABS">"c8930"</definedName>
    <definedName name="IQ_REV_STDDEV_EST">"c1124"</definedName>
    <definedName name="IQ_REV_STDDEV_EST_CIQ">"c3621"</definedName>
    <definedName name="IQ_REV_STDDEV_EST_REUT">"c3639"</definedName>
    <definedName name="IQ_REV_STDDEV_EST_THOM">"c3657"</definedName>
    <definedName name="IQ_REV_UTI">"c1125"</definedName>
    <definedName name="IQ_REVALUATION_GAINS_FDIC">"c6428"</definedName>
    <definedName name="IQ_REVALUATION_LOSSES_FDIC">"c6429"</definedName>
    <definedName name="IQ_REVENUE">"c1422"</definedName>
    <definedName name="IQ_REVENUE_ACT_OR_EST_CIQ">"c5059"</definedName>
    <definedName name="IQ_REVENUE_ACT_OR_EST_THOM">"c5299"</definedName>
    <definedName name="IQ_REVENUE_EST">"c1126"</definedName>
    <definedName name="IQ_REVENUE_EST_CIQ">"c3616"</definedName>
    <definedName name="IQ_REVENUE_EST_REUT">"c3634"</definedName>
    <definedName name="IQ_REVENUE_EST_THOM">"c3652"</definedName>
    <definedName name="IQ_REVENUE_HIGH_EST">"c1127"</definedName>
    <definedName name="IQ_REVENUE_HIGH_EST_CIQ">"c3618"</definedName>
    <definedName name="IQ_REVENUE_HIGH_EST_REUT">"c3636"</definedName>
    <definedName name="IQ_REVENUE_HIGH_EST_THOM">"c3654"</definedName>
    <definedName name="IQ_REVENUE_LOW_EST">"c1128"</definedName>
    <definedName name="IQ_REVENUE_LOW_EST_CIQ">"c3619"</definedName>
    <definedName name="IQ_REVENUE_LOW_EST_REUT">"c3637"</definedName>
    <definedName name="IQ_REVENUE_LOW_EST_THOM">"c3655"</definedName>
    <definedName name="IQ_REVENUE_MEDIAN_EST">"c1662"</definedName>
    <definedName name="IQ_REVENUE_MEDIAN_EST_CIQ">"c3617"</definedName>
    <definedName name="IQ_REVENUE_MEDIAN_EST_REUT">"c3635"</definedName>
    <definedName name="IQ_REVENUE_MEDIAN_EST_THOM">"c3653"</definedName>
    <definedName name="IQ_REVENUE_NUM_EST">"c1129"</definedName>
    <definedName name="IQ_REVENUE_NUM_EST_CIQ">"c3620"</definedName>
    <definedName name="IQ_REVENUE_NUM_EST_REUT">"c3638"</definedName>
    <definedName name="IQ_REVENUE_NUM_EST_THOM">"c3656"</definedName>
    <definedName name="IQ_REVISION_DATE_">39734.3457291667</definedName>
    <definedName name="IQ_RISK_ADJ_BANK_ASSETS">"c2670"</definedName>
    <definedName name="IQ_RISK_WEIGHTED_ASSETS_FDIC">"c6370"</definedName>
    <definedName name="IQ_SALARIED_WORKFORCE">"c7010"</definedName>
    <definedName name="IQ_SALARIED_WORKFORCE_APR">"c7670"</definedName>
    <definedName name="IQ_SALARIED_WORKFORCE_APR_FC">"c8550"</definedName>
    <definedName name="IQ_SALARIED_WORKFORCE_FC">"c7890"</definedName>
    <definedName name="IQ_SALARIED_WORKFORCE_POP">"c7230"</definedName>
    <definedName name="IQ_SALARIED_WORKFORCE_POP_FC">"c8110"</definedName>
    <definedName name="IQ_SALARIED_WORKFORCE_YOY">"c7450"</definedName>
    <definedName name="IQ_SALARIED_WORKFORCE_YOY_FC">"c8330"</definedName>
    <definedName name="IQ_SALARY">"c1130"</definedName>
    <definedName name="IQ_SALARY_FDIC">"c6576"</definedName>
    <definedName name="IQ_SALE_CONVERSION_RETIREMENT_STOCK_FDIC">"c6661"</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"c6284"</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ME_STORE_FRANCHISE">"c2900"</definedName>
    <definedName name="IQ_SAME_STORE_OWNED">"c2908"</definedName>
    <definedName name="IQ_SAME_STORE_TOTAL">"c2892"</definedName>
    <definedName name="IQ_SAVING_DEP">"c1150"</definedName>
    <definedName name="IQ_SAVINGS_RATE_DISP_INC_PCT">"c7011"</definedName>
    <definedName name="IQ_SAVINGS_RATE_DISP_INC_PCT_FC">"c7891"</definedName>
    <definedName name="IQ_SAVINGS_RATE_DISP_INC_PCT_POP">"c7231"</definedName>
    <definedName name="IQ_SAVINGS_RATE_DISP_INC_PCT_POP_FC">"c8111"</definedName>
    <definedName name="IQ_SAVINGS_RATE_DISP_INC_PCT_YOY">"c7451"</definedName>
    <definedName name="IQ_SAVINGS_RATE_DISP_INC_PCT_YOY_FC">"c8331"</definedName>
    <definedName name="IQ_SAVINGS_RATE_GDP_PCT">"c7012"</definedName>
    <definedName name="IQ_SAVINGS_RATE_GDP_PCT_FC">"c7892"</definedName>
    <definedName name="IQ_SAVINGS_RATE_GDP_PCT_POP">"c7232"</definedName>
    <definedName name="IQ_SAVINGS_RATE_GDP_PCT_POP_FC">"c8112"</definedName>
    <definedName name="IQ_SAVINGS_RATE_GDP_PCT_YOY">"c7452"</definedName>
    <definedName name="IQ_SAVINGS_RATE_GDP_PCT_YOY_FC">"c8332"</definedName>
    <definedName name="IQ_SAVINGS_RATE_PERSONAL_INC_PCT">"c7013"</definedName>
    <definedName name="IQ_SAVINGS_RATE_PERSONAL_INC_PCT_FC">"c7893"</definedName>
    <definedName name="IQ_SAVINGS_RATE_PERSONAL_INC_PCT_POP">"c7233"</definedName>
    <definedName name="IQ_SAVINGS_RATE_PERSONAL_INC_PCT_POP_FC">"c8113"</definedName>
    <definedName name="IQ_SAVINGS_RATE_PERSONAL_INC_PCT_YOY">"c7453"</definedName>
    <definedName name="IQ_SAVINGS_RATE_PERSONAL_INC_PCT_YOY_FC">"c8333"</definedName>
    <definedName name="IQ_SEC_PURCHASED_RESELL">"c5513"</definedName>
    <definedName name="IQ_SECUR_RECEIV">"c1151"</definedName>
    <definedName name="IQ_SECURED_1_4_FAMILY_RESIDENTIAL_CHARGE_OFFS_FDIC">"c6590"</definedName>
    <definedName name="IQ_SECURED_1_4_FAMILY_RESIDENTIAL_NET_CHARGE_OFFS_FDIC">"c6628"</definedName>
    <definedName name="IQ_SECURED_1_4_FAMILY_RESIDENTIAL_RECOVERIES_FDIC">"c6609"</definedName>
    <definedName name="IQ_SECURED_DEBT">"c2546"</definedName>
    <definedName name="IQ_SECURED_DEBT_PCT">"c2547"</definedName>
    <definedName name="IQ_SECURED_FARMLAND_CHARGE_OFFS_FDIC">"c6593"</definedName>
    <definedName name="IQ_SECURED_FARMLAND_NET_CHARGE_OFFS_FDIC">"c6631"</definedName>
    <definedName name="IQ_SECURED_FARMLAND_RECOVERIES_FDIC">"c6612"</definedName>
    <definedName name="IQ_SECURED_MULTIFAMILY_RESIDENTIAL_CHARGE_OFFS_FDIC">"c6591"</definedName>
    <definedName name="IQ_SECURED_MULTIFAMILY_RESIDENTIAL_NET_CHARGE_OFFS_FDIC">"c6629"</definedName>
    <definedName name="IQ_SECURED_MULTIFAMILY_RESIDENTIAL_RECOVERIES_FDIC">"c6610"</definedName>
    <definedName name="IQ_SECURED_NONFARM_NONRESIDENTIAL_CHARGE_OFFS_FDIC">"c6592"</definedName>
    <definedName name="IQ_SECURED_NONFARM_NONRESIDENTIAL_NET_CHARGE_OFFS_FDIC">"c6630"</definedName>
    <definedName name="IQ_SECURED_NONFARM_NONRESIDENTIAL_RECOVERIES_FDIC">"c6611"</definedName>
    <definedName name="IQ_SECURITIES_GAINS_FDIC">"c6584"</definedName>
    <definedName name="IQ_SECURITIES_ISSUED_STATES_FDIC">"c6300"</definedName>
    <definedName name="IQ_SECURITIES_LENT_FDIC">"c6532"</definedName>
    <definedName name="IQ_SECURITIES_UNDERWRITING_FDIC">"c6529"</definedName>
    <definedName name="IQ_SECURITY_BORROW">"c1152"</definedName>
    <definedName name="IQ_SECURITY_LEVEL">"c2159"</definedName>
    <definedName name="IQ_SECURITY_NOTES">"c2202"</definedName>
    <definedName name="IQ_SECURITY_OWN">"c1153"</definedName>
    <definedName name="IQ_SECURITY_RESELL">"c1154"</definedName>
    <definedName name="IQ_SECURITY_TYPE">"c2158"</definedName>
    <definedName name="IQ_SEMI_BACKLOG">"c10005"</definedName>
    <definedName name="IQ_SEMI_BACKLOG_AVG_PRICE">"c10006"</definedName>
    <definedName name="IQ_SEMI_BACKLOG_VALUE">"c10007"</definedName>
    <definedName name="IQ_SEMI_BOOK_TO_BILL_RATIO">"c10008"</definedName>
    <definedName name="IQ_SEMI_ORDER_AVG_PRICE">"c10002"</definedName>
    <definedName name="IQ_SEMI_ORDER_VALUE">"c10003"</definedName>
    <definedName name="IQ_SEMI_ORDER_VALUE_CHANGE">"c10004"</definedName>
    <definedName name="IQ_SEMI_ORDERS">"c10001"</definedName>
    <definedName name="IQ_SEMI_WARRANTY_RES_ACQ">"c10011"</definedName>
    <definedName name="IQ_SEMI_WARRANTY_RES_BEG">"c10009"</definedName>
    <definedName name="IQ_SEMI_WARRANTY_RES_END">"c10014"</definedName>
    <definedName name="IQ_SEMI_WARRANTY_RES_ISS">"c10010"</definedName>
    <definedName name="IQ_SEMI_WARRANTY_RES_OTHER">"c10013"</definedName>
    <definedName name="IQ_SEMI_WARRANTY_RES_PAY">"c10012"</definedName>
    <definedName name="IQ_SEPARATE_ACCT_ASSETS">"c1155"</definedName>
    <definedName name="IQ_SEPARATE_ACCT_LIAB">"c1156"</definedName>
    <definedName name="IQ_SERV_CHARGE_DEPOSITS">"c1157"</definedName>
    <definedName name="IQ_SERVICE_CHARGES_FDIC">"c6572"</definedName>
    <definedName name="IQ_SGA">"c1158"</definedName>
    <definedName name="IQ_SGA_BNK">"c1159"</definedName>
    <definedName name="IQ_SGA_INS">"c1160"</definedName>
    <definedName name="IQ_SGA_MARGIN">"c1898"</definedName>
    <definedName name="IQ_SGA_RE">"c6265"</definedName>
    <definedName name="IQ_SGA_REIT">"c1161"</definedName>
    <definedName name="IQ_SGA_SUPPL">"c1162"</definedName>
    <definedName name="IQ_SGA_UTI">"c1163"</definedName>
    <definedName name="IQ_SHAREOUTSTANDING">"c1347"</definedName>
    <definedName name="IQ_SHARES_PURCHASED_AVERAGE_PRICE">"c5821"</definedName>
    <definedName name="IQ_SHARES_PURCHASED_QUARTER">"c5820"</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C_SEC_RECEIPTS_SAAR_USD_APR_FC">"c12005"</definedName>
    <definedName name="IQ_SOC_SEC_RECEIPTS_SAAR_USD_FC">"c12002"</definedName>
    <definedName name="IQ_SOC_SEC_RECEIPTS_SAAR_USD_POP_FC">"c12003"</definedName>
    <definedName name="IQ_SOC_SEC_RECEIPTS_SAAR_USD_YOY_FC">"c12004"</definedName>
    <definedName name="IQ_SOC_SEC_RECEIPTS_USD_APR_FC">"c12001"</definedName>
    <definedName name="IQ_SOC_SEC_RECEIPTS_USD_FC">"c11998"</definedName>
    <definedName name="IQ_SOC_SEC_RECEIPTS_USD_POP_FC">"c11999"</definedName>
    <definedName name="IQ_SOC_SEC_RECEIPTS_USD_YOY_FC">"c12000"</definedName>
    <definedName name="IQ_SOCIAL_SEC_RECEIPTS">"c7015"</definedName>
    <definedName name="IQ_SOCIAL_SEC_RECEIPTS_APR">"c7675"</definedName>
    <definedName name="IQ_SOCIAL_SEC_RECEIPTS_APR_FC">"c8555"</definedName>
    <definedName name="IQ_SOCIAL_SEC_RECEIPTS_FC">"c7895"</definedName>
    <definedName name="IQ_SOCIAL_SEC_RECEIPTS_POP">"c7235"</definedName>
    <definedName name="IQ_SOCIAL_SEC_RECEIPTS_POP_FC">"c8115"</definedName>
    <definedName name="IQ_SOCIAL_SEC_RECEIPTS_SAAR">"c7016"</definedName>
    <definedName name="IQ_SOCIAL_SEC_RECEIPTS_SAAR_APR">"c7676"</definedName>
    <definedName name="IQ_SOCIAL_SEC_RECEIPTS_SAAR_APR_FC">"c8556"</definedName>
    <definedName name="IQ_SOCIAL_SEC_RECEIPTS_SAAR_FC">"c7896"</definedName>
    <definedName name="IQ_SOCIAL_SEC_RECEIPTS_SAAR_POP">"c7236"</definedName>
    <definedName name="IQ_SOCIAL_SEC_RECEIPTS_SAAR_POP_FC">"c8116"</definedName>
    <definedName name="IQ_SOCIAL_SEC_RECEIPTS_SAAR_YOY">"c7456"</definedName>
    <definedName name="IQ_SOCIAL_SEC_RECEIPTS_SAAR_YOY_FC">"c8336"</definedName>
    <definedName name="IQ_SOCIAL_SEC_RECEIPTS_YOY">"c7455"</definedName>
    <definedName name="IQ_SOCIAL_SEC_RECEIPTS_YOY_FC">"c8335"</definedName>
    <definedName name="IQ_SOFTWARE">"c1167"</definedName>
    <definedName name="IQ_SOURCE">"c1168"</definedName>
    <definedName name="IQ_SP">"c2171"</definedName>
    <definedName name="IQ_SP_BANK">"c2637"</definedName>
    <definedName name="IQ_SP_BANK_ACTION">"c2636"</definedName>
    <definedName name="IQ_SP_BANK_DATE">"c2635"</definedName>
    <definedName name="IQ_SP_DATE">"c2172"</definedName>
    <definedName name="IQ_SP_FIN_ENHANCE_FX">"c2631"</definedName>
    <definedName name="IQ_SP_FIN_ENHANCE_FX_ACTION">"c2630"</definedName>
    <definedName name="IQ_SP_FIN_ENHANCE_FX_DATE">"c2629"</definedName>
    <definedName name="IQ_SP_FIN_ENHANCE_LC">"c2634"</definedName>
    <definedName name="IQ_SP_FIN_ENHANCE_LC_ACTION">"c2633"</definedName>
    <definedName name="IQ_SP_FIN_ENHANCE_LC_DATE">"c2632"</definedName>
    <definedName name="IQ_SP_FIN_STRENGTH_LC_ACTION_LT">"c2625"</definedName>
    <definedName name="IQ_SP_FIN_STRENGTH_LC_ACTION_ST">"c2626"</definedName>
    <definedName name="IQ_SP_FIN_STRENGTH_LC_DATE_LT">"c2623"</definedName>
    <definedName name="IQ_SP_FIN_STRENGTH_LC_DATE_ST">"c2624"</definedName>
    <definedName name="IQ_SP_FIN_STRENGTH_LC_LT">"c2627"</definedName>
    <definedName name="IQ_SP_FIN_STRENGTH_LC_ST">"c2628"</definedName>
    <definedName name="IQ_SP_FX_ACTION_LT">"c2613"</definedName>
    <definedName name="IQ_SP_FX_ACTION_ST">"c2614"</definedName>
    <definedName name="IQ_SP_FX_DATE_LT">"c2611"</definedName>
    <definedName name="IQ_SP_FX_DATE_ST">"c2612"</definedName>
    <definedName name="IQ_SP_FX_LT">"c2615"</definedName>
    <definedName name="IQ_SP_FX_ST">"c2616"</definedName>
    <definedName name="IQ_SP_ISSUE_ACTION">"c2644"</definedName>
    <definedName name="IQ_SP_ISSUE_DATE">"c2643"</definedName>
    <definedName name="IQ_SP_ISSUE_LT">"c2645"</definedName>
    <definedName name="IQ_SP_ISSUE_OUTLOOK_WATCH">"c2650"</definedName>
    <definedName name="IQ_SP_ISSUE_OUTLOOK_WATCH_DATE">"c2649"</definedName>
    <definedName name="IQ_SP_ISSUE_RECOVER">"c2648"</definedName>
    <definedName name="IQ_SP_ISSUE_RECOVER_ACTION">"c2647"</definedName>
    <definedName name="IQ_SP_ISSUE_RECOVER_DATE">"c2646"</definedName>
    <definedName name="IQ_SP_LC_ACTION_LT">"c2619"</definedName>
    <definedName name="IQ_SP_LC_ACTION_ST">"c2620"</definedName>
    <definedName name="IQ_SP_LC_DATE_LT">"c2617"</definedName>
    <definedName name="IQ_SP_LC_DATE_ST">"c2618"</definedName>
    <definedName name="IQ_SP_LC_LT">"c2621"</definedName>
    <definedName name="IQ_SP_LC_ST">"c2622"</definedName>
    <definedName name="IQ_SP_OUTLOOK_WATCH">"c2639"</definedName>
    <definedName name="IQ_SP_OUTLOOK_WATCH_DATE">"c2638"</definedName>
    <definedName name="IQ_SP_REASON">"c2174"</definedName>
    <definedName name="IQ_SP_STATUS">"c2173"</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"c6266"</definedName>
    <definedName name="IQ_SPECIAL_DIV_CF_REIT">"c1174"</definedName>
    <definedName name="IQ_SPECIAL_DIV_CF_UTI">"c1175"</definedName>
    <definedName name="IQ_SPECIAL_DIV_SHARE">"c3007"</definedName>
    <definedName name="IQ_SQ_FT_LEASED_GROSS_CONSOL">"c8820"</definedName>
    <definedName name="IQ_SQ_FT_LEASED_GROSS_MANAGED">"c8822"</definedName>
    <definedName name="IQ_SQ_FT_LEASED_GROSS_OTHER">"c8823"</definedName>
    <definedName name="IQ_SQ_FT_LEASED_GROSS_TOTAL">"c8824"</definedName>
    <definedName name="IQ_SQ_FT_LEASED_GROSS_UNCONSOL">"c8821"</definedName>
    <definedName name="IQ_SQ_FT_LEASED_NET_CONSOL">"c8825"</definedName>
    <definedName name="IQ_SQ_FT_LEASED_NET_MANAGED">"c8827"</definedName>
    <definedName name="IQ_SQ_FT_LEASED_NET_OTHER">"c8828"</definedName>
    <definedName name="IQ_SQ_FT_LEASED_NET_TOTAL">"c8829"</definedName>
    <definedName name="IQ_SQ_FT_LEASED_NET_UNCONSOL">"c8826"</definedName>
    <definedName name="IQ_SQ_METER_LEASED_GROSS_CONSOL">"c8830"</definedName>
    <definedName name="IQ_SQ_METER_LEASED_GROSS_MANAGED">"c8832"</definedName>
    <definedName name="IQ_SQ_METER_LEASED_GROSS_OTHER">"c8833"</definedName>
    <definedName name="IQ_SQ_METER_LEASED_GROSS_TOTAL">"c8834"</definedName>
    <definedName name="IQ_SQ_METER_LEASED_GROSS_UNCONSOL">"c8831"</definedName>
    <definedName name="IQ_SQ_METER_LEASED_NET_CONSOL">"c8835"</definedName>
    <definedName name="IQ_SQ_METER_LEASED_NET_MANAGED">"c8837"</definedName>
    <definedName name="IQ_SQ_METER_LEASED_NET_OTHER">"c8838"</definedName>
    <definedName name="IQ_SQ_METER_LEASED_NET_TOTAL">"c8839"</definedName>
    <definedName name="IQ_SQ_METER_LEASED_NET_UNCONSOL">"c8836"</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UB_DEBT">"c2530"</definedName>
    <definedName name="IQ_SR_SUB_DEBT_EBITDA">"c2556"</definedName>
    <definedName name="IQ_SR_SUB_DEBT_EBITDA_CAPEX">"c2557"</definedName>
    <definedName name="IQ_SR_SUB_DEBT_PCT">"c2531"</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"c6267"</definedName>
    <definedName name="IQ_ST_DEBT_ISSUED_REIT">"c1186"</definedName>
    <definedName name="IQ_ST_DEBT_ISSUED_UTI">"c1187"</definedName>
    <definedName name="IQ_ST_DEBT_PCT">"c2539"</definedName>
    <definedName name="IQ_ST_DEBT_RE">"c6268"</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"c6269"</definedName>
    <definedName name="IQ_ST_DEBT_REPAID_REIT">"c1194"</definedName>
    <definedName name="IQ_ST_DEBT_REPAID_UTI">"c1195"</definedName>
    <definedName name="IQ_ST_DEBT_UTI">"c1196"</definedName>
    <definedName name="IQ_ST_FHLB_DEBT">"c5658"</definedName>
    <definedName name="IQ_ST_INVEST">"c1197"</definedName>
    <definedName name="IQ_ST_INVEST_UTI">"c1198"</definedName>
    <definedName name="IQ_ST_NOTE_RECEIV">"c1199"</definedName>
    <definedName name="IQ_STATE">"c1200"</definedName>
    <definedName name="IQ_STATE_LOCAL_SPENDING_SAAR">"c7017"</definedName>
    <definedName name="IQ_STATE_LOCAL_SPENDING_SAAR_APR">"c7677"</definedName>
    <definedName name="IQ_STATE_LOCAL_SPENDING_SAAR_APR_FC">"c8557"</definedName>
    <definedName name="IQ_STATE_LOCAL_SPENDING_SAAR_FC">"c7897"</definedName>
    <definedName name="IQ_STATE_LOCAL_SPENDING_SAAR_POP">"c7237"</definedName>
    <definedName name="IQ_STATE_LOCAL_SPENDING_SAAR_POP_FC">"c8117"</definedName>
    <definedName name="IQ_STATE_LOCAL_SPENDING_SAAR_YOY">"c7457"</definedName>
    <definedName name="IQ_STATE_LOCAL_SPENDING_SAAR_YOY_FC">"c8337"</definedName>
    <definedName name="IQ_STATES_NONTRANSACTION_ACCOUNTS_FDIC">"c6547"</definedName>
    <definedName name="IQ_STATES_TOTAL_DEPOSITS_FDIC">"c6473"</definedName>
    <definedName name="IQ_STATES_TRANSACTION_ACCOUNTS_FDIC">"c6539"</definedName>
    <definedName name="IQ_STATUTORY_SURPLUS">"c1201"</definedName>
    <definedName name="IQ_STOCK_BASED">"c1202"</definedName>
    <definedName name="IQ_STOCK_BASED_AT">"c2999"</definedName>
    <definedName name="IQ_STOCK_BASED_CF">"c1203"</definedName>
    <definedName name="IQ_STOCK_BASED_COGS">"c2990"</definedName>
    <definedName name="IQ_STOCK_BASED_COMP">"c3512"</definedName>
    <definedName name="IQ_STOCK_BASED_COMP_PRETAX">"c3510"</definedName>
    <definedName name="IQ_STOCK_BASED_COMP_TAX">"c3511"</definedName>
    <definedName name="IQ_STOCK_BASED_GA">"c2993"</definedName>
    <definedName name="IQ_STOCK_BASED_OTHER">"c2995"</definedName>
    <definedName name="IQ_STOCK_BASED_RD">"c2991"</definedName>
    <definedName name="IQ_STOCK_BASED_SGA">"c2994"</definedName>
    <definedName name="IQ_STOCK_BASED_SM">"c2992"</definedName>
    <definedName name="IQ_STOCK_BASED_TOTAL">"c3040"</definedName>
    <definedName name="IQ_STOCK_OPTIONS_COMP">"c3509"</definedName>
    <definedName name="IQ_STOCK_OPTIONS_COMP_PRETAX">"c3507"</definedName>
    <definedName name="IQ_STOCK_OPTIONS_COMP_TAX">"c3508"</definedName>
    <definedName name="IQ_STRATEGY_NOTE">"c6791"</definedName>
    <definedName name="IQ_STRIKE_PRICE_ISSUED">"c1645"</definedName>
    <definedName name="IQ_STRIKE_PRICE_OS">"c1646"</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FDIC">"c6346"</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URPLUS_FDIC">"c6351"</definedName>
    <definedName name="IQ_SVA">"c1214"</definedName>
    <definedName name="IQ_TARGET_PRICE_NUM">"c1653"</definedName>
    <definedName name="IQ_TARGET_PRICE_NUM_CIQ">"c4661"</definedName>
    <definedName name="IQ_TARGET_PRICE_NUM_REUT">"c5319"</definedName>
    <definedName name="IQ_TARGET_PRICE_NUM_THOM">"c5098"</definedName>
    <definedName name="IQ_TARGET_PRICE_STDDEV">"c1654"</definedName>
    <definedName name="IQ_TARGET_PRICE_STDDEV_CIQ">"c4662"</definedName>
    <definedName name="IQ_TARGET_PRICE_STDDEV_REUT">"c5320"</definedName>
    <definedName name="IQ_TARGET_PRICE_STDDEV_THOM">"c5099"</definedName>
    <definedName name="IQ_TAX_BENEFIT_CF_1YR">"c3483"</definedName>
    <definedName name="IQ_TAX_BENEFIT_CF_2YR">"c3484"</definedName>
    <definedName name="IQ_TAX_BENEFIT_CF_3YR">"c3485"</definedName>
    <definedName name="IQ_TAX_BENEFIT_CF_4YR">"c3486"</definedName>
    <definedName name="IQ_TAX_BENEFIT_CF_5YR">"c3487"</definedName>
    <definedName name="IQ_TAX_BENEFIT_CF_AFTER_FIVE">"c3488"</definedName>
    <definedName name="IQ_TAX_BENEFIT_CF_MAX_YEAR">"c3491"</definedName>
    <definedName name="IQ_TAX_BENEFIT_CF_NO_EXP">"c3489"</definedName>
    <definedName name="IQ_TAX_BENEFIT_CF_TOTAL">"c3490"</definedName>
    <definedName name="IQ_TAX_BENEFIT_OPTIONS">"c1215"</definedName>
    <definedName name="IQ_TAX_EQUIV_NET_INT_INC">"c1216"</definedName>
    <definedName name="IQ_TAX_OTHER_EXP_AP">"c8878"</definedName>
    <definedName name="IQ_TAX_OTHER_EXP_AP_ABS">"c8897"</definedName>
    <definedName name="IQ_TAX_OTHER_EXP_NAME_AP">"c8916"</definedName>
    <definedName name="IQ_TAX_OTHER_EXP_NAME_AP_ABS">"c8935"</definedName>
    <definedName name="IQ_TBV">"c1906"</definedName>
    <definedName name="IQ_TBV_10YR_ANN_CAGR">"c6169"</definedName>
    <definedName name="IQ_TBV_10YR_ANN_GROWTH">"c1936"</definedName>
    <definedName name="IQ_TBV_1YR_ANN_GROWTH">"c1931"</definedName>
    <definedName name="IQ_TBV_2YR_ANN_CAGR">"c6165"</definedName>
    <definedName name="IQ_TBV_2YR_ANN_GROWTH">"c1932"</definedName>
    <definedName name="IQ_TBV_3YR_ANN_CAGR">"c6166"</definedName>
    <definedName name="IQ_TBV_3YR_ANN_GROWTH">"c1933"</definedName>
    <definedName name="IQ_TBV_5YR_ANN_CAGR">"c6167"</definedName>
    <definedName name="IQ_TBV_5YR_ANN_GROWTH">"c1934"</definedName>
    <definedName name="IQ_TBV_7YR_ANN_CAGR">"c6168"</definedName>
    <definedName name="IQ_TBV_7YR_ANN_GROWTH">"c1935"</definedName>
    <definedName name="IQ_TBV_SHARE">"c1217"</definedName>
    <definedName name="IQ_TEMPLATE">"c1521"</definedName>
    <definedName name="IQ_TENANT">"c1218"</definedName>
    <definedName name="IQ_TERM_LOANS">"c2499"</definedName>
    <definedName name="IQ_TERM_LOANS_PCT">"c2500"</definedName>
    <definedName name="IQ_TEV">"c1219"</definedName>
    <definedName name="IQ_TEV_EBIT">"c1220"</definedName>
    <definedName name="IQ_TEV_EBIT_AVG">"c1221"</definedName>
    <definedName name="IQ_TEV_EBIT_FWD">"c2238"</definedName>
    <definedName name="IQ_TEV_EBIT_FWD_THOM">"c4061"</definedName>
    <definedName name="IQ_TEV_EBITDA">"c1222"</definedName>
    <definedName name="IQ_TEV_EBITDA_AVG">"c1223"</definedName>
    <definedName name="IQ_TEV_EBITDA_FWD">"c1224"</definedName>
    <definedName name="IQ_TEV_EBITDA_FWD_REUT">"c4050"</definedName>
    <definedName name="IQ_TEV_EBITDA_FWD_THOM">"c4057"</definedName>
    <definedName name="IQ_TEV_EMPLOYEE_AVG">"c1225"</definedName>
    <definedName name="IQ_TEV_EST">"c4526"</definedName>
    <definedName name="IQ_TEV_EST_THOM">"c5529"</definedName>
    <definedName name="IQ_TEV_HIGH_EST">"c4527"</definedName>
    <definedName name="IQ_TEV_HIGH_EST_THOM">"c5530"</definedName>
    <definedName name="IQ_TEV_LOW_EST">"c4528"</definedName>
    <definedName name="IQ_TEV_LOW_EST_THOM">"c5531"</definedName>
    <definedName name="IQ_TEV_MEDIAN_EST">"c4529"</definedName>
    <definedName name="IQ_TEV_MEDIAN_EST_THOM">"c5532"</definedName>
    <definedName name="IQ_TEV_NUM_EST">"c4530"</definedName>
    <definedName name="IQ_TEV_NUM_EST_THOM">"c5533"</definedName>
    <definedName name="IQ_TEV_STDDEV_EST">"c4531"</definedName>
    <definedName name="IQ_TEV_STDDEV_EST_THOM">"c5534"</definedName>
    <definedName name="IQ_TEV_TOTAL_REV">"c1226"</definedName>
    <definedName name="IQ_TEV_TOTAL_REV_AVG">"c1227"</definedName>
    <definedName name="IQ_TEV_TOTAL_REV_FWD">"c1228"</definedName>
    <definedName name="IQ_TEV_TOTAL_REV_FWD_REUT">"c4051"</definedName>
    <definedName name="IQ_TEV_TOTAL_REV_FWD_THOM">"c4058"</definedName>
    <definedName name="IQ_TEV_UFCF">"c2208"</definedName>
    <definedName name="IQ_THREE_MONTHS_FIXED_AND_FLOATING_FDIC">"c6419"</definedName>
    <definedName name="IQ_THREE_MONTHS_MORTGAGE_PASS_THROUGHS_FDIC">"c6411"</definedName>
    <definedName name="IQ_THREE_YEAR_FIXED_AND_FLOATING_RATE_FDIC">"c6421"</definedName>
    <definedName name="IQ_THREE_YEAR_MORTGAGE_PASS_THROUGHS_FDIC">"c6413"</definedName>
    <definedName name="IQ_THREE_YEARS_LESS_FDIC">"c6417"</definedName>
    <definedName name="IQ_TIER_1_RISK_BASED_CAPITAL_RATIO_FDIC">"c6746"</definedName>
    <definedName name="IQ_TIER_ONE_CAPITAL">"c2667"</definedName>
    <definedName name="IQ_TIER_ONE_FDIC">"c6369"</definedName>
    <definedName name="IQ_TIER_ONE_RATIO">"c1229"</definedName>
    <definedName name="IQ_TIER_TWO_CAPITAL">"c2669"</definedName>
    <definedName name="IQ_TIME_DEP">"c1230"</definedName>
    <definedName name="IQ_TIME_DEPOSITS_LESS_THAN_100K_FDIC">"c6465"</definedName>
    <definedName name="IQ_TIME_DEPOSITS_MORE_THAN_100K_FDIC">"c6470"</definedName>
    <definedName name="IQ_TODAY">0</definedName>
    <definedName name="IQ_TOT_ADJ_INC">"c1616"</definedName>
    <definedName name="IQ_TOTAL_AR_BR">"c1231"</definedName>
    <definedName name="IQ_TOTAL_AR_RE">"c6270"</definedName>
    <definedName name="IQ_TOTAL_AR_REIT">"c1232"</definedName>
    <definedName name="IQ_TOTAL_AR_UTI">"c1233"</definedName>
    <definedName name="IQ_TOTAL_ASSETS">"c1234"</definedName>
    <definedName name="IQ_TOTAL_ASSETS_10YR_ANN_CAGR">"c6140"</definedName>
    <definedName name="IQ_TOTAL_ASSETS_10YR_ANN_GROWTH">"c1235"</definedName>
    <definedName name="IQ_TOTAL_ASSETS_1YR_ANN_GROWTH">"c1236"</definedName>
    <definedName name="IQ_TOTAL_ASSETS_2YR_ANN_CAGR">"c6141"</definedName>
    <definedName name="IQ_TOTAL_ASSETS_2YR_ANN_GROWTH">"c1237"</definedName>
    <definedName name="IQ_TOTAL_ASSETS_3YR_ANN_CAGR">"c6142"</definedName>
    <definedName name="IQ_TOTAL_ASSETS_3YR_ANN_GROWTH">"c1238"</definedName>
    <definedName name="IQ_TOTAL_ASSETS_5YR_ANN_CAGR">"c6143"</definedName>
    <definedName name="IQ_TOTAL_ASSETS_5YR_ANN_GROWTH">"c1239"</definedName>
    <definedName name="IQ_TOTAL_ASSETS_7YR_ANN_CAGR">"c6144"</definedName>
    <definedName name="IQ_TOTAL_ASSETS_7YR_ANN_GROWTH">"c1240"</definedName>
    <definedName name="IQ_TOTAL_ASSETS_FDIC">"c6339"</definedName>
    <definedName name="IQ_TOTAL_ASSETS_SUBTOTAL_AP">"c8985"</definedName>
    <definedName name="IQ_TOTAL_ATTRIB_ORE_RESOURCES_ALUM">"c9241"</definedName>
    <definedName name="IQ_TOTAL_ATTRIB_ORE_RESOURCES_COP">"c9185"</definedName>
    <definedName name="IQ_TOTAL_ATTRIB_ORE_RESOURCES_DIAM">"c9665"</definedName>
    <definedName name="IQ_TOTAL_ATTRIB_ORE_RESOURCES_GOLD">"c9026"</definedName>
    <definedName name="IQ_TOTAL_ATTRIB_ORE_RESOURCES_IRON">"c9400"</definedName>
    <definedName name="IQ_TOTAL_ATTRIB_ORE_RESOURCES_LEAD">"c9453"</definedName>
    <definedName name="IQ_TOTAL_ATTRIB_ORE_RESOURCES_MANG">"c9506"</definedName>
    <definedName name="IQ_TOTAL_ATTRIB_ORE_RESOURCES_MOLYB">"c9718"</definedName>
    <definedName name="IQ_TOTAL_ATTRIB_ORE_RESOURCES_NICK">"c9294"</definedName>
    <definedName name="IQ_TOTAL_ATTRIB_ORE_RESOURCES_PLAT">"c9132"</definedName>
    <definedName name="IQ_TOTAL_ATTRIB_ORE_RESOURCES_SILVER">"c9079"</definedName>
    <definedName name="IQ_TOTAL_ATTRIB_ORE_RESOURCES_TITAN">"c9559"</definedName>
    <definedName name="IQ_TOTAL_ATTRIB_ORE_RESOURCES_URAN">"c9612"</definedName>
    <definedName name="IQ_TOTAL_ATTRIB_ORE_RESOURCES_ZINC">"c9347"</definedName>
    <definedName name="IQ_TOTAL_AVG_CE_TOTAL_AVG_ASSETS">"c1241"</definedName>
    <definedName name="IQ_TOTAL_AVG_EQUITY_TOTAL_AVG_ASSETS">"c1242"</definedName>
    <definedName name="IQ_TOTAL_BANK_CAPITAL">"c2668"</definedName>
    <definedName name="IQ_TOTAL_BEDS">"c8785"</definedName>
    <definedName name="IQ_TOTAL_CA">"c1243"</definedName>
    <definedName name="IQ_TOTAL_CA_SUBTOTAL_AP">"c8986"</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ARGE_OFFS_FDIC">"c6603"</definedName>
    <definedName name="IQ_TOTAL_CHURN">"c2122"</definedName>
    <definedName name="IQ_TOTAL_CL">"c1245"</definedName>
    <definedName name="IQ_TOTAL_CL_SUBTOTAL_AP">"c8987"</definedName>
    <definedName name="IQ_TOTAL_COAL_PRODUCTION_COAL">"c9824"</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CURRENT">"c6190"</definedName>
    <definedName name="IQ_TOTAL_DEBT_EBITDA">"c1249"</definedName>
    <definedName name="IQ_TOTAL_DEBT_EBITDA_CAPEX">"c2948"</definedName>
    <definedName name="IQ_TOTAL_DEBT_EQUITY">"c1250"</definedName>
    <definedName name="IQ_TOTAL_DEBT_EXCL_FIN">"c2937"</definedName>
    <definedName name="IQ_TOTAL_DEBT_ISSUED">"c1251"</definedName>
    <definedName name="IQ_TOTAL_DEBT_ISSUED_BNK">"c1252"</definedName>
    <definedName name="IQ_TOTAL_DEBT_ISSUED_BR">"c1253"</definedName>
    <definedName name="IQ_TOTAL_DEBT_ISSUED_FIN">"c1254"</definedName>
    <definedName name="IQ_TOTAL_DEBT_ISSUED_RE">"c6271"</definedName>
    <definedName name="IQ_TOTAL_DEBT_ISSUED_REIT">"c1255"</definedName>
    <definedName name="IQ_TOTAL_DEBT_ISSUED_UTI">"c1256"</definedName>
    <definedName name="IQ_TOTAL_DEBT_ISSUES_INS">"c1257"</definedName>
    <definedName name="IQ_TOTAL_DEBT_NON_CURRENT">"c6191"</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"c6272"</definedName>
    <definedName name="IQ_TOTAL_DEBT_REPAID_REIT">"c1263"</definedName>
    <definedName name="IQ_TOTAL_DEBT_REPAID_UTI">"c1264"</definedName>
    <definedName name="IQ_TOTAL_DEBT_SECURITIES_FDIC">"c6410"</definedName>
    <definedName name="IQ_TOTAL_DEPOSITS">"c1265"</definedName>
    <definedName name="IQ_TOTAL_DEPOSITS_FDIC">"c6342"</definedName>
    <definedName name="IQ_TOTAL_DIV_PAID_CF">"c1266"</definedName>
    <definedName name="IQ_TOTAL_EMPLOYEE">"c2141"</definedName>
    <definedName name="IQ_TOTAL_EMPLOYEES">"c1522"</definedName>
    <definedName name="IQ_TOTAL_EMPLOYEES_FDIC">"c6355"</definedName>
    <definedName name="IQ_TOTAL_EQUITY">"c1267"</definedName>
    <definedName name="IQ_TOTAL_EQUITY_10YR_ANN_CAGR">"c6145"</definedName>
    <definedName name="IQ_TOTAL_EQUITY_10YR_ANN_GROWTH">"c1268"</definedName>
    <definedName name="IQ_TOTAL_EQUITY_1YR_ANN_GROWTH">"c1269"</definedName>
    <definedName name="IQ_TOTAL_EQUITY_2YR_ANN_CAGR">"c6146"</definedName>
    <definedName name="IQ_TOTAL_EQUITY_2YR_ANN_GROWTH">"c1270"</definedName>
    <definedName name="IQ_TOTAL_EQUITY_3YR_ANN_CAGR">"c6147"</definedName>
    <definedName name="IQ_TOTAL_EQUITY_3YR_ANN_GROWTH">"c1271"</definedName>
    <definedName name="IQ_TOTAL_EQUITY_5YR_ANN_CAGR">"c6148"</definedName>
    <definedName name="IQ_TOTAL_EQUITY_5YR_ANN_GROWTH">"c1272"</definedName>
    <definedName name="IQ_TOTAL_EQUITY_7YR_ANN_CAGR">"c6149"</definedName>
    <definedName name="IQ_TOTAL_EQUITY_7YR_ANN_GROWTH">"c1273"</definedName>
    <definedName name="IQ_TOTAL_EQUITY_ALLOWANCE_TOTAL_LOANS">"c1274"</definedName>
    <definedName name="IQ_TOTAL_EQUITY_SUBTOTAL_AP">"c8989"</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EQUITY_FDIC">"c6354"</definedName>
    <definedName name="IQ_TOTAL_LIAB_EQUITY_SUBTOTAL_AP">"c8988"</definedName>
    <definedName name="IQ_TOTAL_LIAB_FIN">"c1280"</definedName>
    <definedName name="IQ_TOTAL_LIAB_INS">"c1281"</definedName>
    <definedName name="IQ_TOTAL_LIAB_RE">"c6273"</definedName>
    <definedName name="IQ_TOTAL_LIAB_REIT">"c1282"</definedName>
    <definedName name="IQ_TOTAL_LIAB_SHAREHOLD">"c1435"</definedName>
    <definedName name="IQ_TOTAL_LIAB_TOTAL_ASSETS">"c1283"</definedName>
    <definedName name="IQ_TOTAL_LIABILITIES_FDIC">"c6348"</definedName>
    <definedName name="IQ_TOTAL_LOANS">"c5653"</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"c6274"</definedName>
    <definedName name="IQ_TOTAL_OPER_EXP_REIT">"c1287"</definedName>
    <definedName name="IQ_TOTAL_OPER_EXP_UTI">"c1288"</definedName>
    <definedName name="IQ_TOTAL_OPER_EXPEN">"c1445"</definedName>
    <definedName name="IQ_TOTAL_OPTIONS_BEG_OS">"c2693"</definedName>
    <definedName name="IQ_TOTAL_OPTIONS_CANCELLED">"c2696"</definedName>
    <definedName name="IQ_TOTAL_OPTIONS_END_OS">"c2697"</definedName>
    <definedName name="IQ_TOTAL_OPTIONS_EXERCISABLE_END_OS">"c5819"</definedName>
    <definedName name="IQ_TOTAL_OPTIONS_EXERCISED">"c2695"</definedName>
    <definedName name="IQ_TOTAL_OPTIONS_GRANTED">"c2694"</definedName>
    <definedName name="IQ_TOTAL_ORE_RESOURCES_ALUM">"c9230"</definedName>
    <definedName name="IQ_TOTAL_ORE_RESOURCES_COP">"c9174"</definedName>
    <definedName name="IQ_TOTAL_ORE_RESOURCES_DIAM">"c9654"</definedName>
    <definedName name="IQ_TOTAL_ORE_RESOURCES_GOLD">"c9015"</definedName>
    <definedName name="IQ_TOTAL_ORE_RESOURCES_IRON">"c9389"</definedName>
    <definedName name="IQ_TOTAL_ORE_RESOURCES_LEAD">"c9442"</definedName>
    <definedName name="IQ_TOTAL_ORE_RESOURCES_MANG">"c9495"</definedName>
    <definedName name="IQ_TOTAL_ORE_RESOURCES_MOLYB">"c9707"</definedName>
    <definedName name="IQ_TOTAL_ORE_RESOURCES_NICK">"c9283"</definedName>
    <definedName name="IQ_TOTAL_ORE_RESOURCES_PLAT">"c9121"</definedName>
    <definedName name="IQ_TOTAL_ORE_RESOURCES_SILVER">"c9068"</definedName>
    <definedName name="IQ_TOTAL_ORE_RESOURCES_TITAN">"c9548"</definedName>
    <definedName name="IQ_TOTAL_ORE_RESOURCES_URAN">"c9601"</definedName>
    <definedName name="IQ_TOTAL_ORE_RESOURCES_ZINC">"c9336"</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ENSION_OBLIGATION">"c1292"</definedName>
    <definedName name="IQ_TOTAL_PRINCIPAL">"c2509"</definedName>
    <definedName name="IQ_TOTAL_PRINCIPAL_PCT">"c2510"</definedName>
    <definedName name="IQ_TOTAL_PROP">"c8765"</definedName>
    <definedName name="IQ_TOTAL_PROVED_RESERVES_NGL">"c2924"</definedName>
    <definedName name="IQ_TOTAL_PROVED_RESERVES_OIL">"c2040"</definedName>
    <definedName name="IQ_TOTAL_RECEIV">"c1293"</definedName>
    <definedName name="IQ_TOTAL_RECOV_ATTRIB_RESOURCES_ALUM">"c9246"</definedName>
    <definedName name="IQ_TOTAL_RECOV_ATTRIB_RESOURCES_COAL">"c9820"</definedName>
    <definedName name="IQ_TOTAL_RECOV_ATTRIB_RESOURCES_COP">"c9190"</definedName>
    <definedName name="IQ_TOTAL_RECOV_ATTRIB_RESOURCES_DIAM">"c9670"</definedName>
    <definedName name="IQ_TOTAL_RECOV_ATTRIB_RESOURCES_GOLD">"c9031"</definedName>
    <definedName name="IQ_TOTAL_RECOV_ATTRIB_RESOURCES_IRON">"c9405"</definedName>
    <definedName name="IQ_TOTAL_RECOV_ATTRIB_RESOURCES_LEAD">"c9458"</definedName>
    <definedName name="IQ_TOTAL_RECOV_ATTRIB_RESOURCES_MANG">"c9511"</definedName>
    <definedName name="IQ_TOTAL_RECOV_ATTRIB_RESOURCES_MET_COAL">"c9760"</definedName>
    <definedName name="IQ_TOTAL_RECOV_ATTRIB_RESOURCES_MOLYB">"c9723"</definedName>
    <definedName name="IQ_TOTAL_RECOV_ATTRIB_RESOURCES_NICK">"c9299"</definedName>
    <definedName name="IQ_TOTAL_RECOV_ATTRIB_RESOURCES_PLAT">"c9137"</definedName>
    <definedName name="IQ_TOTAL_RECOV_ATTRIB_RESOURCES_SILVER">"c9084"</definedName>
    <definedName name="IQ_TOTAL_RECOV_ATTRIB_RESOURCES_STEAM">"c9790"</definedName>
    <definedName name="IQ_TOTAL_RECOV_ATTRIB_RESOURCES_TITAN">"c9564"</definedName>
    <definedName name="IQ_TOTAL_RECOV_ATTRIB_RESOURCES_URAN">"c9617"</definedName>
    <definedName name="IQ_TOTAL_RECOV_ATTRIB_RESOURCES_ZINC">"c9352"</definedName>
    <definedName name="IQ_TOTAL_RECOV_RESOURCES_ALUM">"c9236"</definedName>
    <definedName name="IQ_TOTAL_RECOV_RESOURCES_COAL">"c9815"</definedName>
    <definedName name="IQ_TOTAL_RECOV_RESOURCES_COP">"c9180"</definedName>
    <definedName name="IQ_TOTAL_RECOV_RESOURCES_DIAM">"c9660"</definedName>
    <definedName name="IQ_TOTAL_RECOV_RESOURCES_GOLD">"c9021"</definedName>
    <definedName name="IQ_TOTAL_RECOV_RESOURCES_IRON">"c9395"</definedName>
    <definedName name="IQ_TOTAL_RECOV_RESOURCES_LEAD">"c9448"</definedName>
    <definedName name="IQ_TOTAL_RECOV_RESOURCES_MANG">"c9501"</definedName>
    <definedName name="IQ_TOTAL_RECOV_RESOURCES_MET_COAL">"c9755"</definedName>
    <definedName name="IQ_TOTAL_RECOV_RESOURCES_MOLYB">"c9713"</definedName>
    <definedName name="IQ_TOTAL_RECOV_RESOURCES_NICK">"c9289"</definedName>
    <definedName name="IQ_TOTAL_RECOV_RESOURCES_PLAT">"c9127"</definedName>
    <definedName name="IQ_TOTAL_RECOV_RESOURCES_SILVER">"c9074"</definedName>
    <definedName name="IQ_TOTAL_RECOV_RESOURCES_STEAM">"c9785"</definedName>
    <definedName name="IQ_TOTAL_RECOV_RESOURCES_TITAN">"c9554"</definedName>
    <definedName name="IQ_TOTAL_RECOV_RESOURCES_URAN">"c9607"</definedName>
    <definedName name="IQ_TOTAL_RECOV_RESOURCES_ZINC">"c9342"</definedName>
    <definedName name="IQ_TOTAL_RECOVERIES_FDIC">"c6622"</definedName>
    <definedName name="IQ_TOTAL_RESOURCES_CALORIFIC_VALUE_COAL">"c9810"</definedName>
    <definedName name="IQ_TOTAL_RESOURCES_CALORIFIC_VALUE_MET_COAL">"c9750"</definedName>
    <definedName name="IQ_TOTAL_RESOURCES_CALORIFIC_VALUE_STEAM">"c9780"</definedName>
    <definedName name="IQ_TOTAL_RESOURCES_GRADE_ALUM">"c9231"</definedName>
    <definedName name="IQ_TOTAL_RESOURCES_GRADE_COP">"c9175"</definedName>
    <definedName name="IQ_TOTAL_RESOURCES_GRADE_DIAM">"c9655"</definedName>
    <definedName name="IQ_TOTAL_RESOURCES_GRADE_GOLD">"c9016"</definedName>
    <definedName name="IQ_TOTAL_RESOURCES_GRADE_IRON">"c9390"</definedName>
    <definedName name="IQ_TOTAL_RESOURCES_GRADE_LEAD">"c9443"</definedName>
    <definedName name="IQ_TOTAL_RESOURCES_GRADE_MANG">"c9496"</definedName>
    <definedName name="IQ_TOTAL_RESOURCES_GRADE_MOLYB">"c9708"</definedName>
    <definedName name="IQ_TOTAL_RESOURCES_GRADE_NICK">"c9284"</definedName>
    <definedName name="IQ_TOTAL_RESOURCES_GRADE_PLAT">"c9122"</definedName>
    <definedName name="IQ_TOTAL_RESOURCES_GRADE_SILVER">"c9069"</definedName>
    <definedName name="IQ_TOTAL_RESOURCES_GRADE_TITAN">"c9549"</definedName>
    <definedName name="IQ_TOTAL_RESOURCES_GRADE_URAN">"c9602"</definedName>
    <definedName name="IQ_TOTAL_RESOURCES_GRADE_ZINC">"c9337"</definedName>
    <definedName name="IQ_TOTAL_REV">"c1294"</definedName>
    <definedName name="IQ_TOTAL_REV_10YR_ANN_CAGR">"c6150"</definedName>
    <definedName name="IQ_TOTAL_REV_10YR_ANN_GROWTH">"c1295"</definedName>
    <definedName name="IQ_TOTAL_REV_1YR_ANN_GROWTH">"c1296"</definedName>
    <definedName name="IQ_TOTAL_REV_2YR_ANN_CAGR">"c6151"</definedName>
    <definedName name="IQ_TOTAL_REV_2YR_ANN_GROWTH">"c1297"</definedName>
    <definedName name="IQ_TOTAL_REV_3YR_ANN_CAGR">"c6152"</definedName>
    <definedName name="IQ_TOTAL_REV_3YR_ANN_GROWTH">"c1298"</definedName>
    <definedName name="IQ_TOTAL_REV_5YR_ANN_CAGR">"c6153"</definedName>
    <definedName name="IQ_TOTAL_REV_5YR_ANN_GROWTH">"c1299"</definedName>
    <definedName name="IQ_TOTAL_REV_7YR_ANN_CAGR">"c6154"</definedName>
    <definedName name="IQ_TOTAL_REV_7YR_ANN_GROWTH">"c1300"</definedName>
    <definedName name="IQ_TOTAL_REV_AS_REPORTED">"c1301"</definedName>
    <definedName name="IQ_TOTAL_REV_BNK">"c1302"</definedName>
    <definedName name="IQ_TOTAL_REV_BNK_FDIC">"c6786"</definedName>
    <definedName name="IQ_TOTAL_REV_BR">"c1303"</definedName>
    <definedName name="IQ_TOTAL_REV_EMPLOYEE">"c1304"</definedName>
    <definedName name="IQ_TOTAL_REV_FIN">"c1305"</definedName>
    <definedName name="IQ_TOTAL_REV_INS">"c1306"</definedName>
    <definedName name="IQ_TOTAL_REV_RE">"c6275"</definedName>
    <definedName name="IQ_TOTAL_REV_REIT">"c1307"</definedName>
    <definedName name="IQ_TOTAL_REV_SHARE">"c1912"</definedName>
    <definedName name="IQ_TOTAL_REV_SUBTOTAL_AP">"c8975"</definedName>
    <definedName name="IQ_TOTAL_REV_UTI">"c1308"</definedName>
    <definedName name="IQ_TOTAL_REVENUE">"c1436"</definedName>
    <definedName name="IQ_TOTAL_RISK_BASED_CAPITAL_RATIO_FDIC">"c6747"</definedName>
    <definedName name="IQ_TOTAL_ROOMS">"c8789"</definedName>
    <definedName name="IQ_TOTAL_SECURITIES_FDIC">"c6306"</definedName>
    <definedName name="IQ_TOTAL_SPECIAL">"c1618"</definedName>
    <definedName name="IQ_TOTAL_SQ_FT">"c8781"</definedName>
    <definedName name="IQ_TOTAL_ST_BORROW">"c1424"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TIME_DEPOSITS_FDIC">"c6497"</definedName>
    <definedName name="IQ_TOTAL_TIME_SAVINGS_DEPOSITS_FDIC">"c6498"</definedName>
    <definedName name="IQ_TOTAL_UNITS">"c8773"</definedName>
    <definedName name="IQ_TOTAL_UNUSED_COMMITMENTS_FDIC">"c6536"</definedName>
    <definedName name="IQ_TOTAL_UNUSUAL">"c1508"</definedName>
    <definedName name="IQ_TOTAL_UNUSUAL_BNK">"c5516"</definedName>
    <definedName name="IQ_TOTAL_UNUSUAL_BR">"c5517"</definedName>
    <definedName name="IQ_TOTAL_UNUSUAL_FIN">"c5518"</definedName>
    <definedName name="IQ_TOTAL_UNUSUAL_INS">"c5519"</definedName>
    <definedName name="IQ_TOTAL_UNUSUAL_RE">"c6286"</definedName>
    <definedName name="IQ_TOTAL_UNUSUAL_REIT">"c5520"</definedName>
    <definedName name="IQ_TOTAL_UNUSUAL_UTI">"c5521"</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_EQ_INC">"c3611"</definedName>
    <definedName name="IQ_TR_ACQ_EBITDA">"c2381"</definedName>
    <definedName name="IQ_TR_ACQ_EBITDA_EQ_INC">"c3610"</definedName>
    <definedName name="IQ_TR_ACQ_FILING_CURRENCY">"c3033"</definedName>
    <definedName name="IQ_TR_ACQ_FILINGDATE">"c3607"</definedName>
    <definedName name="IQ_TR_ACQ_MCAP_1DAY">"c2345"</definedName>
    <definedName name="IQ_TR_ACQ_MIN_INT">"c2374"</definedName>
    <definedName name="IQ_TR_ACQ_NET_DEBT">"c2373"</definedName>
    <definedName name="IQ_TR_ACQ_NI">"c2378"</definedName>
    <definedName name="IQ_TR_ACQ_PERIODDATE">"c3606"</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FIN_ADVISORS">"c3045"</definedName>
    <definedName name="IQ_TR_BUY_LEG_ADVISORS">"c2387"</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DA">"c2303"</definedName>
    <definedName name="IQ_TR_IMPLIED_EV_NI_LTM">"c2307"</definedName>
    <definedName name="IQ_TR_IMPLIED_EV_REV">"c2304"</definedName>
    <definedName name="IQ_TR_INIT_FILED_DATE">"c3495"</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PCT_SHARES">"c2416"</definedName>
    <definedName name="IQ_TR_RATING_FEES">"c2275"</definedName>
    <definedName name="IQ_TR_REG_EFFECT_DATE">"c2264"</definedName>
    <definedName name="IQ_TR_REG_FILED_DATE">"c2263"</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FIN_ADVISORS">"c3046"</definedName>
    <definedName name="IQ_TR_SELL_LEG_ADVISORS">"c2388"</definedName>
    <definedName name="IQ_TR_SELLER_ID">"c2406"</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TATUS">"c2399"</definedName>
    <definedName name="IQ_TR_STOCK_CONSID_PCT">"c2312"</definedName>
    <definedName name="IQ_TR_SUSPENDED_DATE">"c2407"</definedName>
    <definedName name="IQ_TR_TARGET_52WKHI_PCT">"c2351"</definedName>
    <definedName name="IQ_TR_TARGET_52WKLOW_PCT">"c2350"</definedName>
    <definedName name="IQ_TR_TARGET_ACC_ADVISORS">"c3047"</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_EQ_INC">"c3609"</definedName>
    <definedName name="IQ_TR_TARGET_EBITDA">"c2334"</definedName>
    <definedName name="IQ_TR_TARGET_EBITDA_EQ_INC">"c3608"</definedName>
    <definedName name="IQ_TR_TARGET_FILING_CURRENCY">"c3034"</definedName>
    <definedName name="IQ_TR_TARGET_FILINGDATE">"c3605"</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ERIODDATE">"c3604"</definedName>
    <definedName name="IQ_TR_TARGET_PRICEDATE_1D">"c2341"</definedName>
    <definedName name="IQ_TR_TARGET_RETURN">"c2355"</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"c1345"</definedName>
    <definedName name="IQ_TRADE_PRINCIPAL">"c1309"</definedName>
    <definedName name="IQ_TRADING_ACCOUNT_GAINS_FEES_FDIC">"c6573"</definedName>
    <definedName name="IQ_TRADING_ASSETS">"c1310"</definedName>
    <definedName name="IQ_TRADING_ASSETS_FDIC">"c6328"</definedName>
    <definedName name="IQ_TRADING_CURRENCY">"c2212"</definedName>
    <definedName name="IQ_TRADING_LIABILITIES_FDIC">"c6344"</definedName>
    <definedName name="IQ_TRANSACTION_ACCOUNTS_FDIC">"c6544"</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"c6276"</definedName>
    <definedName name="IQ_TREASURY_OTHER_EQUITY_REIT">"c1317"</definedName>
    <definedName name="IQ_TREASURY_OTHER_EQUITY_UTI">"c1318"</definedName>
    <definedName name="IQ_TREASURY_STOCK">"c1438"</definedName>
    <definedName name="IQ_TREASURY_STOCK_TRANSACTIONS_FDIC">"c6501"</definedName>
    <definedName name="IQ_TRUCK_ASSEMBLIES">"c7021"</definedName>
    <definedName name="IQ_TRUCK_ASSEMBLIES_APR">"c7681"</definedName>
    <definedName name="IQ_TRUCK_ASSEMBLIES_APR_FC">"c8561"</definedName>
    <definedName name="IQ_TRUCK_ASSEMBLIES_FC">"c7901"</definedName>
    <definedName name="IQ_TRUCK_ASSEMBLIES_POP">"c7241"</definedName>
    <definedName name="IQ_TRUCK_ASSEMBLIES_POP_FC">"c8121"</definedName>
    <definedName name="IQ_TRUCK_ASSEMBLIES_YOY">"c7461"</definedName>
    <definedName name="IQ_TRUCK_ASSEMBLIES_YOY_FC">"c8341"</definedName>
    <definedName name="IQ_TRUST_INC">"c1319"</definedName>
    <definedName name="IQ_TRUST_PREF">"c1320"</definedName>
    <definedName name="IQ_TRUST_PREFERRED">"c3029"</definedName>
    <definedName name="IQ_TRUST_PREFERRED_PCT">"c3030"</definedName>
    <definedName name="IQ_TWELVE_MONTHS_FIXED_AND_FLOATING_FDIC">"c6420"</definedName>
    <definedName name="IQ_TWELVE_MONTHS_MORTGAGE_PASS_THROUGHS_FDIC">"c6412"</definedName>
    <definedName name="IQ_UFCF_10YR_ANN_CAGR">"c6179"</definedName>
    <definedName name="IQ_UFCF_10YR_ANN_GROWTH">"c1948"</definedName>
    <definedName name="IQ_UFCF_1YR_ANN_GROWTH">"c1943"</definedName>
    <definedName name="IQ_UFCF_2YR_ANN_CAGR">"c6175"</definedName>
    <definedName name="IQ_UFCF_2YR_ANN_GROWTH">"c1944"</definedName>
    <definedName name="IQ_UFCF_3YR_ANN_CAGR">"c6176"</definedName>
    <definedName name="IQ_UFCF_3YR_ANN_GROWTH">"c1945"</definedName>
    <definedName name="IQ_UFCF_5YR_ANN_CAGR">"c6177"</definedName>
    <definedName name="IQ_UFCF_5YR_ANN_GROWTH">"c1946"</definedName>
    <definedName name="IQ_UFCF_7YR_ANN_CAGR">"c6178"</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CONSOL_BEDS">"c8783"</definedName>
    <definedName name="IQ_UNCONSOL_PROP">"c8762"</definedName>
    <definedName name="IQ_UNCONSOL_ROOMS">"c8787"</definedName>
    <definedName name="IQ_UNCONSOL_SQ_FT">"c8778"</definedName>
    <definedName name="IQ_UNCONSOL_UNITS">"c8770"</definedName>
    <definedName name="IQ_UNDERWRITING_PROFIT">"c9975"</definedName>
    <definedName name="IQ_UNDIVIDED_PROFITS_FDIC">"c6352"</definedName>
    <definedName name="IQ_UNDRAWN_CP">"c2518"</definedName>
    <definedName name="IQ_UNDRAWN_CREDIT">"c3032"</definedName>
    <definedName name="IQ_UNDRAWN_RC">"c2517"</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"c6277"</definedName>
    <definedName name="IQ_UNEARN_REV_CURRENT_REIT">"c1327"</definedName>
    <definedName name="IQ_UNEARN_REV_CURRENT_UTI">"c1328"</definedName>
    <definedName name="IQ_UNEARN_REV_LT">"c1329"</definedName>
    <definedName name="IQ_UNEARNED_INCOME_FDIC">"c6324"</definedName>
    <definedName name="IQ_UNEARNED_INCOME_FOREIGN_FDIC">"c6385"</definedName>
    <definedName name="IQ_UNEMPLOYMENT_RATE">"c7023"</definedName>
    <definedName name="IQ_UNEMPLOYMENT_RATE_FC">"c7903"</definedName>
    <definedName name="IQ_UNEMPLOYMENT_RATE_POP">"c7243"</definedName>
    <definedName name="IQ_UNEMPLOYMENT_RATE_POP_FC">"c8123"</definedName>
    <definedName name="IQ_UNEMPLOYMENT_RATE_YOY">"c7463"</definedName>
    <definedName name="IQ_UNEMPLOYMENT_RATE_YOY_FC">"c8343"</definedName>
    <definedName name="IQ_UNIT_LABOR_COST_INDEX">"c7025"</definedName>
    <definedName name="IQ_UNIT_LABOR_COST_INDEX_APR">"c7685"</definedName>
    <definedName name="IQ_UNIT_LABOR_COST_INDEX_APR_FC">"c8565"</definedName>
    <definedName name="IQ_UNIT_LABOR_COST_INDEX_FC">"c7905"</definedName>
    <definedName name="IQ_UNIT_LABOR_COST_INDEX_PCT_CHANGE">"c7024"</definedName>
    <definedName name="IQ_UNIT_LABOR_COST_INDEX_PCT_CHANGE_FC">"c7904"</definedName>
    <definedName name="IQ_UNIT_LABOR_COST_INDEX_PCT_CHANGE_POP">"c7244"</definedName>
    <definedName name="IQ_UNIT_LABOR_COST_INDEX_PCT_CHANGE_POP_FC">"c8124"</definedName>
    <definedName name="IQ_UNIT_LABOR_COST_INDEX_PCT_CHANGE_YOY">"c7464"</definedName>
    <definedName name="IQ_UNIT_LABOR_COST_INDEX_PCT_CHANGE_YOY_FC">"c8344"</definedName>
    <definedName name="IQ_UNIT_LABOR_COST_INDEX_POP">"c7245"</definedName>
    <definedName name="IQ_UNIT_LABOR_COST_INDEX_POP_FC">"c8125"</definedName>
    <definedName name="IQ_UNIT_LABOR_COST_INDEX_YOY">"c7465"</definedName>
    <definedName name="IQ_UNIT_LABOR_COST_INDEX_YOY_FC">"c8345"</definedName>
    <definedName name="IQ_UNLEVERED_FCF">"c1908"</definedName>
    <definedName name="IQ_UNPAID_CLAIMS">"c1330"</definedName>
    <definedName name="IQ_UNPROFITABLE_INSTITUTIONS_FDIC">"c6722"</definedName>
    <definedName name="IQ_UNREALIZED_GAIN">"c1619"</definedName>
    <definedName name="IQ_UNSECURED_DEBT">"c2548"</definedName>
    <definedName name="IQ_UNSECURED_DEBT_PCT">"c2549"</definedName>
    <definedName name="IQ_UNUSED_LOAN_COMMITMENTS_FDIC">"c6368"</definedName>
    <definedName name="IQ_UNUSUAL_EXP">"c1456"</definedName>
    <definedName name="IQ_US_BRANCHES_FOREIGN_BANK_LOANS_FDIC">"c6435"</definedName>
    <definedName name="IQ_US_BRANCHES_FOREIGN_BANKS_FDIC">"c6390"</definedName>
    <definedName name="IQ_US_GAAP">"c1331"</definedName>
    <definedName name="IQ_US_GAAP_BASIC_EPS_EXCL">"c2984"</definedName>
    <definedName name="IQ_US_GAAP_BASIC_EPS_INCL">"c2982"</definedName>
    <definedName name="IQ_US_GAAP_BASIC_WEIGHT">"c2980"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_ADJ">"c2927"</definedName>
    <definedName name="IQ_US_GAAP_COST_REV_ADJ">"c2951"</definedName>
    <definedName name="IQ_US_GAAP_DILUT_EPS_EXCL">"c2985"</definedName>
    <definedName name="IQ_US_GAAP_DILUT_EPS_INCL">"c2983"</definedName>
    <definedName name="IQ_US_GAAP_DILUT_NI">"c2979"</definedName>
    <definedName name="IQ_US_GAAP_DILUT_WEIGHT">"c2981"</definedName>
    <definedName name="IQ_US_GAAP_DO_ADJ">"c2959"</definedName>
    <definedName name="IQ_US_GAAP_EXTRA_ACC_ITEMS_ADJ">"c2958"</definedName>
    <definedName name="IQ_US_GAAP_INC_TAX_ADJ">"c2961"</definedName>
    <definedName name="IQ_US_GAAP_INTEREST_EXP_ADJ">"c2957"</definedName>
    <definedName name="IQ_US_GAAP_LIAB_LT_ADJ">"c2928"</definedName>
    <definedName name="IQ_US_GAAP_LIAB_TOTAL_LIAB">"c2933"</definedName>
    <definedName name="IQ_US_GAAP_MINORITY_INTEREST_IS_ADJ">"c2960"</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INCL">"c2978"</definedName>
    <definedName name="IQ_US_GAAP_OTHER_ADJ_ADJ">"c2962"</definedName>
    <definedName name="IQ_US_GAAP_OTHER_NON_OPER_ADJ">"c2955"</definedName>
    <definedName name="IQ_US_GAAP_OTHER_OPER_ADJ">"c2954"</definedName>
    <definedName name="IQ_US_GAAP_RD_ADJ">"c2953"</definedName>
    <definedName name="IQ_US_GAAP_SGA_ADJ">"c2952"</definedName>
    <definedName name="IQ_US_GAAP_TOTAL_ASSETS">"c2931"</definedName>
    <definedName name="IQ_US_GAAP_TOTAL_EQUITY">"c2934"</definedName>
    <definedName name="IQ_US_GAAP_TOTAL_EQUITY_ADJ">"c2929"</definedName>
    <definedName name="IQ_US_GAAP_TOTAL_REV_ADJ">"c2950"</definedName>
    <definedName name="IQ_US_GAAP_TOTAL_UNUSUAL_ADJ">"c2956"</definedName>
    <definedName name="IQ_US_GOV_AGENCIES_FDIC">"c6395"</definedName>
    <definedName name="IQ_US_GOV_DEPOSITS_FDIC">"c6483"</definedName>
    <definedName name="IQ_US_GOV_ENTERPRISES_FDIC">"c6396"</definedName>
    <definedName name="IQ_US_GOV_NONCURRENT_LOANS_TOTAL_NONCURRENT_FDIC">"c6779"</definedName>
    <definedName name="IQ_US_GOV_NONTRANSACTION_ACCOUNTS_FDIC">"c6546"</definedName>
    <definedName name="IQ_US_GOV_OBLIGATIONS_FDIC">"c6299"</definedName>
    <definedName name="IQ_US_GOV_SECURITIES_FDIC">"c6297"</definedName>
    <definedName name="IQ_US_GOV_TOTAL_DEPOSITS_FDIC">"c6472"</definedName>
    <definedName name="IQ_US_GOV_TRANSACTION_ACCOUNTS_FDIC">"c6538"</definedName>
    <definedName name="IQ_US_TREASURY_SECURITIES_FDIC">"c6298"</definedName>
    <definedName name="IQ_UTIL_PPE_NET">"c1620"</definedName>
    <definedName name="IQ_UTIL_REV">"c2091"</definedName>
    <definedName name="IQ_UV_PENSION_LIAB">"c1332"</definedName>
    <definedName name="IQ_VALUATION_ALLOWANCES_FDIC">"c6400"</definedName>
    <definedName name="IQ_VALUE_TRADED">"c1519"</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C_REVENUE_FDIC">"c6667"</definedName>
    <definedName name="IQ_VEHICLE_ASSEMBLIES_LIGHT">"c6905"</definedName>
    <definedName name="IQ_VEHICLE_ASSEMBLIES_LIGHT_APR">"c7565"</definedName>
    <definedName name="IQ_VEHICLE_ASSEMBLIES_LIGHT_APR_FC">"c8445"</definedName>
    <definedName name="IQ_VEHICLE_ASSEMBLIES_LIGHT_FC">"c7785"</definedName>
    <definedName name="IQ_VEHICLE_ASSEMBLIES_LIGHT_NEW">"c6925"</definedName>
    <definedName name="IQ_VEHICLE_ASSEMBLIES_LIGHT_NEW_APR">"c7585"</definedName>
    <definedName name="IQ_VEHICLE_ASSEMBLIES_LIGHT_NEW_APR_FC">"c8465"</definedName>
    <definedName name="IQ_VEHICLE_ASSEMBLIES_LIGHT_NEW_FC">"c7805"</definedName>
    <definedName name="IQ_VEHICLE_ASSEMBLIES_LIGHT_NEW_POP">"c7145"</definedName>
    <definedName name="IQ_VEHICLE_ASSEMBLIES_LIGHT_NEW_POP_FC">"c8025"</definedName>
    <definedName name="IQ_VEHICLE_ASSEMBLIES_LIGHT_NEW_YOY">"c7365"</definedName>
    <definedName name="IQ_VEHICLE_ASSEMBLIES_LIGHT_NEW_YOY_FC">"c8245"</definedName>
    <definedName name="IQ_VEHICLE_ASSEMBLIES_LIGHT_POP">"c7125"</definedName>
    <definedName name="IQ_VEHICLE_ASSEMBLIES_LIGHT_POP_FC">"c8005"</definedName>
    <definedName name="IQ_VEHICLE_ASSEMBLIES_LIGHT_YOY">"c7345"</definedName>
    <definedName name="IQ_VEHICLE_ASSEMBLIES_LIGHT_YOY_FC">"c8225"</definedName>
    <definedName name="IQ_VEHICLE_ASSEMBLIES_TOTAL">"c7020"</definedName>
    <definedName name="IQ_VEHICLE_ASSEMBLIES_TOTAL_APR">"c7680"</definedName>
    <definedName name="IQ_VEHICLE_ASSEMBLIES_TOTAL_APR_FC">"c8560"</definedName>
    <definedName name="IQ_VEHICLE_ASSEMBLIES_TOTAL_FC">"c7900"</definedName>
    <definedName name="IQ_VEHICLE_ASSEMBLIES_TOTAL_POP">"c7240"</definedName>
    <definedName name="IQ_VEHICLE_ASSEMBLIES_TOTAL_POP_FC">"c8120"</definedName>
    <definedName name="IQ_VEHICLE_ASSEMBLIES_TOTAL_YOY">"c7460"</definedName>
    <definedName name="IQ_VEHICLE_ASSEMBLIES_TOTAL_YOY_FC">"c8340"</definedName>
    <definedName name="IQ_VIF_AFTER_COST_CAPITAL_COVERED">"c9966"</definedName>
    <definedName name="IQ_VIF_AFTER_COST_CAPITAL_GROUP">"c9952"</definedName>
    <definedName name="IQ_VIF_BEFORE_COST_CAPITAL_COVERED">"c9964"</definedName>
    <definedName name="IQ_VIF_BEFORE_COST_CAPITAL_GROUP">"c9950"</definedName>
    <definedName name="IQ_VOL_LAST_3MTH">"c1525"</definedName>
    <definedName name="IQ_VOL_LAST_6MTH">"c1526"</definedName>
    <definedName name="IQ_VOL_LAST_MTH">"c1524"</definedName>
    <definedName name="IQ_VOL_LAST_WK">"c1523"</definedName>
    <definedName name="IQ_VOL_LAST_YR">"c1527"</definedName>
    <definedName name="IQ_VOLATILE_LIABILITIES_FDIC">"c6364"</definedName>
    <definedName name="IQ_VOLUME">"c1333"</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EK">50000</definedName>
    <definedName name="IQ_WEIGHTED_AVG_PRICE">"c1334"</definedName>
    <definedName name="IQ_WHOLESALE_INVENTORIES">"c7027"</definedName>
    <definedName name="IQ_WHOLESALE_INVENTORIES_APR">"c7687"</definedName>
    <definedName name="IQ_WHOLESALE_INVENTORIES_APR_FC">"c8567"</definedName>
    <definedName name="IQ_WHOLESALE_INVENTORIES_FC">"c7907"</definedName>
    <definedName name="IQ_WHOLESALE_INVENTORIES_POP">"c7247"</definedName>
    <definedName name="IQ_WHOLESALE_INVENTORIES_POP_FC">"c8127"</definedName>
    <definedName name="IQ_WHOLESALE_INVENTORIES_YOY">"c7467"</definedName>
    <definedName name="IQ_WHOLESALE_INVENTORIES_YOY_FC">"c8347"</definedName>
    <definedName name="IQ_WHOLESALE_IS_RATIO">"c7026"</definedName>
    <definedName name="IQ_WHOLESALE_IS_RATIO_FC">"c7906"</definedName>
    <definedName name="IQ_WHOLESALE_IS_RATIO_POP">"c7246"</definedName>
    <definedName name="IQ_WHOLESALE_IS_RATIO_POP_FC">"c8126"</definedName>
    <definedName name="IQ_WHOLESALE_IS_RATIO_YOY">"c7466"</definedName>
    <definedName name="IQ_WHOLESALE_IS_RATIO_YOY_FC">"c8346"</definedName>
    <definedName name="IQ_WHOLESALE_SALES">"c7028"</definedName>
    <definedName name="IQ_WHOLESALE_SALES_APR">"c7688"</definedName>
    <definedName name="IQ_WHOLESALE_SALES_APR_FC">"c8568"</definedName>
    <definedName name="IQ_WHOLESALE_SALES_FC">"c7908"</definedName>
    <definedName name="IQ_WHOLESALE_SALES_INDEX">"c7029"</definedName>
    <definedName name="IQ_WHOLESALE_SALES_INDEX_APR">"c7689"</definedName>
    <definedName name="IQ_WHOLESALE_SALES_INDEX_APR_FC">"c8569"</definedName>
    <definedName name="IQ_WHOLESALE_SALES_INDEX_FC">"c7909"</definedName>
    <definedName name="IQ_WHOLESALE_SALES_INDEX_POP">"c7249"</definedName>
    <definedName name="IQ_WHOLESALE_SALES_INDEX_POP_FC">"c8129"</definedName>
    <definedName name="IQ_WHOLESALE_SALES_INDEX_YOY">"c7469"</definedName>
    <definedName name="IQ_WHOLESALE_SALES_INDEX_YOY_FC">"c8349"</definedName>
    <definedName name="IQ_WHOLESALE_SALES_POP">"c7248"</definedName>
    <definedName name="IQ_WHOLESALE_SALES_POP_FC">"c8128"</definedName>
    <definedName name="IQ_WHOLESALE_SALES_YOY">"c7468"</definedName>
    <definedName name="IQ_WHOLESALE_SALES_YOY_FC">"c8348"</definedName>
    <definedName name="IQ_WIP_INV">"c1335"</definedName>
    <definedName name="IQ_WORKING_CAP">"c3494"</definedName>
    <definedName name="IQ_WORKMEN_WRITTEN">"c1336"</definedName>
    <definedName name="IQ_WRITTEN_OPTION_CONTRACTS_FDIC">"c6509"</definedName>
    <definedName name="IQ_WRITTEN_OPTION_CONTRACTS_FX_RISK_FDIC">"c6514"</definedName>
    <definedName name="IQ_WRITTEN_OPTION_CONTRACTS_NON_FX_IR_FDIC">"c6519"</definedName>
    <definedName name="IQ_XDIV_DATE">"c2104"</definedName>
    <definedName name="IQ_YEAR_FOUNDED">"c6793"</definedName>
    <definedName name="IQ_YEARHIGH">"c1337"</definedName>
    <definedName name="IQ_YEARHIGH_DATE">"c2250"</definedName>
    <definedName name="IQ_YEARLOW">"c1338"</definedName>
    <definedName name="IQ_YEARLOW_DATE">"c2251"</definedName>
    <definedName name="IQ_YTD">3000</definedName>
    <definedName name="IQ_YTDMONTH">130000</definedName>
    <definedName name="IQ_YTW">"c2163"</definedName>
    <definedName name="IQ_YTW_DATE">"c2164"</definedName>
    <definedName name="IQ_YTW_DATE_TYPE">"c2165"</definedName>
    <definedName name="IQ_Z_SCORE">"c1339"</definedName>
    <definedName name="irc" localSheetId="38">#REF!</definedName>
    <definedName name="irc" localSheetId="5">#REF!</definedName>
    <definedName name="irc" localSheetId="36">#REF!</definedName>
    <definedName name="irc" localSheetId="22">#REF!</definedName>
    <definedName name="irc" localSheetId="24">#REF!</definedName>
    <definedName name="irc">#REF!</definedName>
    <definedName name="ire" localSheetId="38">#REF!</definedName>
    <definedName name="ire" localSheetId="5">#REF!</definedName>
    <definedName name="ire" localSheetId="36">#REF!</definedName>
    <definedName name="ire" localSheetId="22">#REF!</definedName>
    <definedName name="ire" localSheetId="24">#REF!</definedName>
    <definedName name="ire">#REF!</definedName>
    <definedName name="irf" localSheetId="38">#REF!</definedName>
    <definedName name="irf" localSheetId="5">#REF!</definedName>
    <definedName name="irf" localSheetId="36">#REF!</definedName>
    <definedName name="irf" localSheetId="22">#REF!</definedName>
    <definedName name="irf" localSheetId="24">#REF!</definedName>
    <definedName name="irf">#REF!</definedName>
    <definedName name="irg" localSheetId="38">#REF!</definedName>
    <definedName name="irg" localSheetId="5">#REF!</definedName>
    <definedName name="irg" localSheetId="36">#REF!</definedName>
    <definedName name="irg" localSheetId="22">#REF!</definedName>
    <definedName name="irg" localSheetId="24">#REF!</definedName>
    <definedName name="irg">#REF!</definedName>
    <definedName name="irp" localSheetId="38">#REF!</definedName>
    <definedName name="irp" localSheetId="5">#REF!</definedName>
    <definedName name="irp" localSheetId="36">#REF!</definedName>
    <definedName name="irp" localSheetId="22">#REF!</definedName>
    <definedName name="irp" localSheetId="24">#REF!</definedName>
    <definedName name="irp">#REF!</definedName>
    <definedName name="IRR" localSheetId="5">#REF!</definedName>
    <definedName name="IRR" localSheetId="24">#REF!</definedName>
    <definedName name="IRR">#REF!</definedName>
    <definedName name="is1_" localSheetId="38">#REF!</definedName>
    <definedName name="is1_" localSheetId="5">#REF!</definedName>
    <definedName name="is1_" localSheetId="36">#REF!</definedName>
    <definedName name="is1_" localSheetId="22">#REF!</definedName>
    <definedName name="is1_" localSheetId="24">#REF!</definedName>
    <definedName name="is1_">#REF!</definedName>
    <definedName name="is2_" localSheetId="38">#REF!</definedName>
    <definedName name="is2_" localSheetId="5">#REF!</definedName>
    <definedName name="is2_" localSheetId="36">#REF!</definedName>
    <definedName name="is2_" localSheetId="22">#REF!</definedName>
    <definedName name="is2_" localSheetId="24">#REF!</definedName>
    <definedName name="is2_">#REF!</definedName>
    <definedName name="is3_" localSheetId="38">#REF!</definedName>
    <definedName name="is3_" localSheetId="5">#REF!</definedName>
    <definedName name="is3_" localSheetId="36">#REF!</definedName>
    <definedName name="is3_" localSheetId="22">#REF!</definedName>
    <definedName name="is3_" localSheetId="24">#REF!</definedName>
    <definedName name="is3_">#REF!</definedName>
    <definedName name="is4_" localSheetId="38">#REF!</definedName>
    <definedName name="is4_" localSheetId="5">#REF!</definedName>
    <definedName name="is4_" localSheetId="36">#REF!</definedName>
    <definedName name="is4_" localSheetId="22">#REF!</definedName>
    <definedName name="is4_" localSheetId="24">#REF!</definedName>
    <definedName name="is4_">#REF!</definedName>
    <definedName name="is5_" localSheetId="38">#REF!</definedName>
    <definedName name="is5_" localSheetId="5">#REF!</definedName>
    <definedName name="is5_" localSheetId="36">#REF!</definedName>
    <definedName name="is5_" localSheetId="22">#REF!</definedName>
    <definedName name="is5_" localSheetId="24">#REF!</definedName>
    <definedName name="is5_">#REF!</definedName>
    <definedName name="isb" localSheetId="38">#REF!</definedName>
    <definedName name="isb" localSheetId="5">#REF!</definedName>
    <definedName name="isb" localSheetId="36">#REF!</definedName>
    <definedName name="isb" localSheetId="22">#REF!</definedName>
    <definedName name="isb" localSheetId="24">#REF!</definedName>
    <definedName name="isb">#REF!</definedName>
    <definedName name="isc" localSheetId="38">#REF!</definedName>
    <definedName name="isc" localSheetId="5">#REF!</definedName>
    <definedName name="isc" localSheetId="36">#REF!</definedName>
    <definedName name="isc" localSheetId="22">#REF!</definedName>
    <definedName name="isc" localSheetId="24">#REF!</definedName>
    <definedName name="isc">#REF!</definedName>
    <definedName name="ise" localSheetId="38">#REF!</definedName>
    <definedName name="ise" localSheetId="5">#REF!</definedName>
    <definedName name="ise" localSheetId="36">#REF!</definedName>
    <definedName name="ise" localSheetId="22">#REF!</definedName>
    <definedName name="ise" localSheetId="24">#REF!</definedName>
    <definedName name="ise">#REF!</definedName>
    <definedName name="isf" localSheetId="38">#REF!</definedName>
    <definedName name="isf" localSheetId="5">#REF!</definedName>
    <definedName name="isf" localSheetId="36">#REF!</definedName>
    <definedName name="isf" localSheetId="22">#REF!</definedName>
    <definedName name="isf" localSheetId="24">#REF!</definedName>
    <definedName name="isf">#REF!</definedName>
    <definedName name="isl" localSheetId="38">#REF!</definedName>
    <definedName name="isl" localSheetId="5">#REF!</definedName>
    <definedName name="isl" localSheetId="36">#REF!</definedName>
    <definedName name="isl" localSheetId="22">#REF!</definedName>
    <definedName name="isl" localSheetId="24">#REF!</definedName>
    <definedName name="isl">#REF!</definedName>
    <definedName name="issue" localSheetId="5">#REF!</definedName>
    <definedName name="issue" localSheetId="22">#REF!</definedName>
    <definedName name="issue" localSheetId="24">#REF!</definedName>
    <definedName name="issue">#REF!</definedName>
    <definedName name="ist" localSheetId="38">#REF!</definedName>
    <definedName name="ist" localSheetId="5">#REF!</definedName>
    <definedName name="ist" localSheetId="36">#REF!</definedName>
    <definedName name="ist" localSheetId="22">#REF!</definedName>
    <definedName name="ist" localSheetId="24">#REF!</definedName>
    <definedName name="ist">#REF!</definedName>
    <definedName name="iub" localSheetId="38">#REF!</definedName>
    <definedName name="iub" localSheetId="5">#REF!</definedName>
    <definedName name="iub" localSheetId="36">#REF!</definedName>
    <definedName name="iub" localSheetId="22">#REF!</definedName>
    <definedName name="iub" localSheetId="24">#REF!</definedName>
    <definedName name="iub">#REF!</definedName>
    <definedName name="iue" localSheetId="38">#REF!</definedName>
    <definedName name="iue" localSheetId="5">#REF!</definedName>
    <definedName name="iue" localSheetId="36">#REF!</definedName>
    <definedName name="iue" localSheetId="22">#REF!</definedName>
    <definedName name="iue" localSheetId="24">#REF!</definedName>
    <definedName name="iue">#REF!</definedName>
    <definedName name="iueSymbol" localSheetId="38">#REF!</definedName>
    <definedName name="iueSymbol" localSheetId="5">#REF!</definedName>
    <definedName name="iueSymbol" localSheetId="36">#REF!</definedName>
    <definedName name="iueSymbol" localSheetId="22">#REF!</definedName>
    <definedName name="iueSymbol" localSheetId="24">#REF!</definedName>
    <definedName name="iueSymbol">#REF!</definedName>
    <definedName name="iun" localSheetId="38">#REF!</definedName>
    <definedName name="iun" localSheetId="5">#REF!</definedName>
    <definedName name="iun" localSheetId="36">#REF!</definedName>
    <definedName name="iun" localSheetId="22">#REF!</definedName>
    <definedName name="iun" localSheetId="24">#REF!</definedName>
    <definedName name="iun">#REF!</definedName>
    <definedName name="iunSymbol" localSheetId="38">#REF!</definedName>
    <definedName name="iunSymbol" localSheetId="5">#REF!</definedName>
    <definedName name="iunSymbol" localSheetId="36">#REF!</definedName>
    <definedName name="iunSymbol" localSheetId="22">#REF!</definedName>
    <definedName name="iunSymbol" localSheetId="24">#REF!</definedName>
    <definedName name="iunSymbol">#REF!</definedName>
    <definedName name="ius" localSheetId="38">#REF!</definedName>
    <definedName name="ius" localSheetId="5">#REF!</definedName>
    <definedName name="ius" localSheetId="36">#REF!</definedName>
    <definedName name="ius" localSheetId="22">#REF!</definedName>
    <definedName name="ius" localSheetId="24">#REF!</definedName>
    <definedName name="ius">#REF!</definedName>
    <definedName name="iusSymbol" localSheetId="38">#REF!</definedName>
    <definedName name="iusSymbol" localSheetId="5">#REF!</definedName>
    <definedName name="iusSymbol" localSheetId="36">#REF!</definedName>
    <definedName name="iusSymbol" localSheetId="22">#REF!</definedName>
    <definedName name="iusSymbol" localSheetId="24">#REF!</definedName>
    <definedName name="iusSymbol">#REF!</definedName>
    <definedName name="iva" localSheetId="38">#REF!</definedName>
    <definedName name="iva" localSheetId="5">#REF!</definedName>
    <definedName name="iva" localSheetId="36">#REF!</definedName>
    <definedName name="iva" localSheetId="22">#REF!</definedName>
    <definedName name="iva" localSheetId="24">#REF!</definedName>
    <definedName name="iva">#REF!</definedName>
    <definedName name="Japan" localSheetId="5">{"twx1",#N/A,FALSE,"twltm.xls";"twx2",#N/A,FALSE,"twltm.xls";"twx3",#N/A,FALSE,"twltm.xls"}</definedName>
    <definedName name="Japan" localSheetId="27">{"twx1",#N/A,FALSE,"twltm.xls";"twx2",#N/A,FALSE,"twltm.xls";"twx3",#N/A,FALSE,"twltm.xls"}</definedName>
    <definedName name="Japan" localSheetId="22">{"twx1",#N/A,FALSE,"twltm.xls";"twx2",#N/A,FALSE,"twltm.xls";"twx3",#N/A,FALSE,"twltm.xls"}</definedName>
    <definedName name="Japan" localSheetId="24">{"twx1",#N/A,FALSE,"twltm.xls";"twx2",#N/A,FALSE,"twltm.xls";"twx3",#N/A,FALSE,"twltm.xls"}</definedName>
    <definedName name="Japan">{"twx1",#N/A,FALSE,"twltm.xls";"twx2",#N/A,FALSE,"twltm.xls";"twx3",#N/A,FALSE,"twltm.xls"}</definedName>
    <definedName name="Japan_1">{"twx1",#N/A,FALSE,"twltm.xls";"twx2",#N/A,FALSE,"twltm.xls";"twx3",#N/A,FALSE,"twltm.xls"}</definedName>
    <definedName name="JB_ZONE">#REF!</definedName>
    <definedName name="jen" localSheetId="5">{TRUE,TRUE,-1.25,-15.5,456.75,279.75,FALSE,FALSE,TRUE,TRUE,0,1,8,1,4,6,3,4,TRUE,TRUE,3,TRUE,1,TRUE,100,"Swvu.turnover.","ACwvu.turnover.",1,FALSE,FALSE,0.511811023622047,0.511811023622047,0.511811023622047,0.511811023622047,1,"","",FALSE,FALSE,FALSE,FALSE,1,#N/A,1,1,#DIV/0!,FALSE,"Rwvu.turnover.",#N/A,FALSE,FALSE}</definedName>
    <definedName name="jen" localSheetId="27">{TRUE,TRUE,-1.25,-15.5,456.75,279.75,FALSE,FALSE,TRUE,TRUE,0,1,8,1,4,6,3,4,TRUE,TRUE,3,TRUE,1,TRUE,100,"Swvu.turnover.","ACwvu.turnover.",1,FALSE,FALSE,0.511811023622047,0.511811023622047,0.511811023622047,0.511811023622047,1,"","",FALSE,FALSE,FALSE,FALSE,1,#N/A,1,1,#DIV/0!,FALSE,"Rwvu.turnover.",#N/A,FALSE,FALSE}</definedName>
    <definedName name="jen" localSheetId="22">{TRUE,TRUE,-1.25,-15.5,456.75,279.75,FALSE,FALSE,TRUE,TRUE,0,1,8,1,4,6,3,4,TRUE,TRUE,3,TRUE,1,TRUE,100,"Swvu.turnover.","ACwvu.turnover.",1,FALSE,FALSE,0.511811023622047,0.511811023622047,0.511811023622047,0.511811023622047,1,"","",FALSE,FALSE,FALSE,FALSE,1,#N/A,1,1,#DIV/0!,FALSE,"Rwvu.turnover.",#N/A,FALSE,FALSE}</definedName>
    <definedName name="jen" localSheetId="24">{TRUE,TRUE,-1.25,-15.5,456.75,279.75,FALSE,FALSE,TRUE,TRUE,0,1,8,1,4,6,3,4,TRUE,TRUE,3,TRUE,1,TRUE,100,"Swvu.turnover.","ACwvu.turnover.",1,FALSE,FALSE,0.511811023622047,0.511811023622047,0.511811023622047,0.511811023622047,1,"","",FALSE,FALSE,FALSE,FALSE,1,#N/A,1,1,#DIV/0!,FALSE,"Rwvu.turnover.",#N/A,FALSE,FALSE}</definedName>
    <definedName name="jen">{TRUE,TRUE,-1.25,-15.5,456.75,279.75,FALSE,FALSE,TRUE,TRUE,0,1,8,1,4,6,3,4,TRUE,TRUE,3,TRUE,1,TRUE,100,"Swvu.turnover.","ACwvu.turnover.",1,FALSE,FALSE,0.511811023622047,0.511811023622047,0.511811023622047,0.511811023622047,1,"","",FALSE,FALSE,FALSE,FALSE,1,#N/A,1,1,#DIV/0!,FALSE,"Rwvu.turnover.",#N/A,FALSE,FALSE}</definedName>
    <definedName name="jen_1">{TRUE,TRUE,-1.25,-15.5,456.75,279.75,FALSE,FALSE,TRUE,TRUE,0,1,8,1,4,6,3,4,TRUE,TRUE,3,TRUE,1,TRUE,100,"Swvu.turnover.","ACwvu.turnover.",1,FALSE,FALSE,0.511811023622047,0.511811023622047,0.511811023622047,0.511811023622047,1,"","",FALSE,FALSE,FALSE,FALSE,1,#N/A,1,1,#DIV/0!,FALSE,"Rwvu.turnover.",#N/A,FALSE,FALSE}</definedName>
    <definedName name="jhiuh" localSheetId="5">{"'RCIM'!$E$128"}</definedName>
    <definedName name="jhiuh" localSheetId="27">{"'RCIM'!$E$128"}</definedName>
    <definedName name="jhiuh" localSheetId="22">{"'RCIM'!$E$128"}</definedName>
    <definedName name="jhiuh" localSheetId="24">{"'RCIM'!$E$128"}</definedName>
    <definedName name="jhiuh">{"'RCIM'!$E$128"}</definedName>
    <definedName name="jhiuh_1">{"'RCIM'!$E$128"}</definedName>
    <definedName name="Jiangxi" localSheetId="5">#REF!</definedName>
    <definedName name="Jiangxi" localSheetId="22">#REF!</definedName>
    <definedName name="Jiangxi" localSheetId="24">#REF!</definedName>
    <definedName name="Jiangxi">#REF!</definedName>
    <definedName name="Jilin" localSheetId="5">#REF!</definedName>
    <definedName name="Jilin" localSheetId="22">#REF!</definedName>
    <definedName name="Jilin" localSheetId="24">#REF!</definedName>
    <definedName name="Jilin">#REF!</definedName>
    <definedName name="joimnf" localSheetId="5">{"'RCIM'!$E$128"}</definedName>
    <definedName name="joimnf" localSheetId="27">{"'RCIM'!$E$128"}</definedName>
    <definedName name="joimnf" localSheetId="22">{"'RCIM'!$E$128"}</definedName>
    <definedName name="joimnf" localSheetId="24">{"'RCIM'!$E$128"}</definedName>
    <definedName name="joimnf">{"'RCIM'!$E$128"}</definedName>
    <definedName name="joimnf_1">{"'RCIM'!$E$128"}</definedName>
    <definedName name="just" localSheetId="5">{7}</definedName>
    <definedName name="just" localSheetId="7">{7}</definedName>
    <definedName name="just" localSheetId="20">{7}</definedName>
    <definedName name="just" localSheetId="18">{7}</definedName>
    <definedName name="just" localSheetId="23">{7}</definedName>
    <definedName name="just" localSheetId="34">{7}</definedName>
    <definedName name="just" localSheetId="27">{7}</definedName>
    <definedName name="just" localSheetId="32">{7}</definedName>
    <definedName name="just" localSheetId="22">{7}</definedName>
    <definedName name="just" localSheetId="24">{7}</definedName>
    <definedName name="just">{7}</definedName>
    <definedName name="just_1">{7}</definedName>
    <definedName name="klklklkl" localSheetId="5">{#N/A,#N/A,FALSE,"Index";"Stmts_Qtrs",#N/A,FALSE,"Summary";"Stmts_24 mo",#N/A,FALSE,"Summary";"Summary_24",#N/A,FALSE,"Revenue";"Month_24",#N/A,FALSE,"Engineering";"Month_24",#N/A,FALSE,"Marketing";"Month_24",#N/A,FALSE,"G &amp; A";"Month_24",#N/A,FALSE,"Manufacturing"}</definedName>
    <definedName name="klklklkl" localSheetId="27">{#N/A,#N/A,FALSE,"Index";"Stmts_Qtrs",#N/A,FALSE,"Summary";"Stmts_24 mo",#N/A,FALSE,"Summary";"Summary_24",#N/A,FALSE,"Revenue";"Month_24",#N/A,FALSE,"Engineering";"Month_24",#N/A,FALSE,"Marketing";"Month_24",#N/A,FALSE,"G &amp; A";"Month_24",#N/A,FALSE,"Manufacturing"}</definedName>
    <definedName name="klklklkl" localSheetId="22">{#N/A,#N/A,FALSE,"Index";"Stmts_Qtrs",#N/A,FALSE,"Summary";"Stmts_24 mo",#N/A,FALSE,"Summary";"Summary_24",#N/A,FALSE,"Revenue";"Month_24",#N/A,FALSE,"Engineering";"Month_24",#N/A,FALSE,"Marketing";"Month_24",#N/A,FALSE,"G &amp; A";"Month_24",#N/A,FALSE,"Manufacturing"}</definedName>
    <definedName name="klklklkl" localSheetId="24">{#N/A,#N/A,FALSE,"Index";"Stmts_Qtrs",#N/A,FALSE,"Summary";"Stmts_24 mo",#N/A,FALSE,"Summary";"Summary_24",#N/A,FALSE,"Revenue";"Month_24",#N/A,FALSE,"Engineering";"Month_24",#N/A,FALSE,"Marketing";"Month_24",#N/A,FALSE,"G &amp; A";"Month_24",#N/A,FALSE,"Manufacturing"}</definedName>
    <definedName name="klklklkl">{#N/A,#N/A,FALSE,"Index";"Stmts_Qtrs",#N/A,FALSE,"Summary";"Stmts_24 mo",#N/A,FALSE,"Summary";"Summary_24",#N/A,FALSE,"Revenue";"Month_24",#N/A,FALSE,"Engineering";"Month_24",#N/A,FALSE,"Marketing";"Month_24",#N/A,FALSE,"G &amp; A";"Month_24",#N/A,FALSE,"Manufacturing"}</definedName>
    <definedName name="klklklkl_1">{#N/A,#N/A,FALSE,"Index";"Stmts_Qtrs",#N/A,FALSE,"Summary";"Stmts_24 mo",#N/A,FALSE,"Summary";"Summary_24",#N/A,FALSE,"Revenue";"Month_24",#N/A,FALSE,"Engineering";"Month_24",#N/A,FALSE,"Marketing";"Month_24",#N/A,FALSE,"G &amp; A";"Month_24",#N/A,FALSE,"Manufacturing"}</definedName>
    <definedName name="kw" localSheetId="5">{"fdsup://Directions/FactSet Auditing Viewer?action=AUDIT_VALUE&amp;DB=129&amp;ID1=03783310&amp;VALUEID=02001&amp;SDATE=2009&amp;PERIODTYPE=ANN_STD&amp;window=popup_no_bar&amp;width=385&amp;height=120&amp;START_MAXIMIZED=FALSE&amp;creator=factset&amp;display_string=Audit"}</definedName>
    <definedName name="kw" localSheetId="27">{"fdsup://Directions/FactSet Auditing Viewer?action=AUDIT_VALUE&amp;DB=129&amp;ID1=03783310&amp;VALUEID=02001&amp;SDATE=2009&amp;PERIODTYPE=ANN_STD&amp;window=popup_no_bar&amp;width=385&amp;height=120&amp;START_MAXIMIZED=FALSE&amp;creator=factset&amp;display_string=Audit"}</definedName>
    <definedName name="kw" localSheetId="22">{"fdsup://Directions/FactSet Auditing Viewer?action=AUDIT_VALUE&amp;DB=129&amp;ID1=03783310&amp;VALUEID=02001&amp;SDATE=2009&amp;PERIODTYPE=ANN_STD&amp;window=popup_no_bar&amp;width=385&amp;height=120&amp;START_MAXIMIZED=FALSE&amp;creator=factset&amp;display_string=Audit"}</definedName>
    <definedName name="kw" localSheetId="24">{"fdsup://Directions/FactSet Auditing Viewer?action=AUDIT_VALUE&amp;DB=129&amp;ID1=03783310&amp;VALUEID=02001&amp;SDATE=2009&amp;PERIODTYPE=ANN_STD&amp;window=popup_no_bar&amp;width=385&amp;height=120&amp;START_MAXIMIZED=FALSE&amp;creator=factset&amp;display_string=Audit"}</definedName>
    <definedName name="kw">{"fdsup://Directions/FactSet Auditing Viewer?action=AUDIT_VALUE&amp;DB=129&amp;ID1=03783310&amp;VALUEID=02001&amp;SDATE=2009&amp;PERIODTYPE=ANN_STD&amp;window=popup_no_bar&amp;width=385&amp;height=120&amp;START_MAXIMIZED=FALSE&amp;creator=factset&amp;display_string=Audit"}</definedName>
    <definedName name="kw_1">{"fdsup://Directions/FactSet Auditing Viewer?action=AUDIT_VALUE&amp;DB=129&amp;ID1=03783310&amp;VALUEID=02001&amp;SDATE=2009&amp;PERIODTYPE=ANN_STD&amp;window=popup_no_bar&amp;width=385&amp;height=120&amp;START_MAXIMIZED=FALSE&amp;creator=factset&amp;display_string=Audit"}</definedName>
    <definedName name="Last_BS">#REF!</definedName>
    <definedName name="Last_Update" localSheetId="5">#REF!</definedName>
    <definedName name="Last_Update" localSheetId="24">#REF!</definedName>
    <definedName name="Last_Update">#REF!</definedName>
    <definedName name="last93" localSheetId="5">#REF!</definedName>
    <definedName name="last93">#REF!</definedName>
    <definedName name="last94" localSheetId="5">#REF!</definedName>
    <definedName name="last94">#REF!</definedName>
    <definedName name="last95" localSheetId="5">#REF!</definedName>
    <definedName name="last95">#REF!</definedName>
    <definedName name="last96" localSheetId="5">#REF!</definedName>
    <definedName name="last96">#REF!</definedName>
    <definedName name="last97" localSheetId="5">#REF!</definedName>
    <definedName name="last97">#REF!</definedName>
    <definedName name="last98" localSheetId="5">#REF!</definedName>
    <definedName name="last98">#REF!</definedName>
    <definedName name="Leverage">#REF!</definedName>
    <definedName name="LiabilitiesCurrentAccruedLiabilities">0</definedName>
    <definedName name="LiabilitiesCurrentNotesPayable">0</definedName>
    <definedName name="LiabilitiesDeferredIncomeTaxes">0</definedName>
    <definedName name="LiabilitiesOther">0</definedName>
    <definedName name="LiabilitiesUnamortizedInvestmentTaxCredits">0</definedName>
    <definedName name="limcount">1</definedName>
    <definedName name="Linking_Range_3">#REF!</definedName>
    <definedName name="Linking_Range_5">#REF!</definedName>
    <definedName name="Links" localSheetId="5">#REF!</definedName>
    <definedName name="Links" localSheetId="24">#REF!</definedName>
    <definedName name="Links">#REF!</definedName>
    <definedName name="Liquidity">#REF!</definedName>
    <definedName name="LiveReqs" localSheetId="5">#REF!</definedName>
    <definedName name="LiveReqs" localSheetId="24">#REF!</definedName>
    <definedName name="LiveReqs">#REF!</definedName>
    <definedName name="loan_growth" localSheetId="5">#REF!</definedName>
    <definedName name="loan_growth">#REF!</definedName>
    <definedName name="m" localSheetId="5">#REF!</definedName>
    <definedName name="m">#REF!</definedName>
    <definedName name="Malaysia">#REF!</definedName>
    <definedName name="maojh" localSheetId="5">#REF!</definedName>
    <definedName name="maojh">#REF!</definedName>
    <definedName name="Margin" localSheetId="5">#REF!</definedName>
    <definedName name="Margin">#REF!</definedName>
    <definedName name="MemFree" localSheetId="5">#REF!</definedName>
    <definedName name="MemFree" localSheetId="24">#REF!</definedName>
    <definedName name="MemFree">#REF!</definedName>
    <definedName name="MemTotal" localSheetId="5">#REF!</definedName>
    <definedName name="MemTotal" localSheetId="24">#REF!</definedName>
    <definedName name="MemTotal">#REF!</definedName>
    <definedName name="METRIC_PRICE_TARGET">#REF!</definedName>
    <definedName name="mfpoerjf" localSheetId="5">{"'RCIM'!$E$128"}</definedName>
    <definedName name="mfpoerjf" localSheetId="27">{"'RCIM'!$E$128"}</definedName>
    <definedName name="mfpoerjf" localSheetId="22">{"'RCIM'!$E$128"}</definedName>
    <definedName name="mfpoerjf" localSheetId="24">{"'RCIM'!$E$128"}</definedName>
    <definedName name="mfpoerjf">{"'RCIM'!$E$128"}</definedName>
    <definedName name="mfpoerjf_1">{"'RCIM'!$E$128"}</definedName>
    <definedName name="Midland">#REF!</definedName>
    <definedName name="mil">1000000</definedName>
    <definedName name="misc">1</definedName>
    <definedName name="misc2">1</definedName>
    <definedName name="MktList">#REF!</definedName>
    <definedName name="ML_3y1j4m2m" localSheetId="5">#REF!</definedName>
    <definedName name="ML_3y1j4m2m" localSheetId="22">#REF!</definedName>
    <definedName name="ML_3y1j4m2m" localSheetId="24">#REF!</definedName>
    <definedName name="ML_3y1j4m2m">#REF!</definedName>
    <definedName name="mmmmm" localSheetId="5">{#N/A,#N/A,FALSE,"Cover";#N/A,#N/A,FALSE,"LUMI";#N/A,#N/A,FALSE,"COMD";#N/A,#N/A,FALSE,"Valuation";#N/A,#N/A,FALSE,"Assumptions";#N/A,#N/A,FALSE,"Pooling";#N/A,#N/A,FALSE,"BalanceSheet"}</definedName>
    <definedName name="mmmmm" localSheetId="27">{#N/A,#N/A,FALSE,"Cover";#N/A,#N/A,FALSE,"LUMI";#N/A,#N/A,FALSE,"COMD";#N/A,#N/A,FALSE,"Valuation";#N/A,#N/A,FALSE,"Assumptions";#N/A,#N/A,FALSE,"Pooling";#N/A,#N/A,FALSE,"BalanceSheet"}</definedName>
    <definedName name="mmmmm" localSheetId="22">{#N/A,#N/A,FALSE,"Cover";#N/A,#N/A,FALSE,"LUMI";#N/A,#N/A,FALSE,"COMD";#N/A,#N/A,FALSE,"Valuation";#N/A,#N/A,FALSE,"Assumptions";#N/A,#N/A,FALSE,"Pooling";#N/A,#N/A,FALSE,"BalanceSheet"}</definedName>
    <definedName name="mmmmm" localSheetId="24">{#N/A,#N/A,FALSE,"Cover";#N/A,#N/A,FALSE,"LUMI";#N/A,#N/A,FALSE,"COMD";#N/A,#N/A,FALSE,"Valuation";#N/A,#N/A,FALSE,"Assumptions";#N/A,#N/A,FALSE,"Pooling";#N/A,#N/A,FALSE,"BalanceSheet"}</definedName>
    <definedName name="mmmmm">{#N/A,#N/A,FALSE,"Cover";#N/A,#N/A,FALSE,"LUMI";#N/A,#N/A,FALSE,"COMD";#N/A,#N/A,FALSE,"Valuation";#N/A,#N/A,FALSE,"Assumptions";#N/A,#N/A,FALSE,"Pooling";#N/A,#N/A,FALSE,"BalanceSheet"}</definedName>
    <definedName name="mmmmm_1">{#N/A,#N/A,FALSE,"Cover";#N/A,#N/A,FALSE,"LUMI";#N/A,#N/A,FALSE,"COMD";#N/A,#N/A,FALSE,"Valuation";#N/A,#N/A,FALSE,"Assumptions";#N/A,#N/A,FALSE,"Pooling";#N/A,#N/A,FALSE,"BalanceSheet"}</definedName>
    <definedName name="model_case" localSheetId="5">#REF!</definedName>
    <definedName name="model_case">#REF!</definedName>
    <definedName name="MonitorCol">1</definedName>
    <definedName name="MonitorRow">1</definedName>
    <definedName name="monthly1" localSheetId="5">#REF!</definedName>
    <definedName name="monthly1">#REF!</definedName>
    <definedName name="monthly2" localSheetId="5">#REF!</definedName>
    <definedName name="monthly2" localSheetId="24">#REF!</definedName>
    <definedName name="monthly2">#REF!</definedName>
    <definedName name="mvropemld" localSheetId="5">{"'RCIM'!$E$128"}</definedName>
    <definedName name="mvropemld" localSheetId="27">{"'RCIM'!$E$128"}</definedName>
    <definedName name="mvropemld" localSheetId="22">{"'RCIM'!$E$128"}</definedName>
    <definedName name="mvropemld" localSheetId="24">{"'RCIM'!$E$128"}</definedName>
    <definedName name="mvropemld">{"'RCIM'!$E$128"}</definedName>
    <definedName name="mvropemld_1">{"'RCIM'!$E$128"}</definedName>
    <definedName name="nas" localSheetId="38">#REF!</definedName>
    <definedName name="nas" localSheetId="5">#REF!</definedName>
    <definedName name="nas" localSheetId="39">#REF!</definedName>
    <definedName name="nas" localSheetId="36">#REF!</definedName>
    <definedName name="nas" localSheetId="22">#REF!</definedName>
    <definedName name="nas" localSheetId="24">#REF!</definedName>
    <definedName name="nas">#REF!</definedName>
    <definedName name="nbd" localSheetId="38">#REF!</definedName>
    <definedName name="nbd" localSheetId="5">#REF!</definedName>
    <definedName name="nbd" localSheetId="39">#REF!</definedName>
    <definedName name="nbd" localSheetId="36">#REF!</definedName>
    <definedName name="nbd" localSheetId="22">#REF!</definedName>
    <definedName name="nbd" localSheetId="24">#REF!</definedName>
    <definedName name="nbd">#REF!</definedName>
    <definedName name="nbn" localSheetId="38">#REF!</definedName>
    <definedName name="nbn" localSheetId="5">#REF!</definedName>
    <definedName name="nbn" localSheetId="36">#REF!</definedName>
    <definedName name="nbn" localSheetId="22">#REF!</definedName>
    <definedName name="nbn" localSheetId="24">#REF!</definedName>
    <definedName name="nbn">#REF!</definedName>
    <definedName name="ncowe" localSheetId="5">{"'RCIM'!$E$128"}</definedName>
    <definedName name="ncowe" localSheetId="27">{"'RCIM'!$E$128"}</definedName>
    <definedName name="ncowe" localSheetId="22">{"'RCIM'!$E$128"}</definedName>
    <definedName name="ncowe" localSheetId="24">{"'RCIM'!$E$128"}</definedName>
    <definedName name="ncowe">{"'RCIM'!$E$128"}</definedName>
    <definedName name="ncowe_1">{"'RCIM'!$E$128"}</definedName>
    <definedName name="Net_income__loss">#REF!</definedName>
    <definedName name="netdebt98">#REF!</definedName>
    <definedName name="netdebt99">#REF!</definedName>
    <definedName name="NetinterestMargin">#REF!</definedName>
    <definedName name="New" localSheetId="5">{"twx1",#N/A,FALSE,"twltm.xls";"twx2",#N/A,FALSE,"twltm.xls";"twx3",#N/A,FALSE,"twltm.xls"}</definedName>
    <definedName name="New" localSheetId="27">{"twx1",#N/A,FALSE,"twltm.xls";"twx2",#N/A,FALSE,"twltm.xls";"twx3",#N/A,FALSE,"twltm.xls"}</definedName>
    <definedName name="New" localSheetId="22">{"twx1",#N/A,FALSE,"twltm.xls";"twx2",#N/A,FALSE,"twltm.xls";"twx3",#N/A,FALSE,"twltm.xls"}</definedName>
    <definedName name="New" localSheetId="24">{"twx1",#N/A,FALSE,"twltm.xls";"twx2",#N/A,FALSE,"twltm.xls";"twx3",#N/A,FALSE,"twltm.xls"}</definedName>
    <definedName name="New">{"twx1",#N/A,FALSE,"twltm.xls";"twx2",#N/A,FALSE,"twltm.xls";"twx3",#N/A,FALSE,"twltm.xls"}</definedName>
    <definedName name="New_1">{"twx1",#N/A,FALSE,"twltm.xls";"twx2",#N/A,FALSE,"twltm.xls";"twx3",#N/A,FALSE,"twltm.xls"}</definedName>
    <definedName name="Newer" localSheetId="5">{"'Segment'!$A$1:$J$45"}</definedName>
    <definedName name="Newer" localSheetId="27">{"'Segment'!$A$1:$J$45"}</definedName>
    <definedName name="Newer" localSheetId="22">{"'Segment'!$A$1:$J$45"}</definedName>
    <definedName name="Newer" localSheetId="24">{"'Segment'!$A$1:$J$45"}</definedName>
    <definedName name="Newer">{"'Segment'!$A$1:$J$45"}</definedName>
    <definedName name="Newer_1">{"'Segment'!$A$1:$J$45"}</definedName>
    <definedName name="nmnmm" localSheetId="5">{#N/A,#N/A,FALSE,"Index";"Stmts_Qtrs",#N/A,FALSE,"Summary";"Stmts_24 mo",#N/A,FALSE,"Summary";"Summary_24",#N/A,FALSE,"Revenue";"Month_24",#N/A,FALSE,"Engineering";"Month_24",#N/A,FALSE,"Marketing";"Month_24",#N/A,FALSE,"G &amp; A";"Month_24",#N/A,FALSE,"Manufacturing"}</definedName>
    <definedName name="nmnmm" localSheetId="27">{#N/A,#N/A,FALSE,"Index";"Stmts_Qtrs",#N/A,FALSE,"Summary";"Stmts_24 mo",#N/A,FALSE,"Summary";"Summary_24",#N/A,FALSE,"Revenue";"Month_24",#N/A,FALSE,"Engineering";"Month_24",#N/A,FALSE,"Marketing";"Month_24",#N/A,FALSE,"G &amp; A";"Month_24",#N/A,FALSE,"Manufacturing"}</definedName>
    <definedName name="nmnmm" localSheetId="22">{#N/A,#N/A,FALSE,"Index";"Stmts_Qtrs",#N/A,FALSE,"Summary";"Stmts_24 mo",#N/A,FALSE,"Summary";"Summary_24",#N/A,FALSE,"Revenue";"Month_24",#N/A,FALSE,"Engineering";"Month_24",#N/A,FALSE,"Marketing";"Month_24",#N/A,FALSE,"G &amp; A";"Month_24",#N/A,FALSE,"Manufacturing"}</definedName>
    <definedName name="nmnmm" localSheetId="24">{#N/A,#N/A,FALSE,"Index";"Stmts_Qtrs",#N/A,FALSE,"Summary";"Stmts_24 mo",#N/A,FALSE,"Summary";"Summary_24",#N/A,FALSE,"Revenue";"Month_24",#N/A,FALSE,"Engineering";"Month_24",#N/A,FALSE,"Marketing";"Month_24",#N/A,FALSE,"G &amp; A";"Month_24",#N/A,FALSE,"Manufacturing"}</definedName>
    <definedName name="nmnmm">{#N/A,#N/A,FALSE,"Index";"Stmts_Qtrs",#N/A,FALSE,"Summary";"Stmts_24 mo",#N/A,FALSE,"Summary";"Summary_24",#N/A,FALSE,"Revenue";"Month_24",#N/A,FALSE,"Engineering";"Month_24",#N/A,FALSE,"Marketing";"Month_24",#N/A,FALSE,"G &amp; A";"Month_24",#N/A,FALSE,"Manufacturing"}</definedName>
    <definedName name="nmnmm_1">{#N/A,#N/A,FALSE,"Index";"Stmts_Qtrs",#N/A,FALSE,"Summary";"Stmts_24 mo",#N/A,FALSE,"Summary";"Summary_24",#N/A,FALSE,"Revenue";"Month_24",#N/A,FALSE,"Engineering";"Month_24",#N/A,FALSE,"Marketing";"Month_24",#N/A,FALSE,"G &amp; A";"Month_24",#N/A,FALSE,"Manufacturing"}</definedName>
    <definedName name="NO_YEARS" localSheetId="38">Summary!#REF!</definedName>
    <definedName name="NO_YEARS" localSheetId="5">Summary!#REF!</definedName>
    <definedName name="NO_YEARS" localSheetId="39">Summary!#REF!</definedName>
    <definedName name="NO_YEARS" localSheetId="36">Summary!#REF!</definedName>
    <definedName name="NO_YEARS">Summary!#REF!</definedName>
    <definedName name="Normalized_Income_Statement">"IS_Annual"</definedName>
    <definedName name="NvsASD">"V2000-09-08"</definedName>
    <definedName name="NvsAutoDrillOk">"VN"</definedName>
    <definedName name="NvsElapsedTime">0.000234143517445773</definedName>
    <definedName name="NvsEndTime">36707.2948738426</definedName>
    <definedName name="NvsInstSpec">"%,FMI_ALT_BU,TCA_ALTBU_CORPS,NCONSOLIDATING"</definedName>
    <definedName name="NvsLayoutType">"M3"</definedName>
    <definedName name="NvsNplSpec">"%,X,RZF..,CZF.."</definedName>
    <definedName name="NvsPanelEffdt">"V9999-01-01"</definedName>
    <definedName name="NvsPanelSetid">"VMIDIV"</definedName>
    <definedName name="NvsReqBU">"V52"</definedName>
    <definedName name="NvsReqBUOnly">"VN"</definedName>
    <definedName name="NvsTransLed">"VN"</definedName>
    <definedName name="NvsTreeASD">"V2000-09-08"</definedName>
    <definedName name="NvsValTbl.PRODUCT">"MI_GL_PRODCT_VW"</definedName>
    <definedName name="OBS" localSheetId="38">#REF!</definedName>
    <definedName name="OBS" localSheetId="5">#REF!</definedName>
    <definedName name="OBS" localSheetId="36">#REF!</definedName>
    <definedName name="OBS" localSheetId="22">#REF!</definedName>
    <definedName name="OBS" localSheetId="24">#REF!</definedName>
    <definedName name="OBS">#REF!</definedName>
    <definedName name="offpr" localSheetId="5">#REF!</definedName>
    <definedName name="offpr">#REF!</definedName>
    <definedName name="OK" localSheetId="5">{#N/A,#N/A,FALSE,"Cover";#N/A,#N/A,FALSE,"LUMI";#N/A,#N/A,FALSE,"COMD";#N/A,#N/A,FALSE,"Valuation";#N/A,#N/A,FALSE,"Assumptions";#N/A,#N/A,FALSE,"Pooling";#N/A,#N/A,FALSE,"BalanceSheet"}</definedName>
    <definedName name="OK" localSheetId="27">{#N/A,#N/A,FALSE,"Cover";#N/A,#N/A,FALSE,"LUMI";#N/A,#N/A,FALSE,"COMD";#N/A,#N/A,FALSE,"Valuation";#N/A,#N/A,FALSE,"Assumptions";#N/A,#N/A,FALSE,"Pooling";#N/A,#N/A,FALSE,"BalanceSheet"}</definedName>
    <definedName name="OK" localSheetId="22">{#N/A,#N/A,FALSE,"Cover";#N/A,#N/A,FALSE,"LUMI";#N/A,#N/A,FALSE,"COMD";#N/A,#N/A,FALSE,"Valuation";#N/A,#N/A,FALSE,"Assumptions";#N/A,#N/A,FALSE,"Pooling";#N/A,#N/A,FALSE,"BalanceSheet"}</definedName>
    <definedName name="OK" localSheetId="24">{#N/A,#N/A,FALSE,"Cover";#N/A,#N/A,FALSE,"LUMI";#N/A,#N/A,FALSE,"COMD";#N/A,#N/A,FALSE,"Valuation";#N/A,#N/A,FALSE,"Assumptions";#N/A,#N/A,FALSE,"Pooling";#N/A,#N/A,FALSE,"BalanceSheet"}</definedName>
    <definedName name="OK">{#N/A,#N/A,FALSE,"Cover";#N/A,#N/A,FALSE,"LUMI";#N/A,#N/A,FALSE,"COMD";#N/A,#N/A,FALSE,"Valuation";#N/A,#N/A,FALSE,"Assumptions";#N/A,#N/A,FALSE,"Pooling";#N/A,#N/A,FALSE,"BalanceSheet"}</definedName>
    <definedName name="OK_1">{#N/A,#N/A,FALSE,"Cover";#N/A,#N/A,FALSE,"LUMI";#N/A,#N/A,FALSE,"COMD";#N/A,#N/A,FALSE,"Valuation";#N/A,#N/A,FALSE,"Assumptions";#N/A,#N/A,FALSE,"Pooling";#N/A,#N/A,FALSE,"BalanceSheet"}</definedName>
    <definedName name="OneOff">#REF!</definedName>
    <definedName name="Operating_expenses">#REF!</definedName>
    <definedName name="Operating_Sys" localSheetId="5">#REF!</definedName>
    <definedName name="Operating_Sys" localSheetId="24">#REF!</definedName>
    <definedName name="Operating_Sys">#REF!</definedName>
    <definedName name="OperatingMargin">#REF!</definedName>
    <definedName name="OpExAmortization">0</definedName>
    <definedName name="OpExBeforeDepreciationAmortizationExtraordinariesOther">0</definedName>
    <definedName name="OpExBeforeDepreciationAmortizationExtraordinariesTotal">0</definedName>
    <definedName name="OpExCostOfEquipment">0</definedName>
    <definedName name="OpExDepreciation">0</definedName>
    <definedName name="OpExGeneralAdministrative">0</definedName>
    <definedName name="OpExSellingMarketing">0</definedName>
    <definedName name="OpExTotal">0</definedName>
    <definedName name="Other_income__expense">#REF!</definedName>
    <definedName name="OtherExEquityIncome">0</definedName>
    <definedName name="OtherExGainOnSale">0</definedName>
    <definedName name="OtherExInterestIncome">0</definedName>
    <definedName name="OtherExMinorityInterest">0</definedName>
    <definedName name="OtherExTotal">0</definedName>
    <definedName name="page1" localSheetId="38">#REF!</definedName>
    <definedName name="page1" localSheetId="5">#REF!</definedName>
    <definedName name="page1" localSheetId="39">#REF!</definedName>
    <definedName name="page1" localSheetId="36">#REF!</definedName>
    <definedName name="page1" localSheetId="22">#REF!</definedName>
    <definedName name="page1" localSheetId="24">#REF!</definedName>
    <definedName name="page1">#REF!</definedName>
    <definedName name="page2" localSheetId="38">#REF!</definedName>
    <definedName name="page2" localSheetId="5">#REF!</definedName>
    <definedName name="page2" localSheetId="39">#REF!</definedName>
    <definedName name="page2" localSheetId="36">#REF!</definedName>
    <definedName name="page2" localSheetId="22">#REF!</definedName>
    <definedName name="page2" localSheetId="24">#REF!</definedName>
    <definedName name="page2">#REF!</definedName>
    <definedName name="pai" localSheetId="38">#REF!</definedName>
    <definedName name="pai" localSheetId="5">#REF!</definedName>
    <definedName name="pai" localSheetId="39">#REF!</definedName>
    <definedName name="pai" localSheetId="36">#REF!</definedName>
    <definedName name="pai" localSheetId="22">#REF!</definedName>
    <definedName name="pai" localSheetId="24">#REF!</definedName>
    <definedName name="pai">#REF!</definedName>
    <definedName name="pco" localSheetId="38">#REF!</definedName>
    <definedName name="pco" localSheetId="5">#REF!</definedName>
    <definedName name="pco" localSheetId="39">#REF!</definedName>
    <definedName name="pco" localSheetId="36">#REF!</definedName>
    <definedName name="pco" localSheetId="22">#REF!</definedName>
    <definedName name="pco" localSheetId="24">#REF!</definedName>
    <definedName name="pco">#REF!</definedName>
    <definedName name="Pdate">35902</definedName>
    <definedName name="pdp" localSheetId="38">#REF!</definedName>
    <definedName name="pdp" localSheetId="5">#REF!</definedName>
    <definedName name="pdp" localSheetId="39">#REF!</definedName>
    <definedName name="pdp" localSheetId="36">#REF!</definedName>
    <definedName name="pdp" localSheetId="22">#REF!</definedName>
    <definedName name="pdp" localSheetId="24">#REF!</definedName>
    <definedName name="pdp">#REF!</definedName>
    <definedName name="peb" localSheetId="38">#REF!</definedName>
    <definedName name="peb" localSheetId="5">#REF!</definedName>
    <definedName name="peb" localSheetId="39">#REF!</definedName>
    <definedName name="peb" localSheetId="36">#REF!</definedName>
    <definedName name="peb" localSheetId="22">#REF!</definedName>
    <definedName name="peb" localSheetId="24">#REF!</definedName>
    <definedName name="peb">#REF!</definedName>
    <definedName name="pei" localSheetId="38">#REF!</definedName>
    <definedName name="pei" localSheetId="5">#REF!</definedName>
    <definedName name="pei" localSheetId="39">#REF!</definedName>
    <definedName name="pei" localSheetId="36">#REF!</definedName>
    <definedName name="pei" localSheetId="22">#REF!</definedName>
    <definedName name="pei" localSheetId="24">#REF!</definedName>
    <definedName name="pei">#REF!</definedName>
    <definedName name="perc" localSheetId="5">{"0.85","0.875","0.9","0.925","0.95","0.975","1","1.025","1.05","1.075","1.1","1.125","1.15"}</definedName>
    <definedName name="perc" localSheetId="27">{"0.85","0.875","0.9","0.925","0.95","0.975","1","1.025","1.05","1.075","1.1","1.125","1.15"}</definedName>
    <definedName name="perc" localSheetId="22">{"0.85","0.875","0.9","0.925","0.95","0.975","1","1.025","1.05","1.075","1.1","1.125","1.15"}</definedName>
    <definedName name="perc" localSheetId="24">{"0.85","0.875","0.9","0.925","0.95","0.975","1","1.025","1.05","1.075","1.1","1.125","1.15"}</definedName>
    <definedName name="perc">{"0.85","0.875","0.9","0.925","0.95","0.975","1","1.025","1.05","1.075","1.1","1.125","1.15"}</definedName>
    <definedName name="perc_1">{"0.85","0.875","0.9","0.925","0.95","0.975","1","1.025","1.05","1.075","1.1","1.125","1.15"}</definedName>
    <definedName name="PERPETUAL_GROWTH" localSheetId="5">#REF!</definedName>
    <definedName name="PERPETUAL_GROWTH">#REF!</definedName>
    <definedName name="PERPETUAL_GROWTH1" localSheetId="5">#REF!</definedName>
    <definedName name="PERPETUAL_GROWTH1" localSheetId="24">#REF!</definedName>
    <definedName name="PERPETUAL_GROWTH1">#REF!</definedName>
    <definedName name="pet" localSheetId="38">#REF!</definedName>
    <definedName name="pet" localSheetId="5">#REF!</definedName>
    <definedName name="pet" localSheetId="39">#REF!</definedName>
    <definedName name="pet" localSheetId="36">#REF!</definedName>
    <definedName name="pet" localSheetId="22">#REF!</definedName>
    <definedName name="pet" localSheetId="24">#REF!</definedName>
    <definedName name="pet">#REF!</definedName>
    <definedName name="pfx" localSheetId="38">#REF!</definedName>
    <definedName name="pfx" localSheetId="5">#REF!</definedName>
    <definedName name="pfx" localSheetId="39">#REF!</definedName>
    <definedName name="pfx" localSheetId="36">#REF!</definedName>
    <definedName name="pfx" localSheetId="22">#REF!</definedName>
    <definedName name="pfx" localSheetId="24">#REF!</definedName>
    <definedName name="pfx">#REF!</definedName>
    <definedName name="pga" localSheetId="38">#REF!</definedName>
    <definedName name="pga" localSheetId="5">#REF!</definedName>
    <definedName name="pga" localSheetId="39">#REF!</definedName>
    <definedName name="pga" localSheetId="36">#REF!</definedName>
    <definedName name="pga" localSheetId="22">#REF!</definedName>
    <definedName name="pga" localSheetId="24">#REF!</definedName>
    <definedName name="pga">#REF!</definedName>
    <definedName name="pgp" localSheetId="38">#REF!</definedName>
    <definedName name="pgp" localSheetId="5">#REF!</definedName>
    <definedName name="pgp" localSheetId="39">#REF!</definedName>
    <definedName name="pgp" localSheetId="36">#REF!</definedName>
    <definedName name="pgp" localSheetId="22">#REF!</definedName>
    <definedName name="pgp" localSheetId="24">#REF!</definedName>
    <definedName name="pgp">#REF!</definedName>
    <definedName name="pie" localSheetId="38">#REF!</definedName>
    <definedName name="pie" localSheetId="5">#REF!</definedName>
    <definedName name="pie" localSheetId="39">#REF!</definedName>
    <definedName name="pie" localSheetId="36">#REF!</definedName>
    <definedName name="pie" localSheetId="22">#REF!</definedName>
    <definedName name="pie" localSheetId="24">#REF!</definedName>
    <definedName name="pie">#REF!</definedName>
    <definedName name="pii" localSheetId="38">#REF!</definedName>
    <definedName name="pii" localSheetId="5">#REF!</definedName>
    <definedName name="pii" localSheetId="39">#REF!</definedName>
    <definedName name="pii" localSheetId="36">#REF!</definedName>
    <definedName name="pii" localSheetId="22">#REF!</definedName>
    <definedName name="pii" localSheetId="24">#REF!</definedName>
    <definedName name="pii">#REF!</definedName>
    <definedName name="pin" localSheetId="38">#REF!</definedName>
    <definedName name="pin" localSheetId="5">#REF!</definedName>
    <definedName name="pin" localSheetId="39">#REF!</definedName>
    <definedName name="pin" localSheetId="36">#REF!</definedName>
    <definedName name="pin" localSheetId="22">#REF!</definedName>
    <definedName name="pin" localSheetId="24">#REF!</definedName>
    <definedName name="pin">#REF!</definedName>
    <definedName name="pmi" localSheetId="38">#REF!</definedName>
    <definedName name="pmi" localSheetId="5">#REF!</definedName>
    <definedName name="pmi" localSheetId="39">#REF!</definedName>
    <definedName name="pmi" localSheetId="36">#REF!</definedName>
    <definedName name="pmi" localSheetId="22">#REF!</definedName>
    <definedName name="pmi" localSheetId="24">#REF!</definedName>
    <definedName name="pmi">#REF!</definedName>
    <definedName name="pmp" localSheetId="38">#REF!</definedName>
    <definedName name="pmp" localSheetId="5">#REF!</definedName>
    <definedName name="pmp" localSheetId="36">#REF!</definedName>
    <definedName name="pmp" localSheetId="22">#REF!</definedName>
    <definedName name="pmp" localSheetId="24">#REF!</definedName>
    <definedName name="pmp">#REF!</definedName>
    <definedName name="pname" localSheetId="5">#REF!</definedName>
    <definedName name="pname">#REF!</definedName>
    <definedName name="pnp" localSheetId="38">#REF!</definedName>
    <definedName name="pnp" localSheetId="5">#REF!</definedName>
    <definedName name="pnp" localSheetId="39">#REF!</definedName>
    <definedName name="pnp" localSheetId="36">#REF!</definedName>
    <definedName name="pnp" localSheetId="22">#REF!</definedName>
    <definedName name="pnp" localSheetId="24">#REF!</definedName>
    <definedName name="pnp">#REF!</definedName>
    <definedName name="poi" localSheetId="38">#REF!</definedName>
    <definedName name="poi" localSheetId="5">#REF!</definedName>
    <definedName name="poi" localSheetId="39">#REF!</definedName>
    <definedName name="poi" localSheetId="36">#REF!</definedName>
    <definedName name="poi" localSheetId="22">#REF!</definedName>
    <definedName name="poi" localSheetId="24">#REF!</definedName>
    <definedName name="poi">#REF!</definedName>
    <definedName name="pooling_Premium">25%</definedName>
    <definedName name="pop" localSheetId="38">#REF!</definedName>
    <definedName name="pop" localSheetId="5">#REF!</definedName>
    <definedName name="pop" localSheetId="39">#REF!</definedName>
    <definedName name="pop" localSheetId="36">#REF!</definedName>
    <definedName name="pop" localSheetId="22">#REF!</definedName>
    <definedName name="pop" localSheetId="24">#REF!</definedName>
    <definedName name="pop">#REF!</definedName>
    <definedName name="ppr" localSheetId="38">#REF!</definedName>
    <definedName name="ppr" localSheetId="5">#REF!</definedName>
    <definedName name="ppr" localSheetId="39">#REF!</definedName>
    <definedName name="ppr" localSheetId="36">#REF!</definedName>
    <definedName name="ppr" localSheetId="22">#REF!</definedName>
    <definedName name="ppr" localSheetId="24">#REF!</definedName>
    <definedName name="ppr">#REF!</definedName>
    <definedName name="ppt" localSheetId="38">#REF!</definedName>
    <definedName name="ppt" localSheetId="5">#REF!</definedName>
    <definedName name="ppt" localSheetId="39">#REF!</definedName>
    <definedName name="ppt" localSheetId="36">#REF!</definedName>
    <definedName name="ppt" localSheetId="22">#REF!</definedName>
    <definedName name="ppt" localSheetId="24">#REF!</definedName>
    <definedName name="ppt">#REF!</definedName>
    <definedName name="pre" localSheetId="38">#REF!</definedName>
    <definedName name="pre" localSheetId="5">#REF!</definedName>
    <definedName name="pre" localSheetId="39">#REF!</definedName>
    <definedName name="pre" localSheetId="36">#REF!</definedName>
    <definedName name="pre" localSheetId="22">#REF!</definedName>
    <definedName name="pre" localSheetId="24">#REF!</definedName>
    <definedName name="pre">#REF!</definedName>
    <definedName name="prevreclist" localSheetId="38">#REF!</definedName>
    <definedName name="prevreclist" localSheetId="5">#REF!</definedName>
    <definedName name="prevreclist" localSheetId="39">#REF!</definedName>
    <definedName name="prevreclist" localSheetId="36">#REF!</definedName>
    <definedName name="prevreclist" localSheetId="22">#REF!</definedName>
    <definedName name="prevreclist" localSheetId="24">#REF!</definedName>
    <definedName name="prevreclist">#REF!</definedName>
    <definedName name="prevtarget" localSheetId="38">#REF!</definedName>
    <definedName name="prevtarget" localSheetId="5">#REF!</definedName>
    <definedName name="prevtarget" localSheetId="39">#REF!</definedName>
    <definedName name="prevtarget" localSheetId="36">#REF!</definedName>
    <definedName name="prevtarget" localSheetId="22">#REF!</definedName>
    <definedName name="prevtarget" localSheetId="24">#REF!</definedName>
    <definedName name="prevtarget">#REF!</definedName>
    <definedName name="price" localSheetId="5">#REF!</definedName>
    <definedName name="price" localSheetId="39">#REF!</definedName>
    <definedName name="price" localSheetId="22">#REF!</definedName>
    <definedName name="price" localSheetId="24">#REF!</definedName>
    <definedName name="price">#REF!</definedName>
    <definedName name="price_date">36098</definedName>
    <definedName name="PriceSec" localSheetId="5">#REF!</definedName>
    <definedName name="PriceSec" localSheetId="22">#REF!</definedName>
    <definedName name="PriceSec" localSheetId="24">#REF!</definedName>
    <definedName name="PriceSec">#REF!</definedName>
    <definedName name="_xlnm.Print_Area" localSheetId="8">BS!$A$2:$J$103</definedName>
    <definedName name="_xlnm.Print_Area" localSheetId="10">CF!$A$2:$J$36</definedName>
    <definedName name="_xlnm.Print_Area" localSheetId="16">'CF（org）'!$B$2:$E$88</definedName>
    <definedName name="_xlnm.Print_Area" localSheetId="4">Cover!$A$4:$E$16</definedName>
    <definedName name="_xlnm.Print_Area" localSheetId="38">#REF!</definedName>
    <definedName name="_xlnm.Print_Area" localSheetId="5">DCF!$A$1:$T$97</definedName>
    <definedName name="_xlnm.Print_Area" localSheetId="13">Financing!$B$2:$I$80</definedName>
    <definedName name="_xlnm.Print_Area" localSheetId="2">'Header(E)-US'!$A$1:$M$66</definedName>
    <definedName name="_xlnm.Print_Area" localSheetId="19">HK!$B$2:$I$38</definedName>
    <definedName name="_xlnm.Print_Area" localSheetId="7">HoH!$B$6:$AB$29</definedName>
    <definedName name="_xlnm.Print_Area" localSheetId="20">Macau!$B$2:$J$36</definedName>
    <definedName name="_xlnm.Print_Area" localSheetId="18">'MainLand China'!$B$2:$J$75</definedName>
    <definedName name="_xlnm.Print_Area" localSheetId="23">Overseas!$B$2:$J$25</definedName>
    <definedName name="_xlnm.Print_Area" localSheetId="34">'P&amp;L (半年)'!$B$2:$O$109</definedName>
    <definedName name="_xlnm.Print_Area" localSheetId="9">PL!$A$3:$J$141</definedName>
    <definedName name="_xlnm.Print_Area" localSheetId="17">Summary!$A$1:$J$185</definedName>
    <definedName name="_xlnm.Print_Area" localSheetId="11">WC!$B$1:$I$57</definedName>
    <definedName name="_xlnm.Print_Area" localSheetId="36">#REF!</definedName>
    <definedName name="_xlnm.Print_Area" localSheetId="22">#REF!</definedName>
    <definedName name="_xlnm.Print_Area" localSheetId="24">#REF!</definedName>
    <definedName name="_xlnm.Print_Area">#REF!</definedName>
    <definedName name="Print_Area_MI" localSheetId="38">#REF!</definedName>
    <definedName name="Print_Area_MI" localSheetId="5">#REF!</definedName>
    <definedName name="Print_Area_MI" localSheetId="36">#REF!</definedName>
    <definedName name="Print_Area_MI" localSheetId="22">#REF!</definedName>
    <definedName name="Print_Area_MI" localSheetId="24">#REF!</definedName>
    <definedName name="Print_Area_MI">#REF!</definedName>
    <definedName name="_xlnm.Print_Titles" localSheetId="8">BS!$2:$2</definedName>
    <definedName name="_xlnm.Print_Titles" localSheetId="12">CAPEX!$1:$2</definedName>
    <definedName name="_xlnm.Print_Titles" localSheetId="19">HK!$2:$2</definedName>
    <definedName name="_xlnm.Print_Titles" localSheetId="7">HoH!$1:$6</definedName>
    <definedName name="_xlnm.Print_Titles" localSheetId="20">Macau!$2:$2</definedName>
    <definedName name="_xlnm.Print_Titles" localSheetId="18">'MainLand China'!$2:$2</definedName>
    <definedName name="_xlnm.Print_Titles" localSheetId="23">Overseas!$2:$2</definedName>
    <definedName name="_xlnm.Print_Titles" localSheetId="34">'P&amp;L (半年)'!$1:$2</definedName>
    <definedName name="_xlnm.Print_Titles" localSheetId="9">PL!$1:$3</definedName>
    <definedName name="Print17_18" localSheetId="5">#REF!</definedName>
    <definedName name="Print17_18" localSheetId="24">#REF!</definedName>
    <definedName name="Print17_18">#REF!</definedName>
    <definedName name="PrintZone" localSheetId="38">#REF!,#REF!</definedName>
    <definedName name="PrintZone" localSheetId="5">#REF!,#REF!</definedName>
    <definedName name="PrintZone" localSheetId="39">#REF!,#REF!</definedName>
    <definedName name="PrintZone" localSheetId="36">#REF!,#REF!</definedName>
    <definedName name="PrintZone">#REF!,#REF!</definedName>
    <definedName name="production" localSheetId="5">#REF!</definedName>
    <definedName name="production" localSheetId="24">#REF!</definedName>
    <definedName name="production">#REF!</definedName>
    <definedName name="proj" localSheetId="5">#REF!</definedName>
    <definedName name="proj">#REF!</definedName>
    <definedName name="project" localSheetId="5">#REF!</definedName>
    <definedName name="project" localSheetId="22">#REF!</definedName>
    <definedName name="project" localSheetId="24">#REF!</definedName>
    <definedName name="project">#REF!</definedName>
    <definedName name="ProjectName" localSheetId="5">{"Client Name or Project Name"}</definedName>
    <definedName name="ProjectName" localSheetId="7">{"Client Name or Project Name"}</definedName>
    <definedName name="ProjectName" localSheetId="20">{"Client Name or Project Name"}</definedName>
    <definedName name="ProjectName" localSheetId="18">{"Client Name or Project Name"}</definedName>
    <definedName name="ProjectName" localSheetId="23">{"Client Name or Project Name"}</definedName>
    <definedName name="ProjectName" localSheetId="34">{"Client Name or Project Name"}</definedName>
    <definedName name="ProjectName" localSheetId="27">{"Client Name or Project Name"}</definedName>
    <definedName name="ProjectName" localSheetId="32">{"Client Name or Project Name"}</definedName>
    <definedName name="ProjectName" localSheetId="22">{"Client Name or Project Name"}</definedName>
    <definedName name="ProjectName" localSheetId="24">{"Client Name or Project Name"}</definedName>
    <definedName name="ProjectName">{"Client Name or Project Name"}</definedName>
    <definedName name="ProjectName_1">{"Client Name or Project Name"}</definedName>
    <definedName name="pse" localSheetId="38">#REF!</definedName>
    <definedName name="pse" localSheetId="5">#REF!</definedName>
    <definedName name="pse" localSheetId="39">#REF!</definedName>
    <definedName name="pse" localSheetId="36">#REF!</definedName>
    <definedName name="pse" localSheetId="22">#REF!</definedName>
    <definedName name="pse" localSheetId="24">#REF!</definedName>
    <definedName name="pse">#REF!</definedName>
    <definedName name="pta" localSheetId="38">#REF!</definedName>
    <definedName name="pta" localSheetId="5">#REF!</definedName>
    <definedName name="pta" localSheetId="39">#REF!</definedName>
    <definedName name="pta" localSheetId="36">#REF!</definedName>
    <definedName name="pta" localSheetId="22">#REF!</definedName>
    <definedName name="pta" localSheetId="24">#REF!</definedName>
    <definedName name="pta">#REF!</definedName>
    <definedName name="pto" localSheetId="38">#REF!</definedName>
    <definedName name="pto" localSheetId="5">#REF!</definedName>
    <definedName name="pto" localSheetId="39">#REF!</definedName>
    <definedName name="pto" localSheetId="36">#REF!</definedName>
    <definedName name="pto" localSheetId="22">#REF!</definedName>
    <definedName name="pto" localSheetId="24">#REF!</definedName>
    <definedName name="pto">#REF!</definedName>
    <definedName name="PUB_FileID">"L10003363.xls"</definedName>
    <definedName name="PUB_UserID">"MAYERX"</definedName>
    <definedName name="Publication" localSheetId="5">#REF!</definedName>
    <definedName name="Publication" localSheetId="39">#REF!</definedName>
    <definedName name="Publication" localSheetId="22">#REF!</definedName>
    <definedName name="Publication" localSheetId="24">#REF!</definedName>
    <definedName name="Publication">#REF!</definedName>
    <definedName name="Purchase_Premium_A">25%</definedName>
    <definedName name="Purchase_Premium_B">0.25</definedName>
    <definedName name="quar11" localSheetId="5">#REF!</definedName>
    <definedName name="quar11">#REF!</definedName>
    <definedName name="quar12" localSheetId="5">#REF!</definedName>
    <definedName name="quar12">#REF!</definedName>
    <definedName name="quar13" localSheetId="5">#REF!</definedName>
    <definedName name="quar13">#REF!</definedName>
    <definedName name="quar14" localSheetId="5">#REF!</definedName>
    <definedName name="quar14">#REF!</definedName>
    <definedName name="quar15" localSheetId="5">#REF!</definedName>
    <definedName name="quar15">#REF!</definedName>
    <definedName name="quar6" localSheetId="5">#REF!</definedName>
    <definedName name="quar6">#REF!</definedName>
    <definedName name="quar7" localSheetId="5">#REF!</definedName>
    <definedName name="quar7">#REF!</definedName>
    <definedName name="quar8" localSheetId="5">#REF!</definedName>
    <definedName name="quar8">#REF!</definedName>
    <definedName name="Quarter">#REF!</definedName>
    <definedName name="rad" localSheetId="38">#REF!</definedName>
    <definedName name="rad" localSheetId="5">#REF!</definedName>
    <definedName name="rad" localSheetId="36">#REF!</definedName>
    <definedName name="rad" localSheetId="22">#REF!</definedName>
    <definedName name="rad" localSheetId="24">#REF!</definedName>
    <definedName name="rad">#REF!</definedName>
    <definedName name="RandM" localSheetId="5">#REF!</definedName>
    <definedName name="RandM" localSheetId="24">#REF!</definedName>
    <definedName name="RandM">#REF!</definedName>
    <definedName name="RANGE1" localSheetId="38">#REF!</definedName>
    <definedName name="RANGE1" localSheetId="5">#REF!</definedName>
    <definedName name="RANGE1" localSheetId="39">#REF!</definedName>
    <definedName name="RANGE1" localSheetId="36">#REF!</definedName>
    <definedName name="RANGE1" localSheetId="22">#REF!</definedName>
    <definedName name="RANGE1" localSheetId="24">#REF!</definedName>
    <definedName name="RANGE1">#REF!</definedName>
    <definedName name="Range1Top">#REF!</definedName>
    <definedName name="Range2">#REF!</definedName>
    <definedName name="Range2Top">#REF!</definedName>
    <definedName name="Range3">#REF!</definedName>
    <definedName name="Range3Top">#REF!</definedName>
    <definedName name="Raw_percent" localSheetId="5">#REF!</definedName>
    <definedName name="Raw_percent" localSheetId="22">#REF!</definedName>
    <definedName name="Raw_percent" localSheetId="24">#REF!</definedName>
    <definedName name="Raw_percent">#REF!</definedName>
    <definedName name="rce" localSheetId="38">#REF!</definedName>
    <definedName name="rce" localSheetId="5">#REF!</definedName>
    <definedName name="rce" localSheetId="39">#REF!</definedName>
    <definedName name="rce" localSheetId="36">#REF!</definedName>
    <definedName name="rce" localSheetId="22">#REF!</definedName>
    <definedName name="rce" localSheetId="24">#REF!</definedName>
    <definedName name="rce">#REF!</definedName>
    <definedName name="rcr" localSheetId="38">#REF!</definedName>
    <definedName name="rcr" localSheetId="5">#REF!</definedName>
    <definedName name="rcr" localSheetId="39">#REF!</definedName>
    <definedName name="rcr" localSheetId="36">#REF!</definedName>
    <definedName name="rcr" localSheetId="22">#REF!</definedName>
    <definedName name="rcr" localSheetId="24">#REF!</definedName>
    <definedName name="rcr">#REF!</definedName>
    <definedName name="rde" localSheetId="38">#REF!</definedName>
    <definedName name="rde" localSheetId="5">#REF!</definedName>
    <definedName name="rde" localSheetId="36">#REF!</definedName>
    <definedName name="rde" localSheetId="22">#REF!</definedName>
    <definedName name="rde" localSheetId="24">#REF!</definedName>
    <definedName name="rde">#REF!</definedName>
    <definedName name="RecList">#REF!</definedName>
    <definedName name="Recomm" localSheetId="38">#REF!</definedName>
    <definedName name="Recomm" localSheetId="5">#REF!</definedName>
    <definedName name="Recomm" localSheetId="39">#REF!</definedName>
    <definedName name="Recomm" localSheetId="36">#REF!</definedName>
    <definedName name="Recomm" localSheetId="22">#REF!</definedName>
    <definedName name="Recomm" localSheetId="24">#REF!</definedName>
    <definedName name="Recomm">#REF!</definedName>
    <definedName name="recommendation" localSheetId="5">#REF!</definedName>
    <definedName name="recommendation" localSheetId="39">#REF!</definedName>
    <definedName name="recommendation" localSheetId="22">#REF!</definedName>
    <definedName name="recommendation" localSheetId="24">#REF!</definedName>
    <definedName name="recommendation">#REF!</definedName>
    <definedName name="redux">1</definedName>
    <definedName name="reqdetails" localSheetId="5">#REF!</definedName>
    <definedName name="reqdetails" localSheetId="24">#REF!</definedName>
    <definedName name="reqdetails">#REF!</definedName>
    <definedName name="reserves" localSheetId="5">#REF!</definedName>
    <definedName name="reserves" localSheetId="24">#REF!</definedName>
    <definedName name="reserves">#REF!</definedName>
    <definedName name="Retail_services">#REF!</definedName>
    <definedName name="ReturnOnAssets">#REF!</definedName>
    <definedName name="ReturnOnEquity">#REF!</definedName>
    <definedName name="rev" localSheetId="38">#REF!</definedName>
    <definedName name="rev" localSheetId="5">#REF!</definedName>
    <definedName name="rev" localSheetId="39">#REF!</definedName>
    <definedName name="rev" localSheetId="36">#REF!</definedName>
    <definedName name="rev" localSheetId="22">#REF!</definedName>
    <definedName name="rev" localSheetId="24">#REF!</definedName>
    <definedName name="rev">#REF!</definedName>
    <definedName name="Revenues">#REF!</definedName>
    <definedName name="RevenuesCellularEquipment">0</definedName>
    <definedName name="RevenuesCellularOther">0</definedName>
    <definedName name="RevenuesCellularService">0</definedName>
    <definedName name="RevenuesCellularTotal">0</definedName>
    <definedName name="RevenuesPagingEquipment">0</definedName>
    <definedName name="RevenuesPagingOther">0</definedName>
    <definedName name="RevenuesPagingService">0</definedName>
    <definedName name="RevenuesPagingTotal">0</definedName>
    <definedName name="RevenuesWirelessEquipment">0</definedName>
    <definedName name="RevenuesWirelessOther">0</definedName>
    <definedName name="RevenuesWirelessService">0</definedName>
    <definedName name="Revision" localSheetId="38">#REF!</definedName>
    <definedName name="Revision" localSheetId="5">#REF!</definedName>
    <definedName name="Revision" localSheetId="39">#REF!</definedName>
    <definedName name="Revision" localSheetId="36">#REF!</definedName>
    <definedName name="Revision" localSheetId="22">#REF!</definedName>
    <definedName name="Revision" localSheetId="24">#REF!</definedName>
    <definedName name="Revision">#REF!</definedName>
    <definedName name="rfa" localSheetId="38">#REF!</definedName>
    <definedName name="rfa" localSheetId="5">#REF!</definedName>
    <definedName name="rfa" localSheetId="36">#REF!</definedName>
    <definedName name="rfa" localSheetId="22">#REF!</definedName>
    <definedName name="rfa" localSheetId="24">#REF!</definedName>
    <definedName name="rfa">#REF!</definedName>
    <definedName name="rfs" localSheetId="38">#REF!</definedName>
    <definedName name="rfs" localSheetId="5">#REF!</definedName>
    <definedName name="rfs" localSheetId="39">#REF!</definedName>
    <definedName name="rfs" localSheetId="36">#REF!</definedName>
    <definedName name="rfs" localSheetId="22">#REF!</definedName>
    <definedName name="rfs" localSheetId="24">#REF!</definedName>
    <definedName name="rfs">#REF!</definedName>
    <definedName name="rnf" localSheetId="38">#REF!</definedName>
    <definedName name="rnf" localSheetId="5">#REF!</definedName>
    <definedName name="rnf" localSheetId="36">#REF!</definedName>
    <definedName name="rnf" localSheetId="22">#REF!</definedName>
    <definedName name="rnf" localSheetId="24">#REF!</definedName>
    <definedName name="rnf">#REF!</definedName>
    <definedName name="rns" localSheetId="38">#REF!</definedName>
    <definedName name="rns" localSheetId="5">#REF!</definedName>
    <definedName name="rns" localSheetId="39">#REF!</definedName>
    <definedName name="rns" localSheetId="36">#REF!</definedName>
    <definedName name="rns" localSheetId="22">#REF!</definedName>
    <definedName name="rns" localSheetId="24">#REF!</definedName>
    <definedName name="rns">#REF!</definedName>
    <definedName name="rot" localSheetId="38">#REF!</definedName>
    <definedName name="rot" localSheetId="5">#REF!</definedName>
    <definedName name="rot" localSheetId="39">#REF!</definedName>
    <definedName name="rot" localSheetId="36">#REF!</definedName>
    <definedName name="rot" localSheetId="22">#REF!</definedName>
    <definedName name="rot" localSheetId="24">#REF!</definedName>
    <definedName name="rot">#REF!</definedName>
    <definedName name="rre" localSheetId="38">#REF!</definedName>
    <definedName name="rre" localSheetId="5">#REF!</definedName>
    <definedName name="rre" localSheetId="39">#REF!</definedName>
    <definedName name="rre" localSheetId="36">#REF!</definedName>
    <definedName name="rre" localSheetId="22">#REF!</definedName>
    <definedName name="rre" localSheetId="24">#REF!</definedName>
    <definedName name="rre">#REF!</definedName>
    <definedName name="rrrrrrrr" localSheetId="5">{"'RCIM'!$E$128"}</definedName>
    <definedName name="rrrrrrrr" localSheetId="27">{"'RCIM'!$E$128"}</definedName>
    <definedName name="rrrrrrrr" localSheetId="22">{"'RCIM'!$E$128"}</definedName>
    <definedName name="rrrrrrrr" localSheetId="24">{"'RCIM'!$E$128"}</definedName>
    <definedName name="rrrrrrrr">{"'RCIM'!$E$128"}</definedName>
    <definedName name="rrrrrrrr_1">{"'RCIM'!$E$128"}</definedName>
    <definedName name="rus" localSheetId="38">#REF!</definedName>
    <definedName name="rus" localSheetId="5">#REF!</definedName>
    <definedName name="rus" localSheetId="36">#REF!</definedName>
    <definedName name="rus" localSheetId="22">#REF!</definedName>
    <definedName name="rus" localSheetId="24">#REF!</definedName>
    <definedName name="rus">#REF!</definedName>
    <definedName name="rwc" localSheetId="38">#REF!</definedName>
    <definedName name="rwc" localSheetId="5">#REF!</definedName>
    <definedName name="rwc" localSheetId="39">#REF!</definedName>
    <definedName name="rwc" localSheetId="36">#REF!</definedName>
    <definedName name="rwc" localSheetId="22">#REF!</definedName>
    <definedName name="rwc" localSheetId="24">#REF!</definedName>
    <definedName name="rwc">#REF!</definedName>
    <definedName name="rwt" localSheetId="38">#REF!</definedName>
    <definedName name="rwt" localSheetId="5">#REF!</definedName>
    <definedName name="rwt" localSheetId="39">#REF!</definedName>
    <definedName name="rwt" localSheetId="36">#REF!</definedName>
    <definedName name="rwt" localSheetId="22">#REF!</definedName>
    <definedName name="rwt" localSheetId="24">#REF!</definedName>
    <definedName name="rwt">#REF!</definedName>
    <definedName name="sad" localSheetId="38">#REF!</definedName>
    <definedName name="sad" localSheetId="5">#REF!</definedName>
    <definedName name="sad" localSheetId="39">#REF!</definedName>
    <definedName name="sad" localSheetId="36">#REF!</definedName>
    <definedName name="sad" localSheetId="22">#REF!</definedName>
    <definedName name="sad" localSheetId="24">#REF!</definedName>
    <definedName name="sad">#REF!</definedName>
    <definedName name="saf" localSheetId="38">#REF!</definedName>
    <definedName name="saf" localSheetId="5">#REF!</definedName>
    <definedName name="saf" localSheetId="39">#REF!</definedName>
    <definedName name="saf" localSheetId="36">#REF!</definedName>
    <definedName name="saf" localSheetId="22">#REF!</definedName>
    <definedName name="saf" localSheetId="24">#REF!</definedName>
    <definedName name="saf">#REF!</definedName>
    <definedName name="sal" localSheetId="38">#REF!</definedName>
    <definedName name="sal" localSheetId="5">#REF!</definedName>
    <definedName name="sal" localSheetId="39">#REF!</definedName>
    <definedName name="sal" localSheetId="36">#REF!</definedName>
    <definedName name="sal" localSheetId="22">#REF!</definedName>
    <definedName name="sal" localSheetId="24">#REF!</definedName>
    <definedName name="sal">#REF!</definedName>
    <definedName name="sas" localSheetId="38">#REF!</definedName>
    <definedName name="sas" localSheetId="5">#REF!</definedName>
    <definedName name="sas" localSheetId="39">#REF!</definedName>
    <definedName name="sas" localSheetId="36">#REF!</definedName>
    <definedName name="sas" localSheetId="22">#REF!</definedName>
    <definedName name="sas" localSheetId="24">#REF!</definedName>
    <definedName name="sas">#REF!</definedName>
    <definedName name="Schedule" localSheetId="5">#REF!</definedName>
    <definedName name="Schedule" localSheetId="24">#REF!</definedName>
    <definedName name="Schedule">#REF!</definedName>
    <definedName name="segment" localSheetId="5">{"Client Name or Project Name"}</definedName>
    <definedName name="segment" localSheetId="7">{"Client Name or Project Name"}</definedName>
    <definedName name="segment" localSheetId="20">{"Client Name or Project Name"}</definedName>
    <definedName name="segment" localSheetId="18">{"Client Name or Project Name"}</definedName>
    <definedName name="segment" localSheetId="23">{"Client Name or Project Name"}</definedName>
    <definedName name="segment" localSheetId="34">{"Client Name or Project Name"}</definedName>
    <definedName name="segment" localSheetId="27">{"Client Name or Project Name"}</definedName>
    <definedName name="segment" localSheetId="32">{"Client Name or Project Name"}</definedName>
    <definedName name="segment" localSheetId="22">{"Client Name or Project Name"}</definedName>
    <definedName name="segment" localSheetId="24">{"Client Name or Project Name"}</definedName>
    <definedName name="segment">{"Client Name or Project Name"}</definedName>
    <definedName name="segment_1">{"Client Name or Project Name"}</definedName>
    <definedName name="SEK_EUR" localSheetId="5">#REF!</definedName>
    <definedName name="SEK_EUR">#REF!</definedName>
    <definedName name="sencount">1</definedName>
    <definedName name="seniorRate">"SrRate"</definedName>
    <definedName name="SENS" localSheetId="5">#REF!</definedName>
    <definedName name="SENS">#REF!</definedName>
    <definedName name="Setup" localSheetId="5">#REF!</definedName>
    <definedName name="Setup" localSheetId="24">#REF!</definedName>
    <definedName name="Setup">#REF!</definedName>
    <definedName name="sFormat" localSheetId="5">#REF!</definedName>
    <definedName name="sFormat" localSheetId="24">#REF!</definedName>
    <definedName name="sFormat">#REF!</definedName>
    <definedName name="sFreq" localSheetId="5">#REF!</definedName>
    <definedName name="sFreq" localSheetId="24">#REF!</definedName>
    <definedName name="sFreq">#REF!</definedName>
    <definedName name="SG_A">#REF!</definedName>
    <definedName name="Shaanxi" localSheetId="5">#REF!</definedName>
    <definedName name="Shaanxi" localSheetId="22">#REF!</definedName>
    <definedName name="Shaanxi" localSheetId="24">#REF!</definedName>
    <definedName name="Shaanxi">#REF!</definedName>
    <definedName name="Share_price" localSheetId="38">#REF!</definedName>
    <definedName name="Share_price" localSheetId="5">#REF!</definedName>
    <definedName name="Share_price" localSheetId="39">#REF!</definedName>
    <definedName name="Share_price" localSheetId="36">#REF!</definedName>
    <definedName name="Share_price" localSheetId="22">#REF!</definedName>
    <definedName name="Share_price" localSheetId="24">#REF!</definedName>
    <definedName name="Share_price">#REF!</definedName>
    <definedName name="Shares">#REF!</definedName>
    <definedName name="shares98">#REF!</definedName>
    <definedName name="Shares99">#REF!</definedName>
    <definedName name="SharesConvertibleSecurities">0</definedName>
    <definedName name="SharesFullyDiluted">0</definedName>
    <definedName name="SharesOptions">0</definedName>
    <definedName name="SharesOutstandingLatestDate">0</definedName>
    <definedName name="SharesOutstandingOther">0</definedName>
    <definedName name="SharesOutstandingSenior">0</definedName>
    <definedName name="SharesOutstandingSubordinate">0</definedName>
    <definedName name="SharesPrimary">0</definedName>
    <definedName name="SharesWarrants">0</definedName>
    <definedName name="ShowDetails" localSheetId="5">#REF!</definedName>
    <definedName name="ShowDetails">#REF!</definedName>
    <definedName name="Sichuan" localSheetId="5">#REF!</definedName>
    <definedName name="Sichuan" localSheetId="22">#REF!</definedName>
    <definedName name="Sichuan" localSheetId="24">#REF!</definedName>
    <definedName name="Sichuan">#REF!</definedName>
    <definedName name="solver_lin">0</definedName>
    <definedName name="solver_num">0</definedName>
    <definedName name="solver_typ">3</definedName>
    <definedName name="solver_val">0.1076</definedName>
    <definedName name="spebdy" localSheetId="5">{"'RCIM'!$E$128"}</definedName>
    <definedName name="spebdy" localSheetId="27">{"'RCIM'!$E$128"}</definedName>
    <definedName name="spebdy" localSheetId="22">{"'RCIM'!$E$128"}</definedName>
    <definedName name="spebdy" localSheetId="24">{"'RCIM'!$E$128"}</definedName>
    <definedName name="spebdy">{"'RCIM'!$E$128"}</definedName>
    <definedName name="spebdy_1">{"'RCIM'!$E$128"}</definedName>
    <definedName name="Spectrum" localSheetId="5">#REF!</definedName>
    <definedName name="Spectrum">#REF!</definedName>
    <definedName name="sps" localSheetId="38">#REF!</definedName>
    <definedName name="sps" localSheetId="5">#REF!</definedName>
    <definedName name="sps" localSheetId="39">#REF!</definedName>
    <definedName name="sps" localSheetId="36">#REF!</definedName>
    <definedName name="sps" localSheetId="22">#REF!</definedName>
    <definedName name="sps" localSheetId="24">#REF!</definedName>
    <definedName name="sps">#REF!</definedName>
    <definedName name="SPWS_WBID">"BBD18B9B-24A7-11D7-89C2-00105AC8DCBF"</definedName>
    <definedName name="SrRate">"SrRating"</definedName>
    <definedName name="start">#REF!</definedName>
    <definedName name="stats1" localSheetId="5">#REF!</definedName>
    <definedName name="stats1" localSheetId="24">#REF!</definedName>
    <definedName name="stats1">#REF!</definedName>
    <definedName name="StatsAccessLinesDomesticInternationalTotalAverage">0</definedName>
    <definedName name="StatsAccessLinesTotalAverage">0</definedName>
    <definedName name="StatsAverageMonthlyRevenue">0</definedName>
    <definedName name="StatsEmployeesConsolidatedInternational">0</definedName>
    <definedName name="StatsEmployeesTelephoneInternational">0</definedName>
    <definedName name="StatsPagingAverageMonthlyRevenue">0</definedName>
    <definedName name="StatsPagingSubscribers">0</definedName>
    <definedName name="StatsPenetration">0</definedName>
    <definedName name="StatsPOPS">0</definedName>
    <definedName name="StatsProportionatePenetration">0</definedName>
    <definedName name="StatsProportionatePOPS">0</definedName>
    <definedName name="StatsProportionateSubscribersAverage">0</definedName>
    <definedName name="StatsProportionateSubscribersBeginning">0</definedName>
    <definedName name="StatsProportionateSubscribersEnding">0</definedName>
    <definedName name="StatsProportionateSubscribersNetAdds">0</definedName>
    <definedName name="StatsSubscribersAverage">0</definedName>
    <definedName name="StatsSubscribersBeginning">0</definedName>
    <definedName name="StatsSubscribersEnding">0</definedName>
    <definedName name="StatsSubscribersNetAdds">0</definedName>
    <definedName name="Stk_Price" localSheetId="38">#REF!</definedName>
    <definedName name="Stk_Price" localSheetId="5">#REF!</definedName>
    <definedName name="Stk_Price" localSheetId="36">#REF!</definedName>
    <definedName name="Stk_Price" localSheetId="22">#REF!</definedName>
    <definedName name="Stk_Price" localSheetId="24">#REF!</definedName>
    <definedName name="Stk_Price">#REF!</definedName>
    <definedName name="StockPrice" localSheetId="38">#REF!</definedName>
    <definedName name="StockPrice" localSheetId="39">#REF!</definedName>
    <definedName name="StockPrice" localSheetId="36">#REF!</definedName>
    <definedName name="StockPrice" localSheetId="22">#REF!</definedName>
    <definedName name="StockPrice" localSheetId="24">#REF!</definedName>
    <definedName name="StockPrice">#REF!</definedName>
    <definedName name="sTopic" localSheetId="5">#REF!</definedName>
    <definedName name="sTopic" localSheetId="24">#REF!</definedName>
    <definedName name="sTopic">#REF!</definedName>
    <definedName name="swa" localSheetId="38">#REF!</definedName>
    <definedName name="swa" localSheetId="5">#REF!</definedName>
    <definedName name="swa" localSheetId="39">#REF!</definedName>
    <definedName name="swa" localSheetId="36">#REF!</definedName>
    <definedName name="swa" localSheetId="22">#REF!</definedName>
    <definedName name="swa" localSheetId="24">#REF!</definedName>
    <definedName name="swa">#REF!</definedName>
    <definedName name="SwitchStock" localSheetId="38">#REF!</definedName>
    <definedName name="SwitchStock" localSheetId="5">#REF!</definedName>
    <definedName name="SwitchStock" localSheetId="36">#REF!</definedName>
    <definedName name="SwitchStock" localSheetId="22">#REF!</definedName>
    <definedName name="SwitchStock" localSheetId="24">#REF!</definedName>
    <definedName name="SwitchStock">#REF!</definedName>
    <definedName name="swl" localSheetId="38">#REF!</definedName>
    <definedName name="swl" localSheetId="5">#REF!</definedName>
    <definedName name="swl" localSheetId="39">#REF!</definedName>
    <definedName name="swl" localSheetId="36">#REF!</definedName>
    <definedName name="swl" localSheetId="22">#REF!</definedName>
    <definedName name="swl" localSheetId="24">#REF!</definedName>
    <definedName name="swl">#REF!</definedName>
    <definedName name="sws" localSheetId="38">#REF!</definedName>
    <definedName name="sws" localSheetId="5">#REF!</definedName>
    <definedName name="sws" localSheetId="39">#REF!</definedName>
    <definedName name="sws" localSheetId="36">#REF!</definedName>
    <definedName name="sws" localSheetId="22">#REF!</definedName>
    <definedName name="sws" localSheetId="24">#REF!</definedName>
    <definedName name="sws">#REF!</definedName>
    <definedName name="sYesNo" localSheetId="5">#REF!</definedName>
    <definedName name="sYesNo" localSheetId="24">#REF!</definedName>
    <definedName name="sYesNo">#REF!</definedName>
    <definedName name="T_Dis">16%</definedName>
    <definedName name="T_growth">6%</definedName>
    <definedName name="TABLE" localSheetId="8">BS!#REF!</definedName>
    <definedName name="TABLE" localSheetId="42">'BS (2)'!#REF!</definedName>
    <definedName name="Table" localSheetId="5">#REF!</definedName>
    <definedName name="TABLE" localSheetId="7">HoH!$B$6:$B$65</definedName>
    <definedName name="TABLE" localSheetId="41">'P&amp;L (2)'!$B$2:$B$96</definedName>
    <definedName name="TABLE" localSheetId="34">'P&amp;L (半年)'!$B$2:$B$140</definedName>
    <definedName name="TABLE" localSheetId="9">PL!$A$3:$A$175</definedName>
    <definedName name="Table" localSheetId="24">#REF!</definedName>
    <definedName name="Table">#REF!</definedName>
    <definedName name="Table_1__Global_Assumptions">#REF!</definedName>
    <definedName name="Table_12___R_M_Volumes" localSheetId="5">#REF!</definedName>
    <definedName name="Table_12___R_M_Volumes" localSheetId="24">#REF!</definedName>
    <definedName name="Table_12___R_M_Volumes">#REF!</definedName>
    <definedName name="Table_15__Valuation" localSheetId="5">#REF!</definedName>
    <definedName name="Table_15__Valuation" localSheetId="24">#REF!</definedName>
    <definedName name="Table_15__Valuation">#REF!</definedName>
    <definedName name="TABLE_2" localSheetId="8">BS!#REF!</definedName>
    <definedName name="TABLE_2" localSheetId="42">'BS (2)'!#REF!</definedName>
    <definedName name="TABLE_2" localSheetId="7">HoH!$B$6:$B$65</definedName>
    <definedName name="TABLE_2" localSheetId="41">'P&amp;L (2)'!$B$2:$B$96</definedName>
    <definedName name="TABLE_2" localSheetId="34">'P&amp;L (半年)'!$B$2:$B$140</definedName>
    <definedName name="TABLE_2" localSheetId="9">PL!$A$3:$A$175</definedName>
    <definedName name="Table_2__Consolidated_Income_Statement" localSheetId="5">#REF!</definedName>
    <definedName name="Table_2__Consolidated_Income_Statement" localSheetId="24">#REF!</definedName>
    <definedName name="Table_2__Consolidated_Income_Statement">#REF!</definedName>
    <definedName name="TABLE_3" localSheetId="8">BS!#REF!</definedName>
    <definedName name="TABLE_3" localSheetId="42">'BS (2)'!#REF!</definedName>
    <definedName name="TABLE_3" localSheetId="7">HoH!$B$6:$B$65</definedName>
    <definedName name="TABLE_3" localSheetId="41">'P&amp;L (2)'!$B$2:$B$96</definedName>
    <definedName name="TABLE_3" localSheetId="34">'P&amp;L (半年)'!$B$2:$B$140</definedName>
    <definedName name="TABLE_3" localSheetId="9">PL!$A$3:$A$175</definedName>
    <definedName name="TABLE_4" localSheetId="8">BS!#REF!</definedName>
    <definedName name="TABLE_4" localSheetId="42">'BS (2)'!#REF!</definedName>
    <definedName name="TABLE_4" localSheetId="7">HoH!$B$6:$B$65</definedName>
    <definedName name="TABLE_4" localSheetId="41">'P&amp;L (2)'!$B$2:$B$96</definedName>
    <definedName name="TABLE_4" localSheetId="34">'P&amp;L (半年)'!$B$2:$B$140</definedName>
    <definedName name="TABLE_4" localSheetId="9">PL!$A$3:$A$175</definedName>
    <definedName name="TABLE_5" localSheetId="8">BS!#REF!</definedName>
    <definedName name="TABLE_5" localSheetId="42">'BS (2)'!#REF!</definedName>
    <definedName name="TABLE_5" localSheetId="7">HoH!#REF!</definedName>
    <definedName name="TABLE_5" localSheetId="41">'P&amp;L (2)'!#REF!</definedName>
    <definedName name="TABLE_5" localSheetId="34">'P&amp;L (半年)'!#REF!</definedName>
    <definedName name="TABLE_5" localSheetId="9">PL!#REF!</definedName>
    <definedName name="TABLE_6" localSheetId="8">BS!#REF!</definedName>
    <definedName name="TABLE_6" localSheetId="42">'BS (2)'!#REF!</definedName>
    <definedName name="TABLE_6" localSheetId="7">HoH!#REF!</definedName>
    <definedName name="TABLE_6" localSheetId="41">'P&amp;L (2)'!#REF!</definedName>
    <definedName name="TABLE_6" localSheetId="34">'P&amp;L (半年)'!#REF!</definedName>
    <definedName name="TABLE_6" localSheetId="9">PL!#REF!</definedName>
    <definedName name="TABLE_7" localSheetId="8">BS!#REF!</definedName>
    <definedName name="TABLE_7" localSheetId="42">'BS (2)'!#REF!</definedName>
    <definedName name="TABLE_7" localSheetId="7">HoH!#REF!</definedName>
    <definedName name="TABLE_7" localSheetId="41">'P&amp;L (2)'!#REF!</definedName>
    <definedName name="TABLE_7" localSheetId="34">'P&amp;L (半年)'!#REF!</definedName>
    <definedName name="TABLE_7" localSheetId="9">PL!#REF!</definedName>
    <definedName name="Table_7___E_P_Proven_Reserves" localSheetId="5">#REF!</definedName>
    <definedName name="Table_7___E_P_Proven_Reserves" localSheetId="24">#REF!</definedName>
    <definedName name="Table_7___E_P_Proven_Reserves">#REF!</definedName>
    <definedName name="TABLE_8" localSheetId="8">BS!#REF!</definedName>
    <definedName name="TABLE_8" localSheetId="42">'BS (2)'!#REF!</definedName>
    <definedName name="TABLE_8" localSheetId="7">HoH!#REF!</definedName>
    <definedName name="TABLE_8" localSheetId="41">'P&amp;L (2)'!#REF!</definedName>
    <definedName name="TABLE_8" localSheetId="34">'P&amp;L (半年)'!#REF!</definedName>
    <definedName name="TABLE_8" localSheetId="9">PL!#REF!</definedName>
    <definedName name="Table_of_Contents" localSheetId="5">#REF!</definedName>
    <definedName name="Table_of_Contents" localSheetId="24">#REF!</definedName>
    <definedName name="Table_of_Contents">#REF!</definedName>
    <definedName name="table11" localSheetId="5">#REF!</definedName>
    <definedName name="table11" localSheetId="24">#REF!</definedName>
    <definedName name="table11">#REF!</definedName>
    <definedName name="Table12_13" localSheetId="5">#REF!</definedName>
    <definedName name="Table12_13" localSheetId="24">#REF!</definedName>
    <definedName name="Table12_13">#REF!</definedName>
    <definedName name="Table14" localSheetId="5">#REF!</definedName>
    <definedName name="Table14" localSheetId="24">#REF!</definedName>
    <definedName name="Table14">#REF!</definedName>
    <definedName name="table15_16" localSheetId="5">#REF!</definedName>
    <definedName name="table15_16" localSheetId="24">#REF!</definedName>
    <definedName name="table15_16">#REF!</definedName>
    <definedName name="table19" localSheetId="5">#REF!</definedName>
    <definedName name="table19" localSheetId="24">#REF!</definedName>
    <definedName name="table19">#REF!</definedName>
    <definedName name="Table9_10" localSheetId="5">#REF!</definedName>
    <definedName name="Table9_10" localSheetId="24">#REF!</definedName>
    <definedName name="Table9_10">#REF!</definedName>
    <definedName name="Table9_10_11" localSheetId="5">#REF!</definedName>
    <definedName name="Table9_10_11" localSheetId="24">#REF!</definedName>
    <definedName name="Table9_10_11">#REF!</definedName>
    <definedName name="TableName" localSheetId="5">#REF!</definedName>
    <definedName name="TableName" localSheetId="24">#REF!</definedName>
    <definedName name="TableName">#REF!</definedName>
    <definedName name="Target_Net_Debt">"targ_netdebt"</definedName>
    <definedName name="targetprice" localSheetId="38">#REF!</definedName>
    <definedName name="targetprice" localSheetId="5">#REF!</definedName>
    <definedName name="targetprice" localSheetId="39">#REF!</definedName>
    <definedName name="targetprice" localSheetId="36">#REF!</definedName>
    <definedName name="targetprice" localSheetId="22">#REF!</definedName>
    <definedName name="targetprice" localSheetId="24">#REF!</definedName>
    <definedName name="targetprice">#REF!</definedName>
    <definedName name="tax_rate">38%</definedName>
    <definedName name="Taxmanagement">#REF!</definedName>
    <definedName name="taxrate98">#REF!</definedName>
    <definedName name="taxrate99" localSheetId="5">#REF!</definedName>
    <definedName name="taxrate99">#REF!</definedName>
    <definedName name="tci" localSheetId="38">#REF!</definedName>
    <definedName name="tci" localSheetId="5">#REF!</definedName>
    <definedName name="tci" localSheetId="36">#REF!</definedName>
    <definedName name="tci" localSheetId="22">#REF!</definedName>
    <definedName name="tci" localSheetId="24">#REF!</definedName>
    <definedName name="tci">#REF!</definedName>
    <definedName name="tcs" localSheetId="38">#REF!</definedName>
    <definedName name="tcs" localSheetId="5">#REF!</definedName>
    <definedName name="tcs" localSheetId="39">#REF!</definedName>
    <definedName name="tcs" localSheetId="36">#REF!</definedName>
    <definedName name="tcs" localSheetId="22">#REF!</definedName>
    <definedName name="tcs" localSheetId="24">#REF!</definedName>
    <definedName name="tcs">#REF!</definedName>
    <definedName name="TD" localSheetId="5">#REF!</definedName>
    <definedName name="TD" localSheetId="22">#REF!</definedName>
    <definedName name="TD" localSheetId="24">#REF!</definedName>
    <definedName name="TD">#REF!</definedName>
    <definedName name="tev" localSheetId="38">#REF!</definedName>
    <definedName name="tev" localSheetId="5">#REF!</definedName>
    <definedName name="tev" localSheetId="36">#REF!</definedName>
    <definedName name="tev" localSheetId="22">#REF!</definedName>
    <definedName name="tev" localSheetId="24">#REF!</definedName>
    <definedName name="tev">#REF!</definedName>
    <definedName name="tfc" localSheetId="38">#REF!</definedName>
    <definedName name="tfc" localSheetId="5">#REF!</definedName>
    <definedName name="tfc" localSheetId="36">#REF!</definedName>
    <definedName name="tfc" localSheetId="22">#REF!</definedName>
    <definedName name="tfc" localSheetId="24">#REF!</definedName>
    <definedName name="tfc">#REF!</definedName>
    <definedName name="tfd" localSheetId="38">#REF!</definedName>
    <definedName name="tfd" localSheetId="5">#REF!</definedName>
    <definedName name="tfd" localSheetId="36">#REF!</definedName>
    <definedName name="tfd" localSheetId="22">#REF!</definedName>
    <definedName name="tfd" localSheetId="24">#REF!</definedName>
    <definedName name="tfd">#REF!</definedName>
    <definedName name="tfo" localSheetId="38">#REF!</definedName>
    <definedName name="tfo" localSheetId="5">#REF!</definedName>
    <definedName name="tfo" localSheetId="36">#REF!</definedName>
    <definedName name="tfo" localSheetId="22">#REF!</definedName>
    <definedName name="tfo" localSheetId="24">#REF!</definedName>
    <definedName name="tfo">#REF!</definedName>
    <definedName name="tfr" localSheetId="38">#REF!</definedName>
    <definedName name="tfr" localSheetId="5">#REF!</definedName>
    <definedName name="tfr" localSheetId="36">#REF!</definedName>
    <definedName name="tfr" localSheetId="22">#REF!</definedName>
    <definedName name="tfr" localSheetId="24">#REF!</definedName>
    <definedName name="tfr">#REF!</definedName>
    <definedName name="This_Year">"1998E"</definedName>
    <definedName name="tin" localSheetId="38">#REF!</definedName>
    <definedName name="tin" localSheetId="5">#REF!</definedName>
    <definedName name="tin" localSheetId="36">#REF!</definedName>
    <definedName name="tin" localSheetId="22">#REF!</definedName>
    <definedName name="tin" localSheetId="24">#REF!</definedName>
    <definedName name="tin">#REF!</definedName>
    <definedName name="title" localSheetId="39">#REF!</definedName>
    <definedName name="title.balancesheet" localSheetId="5">#REF!</definedName>
    <definedName name="title.balancesheet" localSheetId="22">#REF!</definedName>
    <definedName name="title.balancesheet" localSheetId="24">#REF!</definedName>
    <definedName name="title.balancesheet">#REF!</definedName>
    <definedName name="title.businessbackground" localSheetId="5">#REF!</definedName>
    <definedName name="title.businessbackground" localSheetId="22">#REF!</definedName>
    <definedName name="title.businessbackground" localSheetId="24">#REF!</definedName>
    <definedName name="title.businessbackground">#REF!</definedName>
    <definedName name="title.capitalhistory" localSheetId="5">#REF!</definedName>
    <definedName name="title.capitalhistory" localSheetId="22">#REF!</definedName>
    <definedName name="title.capitalhistory" localSheetId="24">#REF!</definedName>
    <definedName name="title.capitalhistory">#REF!</definedName>
    <definedName name="title.cashflow" localSheetId="5">#REF!</definedName>
    <definedName name="title.cashflow" localSheetId="22">#REF!</definedName>
    <definedName name="title.cashflow" localSheetId="24">#REF!</definedName>
    <definedName name="title.cashflow">#REF!</definedName>
    <definedName name="title.comments" localSheetId="5">#REF!</definedName>
    <definedName name="title.comments" localSheetId="22">#REF!</definedName>
    <definedName name="title.comments" localSheetId="24">#REF!</definedName>
    <definedName name="title.comments">#REF!</definedName>
    <definedName name="title.dividenddata" localSheetId="5">#REF!</definedName>
    <definedName name="title.dividenddata" localSheetId="22">#REF!</definedName>
    <definedName name="title.dividenddata" localSheetId="24">#REF!</definedName>
    <definedName name="title.dividenddata">#REF!</definedName>
    <definedName name="title.expansionplans" localSheetId="5">#REF!</definedName>
    <definedName name="title.expansionplans" localSheetId="22">#REF!</definedName>
    <definedName name="title.expansionplans" localSheetId="24">#REF!</definedName>
    <definedName name="title.expansionplans">#REF!</definedName>
    <definedName name="title.forecastandratings" localSheetId="5">#REF!</definedName>
    <definedName name="title.forecastandratings" localSheetId="22">#REF!</definedName>
    <definedName name="title.forecastandratings" localSheetId="24">#REF!</definedName>
    <definedName name="title.forecastandratings">#REF!</definedName>
    <definedName name="title.mainpoints" localSheetId="5">#REF!</definedName>
    <definedName name="title.mainpoints" localSheetId="22">#REF!</definedName>
    <definedName name="title.mainpoints" localSheetId="24">#REF!</definedName>
    <definedName name="title.mainpoints">#REF!</definedName>
    <definedName name="title.majorshareholders" localSheetId="5">#REF!</definedName>
    <definedName name="title.majorshareholders" localSheetId="22">#REF!</definedName>
    <definedName name="title.majorshareholders" localSheetId="24">#REF!</definedName>
    <definedName name="title.majorshareholders">#REF!</definedName>
    <definedName name="title.miscellaneous" localSheetId="5">#REF!</definedName>
    <definedName name="title.miscellaneous" localSheetId="22">#REF!</definedName>
    <definedName name="title.miscellaneous" localSheetId="24">#REF!</definedName>
    <definedName name="title.miscellaneous">#REF!</definedName>
    <definedName name="title.outlook" localSheetId="5">#REF!</definedName>
    <definedName name="title.outlook" localSheetId="22">#REF!</definedName>
    <definedName name="title.outlook" localSheetId="24">#REF!</definedName>
    <definedName name="title.outlook">#REF!</definedName>
    <definedName name="title.pricechart" localSheetId="5">#REF!</definedName>
    <definedName name="title.pricechart" localSheetId="22">#REF!</definedName>
    <definedName name="title.pricechart" localSheetId="24">#REF!</definedName>
    <definedName name="title.pricechart">#REF!</definedName>
    <definedName name="title.profitbreakdown" localSheetId="5">#REF!</definedName>
    <definedName name="title.profitbreakdown" localSheetId="22">#REF!</definedName>
    <definedName name="title.profitbreakdown" localSheetId="24">#REF!</definedName>
    <definedName name="title.profitbreakdown">#REF!</definedName>
    <definedName name="title.profitforecasts" localSheetId="5">#REF!</definedName>
    <definedName name="title.profitforecasts" localSheetId="22">#REF!</definedName>
    <definedName name="title.profitforecasts" localSheetId="24">#REF!</definedName>
    <definedName name="title.profitforecasts">#REF!</definedName>
    <definedName name="title.ratioanalysis" localSheetId="5">#REF!</definedName>
    <definedName name="title.ratioanalysis" localSheetId="22">#REF!</definedName>
    <definedName name="title.ratioanalysis" localSheetId="24">#REF!</definedName>
    <definedName name="title.ratioanalysis">#REF!</definedName>
    <definedName name="title.sharedata" localSheetId="5">#REF!</definedName>
    <definedName name="title.sharedata" localSheetId="22">#REF!</definedName>
    <definedName name="title.sharedata" localSheetId="24">#REF!</definedName>
    <definedName name="title.sharedata">#REF!</definedName>
    <definedName name="title.subsiaries" localSheetId="5">#REF!</definedName>
    <definedName name="title.subsiaries" localSheetId="22">#REF!</definedName>
    <definedName name="title.subsiaries" localSheetId="24">#REF!</definedName>
    <definedName name="title.subsiaries">#REF!</definedName>
    <definedName name="tnd" localSheetId="38">#REF!</definedName>
    <definedName name="tnd" localSheetId="5">#REF!</definedName>
    <definedName name="tnd" localSheetId="36">#REF!</definedName>
    <definedName name="tnd" localSheetId="22">#REF!</definedName>
    <definedName name="tnd" localSheetId="24">#REF!</definedName>
    <definedName name="tnd">#REF!</definedName>
    <definedName name="Total_cost_of_services">#REF!</definedName>
    <definedName name="Total_operating_expenses">#REF!</definedName>
    <definedName name="Total_other_income__expense">#REF!</definedName>
    <definedName name="Total_revenues">#REF!</definedName>
    <definedName name="TotalReqs" localSheetId="5">#REF!</definedName>
    <definedName name="TotalReqs" localSheetId="24">#REF!</definedName>
    <definedName name="TotalReqs">#REF!</definedName>
    <definedName name="TotalTime" localSheetId="5">#REF!</definedName>
    <definedName name="TotalTime" localSheetId="24">#REF!</definedName>
    <definedName name="TotalTime">#REF!</definedName>
    <definedName name="tre" localSheetId="38">#REF!</definedName>
    <definedName name="tre" localSheetId="5">#REF!</definedName>
    <definedName name="tre" localSheetId="36">#REF!</definedName>
    <definedName name="tre" localSheetId="22">#REF!</definedName>
    <definedName name="tre" localSheetId="24">#REF!</definedName>
    <definedName name="tre">#REF!</definedName>
    <definedName name="TRX" localSheetId="5">#REF!</definedName>
    <definedName name="TRX" localSheetId="22">#REF!</definedName>
    <definedName name="TRX" localSheetId="24">#REF!</definedName>
    <definedName name="TRX">#REF!</definedName>
    <definedName name="TV" localSheetId="38">Summary!#REF!</definedName>
    <definedName name="TV" localSheetId="5">Summary!#REF!</definedName>
    <definedName name="TV" localSheetId="39">Summary!#REF!</definedName>
    <definedName name="TV" localSheetId="36">Summary!#REF!</definedName>
    <definedName name="TV" localSheetId="22">Summary!#REF!</definedName>
    <definedName name="TV" localSheetId="24">Summary!#REF!</definedName>
    <definedName name="TV">Summary!#REF!</definedName>
    <definedName name="TV_METH" localSheetId="38">#REF!</definedName>
    <definedName name="TV_METH" localSheetId="5">#REF!</definedName>
    <definedName name="TV_METH" localSheetId="39">#REF!</definedName>
    <definedName name="TV_METH" localSheetId="36">#REF!</definedName>
    <definedName name="TV_METH">#REF!</definedName>
    <definedName name="TV_METH1" localSheetId="38">#REF!</definedName>
    <definedName name="TV_METH1" localSheetId="5">#REF!</definedName>
    <definedName name="TV_METH1" localSheetId="39">#REF!</definedName>
    <definedName name="TV_METH1" localSheetId="36">#REF!</definedName>
    <definedName name="TV_METH1">#REF!</definedName>
    <definedName name="TV_METH2" localSheetId="38">#REF!</definedName>
    <definedName name="TV_METH2" localSheetId="5">#REF!</definedName>
    <definedName name="TV_METH2" localSheetId="39">#REF!</definedName>
    <definedName name="TV_METH2" localSheetId="36">#REF!</definedName>
    <definedName name="TV_METH2">#REF!</definedName>
    <definedName name="TV_METH3" localSheetId="38">#REF!</definedName>
    <definedName name="TV_METH3" localSheetId="5">#REF!</definedName>
    <definedName name="TV_METH3" localSheetId="39">#REF!</definedName>
    <definedName name="TV_METH3" localSheetId="36">#REF!</definedName>
    <definedName name="TV_METH3">#REF!</definedName>
    <definedName name="TV_METH4" localSheetId="38">Summary!#REF!</definedName>
    <definedName name="TV_METH4" localSheetId="5">Summary!#REF!</definedName>
    <definedName name="TV_METH4" localSheetId="39">Summary!#REF!</definedName>
    <definedName name="TV_METH4" localSheetId="36">Summary!#REF!</definedName>
    <definedName name="TV_METH4" localSheetId="22">Summary!#REF!</definedName>
    <definedName name="TV_METH4" localSheetId="24">Summary!#REF!</definedName>
    <definedName name="TV_METH4">Summary!#REF!</definedName>
    <definedName name="TV_METH5" localSheetId="38">#REF!</definedName>
    <definedName name="TV_METH5" localSheetId="5">#REF!</definedName>
    <definedName name="TV_METH5" localSheetId="39">#REF!</definedName>
    <definedName name="TV_METH5" localSheetId="36">#REF!</definedName>
    <definedName name="TV_METH5">#REF!</definedName>
    <definedName name="TVMETH1" localSheetId="38">#REF!</definedName>
    <definedName name="TVMETH1" localSheetId="5">#REF!</definedName>
    <definedName name="TVMETH1" localSheetId="39">#REF!</definedName>
    <definedName name="TVMETH1" localSheetId="36">#REF!</definedName>
    <definedName name="TVMETH1">#REF!</definedName>
    <definedName name="TVMETH2" localSheetId="38">#REF!</definedName>
    <definedName name="TVMETH2" localSheetId="5">#REF!</definedName>
    <definedName name="TVMETH2" localSheetId="39">#REF!</definedName>
    <definedName name="TVMETH2" localSheetId="36">#REF!</definedName>
    <definedName name="TVMETH2">#REF!</definedName>
    <definedName name="TVMETH3" localSheetId="38">Summary!#REF!</definedName>
    <definedName name="TVMETH3" localSheetId="5">Summary!#REF!</definedName>
    <definedName name="TVMETH3" localSheetId="39">Summary!#REF!</definedName>
    <definedName name="TVMETH3" localSheetId="36">Summary!#REF!</definedName>
    <definedName name="TVMETH3" localSheetId="22">Summary!#REF!</definedName>
    <definedName name="TVMETH3" localSheetId="24">Summary!#REF!</definedName>
    <definedName name="TVMETH3">Summary!#REF!</definedName>
    <definedName name="Tx_Rate">16%</definedName>
    <definedName name="UNITS" localSheetId="38">#REF!</definedName>
    <definedName name="UNITS" localSheetId="5">#REF!</definedName>
    <definedName name="UNITS" localSheetId="36">#REF!</definedName>
    <definedName name="UNITS" localSheetId="22">#REF!</definedName>
    <definedName name="UNITS" localSheetId="24">#REF!</definedName>
    <definedName name="UNITS">#REF!</definedName>
    <definedName name="upstream" localSheetId="5">#REF!</definedName>
    <definedName name="upstream" localSheetId="24">#REF!</definedName>
    <definedName name="upstream">#REF!</definedName>
    <definedName name="USD_EUR" localSheetId="5">#REF!</definedName>
    <definedName name="USD_EUR">#REF!</definedName>
    <definedName name="vae" localSheetId="38">#REF!</definedName>
    <definedName name="vae" localSheetId="5">#REF!</definedName>
    <definedName name="vae" localSheetId="39">#REF!</definedName>
    <definedName name="vae" localSheetId="36">#REF!</definedName>
    <definedName name="vae" localSheetId="22">#REF!</definedName>
    <definedName name="vae" localSheetId="24">#REF!</definedName>
    <definedName name="vae">#REF!</definedName>
    <definedName name="valuation2" localSheetId="5">Summary!#REF!</definedName>
    <definedName name="valuation2" localSheetId="24">Summary!#REF!</definedName>
    <definedName name="valuation2">Summary!#REF!</definedName>
    <definedName name="ValuationAdjustmentsOther">0</definedName>
    <definedName name="ValuationAdjustmentsValue">0</definedName>
    <definedName name="ValuationCellularValue">0</definedName>
    <definedName name="ValuationDebtAdjustment">0</definedName>
    <definedName name="ValuationDebtNet">0</definedName>
    <definedName name="ValuationDebtTotal">0</definedName>
    <definedName name="ValuationFirmValue">0</definedName>
    <definedName name="ValuationInvestments">0</definedName>
    <definedName name="ValuationMarketCapitalization">0</definedName>
    <definedName name="ValuationOtherValue">0</definedName>
    <definedName name="ValuationPagingValue">0</definedName>
    <definedName name="ValuationTelephoneValue">0</definedName>
    <definedName name="ValuationWirelessValue">0</definedName>
    <definedName name="Vat" localSheetId="5">#REF!</definedName>
    <definedName name="Vat" localSheetId="22">#REF!</definedName>
    <definedName name="Vat" localSheetId="24">#REF!</definedName>
    <definedName name="Vat">#REF!</definedName>
    <definedName name="vay" localSheetId="38">#REF!</definedName>
    <definedName name="vay" localSheetId="5">#REF!</definedName>
    <definedName name="vay" localSheetId="39">#REF!</definedName>
    <definedName name="vay" localSheetId="36">#REF!</definedName>
    <definedName name="vay" localSheetId="22">#REF!</definedName>
    <definedName name="vay" localSheetId="24">#REF!</definedName>
    <definedName name="vay">#REF!</definedName>
    <definedName name="vbv" localSheetId="38">#REF!</definedName>
    <definedName name="vbv" localSheetId="5">#REF!</definedName>
    <definedName name="vbv" localSheetId="39">#REF!</definedName>
    <definedName name="vbv" localSheetId="36">#REF!</definedName>
    <definedName name="vbv" localSheetId="22">#REF!</definedName>
    <definedName name="vbv" localSheetId="24">#REF!</definedName>
    <definedName name="vbv">#REF!</definedName>
    <definedName name="vcf" localSheetId="38">#REF!</definedName>
    <definedName name="vcf" localSheetId="5">#REF!</definedName>
    <definedName name="vcf" localSheetId="39">#REF!</definedName>
    <definedName name="vcf" localSheetId="36">#REF!</definedName>
    <definedName name="vcf" localSheetId="22">#REF!</definedName>
    <definedName name="vcf" localSheetId="24">#REF!</definedName>
    <definedName name="vcf">#REF!</definedName>
    <definedName name="vdp" localSheetId="38">#REF!</definedName>
    <definedName name="vdp" localSheetId="5">#REF!</definedName>
    <definedName name="vdp" localSheetId="39">#REF!</definedName>
    <definedName name="vdp" localSheetId="36">#REF!</definedName>
    <definedName name="vdp" localSheetId="22">#REF!</definedName>
    <definedName name="vdp" localSheetId="24">#REF!</definedName>
    <definedName name="vdp">#REF!</definedName>
    <definedName name="veb" localSheetId="38">#REF!</definedName>
    <definedName name="veb" localSheetId="5">#REF!</definedName>
    <definedName name="veb" localSheetId="39">#REF!</definedName>
    <definedName name="veb" localSheetId="36">#REF!</definedName>
    <definedName name="veb" localSheetId="22">#REF!</definedName>
    <definedName name="veb" localSheetId="24">#REF!</definedName>
    <definedName name="veb">#REF!</definedName>
    <definedName name="veg" localSheetId="38">#REF!</definedName>
    <definedName name="veg" localSheetId="5">#REF!</definedName>
    <definedName name="veg" localSheetId="36">#REF!</definedName>
    <definedName name="veg" localSheetId="22">#REF!</definedName>
    <definedName name="veg" localSheetId="24">#REF!</definedName>
    <definedName name="veg">#REF!</definedName>
    <definedName name="vep" localSheetId="38">#REF!</definedName>
    <definedName name="vep" localSheetId="5">#REF!</definedName>
    <definedName name="vep" localSheetId="39">#REF!</definedName>
    <definedName name="vep" localSheetId="36">#REF!</definedName>
    <definedName name="vep" localSheetId="22">#REF!</definedName>
    <definedName name="vep" localSheetId="24">#REF!</definedName>
    <definedName name="vep">#REF!</definedName>
    <definedName name="vev" localSheetId="38">#REF!</definedName>
    <definedName name="vev" localSheetId="5">#REF!</definedName>
    <definedName name="vev" localSheetId="39">#REF!</definedName>
    <definedName name="vev" localSheetId="36">#REF!</definedName>
    <definedName name="vev" localSheetId="22">#REF!</definedName>
    <definedName name="vev" localSheetId="24">#REF!</definedName>
    <definedName name="vev">#REF!</definedName>
    <definedName name="vey" localSheetId="38">#REF!</definedName>
    <definedName name="vey" localSheetId="5">#REF!</definedName>
    <definedName name="vey" localSheetId="39">#REF!</definedName>
    <definedName name="vey" localSheetId="36">#REF!</definedName>
    <definedName name="vey" localSheetId="22">#REF!</definedName>
    <definedName name="vey" localSheetId="24">#REF!</definedName>
    <definedName name="vey">#REF!</definedName>
    <definedName name="vfa" localSheetId="38">#REF!</definedName>
    <definedName name="vfa" localSheetId="5">#REF!</definedName>
    <definedName name="vfa" localSheetId="39">#REF!</definedName>
    <definedName name="vfa" localSheetId="36">#REF!</definedName>
    <definedName name="vfa" localSheetId="22">#REF!</definedName>
    <definedName name="vfa" localSheetId="24">#REF!</definedName>
    <definedName name="vfa">#REF!</definedName>
    <definedName name="via" localSheetId="38">#REF!</definedName>
    <definedName name="via" localSheetId="5">#REF!</definedName>
    <definedName name="via" localSheetId="39">#REF!</definedName>
    <definedName name="via" localSheetId="36">#REF!</definedName>
    <definedName name="via" localSheetId="22">#REF!</definedName>
    <definedName name="via" localSheetId="24">#REF!</definedName>
    <definedName name="via">#REF!</definedName>
    <definedName name="vio" localSheetId="38">#REF!</definedName>
    <definedName name="vio" localSheetId="5">#REF!</definedName>
    <definedName name="vio" localSheetId="39">#REF!</definedName>
    <definedName name="vio" localSheetId="36">#REF!</definedName>
    <definedName name="vio" localSheetId="22">#REF!</definedName>
    <definedName name="vio" localSheetId="24">#REF!</definedName>
    <definedName name="vio">#REF!</definedName>
    <definedName name="vmv" localSheetId="38">#REF!</definedName>
    <definedName name="vmv" localSheetId="5">#REF!</definedName>
    <definedName name="vmv" localSheetId="39">#REF!</definedName>
    <definedName name="vmv" localSheetId="36">#REF!</definedName>
    <definedName name="vmv" localSheetId="22">#REF!</definedName>
    <definedName name="vmv" localSheetId="24">#REF!</definedName>
    <definedName name="vmv">#REF!</definedName>
    <definedName name="vnd" localSheetId="38">#REF!</definedName>
    <definedName name="vnd" localSheetId="5">#REF!</definedName>
    <definedName name="vnd" localSheetId="39">#REF!</definedName>
    <definedName name="vnd" localSheetId="36">#REF!</definedName>
    <definedName name="vnd" localSheetId="22">#REF!</definedName>
    <definedName name="vnd" localSheetId="24">#REF!</definedName>
    <definedName name="vnd">#REF!</definedName>
    <definedName name="vorne" localSheetId="5">#REF!</definedName>
    <definedName name="vorne" localSheetId="24">#REF!</definedName>
    <definedName name="vorne">#REF!</definedName>
    <definedName name="vpx" localSheetId="38">#REF!</definedName>
    <definedName name="vpx" localSheetId="5">#REF!</definedName>
    <definedName name="vpx" localSheetId="36">#REF!</definedName>
    <definedName name="vpx" localSheetId="22">#REF!</definedName>
    <definedName name="vpx" localSheetId="24">#REF!</definedName>
    <definedName name="vpx">#REF!</definedName>
    <definedName name="vrn" localSheetId="38">#REF!</definedName>
    <definedName name="vrn" localSheetId="5">#REF!</definedName>
    <definedName name="vrn" localSheetId="39">#REF!</definedName>
    <definedName name="vrn" localSheetId="36">#REF!</definedName>
    <definedName name="vrn" localSheetId="22">#REF!</definedName>
    <definedName name="vrn" localSheetId="24">#REF!</definedName>
    <definedName name="vrn">#REF!</definedName>
    <definedName name="vsp" localSheetId="38">#REF!</definedName>
    <definedName name="vsp" localSheetId="5">#REF!</definedName>
    <definedName name="vsp" localSheetId="39">#REF!</definedName>
    <definedName name="vsp" localSheetId="36">#REF!</definedName>
    <definedName name="vsp" localSheetId="22">#REF!</definedName>
    <definedName name="vsp" localSheetId="24">#REF!</definedName>
    <definedName name="vsp">#REF!</definedName>
    <definedName name="vva" localSheetId="38">#REF!</definedName>
    <definedName name="vva" localSheetId="5">#REF!</definedName>
    <definedName name="vva" localSheetId="39">#REF!</definedName>
    <definedName name="vva" localSheetId="36">#REF!</definedName>
    <definedName name="vva" localSheetId="22">#REF!</definedName>
    <definedName name="vva" localSheetId="24">#REF!</definedName>
    <definedName name="vva">#REF!</definedName>
    <definedName name="wacc" localSheetId="5">#REF!</definedName>
    <definedName name="wacc" localSheetId="22">#REF!</definedName>
    <definedName name="wacc" localSheetId="24">#REF!</definedName>
    <definedName name="wacc">#REF!</definedName>
    <definedName name="Weighted_average_shares">#REF!</definedName>
    <definedName name="wrn.Accounts." localSheetId="5">{"turnover",#N/A,FALSE;"profits",#N/A,FALSE;"cash",#N/A,FALSE}</definedName>
    <definedName name="wrn.Accounts." localSheetId="27">{"turnover",#N/A,FALSE;"profits",#N/A,FALSE;"cash",#N/A,FALSE}</definedName>
    <definedName name="wrn.Accounts." localSheetId="22">{"turnover",#N/A,FALSE;"profits",#N/A,FALSE;"cash",#N/A,FALSE}</definedName>
    <definedName name="wrn.Accounts." localSheetId="24">{"turnover",#N/A,FALSE;"profits",#N/A,FALSE;"cash",#N/A,FALSE}</definedName>
    <definedName name="wrn.Accounts.">{"turnover",#N/A,FALSE;"profits",#N/A,FALSE;"cash",#N/A,FALSE}</definedName>
    <definedName name="wrn.Accounts._1">{"turnover",#N/A,FALSE;"profits",#N/A,FALSE;"cash",#N/A,FALSE}</definedName>
    <definedName name="wrn.All." localSheetId="5">{#N/A,#N/A,TRUE,"Introduction";#N/A,#N/A,TRUE,"Operating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27">{#N/A,#N/A,TRUE,"Introduction";#N/A,#N/A,TRUE,"Operating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22">{#N/A,#N/A,TRUE,"Introduction";#N/A,#N/A,TRUE,"Operating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24">{#N/A,#N/A,TRUE,"Introduction";#N/A,#N/A,TRUE,"Operating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_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pages." localSheetId="5">{#N/A,#N/A,TRUE,"Historicals";#N/A,#N/A,TRUE,"Charts";#N/A,#N/A,TRUE,"Forecasts"}</definedName>
    <definedName name="wrn.allpages." localSheetId="27">{#N/A,#N/A,TRUE,"Historicals";#N/A,#N/A,TRUE,"Charts";#N/A,#N/A,TRUE,"Forecasts"}</definedName>
    <definedName name="wrn.allpages." localSheetId="22">{#N/A,#N/A,TRUE,"Historicals";#N/A,#N/A,TRUE,"Charts";#N/A,#N/A,TRUE,"Forecasts"}</definedName>
    <definedName name="wrn.allpages." localSheetId="24">{#N/A,#N/A,TRUE,"Historicals";#N/A,#N/A,TRUE,"Charts";#N/A,#N/A,TRUE,"Forecasts"}</definedName>
    <definedName name="wrn.allpages.">{#N/A,#N/A,TRUE,"Historicals";#N/A,#N/A,TRUE,"Charts";#N/A,#N/A,TRUE,"Forecasts"}</definedName>
    <definedName name="wrn.allpages._1">{#N/A,#N/A,TRUE,"Historicals";#N/A,#N/A,TRUE,"Charts";#N/A,#N/A,TRUE,"Forecasts"}</definedName>
    <definedName name="wrn.Comcast." localSheetId="5">{"EPS_one",#N/A,FALSE,"96-02 EPS";"EPS_two",#N/A,FALSE,"96-02 EPS";"Newrev_one",#N/A,FALSE,"New rev 97 - 02";"Newrev_two",#N/A,FALSE,"New rev 97 - 02";"cable_one",#N/A,FALSE,"cable 96-02";"cable_two",#N/A,FALSE,"cable 96-02";"data.page",#N/A,FALSE,"Data_page"}</definedName>
    <definedName name="wrn.Comcast." localSheetId="27">{"EPS_one",#N/A,FALSE,"96-02 EPS";"EPS_two",#N/A,FALSE,"96-02 EPS";"Newrev_one",#N/A,FALSE,"New rev 97 - 02";"Newrev_two",#N/A,FALSE,"New rev 97 - 02";"cable_one",#N/A,FALSE,"cable 96-02";"cable_two",#N/A,FALSE,"cable 96-02";"data.page",#N/A,FALSE,"Data_page"}</definedName>
    <definedName name="wrn.Comcast." localSheetId="22">{"EPS_one",#N/A,FALSE,"96-02 EPS";"EPS_two",#N/A,FALSE,"96-02 EPS";"Newrev_one",#N/A,FALSE,"New rev 97 - 02";"Newrev_two",#N/A,FALSE,"New rev 97 - 02";"cable_one",#N/A,FALSE,"cable 96-02";"cable_two",#N/A,FALSE,"cable 96-02";"data.page",#N/A,FALSE,"Data_page"}</definedName>
    <definedName name="wrn.Comcast." localSheetId="24">{"EPS_one",#N/A,FALSE,"96-02 EPS";"EPS_two",#N/A,FALSE,"96-02 EPS";"Newrev_one",#N/A,FALSE,"New rev 97 - 02";"Newrev_two",#N/A,FALSE,"New rev 97 - 02";"cable_one",#N/A,FALSE,"cable 96-02";"cable_two",#N/A,FALSE,"cable 96-02";"data.page",#N/A,FALSE,"Data_page"}</definedName>
    <definedName name="wrn.Comcast.">{"EPS_one",#N/A,FALSE,"96-02 EPS";"EPS_two",#N/A,FALSE,"96-02 EPS";"Newrev_one",#N/A,FALSE,"New rev 97 - 02";"Newrev_two",#N/A,FALSE,"New rev 97 - 02";"cable_one",#N/A,FALSE,"cable 96-02";"cable_two",#N/A,FALSE,"cable 96-02";"data.page",#N/A,FALSE,"Data_page"}</definedName>
    <definedName name="wrn.Comcast._1">{"EPS_one",#N/A,FALSE,"96-02 EPS";"EPS_two",#N/A,FALSE,"96-02 EPS";"Newrev_one",#N/A,FALSE,"New rev 97 - 02";"Newrev_two",#N/A,FALSE,"New rev 97 - 02";"cable_one",#N/A,FALSE,"cable 96-02";"cable_two",#N/A,FALSE,"cable 96-02";"data.page",#N/A,FALSE,"Data_page"}</definedName>
    <definedName name="wrn.Consolidated._.Statements." localSheetId="5">{"view1",#N/A,FALSE,"EARN (US$)";"view1",#N/A,FALSE,"DASTBS (US$)";"view1",#N/A,FALSE,"DASTCF (US$)"}</definedName>
    <definedName name="wrn.Consolidated._.Statements." localSheetId="27">{"view1",#N/A,FALSE,"EARN (US$)";"view1",#N/A,FALSE,"DASTBS (US$)";"view1",#N/A,FALSE,"DASTCF (US$)"}</definedName>
    <definedName name="wrn.Consolidated._.Statements." localSheetId="22">{"view1",#N/A,FALSE,"EARN (US$)";"view1",#N/A,FALSE,"DASTBS (US$)";"view1",#N/A,FALSE,"DASTCF (US$)"}</definedName>
    <definedName name="wrn.Consolidated._.Statements." localSheetId="24">{"view1",#N/A,FALSE,"EARN (US$)";"view1",#N/A,FALSE,"DASTBS (US$)";"view1",#N/A,FALSE,"DASTCF (US$)"}</definedName>
    <definedName name="wrn.Consolidated._.Statements.">{"view1",#N/A,FALSE,"EARN (US$)";"view1",#N/A,FALSE,"DASTBS (US$)";"view1",#N/A,FALSE,"DASTCF (US$)"}</definedName>
    <definedName name="wrn.Consolidated._.Statements._1">{"view1",#N/A,FALSE,"EARN (US$)";"view1",#N/A,FALSE,"DASTBS (US$)";"view1",#N/A,FALSE,"DASTCF (US$)"}</definedName>
    <definedName name="wrn.Covers." localSheetId="5">{"view1",#N/A,FALSE,"MOTEARN";"view1",#N/A,FALSE,"Bal Sht";"view1",#N/A,FALSE,"Cash Flows"}</definedName>
    <definedName name="wrn.Covers." localSheetId="27">{"view1",#N/A,FALSE,"MOTEARN";"view1",#N/A,FALSE,"Bal Sht";"view1",#N/A,FALSE,"Cash Flows"}</definedName>
    <definedName name="wrn.Covers." localSheetId="22">{"view1",#N/A,FALSE,"MOTEARN";"view1",#N/A,FALSE,"Bal Sht";"view1",#N/A,FALSE,"Cash Flows"}</definedName>
    <definedName name="wrn.Covers." localSheetId="24">{"view1",#N/A,FALSE,"MOTEARN";"view1",#N/A,FALSE,"Bal Sht";"view1",#N/A,FALSE,"Cash Flows"}</definedName>
    <definedName name="wrn.Covers.">{"view1",#N/A,FALSE,"MOTEARN";"view1",#N/A,FALSE,"Bal Sht";"view1",#N/A,FALSE,"Cash Flows"}</definedName>
    <definedName name="wrn.Covers._1">{"view1",#N/A,FALSE,"MOTEARN";"view1",#N/A,FALSE,"Bal Sht";"view1",#N/A,FALSE,"Cash Flows"}</definedName>
    <definedName name="wrn.Earnings._.Model." localSheetId="5">{#N/A,#N/A,FALSE,"Product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7">{#N/A,#N/A,FALSE,"Product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2">{#N/A,#N/A,FALSE,"Product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4">{#N/A,#N/A,FALSE,"Product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Full._.Financials." localSheetId="5">{#N/A,#N/A,TRUE,"Financials";#N/A,#N/A,TRUE,"Operating Statistics";#N/A,#N/A,TRUE,"Capex &amp; Depreciation";#N/A,#N/A,TRUE,"Debt"}</definedName>
    <definedName name="wrn.Full._.Financials." localSheetId="27">{#N/A,#N/A,TRUE,"Financials";#N/A,#N/A,TRUE,"Operating Statistics";#N/A,#N/A,TRUE,"Capex &amp; Depreciation";#N/A,#N/A,TRUE,"Debt"}</definedName>
    <definedName name="wrn.Full._.Financials." localSheetId="22">{#N/A,#N/A,TRUE,"Financials";#N/A,#N/A,TRUE,"Operating Statistics";#N/A,#N/A,TRUE,"Capex &amp; Depreciation";#N/A,#N/A,TRUE,"Debt"}</definedName>
    <definedName name="wrn.Full._.Financials." localSheetId="24">{#N/A,#N/A,TRUE,"Financials";#N/A,#N/A,TRUE,"Operating Statistics";#N/A,#N/A,TRUE,"Capex &amp; Depreciation";#N/A,#N/A,TRUE,"Debt"}</definedName>
    <definedName name="wrn.Full._.Financials.">{#N/A,#N/A,TRUE,"Financials";#N/A,#N/A,TRUE,"Operating Statistics";#N/A,#N/A,TRUE,"Capex &amp; Depreciation";#N/A,#N/A,TRUE,"Debt"}</definedName>
    <definedName name="wrn.Full._.Financials._1">{#N/A,#N/A,TRUE,"Financials";#N/A,#N/A,TRUE,"Operating Statistics";#N/A,#N/A,TRUE,"Capex &amp; Depreciation";#N/A,#N/A,TRUE,"Debt"}</definedName>
    <definedName name="wrn.Leases.xls." localSheetId="5">{#N/A,#N/A,FALSE,"Initial Year";#N/A,#N/A,FALSE,"Historical";#N/A,#N/A,FALSE,"balsheet";#N/A,#N/A,FALSE,"incstate";#N/A,#N/A,FALSE,"Fleet"}</definedName>
    <definedName name="wrn.Leases.xls." localSheetId="27">{#N/A,#N/A,FALSE,"Initial Year";#N/A,#N/A,FALSE,"Historical";#N/A,#N/A,FALSE,"balsheet";#N/A,#N/A,FALSE,"incstate";#N/A,#N/A,FALSE,"Fleet"}</definedName>
    <definedName name="wrn.Leases.xls." localSheetId="22">{#N/A,#N/A,FALSE,"Initial Year";#N/A,#N/A,FALSE,"Historical";#N/A,#N/A,FALSE,"balsheet";#N/A,#N/A,FALSE,"incstate";#N/A,#N/A,FALSE,"Fleet"}</definedName>
    <definedName name="wrn.Leases.xls." localSheetId="24">{#N/A,#N/A,FALSE,"Initial Year";#N/A,#N/A,FALSE,"Historical";#N/A,#N/A,FALSE,"balsheet";#N/A,#N/A,FALSE,"incstate";#N/A,#N/A,FALSE,"Fleet"}</definedName>
    <definedName name="wrn.Leases.xls.">{#N/A,#N/A,FALSE,"Initial Year";#N/A,#N/A,FALSE,"Historical";#N/A,#N/A,FALSE,"balsheet";#N/A,#N/A,FALSE,"incstate";#N/A,#N/A,FALSE,"Fleet"}</definedName>
    <definedName name="wrn.Leases.xls._1">{#N/A,#N/A,FALSE,"Initial Year";#N/A,#N/A,FALSE,"Historical";#N/A,#N/A,FALSE,"balsheet";#N/A,#N/A,FALSE,"incstate";#N/A,#N/A,FALSE,"Fleet"}</definedName>
    <definedName name="wrn.Model." localSheetId="5">{#N/A,#N/A,FALSE,"Cover";#N/A,#N/A,FALSE,"LUMI";#N/A,#N/A,FALSE,"COMD";#N/A,#N/A,FALSE,"Valuation";#N/A,#N/A,FALSE,"Assumptions";#N/A,#N/A,FALSE,"Pooling";#N/A,#N/A,FALSE,"BalanceSheet"}</definedName>
    <definedName name="wrn.Model." localSheetId="27">{#N/A,#N/A,FALSE,"Cover";#N/A,#N/A,FALSE,"LUMI";#N/A,#N/A,FALSE,"COMD";#N/A,#N/A,FALSE,"Valuation";#N/A,#N/A,FALSE,"Assumptions";#N/A,#N/A,FALSE,"Pooling";#N/A,#N/A,FALSE,"BalanceSheet"}</definedName>
    <definedName name="wrn.Model." localSheetId="22">{#N/A,#N/A,FALSE,"Cover";#N/A,#N/A,FALSE,"LUMI";#N/A,#N/A,FALSE,"COMD";#N/A,#N/A,FALSE,"Valuation";#N/A,#N/A,FALSE,"Assumptions";#N/A,#N/A,FALSE,"Pooling";#N/A,#N/A,FALSE,"BalanceSheet"}</definedName>
    <definedName name="wrn.Model." localSheetId="24">{#N/A,#N/A,FALSE,"Cover";#N/A,#N/A,FALSE,"LUMI";#N/A,#N/A,FALSE,"COMD";#N/A,#N/A,FALSE,"Valuation";#N/A,#N/A,FALSE,"Assumptions";#N/A,#N/A,FALSE,"Pooling";#N/A,#N/A,FALSE,"BalanceSheet"}</definedName>
    <definedName name="wrn.Model.">{#N/A,#N/A,FALSE,"Cover";#N/A,#N/A,FALSE,"LUMI";#N/A,#N/A,FALSE,"COMD";#N/A,#N/A,FALSE,"Valuation";#N/A,#N/A,FALSE,"Assumptions";#N/A,#N/A,FALSE,"Pooling";#N/A,#N/A,FALSE,"BalanceSheet"}</definedName>
    <definedName name="wrn.Model._1">{#N/A,#N/A,FALSE,"Cover";#N/A,#N/A,FALSE,"LUMI";#N/A,#N/A,FALSE,"COMD";#N/A,#N/A,FALSE,"Valuation";#N/A,#N/A,FALSE,"Assumptions";#N/A,#N/A,FALSE,"Pooling";#N/A,#N/A,FALSE,"BalanceSheet"}</definedName>
    <definedName name="wrn.Models." localSheetId="5">{"cable_one",#N/A,FALSE,"cable 96-02";"cable_two",#N/A,FALSE,"cable 96-02";"Newrev_one",#N/A,FALSE,"New rev 97 - 02";"Newrev_two",#N/A,FALSE,"New rev 97 - 02"}</definedName>
    <definedName name="wrn.Models." localSheetId="27">{"cable_one",#N/A,FALSE,"cable 96-02";"cable_two",#N/A,FALSE,"cable 96-02";"Newrev_one",#N/A,FALSE,"New rev 97 - 02";"Newrev_two",#N/A,FALSE,"New rev 97 - 02"}</definedName>
    <definedName name="wrn.Models." localSheetId="22">{"cable_one",#N/A,FALSE,"cable 96-02";"cable_two",#N/A,FALSE,"cable 96-02";"Newrev_one",#N/A,FALSE,"New rev 97 - 02";"Newrev_two",#N/A,FALSE,"New rev 97 - 02"}</definedName>
    <definedName name="wrn.Models." localSheetId="24">{"cable_one",#N/A,FALSE,"cable 96-02";"cable_two",#N/A,FALSE,"cable 96-02";"Newrev_one",#N/A,FALSE,"New rev 97 - 02";"Newrev_two",#N/A,FALSE,"New rev 97 - 02"}</definedName>
    <definedName name="wrn.Models.">{"cable_one",#N/A,FALSE,"cable 96-02";"cable_two",#N/A,FALSE,"cable 96-02";"Newrev_one",#N/A,FALSE,"New rev 97 - 02";"Newrev_two",#N/A,FALSE,"New rev 97 - 02"}</definedName>
    <definedName name="wrn.Models._1">{"cable_one",#N/A,FALSE,"cable 96-02";"cable_two",#N/A,FALSE,"cable 96-02";"Newrev_one",#N/A,FALSE,"New rev 97 - 02";"Newrev_two",#N/A,FALSE,"New rev 97 - 02"}</definedName>
    <definedName name="wrn.One._.Pager._.plus._.Technicals." localSheetId="5">{#N/A,#N/A,FALSE,"One Pager";#N/A,#N/A,FALSE,"Technical"}</definedName>
    <definedName name="wrn.One._.Pager._.plus._.Technicals." localSheetId="27">{#N/A,#N/A,FALSE,"One Pager";#N/A,#N/A,FALSE,"Technical"}</definedName>
    <definedName name="wrn.One._.Pager._.plus._.Technicals." localSheetId="22">{#N/A,#N/A,FALSE,"One Pager";#N/A,#N/A,FALSE,"Technical"}</definedName>
    <definedName name="wrn.One._.Pager._.plus._.Technicals." localSheetId="24">{#N/A,#N/A,FALSE,"One Pager";#N/A,#N/A,FALSE,"Technical"}</definedName>
    <definedName name="wrn.One._.Pager._.plus._.Technicals.">{#N/A,#N/A,FALSE,"One Pager";#N/A,#N/A,FALSE,"Technical"}</definedName>
    <definedName name="wrn.One._.Pager._.plus._.Technicals._1">{#N/A,#N/A,FALSE,"One Pager";#N/A,#N/A,FALSE,"Technical"}</definedName>
    <definedName name="wrn.OUTPUT." localSheetId="5">{"DCF","UPSIDE CASE",FALSE,"Sheet1";"DCF","BASE CASE",FALSE,"Sheet1";"DCF","DOWNSIDE CASE",FALSE,"Sheet1"}</definedName>
    <definedName name="wrn.OUTPUT." localSheetId="27">{"DCF","UPSIDE CASE",FALSE,"Sheet1";"DCF","BASE CASE",FALSE,"Sheet1";"DCF","DOWNSIDE CASE",FALSE,"Sheet1"}</definedName>
    <definedName name="wrn.OUTPUT." localSheetId="22">{"DCF","UPSIDE CASE",FALSE,"Sheet1";"DCF","BASE CASE",FALSE,"Sheet1";"DCF","DOWNSIDE CASE",FALSE,"Sheet1"}</definedName>
    <definedName name="wrn.OUTPUT." localSheetId="24">{"DCF","UPSIDE CASE",FALSE,"Sheet1";"DCF","BASE CASE",FALSE,"Sheet1";"DCF","DOWNSIDE CASE",FALSE,"Sheet1"}</definedName>
    <definedName name="wrn.OUTPUT.">{"DCF","UPSIDE CASE",FALSE,"Sheet1";"DCF","BASE CASE",FALSE,"Sheet1";"DCF","DOWNSIDE CASE",FALSE,"Sheet1"}</definedName>
    <definedName name="wrn.OUTPUT._1">{"DCF","UPSIDE CASE",FALSE,"Sheet1";"DCF","BASE CASE",FALSE,"Sheet1";"DCF","DOWNSIDE CASE",FALSE,"Sheet1"}</definedName>
    <definedName name="wrn.Print._.24." localSheetId="5">{#N/A,#N/A,FALSE,"Index";"Stmts_Qtrs",#N/A,FALSE,"Summary";"Stmts_24 mo",#N/A,FALSE,"Summary";"Summary_24",#N/A,FALSE,"Revenue";"Month_24",#N/A,FALSE,"Engineering";"Month_24",#N/A,FALSE,"Marketing";"Month_24",#N/A,FALSE,"G &amp; A";"Month_24",#N/A,FALSE,"Manufacturing"}</definedName>
    <definedName name="wrn.Print._.24." localSheetId="27">{#N/A,#N/A,FALSE,"Index";"Stmts_Qtrs",#N/A,FALSE,"Summary";"Stmts_24 mo",#N/A,FALSE,"Summary";"Summary_24",#N/A,FALSE,"Revenue";"Month_24",#N/A,FALSE,"Engineering";"Month_24",#N/A,FALSE,"Marketing";"Month_24",#N/A,FALSE,"G &amp; A";"Month_24",#N/A,FALSE,"Manufacturing"}</definedName>
    <definedName name="wrn.Print._.24." localSheetId="22">{#N/A,#N/A,FALSE,"Index";"Stmts_Qtrs",#N/A,FALSE,"Summary";"Stmts_24 mo",#N/A,FALSE,"Summary";"Summary_24",#N/A,FALSE,"Revenue";"Month_24",#N/A,FALSE,"Engineering";"Month_24",#N/A,FALSE,"Marketing";"Month_24",#N/A,FALSE,"G &amp; A";"Month_24",#N/A,FALSE,"Manufacturing"}</definedName>
    <definedName name="wrn.Print._.24." localSheetId="24">{#N/A,#N/A,FALSE,"Index";"Stmts_Qtrs",#N/A,FALSE,"Summary";"Stmts_24 mo",#N/A,FALSE,"Summary";"Summary_24",#N/A,FALSE,"Revenue";"Month_24",#N/A,FALSE,"Engineering";"Month_24",#N/A,FALSE,"Marketing";"Month_24",#N/A,FALSE,"G &amp; A";"Month_24",#N/A,FALSE,"Manufacturing"}</definedName>
    <definedName name="wrn.Print._.24.">{#N/A,#N/A,FALSE,"Index";"Stmts_Qtrs",#N/A,FALSE,"Summary";"Stmts_24 mo",#N/A,FALSE,"Summary";"Summary_24",#N/A,FALSE,"Revenue";"Month_24",#N/A,FALSE,"Engineering";"Month_24",#N/A,FALSE,"Marketing";"Month_24",#N/A,FALSE,"G &amp; A";"Month_24",#N/A,FALSE,"Manufacturing"}</definedName>
    <definedName name="wrn.Print._.24._1">{#N/A,#N/A,FALSE,"Index";"Stmts_Qtrs",#N/A,FALSE,"Summary";"Stmts_24 mo",#N/A,FALSE,"Summary";"Summary_24",#N/A,FALSE,"Revenue";"Month_24",#N/A,FALSE,"Engineering";"Month_24",#N/A,FALSE,"Marketing";"Month_24",#N/A,FALSE,"G &amp; A";"Month_24",#N/A,FALSE,"Manufacturing"}</definedName>
    <definedName name="wrn.Publish." localSheetId="5">{"Contents",#N/A,FALSE,"Comparisons";"ShareInfo",#N/A,FALSE,"Comparisons";"Profitability",#N/A,FALSE,"Comparisons";"FirmValue",#N/A,FALSE,"Comparisons";"Labour",#N/A,FALSE,"Comparisons";"Capital",#N/A,FALSE,"Comparisons"}</definedName>
    <definedName name="wrn.Publish." localSheetId="27">{"Contents",#N/A,FALSE,"Comparisons";"ShareInfo",#N/A,FALSE,"Comparisons";"Profitability",#N/A,FALSE,"Comparisons";"FirmValue",#N/A,FALSE,"Comparisons";"Labour",#N/A,FALSE,"Comparisons";"Capital",#N/A,FALSE,"Comparisons"}</definedName>
    <definedName name="wrn.Publish." localSheetId="22">{"Contents",#N/A,FALSE,"Comparisons";"ShareInfo",#N/A,FALSE,"Comparisons";"Profitability",#N/A,FALSE,"Comparisons";"FirmValue",#N/A,FALSE,"Comparisons";"Labour",#N/A,FALSE,"Comparisons";"Capital",#N/A,FALSE,"Comparisons"}</definedName>
    <definedName name="wrn.Publish." localSheetId="24">{"Contents",#N/A,FALSE,"Comparisons";"ShareInfo",#N/A,FALSE,"Comparisons";"Profitability",#N/A,FALSE,"Comparisons";"FirmValue",#N/A,FALSE,"Comparisons";"Labour",#N/A,FALSE,"Comparisons";"Capital",#N/A,FALSE,"Comparisons"}</definedName>
    <definedName name="wrn.Publish.">{"Contents",#N/A,FALSE,"Comparisons";"ShareInfo",#N/A,FALSE,"Comparisons";"Profitability",#N/A,FALSE,"Comparisons";"FirmValue",#N/A,FALSE,"Comparisons";"Labour",#N/A,FALSE,"Comparisons";"Capital",#N/A,FALSE,"Comparisons"}</definedName>
    <definedName name="wrn.Publish._1">{"Contents",#N/A,FALSE,"Comparisons";"ShareInfo",#N/A,FALSE,"Comparisons";"Profitability",#N/A,FALSE,"Comparisons";"FirmValue",#N/A,FALSE,"Comparisons";"Labour",#N/A,FALSE,"Comparisons";"Capital",#N/A,FALSE,"Comparisons"}</definedName>
    <definedName name="wrn.Segments." localSheetId="5">{"view1",#N/A,FALSE,"Consolidated";"view2",#N/A,FALSE,"Consolidated (sum)";"view1",#N/A,FALSE,"Gen Sys";"view1",#N/A,FALSE,"Semicon";"view1",#N/A,FALSE,"Mess|Med";"view1",#N/A,FALSE,"Land Mob";"view1",#N/A,FALSE,"Other Prod";"view1",#N/A,FALSE,"Adj|Elim"}</definedName>
    <definedName name="wrn.Segments." localSheetId="27">{"view1",#N/A,FALSE,"Consolidated";"view2",#N/A,FALSE,"Consolidated (sum)";"view1",#N/A,FALSE,"Gen Sys";"view1",#N/A,FALSE,"Semicon";"view1",#N/A,FALSE,"Mess|Med";"view1",#N/A,FALSE,"Land Mob";"view1",#N/A,FALSE,"Other Prod";"view1",#N/A,FALSE,"Adj|Elim"}</definedName>
    <definedName name="wrn.Segments." localSheetId="22">{"view1",#N/A,FALSE,"Consolidated";"view2",#N/A,FALSE,"Consolidated (sum)";"view1",#N/A,FALSE,"Gen Sys";"view1",#N/A,FALSE,"Semicon";"view1",#N/A,FALSE,"Mess|Med";"view1",#N/A,FALSE,"Land Mob";"view1",#N/A,FALSE,"Other Prod";"view1",#N/A,FALSE,"Adj|Elim"}</definedName>
    <definedName name="wrn.Segments." localSheetId="24">{"view1",#N/A,FALSE,"Consolidated";"view2",#N/A,FALSE,"Consolidated (sum)";"view1",#N/A,FALSE,"Gen Sys";"view1",#N/A,FALSE,"Semicon";"view1",#N/A,FALSE,"Mess|Med";"view1",#N/A,FALSE,"Land Mob";"view1",#N/A,FALSE,"Other Prod";"view1",#N/A,FALSE,"Adj|Elim"}</definedName>
    <definedName name="wrn.Segments.">{"view1",#N/A,FALSE,"Consolidated";"view2",#N/A,FALSE,"Consolidated (sum)";"view1",#N/A,FALSE,"Gen Sys";"view1",#N/A,FALSE,"Semicon";"view1",#N/A,FALSE,"Mess|Med";"view1",#N/A,FALSE,"Land Mob";"view1",#N/A,FALSE,"Other Prod";"view1",#N/A,FALSE,"Adj|Elim"}</definedName>
    <definedName name="wrn.Segments._1">{"view1",#N/A,FALSE,"Consolidated";"view2",#N/A,FALSE,"Consolidated (sum)";"view1",#N/A,FALSE,"Gen Sys";"view1",#N/A,FALSE,"Semicon";"view1",#N/A,FALSE,"Mess|Med";"view1",#N/A,FALSE,"Land Mob";"view1",#N/A,FALSE,"Other Prod";"view1",#N/A,FALSE,"Adj|Elim"}</definedName>
    <definedName name="wrn.Tables." localSheetId="5">{"view1",#N/A,FALSE,"Tables";"view2",#N/A,FALSE,"Tables";"view3",#N/A,FALSE,"Tables"}</definedName>
    <definedName name="wrn.Tables." localSheetId="27">{"view1",#N/A,FALSE,"Tables";"view2",#N/A,FALSE,"Tables";"view3",#N/A,FALSE,"Tables"}</definedName>
    <definedName name="wrn.Tables." localSheetId="22">{"view1",#N/A,FALSE,"Tables";"view2",#N/A,FALSE,"Tables";"view3",#N/A,FALSE,"Tables"}</definedName>
    <definedName name="wrn.Tables." localSheetId="24">{"view1",#N/A,FALSE,"Tables";"view2",#N/A,FALSE,"Tables";"view3",#N/A,FALSE,"Tables"}</definedName>
    <definedName name="wrn.Tables.">{"view1",#N/A,FALSE,"Tables";"view2",#N/A,FALSE,"Tables";"view3",#N/A,FALSE,"Tables"}</definedName>
    <definedName name="wrn.Tables._1">{"view1",#N/A,FALSE,"Tables";"view2",#N/A,FALSE,"Tables";"view3",#N/A,FALSE,"Tables"}</definedName>
    <definedName name="wrn.twxmodel." localSheetId="5">{"twx1",#N/A,FALSE,"twltm.xls";"twx2",#N/A,FALSE,"twltm.xls";"twx3",#N/A,FALSE,"twltm.xls"}</definedName>
    <definedName name="wrn.twxmodel." localSheetId="27">{"twx1",#N/A,FALSE,"twltm.xls";"twx2",#N/A,FALSE,"twltm.xls";"twx3",#N/A,FALSE,"twltm.xls"}</definedName>
    <definedName name="wrn.twxmodel." localSheetId="22">{"twx1",#N/A,FALSE,"twltm.xls";"twx2",#N/A,FALSE,"twltm.xls";"twx3",#N/A,FALSE,"twltm.xls"}</definedName>
    <definedName name="wrn.twxmodel." localSheetId="24">{"twx1",#N/A,FALSE,"twltm.xls";"twx2",#N/A,FALSE,"twltm.xls";"twx3",#N/A,FALSE,"twltm.xls"}</definedName>
    <definedName name="wrn.twxmodel.">{"twx1",#N/A,FALSE,"twltm.xls";"twx2",#N/A,FALSE,"twltm.xls";"twx3",#N/A,FALSE,"twltm.xls"}</definedName>
    <definedName name="wrn.twxmodel._1">{"twx1",#N/A,FALSE,"twltm.xls";"twx2",#N/A,FALSE,"twltm.xls";"twx3",#N/A,FALSE,"twltm.xls"}</definedName>
    <definedName name="wvu.cash." localSheetId="5">{TRUE,TRUE,-1.25,-15.5,456.75,279.75,FALSE,FALSE,TRUE,TRUE,0,1,18,1,199,6,3,4,TRUE,TRUE,3,TRUE,1,TRUE,100,"Swvu.cash.","ACwvu.cash.",1,FALSE,FALSE,0.511811023622047,0.511811023622047,0.511811023622047,0.511811023622047,1,"","",FALSE,FALSE,FALSE,FALSE,1,#N/A,1,1,#DIV/0!,FALSE,"Rwvu.cash.",#N/A,FALSE,FALSE}</definedName>
    <definedName name="wvu.cash." localSheetId="27">{TRUE,TRUE,-1.25,-15.5,456.75,279.75,FALSE,FALSE,TRUE,TRUE,0,1,18,1,199,6,3,4,TRUE,TRUE,3,TRUE,1,TRUE,100,"Swvu.cash.","ACwvu.cash.",1,FALSE,FALSE,0.511811023622047,0.511811023622047,0.511811023622047,0.511811023622047,1,"","",FALSE,FALSE,FALSE,FALSE,1,#N/A,1,1,#DIV/0!,FALSE,"Rwvu.cash.",#N/A,FALSE,FALSE}</definedName>
    <definedName name="wvu.cash." localSheetId="22">{TRUE,TRUE,-1.25,-15.5,456.75,279.75,FALSE,FALSE,TRUE,TRUE,0,1,18,1,199,6,3,4,TRUE,TRUE,3,TRUE,1,TRUE,100,"Swvu.cash.","ACwvu.cash.",1,FALSE,FALSE,0.511811023622047,0.511811023622047,0.511811023622047,0.511811023622047,1,"","",FALSE,FALSE,FALSE,FALSE,1,#N/A,1,1,#DIV/0!,FALSE,"Rwvu.cash.",#N/A,FALSE,FALSE}</definedName>
    <definedName name="wvu.cash." localSheetId="24">{TRUE,TRUE,-1.25,-15.5,456.75,279.75,FALSE,FALSE,TRUE,TRUE,0,1,18,1,199,6,3,4,TRUE,TRUE,3,TRUE,1,TRUE,100,"Swvu.cash.","ACwvu.cash.",1,FALSE,FALSE,0.511811023622047,0.511811023622047,0.511811023622047,0.511811023622047,1,"","",FALSE,FALSE,FALSE,FALSE,1,#N/A,1,1,#DIV/0!,FALSE,"Rwvu.cash.",#N/A,FALSE,FALSE}</definedName>
    <definedName name="wvu.cash.">{TRUE,TRUE,-1.25,-15.5,456.75,279.75,FALSE,FALSE,TRUE,TRUE,0,1,18,1,199,6,3,4,TRUE,TRUE,3,TRUE,1,TRUE,100,"Swvu.cash.","ACwvu.cash.",1,FALSE,FALSE,0.511811023622047,0.511811023622047,0.511811023622047,0.511811023622047,1,"","",FALSE,FALSE,FALSE,FALSE,1,#N/A,1,1,#DIV/0!,FALSE,"Rwvu.cash.",#N/A,FALSE,FALSE}</definedName>
    <definedName name="wvu.cash._1">{TRUE,TRUE,-1.25,-15.5,456.75,279.75,FALSE,FALSE,TRUE,TRUE,0,1,18,1,199,6,3,4,TRUE,TRUE,3,TRUE,1,TRUE,100,"Swvu.cash.","ACwvu.cash.",1,FALSE,FALSE,0.511811023622047,0.511811023622047,0.511811023622047,0.511811023622047,1,"","",FALSE,FALSE,FALSE,FALSE,1,#N/A,1,1,#DIV/0!,FALSE,"Rwvu.cash.",#N/A,FALSE,FALSE}</definedName>
    <definedName name="wvu.profits." localSheetId="5">{TRUE,TRUE,-1.25,-15.5,456.75,279.75,FALSE,FALSE,TRUE,TRUE,0,1,21,1,127,6,3,4,TRUE,TRUE,3,TRUE,1,TRUE,100,"Swvu.profits.","ACwvu.profits.",1,FALSE,FALSE,0.511811023622047,0.511811023622047,0.511811023622047,0.511811023622047,1,"","",FALSE,FALSE,FALSE,FALSE,1,#N/A,1,1,#DIV/0!,FALSE,"Rwvu.profits.",#N/A,FALSE,FALSE}</definedName>
    <definedName name="wvu.profits." localSheetId="27">{TRUE,TRUE,-1.25,-15.5,456.75,279.75,FALSE,FALSE,TRUE,TRUE,0,1,21,1,127,6,3,4,TRUE,TRUE,3,TRUE,1,TRUE,100,"Swvu.profits.","ACwvu.profits.",1,FALSE,FALSE,0.511811023622047,0.511811023622047,0.511811023622047,0.511811023622047,1,"","",FALSE,FALSE,FALSE,FALSE,1,#N/A,1,1,#DIV/0!,FALSE,"Rwvu.profits.",#N/A,FALSE,FALSE}</definedName>
    <definedName name="wvu.profits." localSheetId="22">{TRUE,TRUE,-1.25,-15.5,456.75,279.75,FALSE,FALSE,TRUE,TRUE,0,1,21,1,127,6,3,4,TRUE,TRUE,3,TRUE,1,TRUE,100,"Swvu.profits.","ACwvu.profits.",1,FALSE,FALSE,0.511811023622047,0.511811023622047,0.511811023622047,0.511811023622047,1,"","",FALSE,FALSE,FALSE,FALSE,1,#N/A,1,1,#DIV/0!,FALSE,"Rwvu.profits.",#N/A,FALSE,FALSE}</definedName>
    <definedName name="wvu.profits." localSheetId="24">{TRUE,TRUE,-1.25,-15.5,456.75,279.75,FALSE,FALSE,TRUE,TRUE,0,1,21,1,127,6,3,4,TRUE,TRUE,3,TRUE,1,TRUE,100,"Swvu.profits.","ACwvu.profits.",1,FALSE,FALSE,0.511811023622047,0.511811023622047,0.511811023622047,0.511811023622047,1,"","",FALSE,FALSE,FALSE,FALSE,1,#N/A,1,1,#DIV/0!,FALSE,"Rwvu.profits.",#N/A,FALSE,FALSE}</definedName>
    <definedName name="wvu.profits.">{TRUE,TRUE,-1.25,-15.5,456.75,279.75,FALSE,FALSE,TRUE,TRUE,0,1,21,1,127,6,3,4,TRUE,TRUE,3,TRUE,1,TRUE,100,"Swvu.profits.","ACwvu.profits.",1,FALSE,FALSE,0.511811023622047,0.511811023622047,0.511811023622047,0.511811023622047,1,"","",FALSE,FALSE,FALSE,FALSE,1,#N/A,1,1,#DIV/0!,FALSE,"Rwvu.profits.",#N/A,FALSE,FALSE}</definedName>
    <definedName name="wvu.profits._1">{TRUE,TRUE,-1.25,-15.5,456.75,279.75,FALSE,FALSE,TRUE,TRUE,0,1,21,1,127,6,3,4,TRUE,TRUE,3,TRUE,1,TRUE,100,"Swvu.profits.","ACwvu.profits.",1,FALSE,FALSE,0.511811023622047,0.511811023622047,0.511811023622047,0.511811023622047,1,"","",FALSE,FALSE,FALSE,FALSE,1,#N/A,1,1,#DIV/0!,FALSE,"Rwvu.profits.",#N/A,FALSE,FALSE}</definedName>
    <definedName name="wvu.turnover." localSheetId="5">{TRUE,TRUE,-1.25,-15.5,456.75,279.75,FALSE,FALSE,TRUE,TRUE,0,1,8,1,4,6,3,4,TRUE,TRUE,3,TRUE,1,TRUE,100,"Swvu.turnover.","ACwvu.turnover.",1,FALSE,FALSE,0.511811023622047,0.511811023622047,0.511811023622047,0.511811023622047,1,"","",FALSE,FALSE,FALSE,FALSE,1,#N/A,1,1,#DIV/0!,FALSE,"Rwvu.turnover.",#N/A,FALSE,FALSE}</definedName>
    <definedName name="wvu.turnover." localSheetId="27">{TRUE,TRUE,-1.25,-15.5,456.75,279.75,FALSE,FALSE,TRUE,TRUE,0,1,8,1,4,6,3,4,TRUE,TRUE,3,TRUE,1,TRUE,100,"Swvu.turnover.","ACwvu.turnover.",1,FALSE,FALSE,0.511811023622047,0.511811023622047,0.511811023622047,0.511811023622047,1,"","",FALSE,FALSE,FALSE,FALSE,1,#N/A,1,1,#DIV/0!,FALSE,"Rwvu.turnover.",#N/A,FALSE,FALSE}</definedName>
    <definedName name="wvu.turnover." localSheetId="22">{TRUE,TRUE,-1.25,-15.5,456.75,279.75,FALSE,FALSE,TRUE,TRUE,0,1,8,1,4,6,3,4,TRUE,TRUE,3,TRUE,1,TRUE,100,"Swvu.turnover.","ACwvu.turnover.",1,FALSE,FALSE,0.511811023622047,0.511811023622047,0.511811023622047,0.511811023622047,1,"","",FALSE,FALSE,FALSE,FALSE,1,#N/A,1,1,#DIV/0!,FALSE,"Rwvu.turnover.",#N/A,FALSE,FALSE}</definedName>
    <definedName name="wvu.turnover." localSheetId="24">{TRUE,TRUE,-1.25,-15.5,456.75,279.75,FALSE,FALSE,TRUE,TRUE,0,1,8,1,4,6,3,4,TRUE,TRUE,3,TRUE,1,TRUE,100,"Swvu.turnover.","ACwvu.turnover.",1,FALSE,FALSE,0.511811023622047,0.511811023622047,0.511811023622047,0.511811023622047,1,"","",FALSE,FALSE,FALSE,FALSE,1,#N/A,1,1,#DIV/0!,FALSE,"Rwvu.turnover.",#N/A,FALSE,FALSE}</definedName>
    <definedName name="wvu.turnover.">{TRUE,TRUE,-1.25,-15.5,456.75,279.75,FALSE,FALSE,TRUE,TRUE,0,1,8,1,4,6,3,4,TRUE,TRUE,3,TRUE,1,TRUE,100,"Swvu.turnover.","ACwvu.turnover.",1,FALSE,FALSE,0.511811023622047,0.511811023622047,0.511811023622047,0.511811023622047,1,"","",FALSE,FALSE,FALSE,FALSE,1,#N/A,1,1,#DIV/0!,FALSE,"Rwvu.turnover.",#N/A,FALSE,FALSE}</definedName>
    <definedName name="wvu.turnover._1">{TRUE,TRUE,-1.25,-15.5,456.75,279.75,FALSE,FALSE,TRUE,TRUE,0,1,8,1,4,6,3,4,TRUE,TRUE,3,TRUE,1,TRUE,100,"Swvu.turnover.","ACwvu.turnover.",1,FALSE,FALSE,0.511811023622047,0.511811023622047,0.511811023622047,0.511811023622047,1,"","",FALSE,FALSE,FALSE,FALSE,1,#N/A,1,1,#DIV/0!,FALSE,"Rwvu.turnover.",#N/A,FALSE,FALSE}</definedName>
    <definedName name="xer" localSheetId="38">#REF!</definedName>
    <definedName name="xer" localSheetId="5">#REF!</definedName>
    <definedName name="xer" localSheetId="36">#REF!</definedName>
    <definedName name="xer" localSheetId="22">#REF!</definedName>
    <definedName name="xer" localSheetId="24">#REF!</definedName>
    <definedName name="xer">#REF!</definedName>
    <definedName name="xfx" localSheetId="38">#REF!</definedName>
    <definedName name="xfx" localSheetId="5">#REF!</definedName>
    <definedName name="xfx" localSheetId="36">#REF!</definedName>
    <definedName name="xfx" localSheetId="22">#REF!</definedName>
    <definedName name="xfx" localSheetId="24">#REF!</definedName>
    <definedName name="xfx">#REF!</definedName>
    <definedName name="Xinjiang" localSheetId="5">#REF!</definedName>
    <definedName name="Xinjiang" localSheetId="22">#REF!</definedName>
    <definedName name="Xinjiang" localSheetId="24">#REF!</definedName>
    <definedName name="Xinjiang">#REF!</definedName>
    <definedName name="xitem" localSheetId="38">#REF!</definedName>
    <definedName name="xitem" localSheetId="5">#REF!</definedName>
    <definedName name="xitem" localSheetId="36">#REF!</definedName>
    <definedName name="xitem" localSheetId="22">#REF!</definedName>
    <definedName name="xitem" localSheetId="24">#REF!</definedName>
    <definedName name="xitem">#REF!</definedName>
    <definedName name="xoe" localSheetId="38">#REF!</definedName>
    <definedName name="xoe" localSheetId="5">#REF!</definedName>
    <definedName name="xoe" localSheetId="36">#REF!</definedName>
    <definedName name="xoe" localSheetId="22">#REF!</definedName>
    <definedName name="xoe" localSheetId="24">#REF!</definedName>
    <definedName name="xoe">#REF!</definedName>
    <definedName name="xpr" localSheetId="38">#REF!</definedName>
    <definedName name="xpr" localSheetId="5">#REF!</definedName>
    <definedName name="xpr" localSheetId="36">#REF!</definedName>
    <definedName name="xpr" localSheetId="22">#REF!</definedName>
    <definedName name="xpr" localSheetId="24">#REF!</definedName>
    <definedName name="xpr">#REF!</definedName>
    <definedName name="xunits" localSheetId="38">#REF!</definedName>
    <definedName name="xunits" localSheetId="5">#REF!</definedName>
    <definedName name="xunits" localSheetId="36">#REF!</definedName>
    <definedName name="xunits" localSheetId="22">#REF!</definedName>
    <definedName name="xunits" localSheetId="24">#REF!</definedName>
    <definedName name="xunits">#REF!</definedName>
    <definedName name="xxExport" localSheetId="38">#REF!</definedName>
    <definedName name="xxExport" localSheetId="5">#REF!</definedName>
    <definedName name="xxExport" localSheetId="36">#REF!</definedName>
    <definedName name="xxExport" localSheetId="22">#REF!</definedName>
    <definedName name="xxExport" localSheetId="24">#REF!</definedName>
    <definedName name="xxExport">#REF!</definedName>
    <definedName name="xxForecast" localSheetId="38">#REF!</definedName>
    <definedName name="xxForecast" localSheetId="5">#REF!</definedName>
    <definedName name="xxForecast" localSheetId="36">#REF!</definedName>
    <definedName name="xxForecast" localSheetId="22">#REF!</definedName>
    <definedName name="xxForecast" localSheetId="24">#REF!</definedName>
    <definedName name="xxForecast">#REF!</definedName>
    <definedName name="xysz" localSheetId="5">{TRUE,TRUE,-1.25,-15.5,456.75,279.75,FALSE,FALSE,TRUE,TRUE,0,1,21,1,127,6,3,4,TRUE,TRUE,3,TRUE,1,TRUE,100,"Swvu.profits.","ACwvu.profits.",1,FALSE,FALSE,0.511811023622047,0.511811023622047,0.511811023622047,0.511811023622047,1,"","",FALSE,FALSE,FALSE,FALSE,1,#N/A,1,1,#DIV/0!,FALSE,"Rwvu.profits.",#N/A,FALSE,FALSE}</definedName>
    <definedName name="xysz" localSheetId="27">{TRUE,TRUE,-1.25,-15.5,456.75,279.75,FALSE,FALSE,TRUE,TRUE,0,1,21,1,127,6,3,4,TRUE,TRUE,3,TRUE,1,TRUE,100,"Swvu.profits.","ACwvu.profits.",1,FALSE,FALSE,0.511811023622047,0.511811023622047,0.511811023622047,0.511811023622047,1,"","",FALSE,FALSE,FALSE,FALSE,1,#N/A,1,1,#DIV/0!,FALSE,"Rwvu.profits.",#N/A,FALSE,FALSE}</definedName>
    <definedName name="xysz" localSheetId="22">{TRUE,TRUE,-1.25,-15.5,456.75,279.75,FALSE,FALSE,TRUE,TRUE,0,1,21,1,127,6,3,4,TRUE,TRUE,3,TRUE,1,TRUE,100,"Swvu.profits.","ACwvu.profits.",1,FALSE,FALSE,0.511811023622047,0.511811023622047,0.511811023622047,0.511811023622047,1,"","",FALSE,FALSE,FALSE,FALSE,1,#N/A,1,1,#DIV/0!,FALSE,"Rwvu.profits.",#N/A,FALSE,FALSE}</definedName>
    <definedName name="xysz" localSheetId="24">{TRUE,TRUE,-1.25,-15.5,456.75,279.75,FALSE,FALSE,TRUE,TRUE,0,1,21,1,127,6,3,4,TRUE,TRUE,3,TRUE,1,TRUE,100,"Swvu.profits.","ACwvu.profits.",1,FALSE,FALSE,0.511811023622047,0.511811023622047,0.511811023622047,0.511811023622047,1,"","",FALSE,FALSE,FALSE,FALSE,1,#N/A,1,1,#DIV/0!,FALSE,"Rwvu.profits.",#N/A,FALSE,FALSE}</definedName>
    <definedName name="xysz">{TRUE,TRUE,-1.25,-15.5,456.75,279.75,FALSE,FALSE,TRUE,TRUE,0,1,21,1,127,6,3,4,TRUE,TRUE,3,TRUE,1,TRUE,100,"Swvu.profits.","ACwvu.profits.",1,FALSE,FALSE,0.511811023622047,0.511811023622047,0.511811023622047,0.511811023622047,1,"","",FALSE,FALSE,FALSE,FALSE,1,#N/A,1,1,#DIV/0!,FALSE,"Rwvu.profits.",#N/A,FALSE,FALSE}</definedName>
    <definedName name="xysz_1">{TRUE,TRUE,-1.25,-15.5,456.75,279.75,FALSE,FALSE,TRUE,TRUE,0,1,21,1,127,6,3,4,TRUE,TRUE,3,TRUE,1,TRUE,100,"Swvu.profits.","ACwvu.profits.",1,FALSE,FALSE,0.511811023622047,0.511811023622047,0.511811023622047,0.511811023622047,1,"","",FALSE,FALSE,FALSE,FALSE,1,#N/A,1,1,#DIV/0!,FALSE,"Rwvu.profits.",#N/A,FALSE,FALSE}</definedName>
    <definedName name="y_y_growth">#REF!</definedName>
    <definedName name="Year">#REF!</definedName>
    <definedName name="year_end">"June"</definedName>
    <definedName name="YEAR2" localSheetId="5">#REF!</definedName>
    <definedName name="YEAR2">#REF!</definedName>
    <definedName name="YesNo" localSheetId="5">#REF!</definedName>
    <definedName name="YesNo" localSheetId="24">#REF!</definedName>
    <definedName name="YesNo">#REF!</definedName>
    <definedName name="YrEnd_FFr_USD">0.1767</definedName>
    <definedName name="yrendlist" localSheetId="38">#REF!</definedName>
    <definedName name="yrendlist" localSheetId="5">#REF!</definedName>
    <definedName name="yrendlist" localSheetId="39">#REF!</definedName>
    <definedName name="yrendlist" localSheetId="36">#REF!</definedName>
    <definedName name="yrendlist" localSheetId="22">#REF!</definedName>
    <definedName name="yrendlist" localSheetId="24">#REF!</definedName>
    <definedName name="yrendlist">#REF!</definedName>
  </definedNames>
  <calcPr calcId="191029" calcMode="autoNoTable" iterate="1" iterateCount="1500" concurrentManualCount="5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2" i="17" l="1"/>
  <c r="S62" i="17"/>
  <c r="U69" i="17"/>
  <c r="T69" i="17"/>
  <c r="V69" i="17"/>
  <c r="BC1" i="8"/>
  <c r="BE1" i="8"/>
  <c r="BG1" i="8"/>
  <c r="BC2" i="8"/>
  <c r="BE2" i="8"/>
  <c r="BG2" i="8"/>
  <c r="W130" i="10"/>
  <c r="W132" i="10" s="1"/>
  <c r="V130" i="10"/>
  <c r="V132" i="10" s="1"/>
  <c r="S129" i="10"/>
  <c r="T129" i="10"/>
  <c r="U129" i="10"/>
  <c r="X32" i="9"/>
  <c r="Y32" i="9" s="1"/>
  <c r="Z32" i="9" s="1"/>
  <c r="AA32" i="9" s="1"/>
  <c r="AB32" i="9" s="1"/>
  <c r="AC32" i="9" s="1"/>
  <c r="AD32" i="9" s="1"/>
  <c r="AE32" i="9" s="1"/>
  <c r="AF32" i="9" s="1"/>
  <c r="AG32" i="9" s="1"/>
  <c r="W17" i="12"/>
  <c r="X37" i="9"/>
  <c r="Y37" i="9" s="1"/>
  <c r="Z37" i="9" s="1"/>
  <c r="AA37" i="9" s="1"/>
  <c r="AB37" i="9" s="1"/>
  <c r="AC37" i="9" s="1"/>
  <c r="AD37" i="9" s="1"/>
  <c r="AE37" i="9" s="1"/>
  <c r="AF37" i="9" s="1"/>
  <c r="AG37" i="9" s="1"/>
  <c r="N37" i="9"/>
  <c r="O37" i="9"/>
  <c r="P37" i="9"/>
  <c r="Q37" i="9"/>
  <c r="R37" i="9"/>
  <c r="S37" i="9"/>
  <c r="T37" i="9"/>
  <c r="U37" i="9"/>
  <c r="W34" i="9"/>
  <c r="W29" i="12" s="1"/>
  <c r="W30" i="12" s="1"/>
  <c r="W11" i="11"/>
  <c r="W18" i="11"/>
  <c r="W23" i="11"/>
  <c r="W28" i="11"/>
  <c r="W30" i="11"/>
  <c r="W114" i="13"/>
  <c r="W105" i="13" s="1"/>
  <c r="W57" i="13" s="1"/>
  <c r="W128" i="13"/>
  <c r="W138" i="13" s="1"/>
  <c r="W132" i="13"/>
  <c r="W124" i="13" s="1"/>
  <c r="W74" i="13"/>
  <c r="W65" i="13"/>
  <c r="W60" i="13"/>
  <c r="X38" i="9"/>
  <c r="W78" i="14"/>
  <c r="V78" i="14"/>
  <c r="W75" i="14"/>
  <c r="V75" i="14"/>
  <c r="W67" i="14"/>
  <c r="V67" i="14"/>
  <c r="W68" i="14"/>
  <c r="W72" i="14"/>
  <c r="W22" i="14"/>
  <c r="V11" i="11"/>
  <c r="U34" i="9"/>
  <c r="V34" i="9"/>
  <c r="X51" i="24"/>
  <c r="N78" i="12"/>
  <c r="O78" i="12"/>
  <c r="P78" i="12"/>
  <c r="Q78" i="12"/>
  <c r="R78" i="12"/>
  <c r="S78" i="12"/>
  <c r="T78" i="12"/>
  <c r="U78" i="12"/>
  <c r="V78" i="12"/>
  <c r="W47" i="12"/>
  <c r="W26" i="12"/>
  <c r="W23" i="12"/>
  <c r="W18" i="12"/>
  <c r="W14" i="12"/>
  <c r="W15" i="12" s="1"/>
  <c r="X15" i="12" s="1"/>
  <c r="Y15" i="12" s="1"/>
  <c r="Z15" i="12" s="1"/>
  <c r="AA15" i="12" s="1"/>
  <c r="AB15" i="12" s="1"/>
  <c r="AC15" i="12" s="1"/>
  <c r="AD15" i="12" s="1"/>
  <c r="AE15" i="12" s="1"/>
  <c r="AF15" i="12" s="1"/>
  <c r="AG15" i="12" s="1"/>
  <c r="N23" i="9"/>
  <c r="O23" i="9"/>
  <c r="P23" i="9"/>
  <c r="Q23" i="9"/>
  <c r="R23" i="9"/>
  <c r="S23" i="9"/>
  <c r="T23" i="9"/>
  <c r="U23" i="9"/>
  <c r="V23" i="9"/>
  <c r="V74" i="13"/>
  <c r="W47" i="9"/>
  <c r="W48" i="9"/>
  <c r="W49" i="9"/>
  <c r="W50" i="9"/>
  <c r="W51" i="9"/>
  <c r="X51" i="9" s="1"/>
  <c r="W52" i="9"/>
  <c r="W53" i="9"/>
  <c r="X53" i="9" s="1"/>
  <c r="Y53" i="9" s="1"/>
  <c r="Z53" i="9" s="1"/>
  <c r="AA53" i="9" s="1"/>
  <c r="AB53" i="9" s="1"/>
  <c r="AC53" i="9" s="1"/>
  <c r="AD53" i="9" s="1"/>
  <c r="AE53" i="9" s="1"/>
  <c r="AF53" i="9" s="1"/>
  <c r="AG53" i="9" s="1"/>
  <c r="W54" i="9"/>
  <c r="W56" i="9"/>
  <c r="W58" i="9"/>
  <c r="W38" i="12" s="1"/>
  <c r="W60" i="9"/>
  <c r="W61" i="9"/>
  <c r="W44" i="12" s="1"/>
  <c r="W64" i="9"/>
  <c r="W66" i="9"/>
  <c r="W14" i="14" s="1"/>
  <c r="W42" i="14" s="1"/>
  <c r="W67" i="9"/>
  <c r="W68" i="9"/>
  <c r="W35" i="14" s="1"/>
  <c r="W76" i="9"/>
  <c r="W7" i="9"/>
  <c r="W8" i="9"/>
  <c r="W12" i="9"/>
  <c r="W17" i="9"/>
  <c r="W19" i="9"/>
  <c r="W29" i="9"/>
  <c r="W33" i="9" s="1"/>
  <c r="W41" i="9" s="1"/>
  <c r="W30" i="9"/>
  <c r="W31" i="9"/>
  <c r="W32" i="9"/>
  <c r="W35" i="9"/>
  <c r="W36" i="9"/>
  <c r="W37" i="9"/>
  <c r="W38" i="9"/>
  <c r="W39" i="9"/>
  <c r="W36" i="11" s="1"/>
  <c r="W40" i="9"/>
  <c r="X267" i="16"/>
  <c r="X266" i="16"/>
  <c r="X264" i="16"/>
  <c r="X263" i="16"/>
  <c r="X257" i="16"/>
  <c r="X255" i="16"/>
  <c r="X253" i="16"/>
  <c r="X251" i="16"/>
  <c r="X249" i="16"/>
  <c r="AT176" i="16"/>
  <c r="AT172" i="16"/>
  <c r="AT170" i="16"/>
  <c r="AT168" i="16"/>
  <c r="AT141" i="16"/>
  <c r="AT137" i="16"/>
  <c r="AT135" i="16"/>
  <c r="AT133" i="16"/>
  <c r="AT89" i="16"/>
  <c r="AT85" i="16"/>
  <c r="AT83" i="16"/>
  <c r="AT81" i="16"/>
  <c r="AT71" i="16"/>
  <c r="AT65" i="16"/>
  <c r="AT63" i="16"/>
  <c r="AT61" i="16"/>
  <c r="X30" i="16"/>
  <c r="X31" i="16" s="1"/>
  <c r="AT22" i="16"/>
  <c r="AT12" i="16"/>
  <c r="AT10" i="16"/>
  <c r="AT2" i="16"/>
  <c r="P26" i="20"/>
  <c r="X176" i="16" s="1"/>
  <c r="P18" i="20"/>
  <c r="P19" i="20" s="1"/>
  <c r="P11" i="20"/>
  <c r="P1" i="20" s="1"/>
  <c r="P6" i="20"/>
  <c r="P9" i="20" s="1"/>
  <c r="P3" i="20"/>
  <c r="P4" i="20" s="1"/>
  <c r="W26" i="19"/>
  <c r="X170" i="16" s="1"/>
  <c r="W18" i="19"/>
  <c r="W19" i="19" s="1"/>
  <c r="W11" i="19"/>
  <c r="W12" i="19" s="1"/>
  <c r="W6" i="19"/>
  <c r="W7" i="19" s="1"/>
  <c r="W3" i="19"/>
  <c r="W4" i="19" s="1"/>
  <c r="V28" i="18"/>
  <c r="X168" i="16" s="1"/>
  <c r="AU168" i="16" s="1"/>
  <c r="V20" i="18"/>
  <c r="V22" i="18" s="1"/>
  <c r="V11" i="18"/>
  <c r="V9" i="18" s="1"/>
  <c r="V6" i="18"/>
  <c r="V7" i="18" s="1"/>
  <c r="V3" i="18"/>
  <c r="V4" i="18" s="1"/>
  <c r="W61" i="17"/>
  <c r="W57" i="17"/>
  <c r="X172" i="16" s="1"/>
  <c r="W42" i="17"/>
  <c r="W43" i="17" s="1"/>
  <c r="W33" i="17"/>
  <c r="W31" i="17"/>
  <c r="W29" i="17"/>
  <c r="W25" i="17"/>
  <c r="W26" i="17" s="1"/>
  <c r="W15" i="17"/>
  <c r="W23" i="17" s="1"/>
  <c r="W3" i="17"/>
  <c r="W4" i="17" s="1"/>
  <c r="W25" i="24"/>
  <c r="X97" i="24"/>
  <c r="W80" i="9" s="1"/>
  <c r="X96" i="24"/>
  <c r="W79" i="9" s="1"/>
  <c r="X79" i="9" s="1"/>
  <c r="X92" i="24"/>
  <c r="X91" i="24"/>
  <c r="W75" i="9" s="1"/>
  <c r="W77" i="9" s="1"/>
  <c r="X84" i="24"/>
  <c r="X81" i="24"/>
  <c r="W63" i="9" s="1"/>
  <c r="W53" i="12" s="1"/>
  <c r="X79" i="24"/>
  <c r="X78" i="24"/>
  <c r="W62" i="9" s="1"/>
  <c r="W50" i="12" s="1"/>
  <c r="X77" i="24"/>
  <c r="X76" i="24"/>
  <c r="X75" i="24"/>
  <c r="W59" i="9" s="1"/>
  <c r="W56" i="12" s="1"/>
  <c r="X72" i="24"/>
  <c r="X71" i="24"/>
  <c r="X70" i="24"/>
  <c r="X69" i="24"/>
  <c r="X64" i="24"/>
  <c r="X63" i="24"/>
  <c r="X61" i="24"/>
  <c r="X60" i="24"/>
  <c r="X59" i="24"/>
  <c r="X58" i="24"/>
  <c r="X50" i="24"/>
  <c r="X49" i="24"/>
  <c r="X48" i="24"/>
  <c r="X44" i="24"/>
  <c r="X43" i="24"/>
  <c r="X42" i="24"/>
  <c r="X41" i="24"/>
  <c r="X40" i="24"/>
  <c r="X36" i="24"/>
  <c r="X35" i="24"/>
  <c r="X34" i="24"/>
  <c r="X33" i="24"/>
  <c r="X32" i="24"/>
  <c r="W26" i="9" s="1"/>
  <c r="W32" i="12" s="1"/>
  <c r="X31" i="24"/>
  <c r="W28" i="9" s="1"/>
  <c r="W34" i="12" s="1"/>
  <c r="X30" i="24"/>
  <c r="W27" i="9" s="1"/>
  <c r="W20" i="12" s="1"/>
  <c r="X28" i="24"/>
  <c r="X24" i="24"/>
  <c r="W21" i="9" s="1"/>
  <c r="X22" i="24"/>
  <c r="W23" i="9" s="1"/>
  <c r="W78" i="12" s="1"/>
  <c r="X21" i="24"/>
  <c r="W18" i="9" s="1"/>
  <c r="W72" i="12" s="1"/>
  <c r="X19" i="24"/>
  <c r="W16" i="9" s="1"/>
  <c r="X18" i="24"/>
  <c r="W15" i="9" s="1"/>
  <c r="W75" i="12" s="1"/>
  <c r="W76" i="12" s="1"/>
  <c r="X17" i="24"/>
  <c r="W22" i="9" s="1"/>
  <c r="X16" i="24"/>
  <c r="W14" i="9" s="1"/>
  <c r="W60" i="12" s="1"/>
  <c r="W61" i="12" s="1"/>
  <c r="X61" i="12" s="1"/>
  <c r="Y61" i="12" s="1"/>
  <c r="X15" i="24"/>
  <c r="W13" i="9" s="1"/>
  <c r="W69" i="12" s="1"/>
  <c r="X12" i="24"/>
  <c r="W20" i="9" s="1"/>
  <c r="W118" i="13" s="1"/>
  <c r="X11" i="24"/>
  <c r="W9" i="9" s="1"/>
  <c r="X10" i="24"/>
  <c r="W10" i="9" s="1"/>
  <c r="X9" i="24"/>
  <c r="W11" i="9" s="1"/>
  <c r="X7" i="24"/>
  <c r="W6" i="9" s="1"/>
  <c r="X6" i="24"/>
  <c r="W5" i="9" s="1"/>
  <c r="W99" i="13" s="1"/>
  <c r="X5" i="24"/>
  <c r="W4" i="9" s="1"/>
  <c r="W21" i="23"/>
  <c r="X32" i="23"/>
  <c r="X31" i="23"/>
  <c r="X29" i="23"/>
  <c r="X28" i="23"/>
  <c r="X27" i="23"/>
  <c r="W107" i="10" s="1"/>
  <c r="X26" i="23"/>
  <c r="X25" i="23"/>
  <c r="X23" i="23"/>
  <c r="W105" i="10" s="1"/>
  <c r="X21" i="23"/>
  <c r="X19" i="23"/>
  <c r="X18" i="23"/>
  <c r="X17" i="23"/>
  <c r="X10" i="23"/>
  <c r="W79" i="10" s="1"/>
  <c r="X7" i="23"/>
  <c r="W61" i="10" s="1"/>
  <c r="W9" i="11" s="1"/>
  <c r="X4" i="23"/>
  <c r="X3" i="23"/>
  <c r="X115" i="13"/>
  <c r="Y115" i="13" s="1"/>
  <c r="Z115" i="13" s="1"/>
  <c r="AA115" i="13" s="1"/>
  <c r="AB115" i="13" s="1"/>
  <c r="AC115" i="13" s="1"/>
  <c r="AD115" i="13" s="1"/>
  <c r="AE115" i="13" s="1"/>
  <c r="AF115" i="13" s="1"/>
  <c r="AG115" i="13" s="1"/>
  <c r="AG2" i="22"/>
  <c r="V23" i="19"/>
  <c r="V24" i="19" s="1"/>
  <c r="AA1" i="17"/>
  <c r="AB1" i="17" s="1"/>
  <c r="AC1" i="17" s="1"/>
  <c r="AD1" i="17" s="1"/>
  <c r="AE1" i="17" s="1"/>
  <c r="AF1" i="17" s="1"/>
  <c r="AG1" i="17" s="1"/>
  <c r="W2" i="12"/>
  <c r="AU167" i="16"/>
  <c r="AU153" i="16"/>
  <c r="AU146" i="16"/>
  <c r="AU132" i="16"/>
  <c r="AU118" i="16"/>
  <c r="AU105" i="16"/>
  <c r="AU80" i="16"/>
  <c r="AU60" i="16"/>
  <c r="AU41" i="16"/>
  <c r="AU181" i="16"/>
  <c r="AU174" i="16"/>
  <c r="AU139" i="16"/>
  <c r="AU87" i="16"/>
  <c r="AU69" i="16"/>
  <c r="AU67" i="16"/>
  <c r="AT238" i="16"/>
  <c r="AT11" i="16"/>
  <c r="W242" i="16"/>
  <c r="X58" i="16"/>
  <c r="W238" i="16"/>
  <c r="X237" i="16"/>
  <c r="U202" i="16"/>
  <c r="V202" i="16"/>
  <c r="W202" i="16"/>
  <c r="X202" i="16"/>
  <c r="U203" i="16"/>
  <c r="V203" i="16"/>
  <c r="W203" i="16"/>
  <c r="X203" i="16"/>
  <c r="U194" i="16"/>
  <c r="V194" i="16"/>
  <c r="X194" i="16"/>
  <c r="X174" i="16"/>
  <c r="W102" i="16"/>
  <c r="X116" i="16"/>
  <c r="X27" i="16"/>
  <c r="P2" i="20"/>
  <c r="W2" i="19"/>
  <c r="V1" i="19"/>
  <c r="R38" i="18"/>
  <c r="V2" i="18"/>
  <c r="W58" i="17"/>
  <c r="W2" i="17"/>
  <c r="V62" i="17"/>
  <c r="V59" i="17"/>
  <c r="V58" i="17"/>
  <c r="V34" i="17"/>
  <c r="V32" i="17"/>
  <c r="V30" i="17"/>
  <c r="W90" i="10"/>
  <c r="W8" i="11" s="1"/>
  <c r="W100" i="10"/>
  <c r="W19" i="10"/>
  <c r="W54" i="12" s="1"/>
  <c r="W4" i="10"/>
  <c r="W8" i="10"/>
  <c r="W43" i="10"/>
  <c r="W55" i="10"/>
  <c r="W63" i="10"/>
  <c r="W67" i="10"/>
  <c r="W88" i="10"/>
  <c r="W24" i="9" l="1"/>
  <c r="W78" i="13"/>
  <c r="W43" i="9"/>
  <c r="W27" i="12"/>
  <c r="X27" i="12" s="1"/>
  <c r="W39" i="12"/>
  <c r="X39" i="12" s="1"/>
  <c r="Y39" i="12" s="1"/>
  <c r="Z39" i="12" s="1"/>
  <c r="AA39" i="12" s="1"/>
  <c r="AB39" i="12" s="1"/>
  <c r="AC39" i="12" s="1"/>
  <c r="AD39" i="12" s="1"/>
  <c r="AE39" i="12" s="1"/>
  <c r="AF39" i="12" s="1"/>
  <c r="AG39" i="12" s="1"/>
  <c r="W39" i="17"/>
  <c r="W40" i="17" s="1"/>
  <c r="V17" i="18"/>
  <c r="V18" i="18" s="1"/>
  <c r="V25" i="18"/>
  <c r="V26" i="18" s="1"/>
  <c r="W26" i="18" s="1"/>
  <c r="X26" i="18" s="1"/>
  <c r="Y26" i="18" s="1"/>
  <c r="Z26" i="18" s="1"/>
  <c r="AA26" i="18" s="1"/>
  <c r="AB26" i="18" s="1"/>
  <c r="AC26" i="18" s="1"/>
  <c r="AD26" i="18" s="1"/>
  <c r="V29" i="18"/>
  <c r="W48" i="12"/>
  <c r="AU170" i="16"/>
  <c r="W24" i="12"/>
  <c r="W54" i="17"/>
  <c r="W55" i="17" s="1"/>
  <c r="X55" i="17" s="1"/>
  <c r="Y55" i="17" s="1"/>
  <c r="W51" i="12"/>
  <c r="W45" i="12"/>
  <c r="W8" i="14"/>
  <c r="V13" i="18"/>
  <c r="V14" i="18" s="1"/>
  <c r="W27" i="14"/>
  <c r="W57" i="12"/>
  <c r="W99" i="9"/>
  <c r="W123" i="13"/>
  <c r="W70" i="12"/>
  <c r="W9" i="19"/>
  <c r="W21" i="12"/>
  <c r="X21" i="12" s="1"/>
  <c r="V12" i="18"/>
  <c r="V21" i="18"/>
  <c r="W15" i="19"/>
  <c r="W16" i="19" s="1"/>
  <c r="W129" i="10"/>
  <c r="W6" i="10"/>
  <c r="P23" i="20"/>
  <c r="P24" i="20" s="1"/>
  <c r="Q24" i="20" s="1"/>
  <c r="R24" i="20" s="1"/>
  <c r="W11" i="12"/>
  <c r="W9" i="12" s="1"/>
  <c r="W73" i="12"/>
  <c r="W79" i="12"/>
  <c r="X79" i="12" s="1"/>
  <c r="Y79" i="12" s="1"/>
  <c r="W31" i="11"/>
  <c r="W20" i="11"/>
  <c r="W48" i="13"/>
  <c r="W46" i="13" s="1"/>
  <c r="W71" i="14"/>
  <c r="W36" i="12"/>
  <c r="W65" i="9"/>
  <c r="W82" i="9"/>
  <c r="W98" i="9"/>
  <c r="W112" i="9"/>
  <c r="W113" i="9" s="1"/>
  <c r="W94" i="9"/>
  <c r="W92" i="9"/>
  <c r="W69" i="9"/>
  <c r="W100" i="9"/>
  <c r="V65" i="13"/>
  <c r="W71" i="9"/>
  <c r="W84" i="9" s="1"/>
  <c r="W27" i="19"/>
  <c r="W22" i="10"/>
  <c r="X193" i="16"/>
  <c r="AU176" i="16"/>
  <c r="X192" i="16"/>
  <c r="AU172" i="16"/>
  <c r="W20" i="19"/>
  <c r="W46" i="10"/>
  <c r="W25" i="10" s="1"/>
  <c r="W44" i="17"/>
  <c r="W23" i="19"/>
  <c r="W24" i="19" s="1"/>
  <c r="X24" i="19" s="1"/>
  <c r="Y24" i="19" s="1"/>
  <c r="Z24" i="19" s="1"/>
  <c r="AA24" i="19" s="1"/>
  <c r="AB24" i="19" s="1"/>
  <c r="AC24" i="19" s="1"/>
  <c r="W59" i="17"/>
  <c r="P27" i="20"/>
  <c r="W14" i="10"/>
  <c r="P7" i="20"/>
  <c r="P12" i="20"/>
  <c r="P15" i="20"/>
  <c r="P16" i="20" s="1"/>
  <c r="P20" i="20"/>
  <c r="W16" i="17"/>
  <c r="X190" i="16"/>
  <c r="X191" i="16"/>
  <c r="X178" i="16"/>
  <c r="X182" i="16" s="1"/>
  <c r="P28" i="20"/>
  <c r="W28" i="19"/>
  <c r="W1" i="19"/>
  <c r="V30" i="18"/>
  <c r="V1" i="18"/>
  <c r="W1" i="18" s="1"/>
  <c r="X1" i="18" s="1"/>
  <c r="Y1" i="18" s="1"/>
  <c r="Z1" i="18" s="1"/>
  <c r="AA1" i="18" s="1"/>
  <c r="AB1" i="18" s="1"/>
  <c r="AC1" i="18" s="1"/>
  <c r="AD1" i="18" s="1"/>
  <c r="AE1" i="18" s="1"/>
  <c r="AF1" i="18" s="1"/>
  <c r="W1" i="17"/>
  <c r="W50" i="13" l="1"/>
  <c r="W6" i="11"/>
  <c r="W12" i="12"/>
  <c r="X12" i="12" s="1"/>
  <c r="Y12" i="12" s="1"/>
  <c r="Z12" i="12" s="1"/>
  <c r="AA12" i="12" s="1"/>
  <c r="AB12" i="12" s="1"/>
  <c r="AC12" i="12" s="1"/>
  <c r="AD12" i="12" s="1"/>
  <c r="AE12" i="12" s="1"/>
  <c r="AF12" i="12" s="1"/>
  <c r="AG12" i="12" s="1"/>
  <c r="W43" i="14"/>
  <c r="W40" i="14"/>
  <c r="W41" i="14"/>
  <c r="Z79" i="12"/>
  <c r="W110" i="9"/>
  <c r="W109" i="9"/>
  <c r="W103" i="9"/>
  <c r="W104" i="9"/>
  <c r="W101" i="9"/>
  <c r="V48" i="13"/>
  <c r="W49" i="13" s="1"/>
  <c r="W95" i="9"/>
  <c r="S24" i="20"/>
  <c r="AD24" i="19"/>
  <c r="AE26" i="18"/>
  <c r="Z55" i="17"/>
  <c r="X189" i="16"/>
  <c r="X184" i="16"/>
  <c r="X185" i="16"/>
  <c r="X186" i="16"/>
  <c r="X183" i="16"/>
  <c r="AA79" i="12" l="1"/>
  <c r="W1" i="9"/>
  <c r="W1" i="12" s="1"/>
  <c r="W96" i="9"/>
  <c r="V46" i="13"/>
  <c r="W47" i="13" s="1"/>
  <c r="V50" i="13"/>
  <c r="W93" i="9"/>
  <c r="T24" i="20"/>
  <c r="AE24" i="19"/>
  <c r="AF26" i="18"/>
  <c r="AA55" i="17"/>
  <c r="AB79" i="12" l="1"/>
  <c r="U24" i="20"/>
  <c r="AF24" i="19"/>
  <c r="AB55" i="17"/>
  <c r="AC79" i="12" l="1"/>
  <c r="V24" i="20"/>
  <c r="AG24" i="19"/>
  <c r="AC55" i="17"/>
  <c r="AD79" i="12" l="1"/>
  <c r="W24" i="20"/>
  <c r="AD55" i="17"/>
  <c r="AE79" i="12" l="1"/>
  <c r="X24" i="20"/>
  <c r="AE55" i="17"/>
  <c r="AF79" i="12" l="1"/>
  <c r="Y24" i="20"/>
  <c r="AF55" i="17"/>
  <c r="AG79" i="12" l="1"/>
  <c r="Z24" i="20"/>
  <c r="AG55" i="17"/>
  <c r="U114" i="13" l="1"/>
  <c r="V114" i="13"/>
  <c r="V105" i="13" s="1"/>
  <c r="V57" i="13" s="1"/>
  <c r="V128" i="13"/>
  <c r="W126" i="13" s="1"/>
  <c r="W127" i="13" s="1"/>
  <c r="W109" i="10"/>
  <c r="W80" i="10"/>
  <c r="W62" i="10"/>
  <c r="W66" i="10"/>
  <c r="W68" i="10"/>
  <c r="W71" i="10"/>
  <c r="W72" i="10" s="1"/>
  <c r="X72" i="10" s="1"/>
  <c r="W40" i="10"/>
  <c r="W45" i="10"/>
  <c r="W21" i="10"/>
  <c r="Z1" i="10"/>
  <c r="BH52" i="8"/>
  <c r="BH50" i="8"/>
  <c r="BH47" i="8"/>
  <c r="BJ47" i="8" s="1"/>
  <c r="BH46" i="8"/>
  <c r="BJ46" i="8" s="1"/>
  <c r="BH40" i="8"/>
  <c r="BH42" i="8" s="1"/>
  <c r="BJ52" i="8"/>
  <c r="BJ50" i="8"/>
  <c r="BJ44" i="8"/>
  <c r="BI44" i="8"/>
  <c r="BJ40" i="8"/>
  <c r="U53" i="8"/>
  <c r="U51" i="8"/>
  <c r="BH51" i="8" s="1"/>
  <c r="V40" i="8"/>
  <c r="V44" i="8"/>
  <c r="V32" i="8"/>
  <c r="V15" i="8"/>
  <c r="BH15" i="8" s="1"/>
  <c r="BJ15" i="8" s="1"/>
  <c r="V14" i="8"/>
  <c r="BH14" i="8" s="1"/>
  <c r="V12" i="8"/>
  <c r="BH12" i="8" s="1"/>
  <c r="BJ12" i="8" s="1"/>
  <c r="V11" i="8"/>
  <c r="BH11" i="8" s="1"/>
  <c r="BJ11" i="8" s="1"/>
  <c r="X95" i="24"/>
  <c r="X98" i="24" s="1"/>
  <c r="X85" i="24"/>
  <c r="X65" i="24"/>
  <c r="X25" i="24"/>
  <c r="W2" i="9"/>
  <c r="U7" i="8"/>
  <c r="U10" i="8"/>
  <c r="BH10" i="8" s="1"/>
  <c r="U13" i="8"/>
  <c r="BH13" i="8" s="1"/>
  <c r="BJ13" i="8" s="1"/>
  <c r="U16" i="8"/>
  <c r="U18" i="8"/>
  <c r="U19" i="8"/>
  <c r="U20" i="8"/>
  <c r="U23" i="8"/>
  <c r="BH23" i="8" s="1"/>
  <c r="U42" i="8"/>
  <c r="BC23" i="7"/>
  <c r="BC22" i="7"/>
  <c r="BC12" i="7"/>
  <c r="BC11" i="7"/>
  <c r="BC9" i="7"/>
  <c r="BC28" i="7" s="1"/>
  <c r="BC5" i="7"/>
  <c r="AY9" i="7"/>
  <c r="AY5" i="7"/>
  <c r="AT3" i="16"/>
  <c r="U7" i="18"/>
  <c r="Y44" i="17"/>
  <c r="Z44" i="17" s="1"/>
  <c r="AC4" i="17"/>
  <c r="AD4" i="17" s="1"/>
  <c r="AE4" i="17" s="1"/>
  <c r="AF4" i="17" s="1"/>
  <c r="AG4" i="17" s="1"/>
  <c r="X4" i="6"/>
  <c r="X21" i="6" s="1"/>
  <c r="X39" i="6" l="1"/>
  <c r="BC13" i="7"/>
  <c r="W5" i="11"/>
  <c r="BC24" i="7"/>
  <c r="BC18" i="7"/>
  <c r="BJ51" i="8"/>
  <c r="BH19" i="8"/>
  <c r="BJ19" i="8" s="1"/>
  <c r="X195" i="16"/>
  <c r="V23" i="18"/>
  <c r="P21" i="20"/>
  <c r="W21" i="19"/>
  <c r="W45" i="17"/>
  <c r="BJ14" i="8"/>
  <c r="BC17" i="7"/>
  <c r="BI40" i="8"/>
  <c r="BH20" i="8"/>
  <c r="BJ20" i="8" s="1"/>
  <c r="X197" i="16"/>
  <c r="BJ10" i="8"/>
  <c r="X87" i="24"/>
  <c r="X100" i="24" s="1"/>
  <c r="X102" i="24"/>
  <c r="X53" i="24"/>
  <c r="X103" i="24" s="1"/>
  <c r="W103" i="10"/>
  <c r="BJ23" i="8"/>
  <c r="W27" i="10"/>
  <c r="W48" i="10"/>
  <c r="W34" i="10"/>
  <c r="W42" i="10"/>
  <c r="W57" i="10"/>
  <c r="W24" i="10"/>
  <c r="BH7" i="8"/>
  <c r="U31" i="8"/>
  <c r="BJ42" i="8"/>
  <c r="W3" i="5"/>
  <c r="W53" i="5" s="1"/>
  <c r="AG2" i="9"/>
  <c r="Z2" i="20"/>
  <c r="AF2" i="18"/>
  <c r="AG2" i="17"/>
  <c r="AG2" i="14"/>
  <c r="AG21" i="13"/>
  <c r="AG2" i="13"/>
  <c r="AG2" i="12"/>
  <c r="AG2" i="11"/>
  <c r="AG37" i="10"/>
  <c r="AG2" i="19"/>
  <c r="AB22" i="4"/>
  <c r="AB23" i="4"/>
  <c r="AB102" i="4"/>
  <c r="AB107" i="4"/>
  <c r="BS100" i="16"/>
  <c r="BS98" i="16"/>
  <c r="BS96" i="16"/>
  <c r="BS94" i="16"/>
  <c r="BE34" i="16"/>
  <c r="BP30" i="16"/>
  <c r="BS36" i="16"/>
  <c r="BS34" i="16"/>
  <c r="BS32" i="16"/>
  <c r="BS30" i="16"/>
  <c r="BE102" i="16"/>
  <c r="BE100" i="16" s="1"/>
  <c r="BE36" i="16"/>
  <c r="BE32" i="16"/>
  <c r="BE30" i="16"/>
  <c r="AT119" i="16"/>
  <c r="T49" i="8"/>
  <c r="S49" i="8"/>
  <c r="S53" i="8" s="1"/>
  <c r="R49" i="8"/>
  <c r="R53" i="8" s="1"/>
  <c r="BG49" i="8"/>
  <c r="AT195" i="16"/>
  <c r="AR195" i="16"/>
  <c r="AP195" i="16"/>
  <c r="AT194" i="16"/>
  <c r="AR194" i="16"/>
  <c r="AP194" i="16"/>
  <c r="AT240" i="16"/>
  <c r="AT242" i="16" s="1"/>
  <c r="AT204" i="16"/>
  <c r="AT197" i="16"/>
  <c r="AT193" i="16"/>
  <c r="AT192" i="16"/>
  <c r="AT191" i="16"/>
  <c r="AT190" i="16"/>
  <c r="AT188" i="16"/>
  <c r="AT181" i="16"/>
  <c r="AT178" i="16"/>
  <c r="AT177" i="16"/>
  <c r="AT173" i="16"/>
  <c r="AT171" i="16"/>
  <c r="AT169" i="16"/>
  <c r="AT167" i="16"/>
  <c r="AT162" i="16"/>
  <c r="AT158" i="16"/>
  <c r="AT156" i="16"/>
  <c r="AT154" i="16"/>
  <c r="AT153" i="16"/>
  <c r="AT146" i="16"/>
  <c r="AT143" i="16"/>
  <c r="AT151" i="16" s="1"/>
  <c r="AT142" i="16"/>
  <c r="AT138" i="16"/>
  <c r="AT136" i="16"/>
  <c r="AT134" i="16"/>
  <c r="AT132" i="16"/>
  <c r="AT127" i="16"/>
  <c r="AT123" i="16"/>
  <c r="AT121" i="16"/>
  <c r="AT118" i="16"/>
  <c r="AT105" i="16"/>
  <c r="AT91" i="16"/>
  <c r="AT100" i="16" s="1"/>
  <c r="AT101" i="16" s="1"/>
  <c r="AT90" i="16"/>
  <c r="AT86" i="16"/>
  <c r="AT84" i="16"/>
  <c r="AT82" i="16"/>
  <c r="AT80" i="16"/>
  <c r="AT73" i="16"/>
  <c r="AT72" i="16"/>
  <c r="AT66" i="16"/>
  <c r="AT64" i="16"/>
  <c r="AT62" i="16"/>
  <c r="AT60" i="16"/>
  <c r="AT48" i="16"/>
  <c r="AT47" i="16"/>
  <c r="AT46" i="16"/>
  <c r="AT41" i="16"/>
  <c r="AT24" i="16"/>
  <c r="AT44" i="16" s="1"/>
  <c r="AT23" i="16"/>
  <c r="AT13" i="16"/>
  <c r="U1" i="17"/>
  <c r="BE49" i="8"/>
  <c r="BE53" i="8" s="1"/>
  <c r="BF52" i="8"/>
  <c r="BI52" i="8" s="1"/>
  <c r="BF51" i="8"/>
  <c r="BI51" i="8" s="1"/>
  <c r="BF50" i="8"/>
  <c r="BI50" i="8" s="1"/>
  <c r="BD46" i="8"/>
  <c r="BF47" i="8"/>
  <c r="BI47" i="8" s="1"/>
  <c r="BF46" i="8"/>
  <c r="BI46" i="8" s="1"/>
  <c r="S42" i="8"/>
  <c r="BQ7" i="8"/>
  <c r="BQ8" i="8"/>
  <c r="AK3" i="8"/>
  <c r="AI3" i="8"/>
  <c r="AG3" i="8"/>
  <c r="AE3" i="8"/>
  <c r="BF42" i="8"/>
  <c r="BI42" i="8" s="1"/>
  <c r="BG18" i="8"/>
  <c r="BG21" i="8" s="1"/>
  <c r="BG42" i="8"/>
  <c r="BG33" i="8"/>
  <c r="BG32" i="8"/>
  <c r="BG31" i="8"/>
  <c r="BG30" i="8"/>
  <c r="BB22" i="7"/>
  <c r="BB23" i="7"/>
  <c r="BA23" i="7"/>
  <c r="BA22" i="7"/>
  <c r="BB17" i="7"/>
  <c r="BB12" i="7"/>
  <c r="BA12" i="7"/>
  <c r="BB11" i="7"/>
  <c r="BA11" i="7"/>
  <c r="BA9" i="7"/>
  <c r="BB28" i="7" s="1"/>
  <c r="BB5" i="7"/>
  <c r="BA5" i="7"/>
  <c r="AD2" i="14"/>
  <c r="AE2" i="14"/>
  <c r="AF2" i="14"/>
  <c r="AD2" i="22"/>
  <c r="AE2" i="22"/>
  <c r="AF2" i="22"/>
  <c r="V54" i="17"/>
  <c r="N29" i="5"/>
  <c r="M29" i="5" s="1"/>
  <c r="T3" i="5"/>
  <c r="T53" i="5" s="1"/>
  <c r="U3" i="5"/>
  <c r="U53" i="5" s="1"/>
  <c r="V3" i="5"/>
  <c r="V53" i="5" s="1"/>
  <c r="AD2" i="13"/>
  <c r="AE2" i="13"/>
  <c r="AF2" i="13"/>
  <c r="AD21" i="13"/>
  <c r="AE21" i="13"/>
  <c r="AF21" i="13"/>
  <c r="AD2" i="12"/>
  <c r="AE2" i="12"/>
  <c r="AF2" i="12"/>
  <c r="AD2" i="11"/>
  <c r="AE2" i="11"/>
  <c r="AF2" i="11"/>
  <c r="AD2" i="17"/>
  <c r="AE2" i="17"/>
  <c r="AF2" i="17"/>
  <c r="AD37" i="10"/>
  <c r="AE37" i="10"/>
  <c r="AF37" i="10"/>
  <c r="W2" i="20"/>
  <c r="X2" i="20"/>
  <c r="Y2" i="20"/>
  <c r="AD2" i="19"/>
  <c r="AE2" i="19"/>
  <c r="AF2" i="19"/>
  <c r="AC2" i="18"/>
  <c r="AD2" i="18"/>
  <c r="AE2" i="18"/>
  <c r="AD2" i="9"/>
  <c r="AE2" i="9"/>
  <c r="AF2" i="9"/>
  <c r="U132" i="13"/>
  <c r="V132" i="13"/>
  <c r="V60" i="13" s="1"/>
  <c r="V56" i="13" s="1"/>
  <c r="V43" i="13" s="1"/>
  <c r="U128" i="13"/>
  <c r="V126" i="13" s="1"/>
  <c r="X65" i="10"/>
  <c r="Y65" i="10" s="1"/>
  <c r="Z65" i="10" s="1"/>
  <c r="AA65" i="10" s="1"/>
  <c r="AB65" i="10" s="1"/>
  <c r="AC65" i="10" s="1"/>
  <c r="AD65" i="10" s="1"/>
  <c r="AE65" i="10" s="1"/>
  <c r="AF65" i="10" s="1"/>
  <c r="AG65" i="10" s="1"/>
  <c r="V23" i="11"/>
  <c r="V30" i="11"/>
  <c r="T118" i="15"/>
  <c r="U110" i="15"/>
  <c r="U98" i="15"/>
  <c r="U78" i="15"/>
  <c r="U74" i="15"/>
  <c r="U82" i="15" s="1"/>
  <c r="V28" i="11" s="1"/>
  <c r="U47" i="15"/>
  <c r="U25" i="15"/>
  <c r="U92" i="15"/>
  <c r="U94" i="15"/>
  <c r="U96" i="15"/>
  <c r="U123" i="15"/>
  <c r="U131" i="15"/>
  <c r="U153" i="15"/>
  <c r="X205" i="16" l="1"/>
  <c r="Z86" i="4"/>
  <c r="AT205" i="16"/>
  <c r="BH18" i="8"/>
  <c r="BH31" i="8"/>
  <c r="BJ7" i="8"/>
  <c r="W61" i="13"/>
  <c r="BJ18" i="8"/>
  <c r="AT189" i="16"/>
  <c r="AU178" i="16"/>
  <c r="BG53" i="8"/>
  <c r="BH53" i="8" s="1"/>
  <c r="BH49" i="8"/>
  <c r="X196" i="16"/>
  <c r="X198" i="16"/>
  <c r="BU100" i="16"/>
  <c r="AT110" i="16"/>
  <c r="AT34" i="16"/>
  <c r="AT35" i="16" s="1"/>
  <c r="X105" i="24"/>
  <c r="W112" i="10"/>
  <c r="W133" i="10"/>
  <c r="W134" i="10" s="1"/>
  <c r="W108" i="10"/>
  <c r="W106" i="10"/>
  <c r="W110" i="10"/>
  <c r="W36" i="10"/>
  <c r="BJ31" i="8"/>
  <c r="BH32" i="8"/>
  <c r="BC37" i="7"/>
  <c r="BF49" i="8"/>
  <c r="AT106" i="16"/>
  <c r="AT107" i="16"/>
  <c r="AT108" i="16"/>
  <c r="BE96" i="16"/>
  <c r="AT109" i="16"/>
  <c r="BE98" i="16"/>
  <c r="AT30" i="16"/>
  <c r="AU30" i="16" s="1"/>
  <c r="AT32" i="16"/>
  <c r="BT100" i="16"/>
  <c r="AT36" i="16"/>
  <c r="BU36" i="16" s="1"/>
  <c r="AT38" i="16"/>
  <c r="AT147" i="16"/>
  <c r="AT148" i="16"/>
  <c r="AT149" i="16"/>
  <c r="AT150" i="16"/>
  <c r="AT102" i="16"/>
  <c r="BU102" i="16" s="1"/>
  <c r="AT94" i="16"/>
  <c r="AT96" i="16"/>
  <c r="AT98" i="16"/>
  <c r="AT49" i="16"/>
  <c r="AT50" i="16"/>
  <c r="AT185" i="16"/>
  <c r="AT184" i="16"/>
  <c r="AT186" i="16"/>
  <c r="AT42" i="16"/>
  <c r="AT196" i="16"/>
  <c r="AT43" i="16"/>
  <c r="AT183" i="16"/>
  <c r="AT182" i="16"/>
  <c r="AT129" i="16"/>
  <c r="AT164" i="16"/>
  <c r="AT198" i="16"/>
  <c r="BG37" i="8"/>
  <c r="BG36" i="8"/>
  <c r="BG34" i="8"/>
  <c r="BG25" i="8"/>
  <c r="BA28" i="7"/>
  <c r="BA24" i="7"/>
  <c r="BA18" i="7"/>
  <c r="BB18" i="7"/>
  <c r="BB24" i="7"/>
  <c r="U49" i="15"/>
  <c r="V18" i="11" s="1"/>
  <c r="U139" i="15"/>
  <c r="V127" i="13"/>
  <c r="D6" i="1"/>
  <c r="D6" i="3" s="1"/>
  <c r="AZ20" i="7"/>
  <c r="AV20" i="7"/>
  <c r="AV28" i="7"/>
  <c r="AV23" i="7"/>
  <c r="AV22" i="7"/>
  <c r="BB38" i="16"/>
  <c r="BO38" i="16" s="1"/>
  <c r="BD102" i="16"/>
  <c r="BS102" i="16" s="1"/>
  <c r="BD38" i="16"/>
  <c r="BS38" i="16" s="1"/>
  <c r="AZ28" i="7"/>
  <c r="AZ23" i="7"/>
  <c r="AZ22" i="7"/>
  <c r="AZ17" i="7"/>
  <c r="AZ12" i="7"/>
  <c r="AZ11" i="7"/>
  <c r="AZ5" i="7"/>
  <c r="AZ18" i="7" s="1"/>
  <c r="U23" i="11"/>
  <c r="V28" i="14"/>
  <c r="V22" i="14"/>
  <c r="V17" i="14"/>
  <c r="O19" i="20"/>
  <c r="O20" i="20"/>
  <c r="V19" i="19"/>
  <c r="V20" i="19"/>
  <c r="U21" i="18"/>
  <c r="U22" i="18"/>
  <c r="V44" i="17"/>
  <c r="BR94" i="16"/>
  <c r="BR96" i="16"/>
  <c r="BR100" i="16"/>
  <c r="BQ100" i="16"/>
  <c r="BP100" i="16"/>
  <c r="BO100" i="16"/>
  <c r="BS101" i="16" s="1"/>
  <c r="BN100" i="16"/>
  <c r="BM100" i="16"/>
  <c r="BK100" i="16"/>
  <c r="BR98" i="16"/>
  <c r="BQ98" i="16"/>
  <c r="BP98" i="16"/>
  <c r="BO98" i="16"/>
  <c r="BS99" i="16" s="1"/>
  <c r="BN98" i="16"/>
  <c r="BM98" i="16"/>
  <c r="BK98" i="16"/>
  <c r="BL98" i="16" s="1"/>
  <c r="BQ96" i="16"/>
  <c r="BP96" i="16"/>
  <c r="BO96" i="16"/>
  <c r="BS97" i="16" s="1"/>
  <c r="BN96" i="16"/>
  <c r="BM96" i="16"/>
  <c r="BK96" i="16"/>
  <c r="BL96" i="16" s="1"/>
  <c r="BQ94" i="16"/>
  <c r="BP94" i="16"/>
  <c r="BO94" i="16"/>
  <c r="BS95" i="16" s="1"/>
  <c r="BN94" i="16"/>
  <c r="BM94" i="16"/>
  <c r="BK94" i="16"/>
  <c r="BL94" i="16" s="1"/>
  <c r="BM36" i="16"/>
  <c r="BM34" i="16"/>
  <c r="BM32" i="16"/>
  <c r="BM30" i="16"/>
  <c r="BR36" i="16"/>
  <c r="BR34" i="16"/>
  <c r="BR32" i="16"/>
  <c r="BR30" i="16"/>
  <c r="BQ36" i="16"/>
  <c r="BQ34" i="16"/>
  <c r="BQ32" i="16"/>
  <c r="BQ30" i="16"/>
  <c r="BP36" i="16"/>
  <c r="BP34" i="16"/>
  <c r="BP32" i="16"/>
  <c r="BO36" i="16"/>
  <c r="BS37" i="16" s="1"/>
  <c r="BO34" i="16"/>
  <c r="BS35" i="16" s="1"/>
  <c r="BO32" i="16"/>
  <c r="BS33" i="16" s="1"/>
  <c r="BO30" i="16"/>
  <c r="BS31" i="16" s="1"/>
  <c r="BN36" i="16"/>
  <c r="BN34" i="16"/>
  <c r="BN32" i="16"/>
  <c r="BN30" i="16"/>
  <c r="BK38" i="16"/>
  <c r="BK36" i="16"/>
  <c r="BK34" i="16"/>
  <c r="BL34" i="16" s="1"/>
  <c r="BK32" i="16"/>
  <c r="BL32" i="16" s="1"/>
  <c r="BK30" i="16"/>
  <c r="BL30" i="16" s="1"/>
  <c r="BA102" i="16"/>
  <c r="BM102" i="16" s="1"/>
  <c r="BC102" i="16"/>
  <c r="BQ102" i="16" s="1"/>
  <c r="BA38" i="16"/>
  <c r="BC38" i="16"/>
  <c r="BB102" i="16"/>
  <c r="BP102" i="16" s="1"/>
  <c r="AS181" i="16"/>
  <c r="AS132" i="16"/>
  <c r="AS146" i="16"/>
  <c r="AS118" i="16"/>
  <c r="AS105" i="16"/>
  <c r="AQ100" i="16"/>
  <c r="AQ98" i="16"/>
  <c r="AQ96" i="16"/>
  <c r="AQ94" i="16"/>
  <c r="AO100" i="16"/>
  <c r="AO101" i="16" s="1"/>
  <c r="AO98" i="16"/>
  <c r="AO99" i="16" s="1"/>
  <c r="AO96" i="16"/>
  <c r="AO97" i="16" s="1"/>
  <c r="AO94" i="16"/>
  <c r="AO95" i="16"/>
  <c r="AS100" i="16"/>
  <c r="AS98" i="16"/>
  <c r="AS96" i="16"/>
  <c r="AS94" i="16"/>
  <c r="AS80" i="16"/>
  <c r="AS67" i="16"/>
  <c r="AS60" i="16"/>
  <c r="AS36" i="16"/>
  <c r="AS34" i="16"/>
  <c r="AS32" i="16"/>
  <c r="AS30" i="16"/>
  <c r="V20" i="11" l="1"/>
  <c r="V31" i="11"/>
  <c r="W4" i="11"/>
  <c r="W12" i="11"/>
  <c r="AS68" i="16"/>
  <c r="AU68" i="16"/>
  <c r="BJ53" i="8"/>
  <c r="BU101" i="16"/>
  <c r="AU31" i="16"/>
  <c r="BT34" i="16"/>
  <c r="BT35" i="16" s="1"/>
  <c r="BJ49" i="8"/>
  <c r="BI49" i="8"/>
  <c r="AU182" i="16"/>
  <c r="AU183" i="16"/>
  <c r="AU185" i="16"/>
  <c r="AU184" i="16"/>
  <c r="AU186" i="16"/>
  <c r="BU96" i="16"/>
  <c r="BU97" i="16" s="1"/>
  <c r="BU98" i="16"/>
  <c r="BU99" i="16" s="1"/>
  <c r="BT36" i="16"/>
  <c r="BT37" i="16" s="1"/>
  <c r="AT37" i="16"/>
  <c r="BU34" i="16"/>
  <c r="BU35" i="16" s="1"/>
  <c r="W139" i="10"/>
  <c r="W118" i="10"/>
  <c r="U26" i="8" s="1"/>
  <c r="W114" i="10"/>
  <c r="BJ32" i="8"/>
  <c r="AT51" i="16"/>
  <c r="BS39" i="16"/>
  <c r="AT31" i="16"/>
  <c r="BT30" i="16"/>
  <c r="BT31" i="16" s="1"/>
  <c r="U84" i="15"/>
  <c r="BU103" i="16"/>
  <c r="AT33" i="16"/>
  <c r="BT32" i="16"/>
  <c r="BT33" i="16" s="1"/>
  <c r="AT97" i="16"/>
  <c r="BT96" i="16"/>
  <c r="BT97" i="16" s="1"/>
  <c r="BU32" i="16"/>
  <c r="BU33" i="16" s="1"/>
  <c r="AT99" i="16"/>
  <c r="BT98" i="16"/>
  <c r="BT99" i="16" s="1"/>
  <c r="BT38" i="16"/>
  <c r="BU38" i="16"/>
  <c r="BU37" i="16"/>
  <c r="AT95" i="16"/>
  <c r="BU94" i="16"/>
  <c r="BU95" i="16" s="1"/>
  <c r="BT94" i="16"/>
  <c r="BT95" i="16" s="1"/>
  <c r="AT103" i="16"/>
  <c r="BT102" i="16"/>
  <c r="BT103" i="16" s="1"/>
  <c r="BU30" i="16"/>
  <c r="BU31" i="16" s="1"/>
  <c r="BQ31" i="16"/>
  <c r="BT101" i="16"/>
  <c r="AT52" i="16"/>
  <c r="AT201" i="16"/>
  <c r="BO31" i="16"/>
  <c r="BG35" i="8"/>
  <c r="BG26" i="8"/>
  <c r="BA37" i="7"/>
  <c r="BB37" i="7"/>
  <c r="BC38" i="7" s="1"/>
  <c r="BQ97" i="16"/>
  <c r="AZ30" i="7"/>
  <c r="BQ95" i="16"/>
  <c r="BQ99" i="16"/>
  <c r="BP97" i="16"/>
  <c r="AZ31" i="7"/>
  <c r="AZ24" i="7"/>
  <c r="AZ37" i="7" s="1"/>
  <c r="BQ101" i="16"/>
  <c r="AV24" i="7"/>
  <c r="AV37" i="7" s="1"/>
  <c r="AZ36" i="7"/>
  <c r="AQ95" i="16"/>
  <c r="BO33" i="16"/>
  <c r="BR33" i="16"/>
  <c r="AQ97" i="16"/>
  <c r="BR35" i="16"/>
  <c r="BP35" i="16"/>
  <c r="BO39" i="16"/>
  <c r="D6" i="2"/>
  <c r="BQ37" i="16"/>
  <c r="AQ99" i="16"/>
  <c r="BO35" i="16"/>
  <c r="BP33" i="16"/>
  <c r="BO95" i="16"/>
  <c r="BQ103" i="16"/>
  <c r="BR37" i="16"/>
  <c r="BP31" i="16"/>
  <c r="BR95" i="16"/>
  <c r="BO37" i="16"/>
  <c r="BP95" i="16"/>
  <c r="BR31" i="16"/>
  <c r="BR97" i="16"/>
  <c r="BQ33" i="16"/>
  <c r="BQ35" i="16"/>
  <c r="BR101" i="16"/>
  <c r="AQ101" i="16"/>
  <c r="BO99" i="16"/>
  <c r="AS101" i="16"/>
  <c r="BP99" i="16"/>
  <c r="BR99" i="16"/>
  <c r="BO102" i="16"/>
  <c r="BS103" i="16" s="1"/>
  <c r="BO101" i="16"/>
  <c r="BL100" i="16"/>
  <c r="BP101" i="16" s="1"/>
  <c r="BL36" i="16"/>
  <c r="BP37" i="16" s="1"/>
  <c r="AS95" i="16"/>
  <c r="BO97" i="16"/>
  <c r="AS99" i="16"/>
  <c r="AS97" i="16"/>
  <c r="AY22" i="7"/>
  <c r="BC30" i="7" s="1"/>
  <c r="AY23" i="7"/>
  <c r="BC31" i="7" s="1"/>
  <c r="AY11" i="7"/>
  <c r="AY12" i="7"/>
  <c r="AU9" i="7"/>
  <c r="AX23" i="7"/>
  <c r="AW23" i="7"/>
  <c r="BA31" i="7" s="1"/>
  <c r="AX22" i="7"/>
  <c r="AT22" i="7"/>
  <c r="AU22" i="7"/>
  <c r="AW22" i="7"/>
  <c r="BA30" i="7" s="1"/>
  <c r="AX11" i="7"/>
  <c r="AX12" i="7"/>
  <c r="AX17" i="7"/>
  <c r="AX5" i="7"/>
  <c r="BE42" i="8"/>
  <c r="BE30" i="8"/>
  <c r="BF11" i="8"/>
  <c r="BI11" i="8" s="1"/>
  <c r="BF12" i="8"/>
  <c r="BI12" i="8" s="1"/>
  <c r="BF14" i="8"/>
  <c r="BI14" i="8" s="1"/>
  <c r="BF15" i="8"/>
  <c r="BI15" i="8" s="1"/>
  <c r="T10" i="8"/>
  <c r="V10" i="8" s="1"/>
  <c r="T13" i="8"/>
  <c r="V13" i="8" s="1"/>
  <c r="T19" i="8"/>
  <c r="T20" i="8"/>
  <c r="T42" i="8"/>
  <c r="V42" i="8" s="1"/>
  <c r="T53" i="8"/>
  <c r="X21" i="9"/>
  <c r="Y21" i="9" s="1"/>
  <c r="Z21" i="9" s="1"/>
  <c r="AA21" i="9" s="1"/>
  <c r="AB21" i="9" s="1"/>
  <c r="AC21" i="9" s="1"/>
  <c r="AD21" i="9" s="1"/>
  <c r="AE21" i="9" s="1"/>
  <c r="AF21" i="9" s="1"/>
  <c r="AG21" i="9" s="1"/>
  <c r="O1" i="20"/>
  <c r="U25" i="18"/>
  <c r="U26" i="18" s="1"/>
  <c r="U13" i="18"/>
  <c r="U14" i="18" s="1"/>
  <c r="R37" i="18"/>
  <c r="S9" i="13" s="1"/>
  <c r="U1" i="18"/>
  <c r="T1" i="18"/>
  <c r="T22" i="18"/>
  <c r="V119" i="16" s="1"/>
  <c r="U14" i="9"/>
  <c r="U60" i="12" s="1"/>
  <c r="V105" i="10"/>
  <c r="T22" i="8" s="1"/>
  <c r="U29" i="18"/>
  <c r="U30" i="18"/>
  <c r="V27" i="19"/>
  <c r="V28" i="19"/>
  <c r="O27" i="20"/>
  <c r="O28" i="20"/>
  <c r="W170" i="16"/>
  <c r="W172" i="16"/>
  <c r="W174" i="16"/>
  <c r="AS174" i="16" s="1"/>
  <c r="AU175" i="16" s="1"/>
  <c r="W176" i="16"/>
  <c r="W168" i="16"/>
  <c r="O4" i="20"/>
  <c r="V4" i="19"/>
  <c r="U9" i="18"/>
  <c r="U4" i="18"/>
  <c r="V4" i="17"/>
  <c r="W101" i="16"/>
  <c r="W99" i="16"/>
  <c r="W97" i="16"/>
  <c r="W95" i="16"/>
  <c r="W38" i="16"/>
  <c r="W37" i="16"/>
  <c r="W35" i="16"/>
  <c r="W33" i="16"/>
  <c r="W31" i="16"/>
  <c r="X78" i="14"/>
  <c r="Y78" i="14" s="1"/>
  <c r="Z78" i="14" s="1"/>
  <c r="AA78" i="14" s="1"/>
  <c r="AB78" i="14" s="1"/>
  <c r="AC78" i="14" s="1"/>
  <c r="AD78" i="14" s="1"/>
  <c r="AE78" i="14" s="1"/>
  <c r="AF78" i="14" s="1"/>
  <c r="AG78" i="14" s="1"/>
  <c r="V72" i="14"/>
  <c r="V2" i="12"/>
  <c r="U11" i="11"/>
  <c r="V107" i="10"/>
  <c r="V109" i="10"/>
  <c r="V100" i="10"/>
  <c r="W101" i="10" s="1"/>
  <c r="X101" i="10" s="1"/>
  <c r="Y101" i="10" s="1"/>
  <c r="Z101" i="10" s="1"/>
  <c r="AA101" i="10" s="1"/>
  <c r="AB101" i="10" s="1"/>
  <c r="AC101" i="10" s="1"/>
  <c r="AD101" i="10" s="1"/>
  <c r="AE101" i="10" s="1"/>
  <c r="AF101" i="10" s="1"/>
  <c r="AG101" i="10" s="1"/>
  <c r="V88" i="10"/>
  <c r="T16" i="8" s="1"/>
  <c r="V16" i="8" s="1"/>
  <c r="BH16" i="8" s="1"/>
  <c r="V90" i="10"/>
  <c r="V8" i="11" s="1"/>
  <c r="V79" i="10"/>
  <c r="V67" i="10"/>
  <c r="V63" i="10"/>
  <c r="V61" i="10"/>
  <c r="V9" i="11" s="1"/>
  <c r="V19" i="10"/>
  <c r="V4" i="10"/>
  <c r="V79" i="12" s="1"/>
  <c r="V37" i="9"/>
  <c r="W51" i="24"/>
  <c r="V4" i="9"/>
  <c r="V78" i="13" s="1"/>
  <c r="V5" i="9"/>
  <c r="V6" i="9"/>
  <c r="V7" i="9"/>
  <c r="V8" i="9"/>
  <c r="V9" i="9"/>
  <c r="V10" i="9"/>
  <c r="V11" i="9"/>
  <c r="V12" i="9"/>
  <c r="V13" i="9"/>
  <c r="V69" i="12" s="1"/>
  <c r="V14" i="9"/>
  <c r="V15" i="9"/>
  <c r="V75" i="12" s="1"/>
  <c r="V16" i="9"/>
  <c r="V17" i="9"/>
  <c r="V18" i="9"/>
  <c r="V72" i="12" s="1"/>
  <c r="V19" i="9"/>
  <c r="V20" i="9"/>
  <c r="V118" i="13" s="1"/>
  <c r="V21" i="9"/>
  <c r="V22" i="9"/>
  <c r="V26" i="9"/>
  <c r="V32" i="12" s="1"/>
  <c r="V27" i="9"/>
  <c r="V20" i="12" s="1"/>
  <c r="V28" i="9"/>
  <c r="V34" i="12" s="1"/>
  <c r="V29" i="9"/>
  <c r="V11" i="12" s="1"/>
  <c r="V30" i="9"/>
  <c r="V14" i="12" s="1"/>
  <c r="V31" i="9"/>
  <c r="V17" i="12" s="1"/>
  <c r="V32" i="9"/>
  <c r="V29" i="12"/>
  <c r="V35" i="9"/>
  <c r="V26" i="12" s="1"/>
  <c r="V36" i="9"/>
  <c r="V38" i="9"/>
  <c r="V39" i="9"/>
  <c r="V40" i="9"/>
  <c r="V23" i="12" s="1"/>
  <c r="V47" i="9"/>
  <c r="V48" i="9"/>
  <c r="V47" i="12" s="1"/>
  <c r="V49" i="9"/>
  <c r="V50" i="9"/>
  <c r="V51" i="9"/>
  <c r="V52" i="9"/>
  <c r="W95" i="10" s="1"/>
  <c r="V53" i="9"/>
  <c r="W96" i="10" s="1"/>
  <c r="V54" i="9"/>
  <c r="V58" i="9"/>
  <c r="V38" i="12" s="1"/>
  <c r="V59" i="9"/>
  <c r="V56" i="12" s="1"/>
  <c r="V60" i="9"/>
  <c r="V61" i="9"/>
  <c r="V44" i="12" s="1"/>
  <c r="V62" i="9"/>
  <c r="V50" i="12" s="1"/>
  <c r="V63" i="9"/>
  <c r="V53" i="12" s="1"/>
  <c r="V64" i="9"/>
  <c r="V66" i="9"/>
  <c r="V67" i="9"/>
  <c r="V68" i="9"/>
  <c r="V75" i="9"/>
  <c r="V76" i="9"/>
  <c r="V79" i="9"/>
  <c r="V80" i="9"/>
  <c r="G45" i="46"/>
  <c r="I39" i="46"/>
  <c r="I45" i="46" s="1"/>
  <c r="G29" i="46"/>
  <c r="G26" i="46"/>
  <c r="G23" i="46"/>
  <c r="I7" i="46"/>
  <c r="J86" i="45"/>
  <c r="K86" i="45" s="1"/>
  <c r="Q26" i="45" s="1"/>
  <c r="K85" i="45"/>
  <c r="E83" i="45"/>
  <c r="J82" i="45"/>
  <c r="K82" i="45" s="1"/>
  <c r="K81" i="45"/>
  <c r="D79" i="45"/>
  <c r="C79" i="45"/>
  <c r="J78" i="45"/>
  <c r="K78" i="45" s="1"/>
  <c r="E78" i="45"/>
  <c r="K77" i="45"/>
  <c r="K76" i="45"/>
  <c r="K75" i="45"/>
  <c r="D75" i="45"/>
  <c r="C75" i="45"/>
  <c r="E74" i="45"/>
  <c r="I73" i="45"/>
  <c r="J72" i="45"/>
  <c r="K72" i="45" s="1"/>
  <c r="K71" i="45"/>
  <c r="D71" i="45"/>
  <c r="C71" i="45"/>
  <c r="K70" i="45"/>
  <c r="E70" i="45"/>
  <c r="K69" i="45"/>
  <c r="E69" i="45"/>
  <c r="E68" i="45"/>
  <c r="J67" i="45"/>
  <c r="K67" i="45" s="1"/>
  <c r="Q22" i="45" s="1"/>
  <c r="K66" i="45"/>
  <c r="K65" i="45"/>
  <c r="D65" i="45"/>
  <c r="C65" i="45"/>
  <c r="E64" i="45"/>
  <c r="E63" i="45"/>
  <c r="E62" i="45"/>
  <c r="K60" i="45"/>
  <c r="R26" i="45" s="1"/>
  <c r="D60" i="45"/>
  <c r="C60" i="45"/>
  <c r="K59" i="45"/>
  <c r="E59" i="45"/>
  <c r="E58" i="45"/>
  <c r="I57" i="45"/>
  <c r="P25" i="45" s="1"/>
  <c r="K56" i="45"/>
  <c r="K55" i="45"/>
  <c r="D54" i="45"/>
  <c r="J52" i="45"/>
  <c r="K52" i="45" s="1"/>
  <c r="K51" i="45"/>
  <c r="K50" i="45"/>
  <c r="K49" i="45"/>
  <c r="E49" i="45"/>
  <c r="I47" i="45"/>
  <c r="J46" i="45"/>
  <c r="K46" i="45" s="1"/>
  <c r="R23" i="45" s="1"/>
  <c r="D46" i="45"/>
  <c r="C46" i="45"/>
  <c r="K45" i="45"/>
  <c r="E45" i="45"/>
  <c r="K44" i="45"/>
  <c r="E44" i="45"/>
  <c r="K43" i="45"/>
  <c r="E43" i="45"/>
  <c r="J41" i="45"/>
  <c r="K41" i="45" s="1"/>
  <c r="R22" i="45" s="1"/>
  <c r="K40" i="45"/>
  <c r="D40" i="45"/>
  <c r="C40" i="45"/>
  <c r="K39" i="45"/>
  <c r="E39" i="45"/>
  <c r="E38" i="45"/>
  <c r="E37" i="45"/>
  <c r="D35" i="45"/>
  <c r="C35" i="45"/>
  <c r="E34" i="45"/>
  <c r="E33" i="45"/>
  <c r="K29" i="45"/>
  <c r="K28" i="45"/>
  <c r="E27" i="45"/>
  <c r="P26" i="45"/>
  <c r="O26" i="45"/>
  <c r="K26" i="45"/>
  <c r="E26" i="45"/>
  <c r="O25" i="45"/>
  <c r="K25" i="45"/>
  <c r="D25" i="45"/>
  <c r="D28" i="45" s="1"/>
  <c r="K24" i="45"/>
  <c r="E24" i="45"/>
  <c r="P23" i="45"/>
  <c r="O23" i="45"/>
  <c r="K23" i="45"/>
  <c r="E23" i="45"/>
  <c r="P22" i="45"/>
  <c r="O22" i="45"/>
  <c r="J22" i="45"/>
  <c r="J27" i="45" s="1"/>
  <c r="J30" i="45" s="1"/>
  <c r="I22" i="45"/>
  <c r="E22" i="45"/>
  <c r="K21" i="45"/>
  <c r="E21" i="45"/>
  <c r="K20" i="45"/>
  <c r="Q12" i="45" s="1"/>
  <c r="C20" i="45"/>
  <c r="C25" i="45" s="1"/>
  <c r="C28" i="45" s="1"/>
  <c r="B20" i="45"/>
  <c r="B25" i="45" s="1"/>
  <c r="B28" i="45" s="1"/>
  <c r="E19" i="45"/>
  <c r="E18" i="45"/>
  <c r="T15" i="45"/>
  <c r="O15" i="45"/>
  <c r="S15" i="45" s="1"/>
  <c r="K13" i="45"/>
  <c r="E13" i="45"/>
  <c r="P12" i="45"/>
  <c r="O12" i="45"/>
  <c r="K12" i="45"/>
  <c r="E12" i="45"/>
  <c r="D11" i="45"/>
  <c r="D14" i="45" s="1"/>
  <c r="K10" i="45"/>
  <c r="E10" i="45"/>
  <c r="K9" i="45"/>
  <c r="E9" i="45"/>
  <c r="K8" i="45"/>
  <c r="E8" i="45"/>
  <c r="K7" i="45"/>
  <c r="E7" i="45"/>
  <c r="Q6" i="45"/>
  <c r="R3" i="45" s="1"/>
  <c r="O6" i="45"/>
  <c r="P5" i="45" s="1"/>
  <c r="J6" i="45"/>
  <c r="J11" i="45" s="1"/>
  <c r="J14" i="45" s="1"/>
  <c r="I6" i="45"/>
  <c r="P13" i="45" s="1"/>
  <c r="C6" i="45"/>
  <c r="C11" i="45" s="1"/>
  <c r="C14" i="45" s="1"/>
  <c r="B6" i="45"/>
  <c r="B11" i="45" s="1"/>
  <c r="B14" i="45" s="1"/>
  <c r="S5" i="45"/>
  <c r="K5" i="45"/>
  <c r="E5" i="45"/>
  <c r="S4" i="45"/>
  <c r="K4" i="45"/>
  <c r="R12" i="45" s="1"/>
  <c r="E4" i="45"/>
  <c r="S3" i="45"/>
  <c r="H34" i="44"/>
  <c r="G34" i="44"/>
  <c r="F34" i="44"/>
  <c r="E34" i="44"/>
  <c r="D34" i="44"/>
  <c r="C34" i="44"/>
  <c r="H33" i="44"/>
  <c r="G33" i="44"/>
  <c r="F33" i="44"/>
  <c r="E33" i="44"/>
  <c r="D33" i="44"/>
  <c r="C33" i="44"/>
  <c r="H31" i="44"/>
  <c r="G31" i="44"/>
  <c r="F31" i="44"/>
  <c r="E31" i="44"/>
  <c r="D31" i="44"/>
  <c r="C31" i="44"/>
  <c r="H29" i="44"/>
  <c r="G29" i="44"/>
  <c r="F29" i="44"/>
  <c r="E29" i="44"/>
  <c r="D29" i="44"/>
  <c r="C29" i="44"/>
  <c r="H28" i="44"/>
  <c r="G28" i="44"/>
  <c r="F28" i="44"/>
  <c r="E28" i="44"/>
  <c r="D28" i="44"/>
  <c r="C28" i="44"/>
  <c r="N26" i="44"/>
  <c r="M26" i="44"/>
  <c r="L26" i="44"/>
  <c r="K26" i="44"/>
  <c r="J26" i="44"/>
  <c r="I26" i="44"/>
  <c r="H25" i="44"/>
  <c r="G25" i="44"/>
  <c r="F25" i="44"/>
  <c r="E25" i="44"/>
  <c r="D25" i="44"/>
  <c r="C25" i="44"/>
  <c r="H24" i="44"/>
  <c r="G24" i="44"/>
  <c r="F24" i="44"/>
  <c r="E24" i="44"/>
  <c r="D24" i="44"/>
  <c r="C24" i="44"/>
  <c r="H23" i="44"/>
  <c r="G23" i="44"/>
  <c r="F23" i="44"/>
  <c r="E23" i="44"/>
  <c r="D23" i="44"/>
  <c r="C23" i="44"/>
  <c r="H22" i="44"/>
  <c r="G22" i="44"/>
  <c r="F22" i="44"/>
  <c r="E22" i="44"/>
  <c r="D22" i="44"/>
  <c r="C22" i="44"/>
  <c r="H21" i="44"/>
  <c r="H26" i="44" s="1"/>
  <c r="G21" i="44"/>
  <c r="G26" i="44" s="1"/>
  <c r="F21" i="44"/>
  <c r="F26" i="44" s="1"/>
  <c r="E21" i="44"/>
  <c r="E26" i="44" s="1"/>
  <c r="D21" i="44"/>
  <c r="D26" i="44" s="1"/>
  <c r="C21" i="44"/>
  <c r="C26" i="44" s="1"/>
  <c r="H17" i="44"/>
  <c r="G17" i="44"/>
  <c r="F17" i="44"/>
  <c r="E17" i="44"/>
  <c r="D17" i="44"/>
  <c r="C17" i="44"/>
  <c r="N16" i="44"/>
  <c r="N18" i="44" s="1"/>
  <c r="M16" i="44"/>
  <c r="M18" i="44" s="1"/>
  <c r="L16" i="44"/>
  <c r="L18" i="44" s="1"/>
  <c r="K16" i="44"/>
  <c r="K18" i="44" s="1"/>
  <c r="J16" i="44"/>
  <c r="J18" i="44" s="1"/>
  <c r="I16" i="44"/>
  <c r="I18" i="44" s="1"/>
  <c r="H16" i="44"/>
  <c r="G16" i="44"/>
  <c r="F16" i="44"/>
  <c r="E16" i="44"/>
  <c r="D16" i="44"/>
  <c r="C16" i="44"/>
  <c r="H15" i="44"/>
  <c r="G15" i="44"/>
  <c r="F15" i="44"/>
  <c r="E15" i="44"/>
  <c r="D15" i="44"/>
  <c r="C15" i="44"/>
  <c r="H14" i="44"/>
  <c r="H18" i="44" s="1"/>
  <c r="G14" i="44"/>
  <c r="G18" i="44" s="1"/>
  <c r="F14" i="44"/>
  <c r="F18" i="44" s="1"/>
  <c r="E14" i="44"/>
  <c r="E18" i="44" s="1"/>
  <c r="D14" i="44"/>
  <c r="D18" i="44" s="1"/>
  <c r="C14" i="44"/>
  <c r="C18" i="44" s="1"/>
  <c r="N11" i="44"/>
  <c r="M11" i="44"/>
  <c r="L11" i="44"/>
  <c r="K11" i="44"/>
  <c r="J11" i="44"/>
  <c r="I11" i="44"/>
  <c r="D11" i="44"/>
  <c r="C11" i="44"/>
  <c r="H10" i="44"/>
  <c r="G10" i="44"/>
  <c r="F10" i="44"/>
  <c r="E10" i="44"/>
  <c r="D10" i="44"/>
  <c r="C10" i="44"/>
  <c r="H9" i="44"/>
  <c r="G9" i="44"/>
  <c r="F9" i="44"/>
  <c r="E9" i="44"/>
  <c r="D9" i="44"/>
  <c r="C9" i="44"/>
  <c r="H8" i="44"/>
  <c r="G8" i="44"/>
  <c r="F8" i="44"/>
  <c r="E8" i="44"/>
  <c r="D8" i="44"/>
  <c r="C8" i="44"/>
  <c r="H7" i="44"/>
  <c r="G7" i="44"/>
  <c r="F7" i="44"/>
  <c r="E7" i="44"/>
  <c r="D7" i="44"/>
  <c r="C7" i="44"/>
  <c r="H6" i="44"/>
  <c r="G6" i="44"/>
  <c r="F6" i="44"/>
  <c r="E6" i="44"/>
  <c r="D6" i="44"/>
  <c r="C6" i="44"/>
  <c r="H5" i="44"/>
  <c r="G5" i="44"/>
  <c r="F5" i="44"/>
  <c r="E5" i="44"/>
  <c r="D5" i="44"/>
  <c r="C5" i="44"/>
  <c r="H4" i="44"/>
  <c r="H11" i="44" s="1"/>
  <c r="G4" i="44"/>
  <c r="G11" i="44" s="1"/>
  <c r="F4" i="44"/>
  <c r="F11" i="44" s="1"/>
  <c r="E4" i="44"/>
  <c r="E11" i="44" s="1"/>
  <c r="D4" i="44"/>
  <c r="C4" i="44"/>
  <c r="N1" i="44"/>
  <c r="M1" i="44"/>
  <c r="L1" i="44"/>
  <c r="K1" i="44"/>
  <c r="J1" i="44"/>
  <c r="I1" i="44"/>
  <c r="E75" i="43"/>
  <c r="F75" i="43" s="1"/>
  <c r="G75" i="43" s="1"/>
  <c r="E74" i="43"/>
  <c r="F74" i="43" s="1"/>
  <c r="G74" i="43" s="1"/>
  <c r="D72" i="43"/>
  <c r="E71" i="43"/>
  <c r="E72" i="43" s="1"/>
  <c r="H62" i="43"/>
  <c r="G62" i="43"/>
  <c r="F62" i="43"/>
  <c r="E62" i="43"/>
  <c r="D62" i="43"/>
  <c r="C62" i="43"/>
  <c r="H60" i="43"/>
  <c r="G60" i="43"/>
  <c r="F60" i="43"/>
  <c r="E60" i="43"/>
  <c r="D60" i="43"/>
  <c r="C60" i="43"/>
  <c r="H59" i="43"/>
  <c r="G59" i="43"/>
  <c r="F59" i="43"/>
  <c r="E59" i="43"/>
  <c r="D59" i="43"/>
  <c r="C59" i="43"/>
  <c r="D58" i="43"/>
  <c r="C58" i="43"/>
  <c r="H57" i="43"/>
  <c r="G57" i="43"/>
  <c r="F57" i="43"/>
  <c r="E57" i="43"/>
  <c r="D57" i="43"/>
  <c r="C57" i="43"/>
  <c r="H56" i="43"/>
  <c r="G56" i="43"/>
  <c r="F56" i="43"/>
  <c r="E56" i="43"/>
  <c r="D56" i="43"/>
  <c r="C56" i="43"/>
  <c r="H49" i="43"/>
  <c r="G49" i="43"/>
  <c r="F49" i="43"/>
  <c r="E49" i="43"/>
  <c r="D49" i="43"/>
  <c r="C49" i="43"/>
  <c r="H47" i="43"/>
  <c r="G47" i="43"/>
  <c r="F47" i="43"/>
  <c r="E47" i="43"/>
  <c r="D47" i="43"/>
  <c r="C47" i="43"/>
  <c r="H46" i="43"/>
  <c r="G46" i="43"/>
  <c r="F46" i="43"/>
  <c r="E46" i="43"/>
  <c r="D46" i="43"/>
  <c r="C46" i="43"/>
  <c r="H45" i="43"/>
  <c r="G45" i="43"/>
  <c r="F45" i="43"/>
  <c r="E45" i="43"/>
  <c r="D45" i="43"/>
  <c r="C45" i="43"/>
  <c r="H44" i="43"/>
  <c r="G44" i="43"/>
  <c r="F44" i="43"/>
  <c r="E44" i="43"/>
  <c r="D44" i="43"/>
  <c r="C44" i="43"/>
  <c r="H43" i="43"/>
  <c r="H48" i="43" s="1"/>
  <c r="H50" i="43" s="1"/>
  <c r="G43" i="43"/>
  <c r="G48" i="43" s="1"/>
  <c r="G50" i="43" s="1"/>
  <c r="F43" i="43"/>
  <c r="F48" i="43" s="1"/>
  <c r="F50" i="43" s="1"/>
  <c r="E43" i="43"/>
  <c r="E48" i="43" s="1"/>
  <c r="E50" i="43" s="1"/>
  <c r="D43" i="43"/>
  <c r="D48" i="43" s="1"/>
  <c r="D50" i="43" s="1"/>
  <c r="C43" i="43"/>
  <c r="C48" i="43" s="1"/>
  <c r="C50" i="43" s="1"/>
  <c r="H40" i="43"/>
  <c r="G40" i="43"/>
  <c r="F40" i="43"/>
  <c r="E40" i="43"/>
  <c r="D40" i="43"/>
  <c r="C40" i="43"/>
  <c r="B40" i="43"/>
  <c r="H39" i="43"/>
  <c r="G39" i="43"/>
  <c r="F39" i="43"/>
  <c r="E39" i="43"/>
  <c r="D39" i="43"/>
  <c r="C39" i="43"/>
  <c r="B39" i="43"/>
  <c r="H38" i="43"/>
  <c r="G38" i="43"/>
  <c r="F38" i="43"/>
  <c r="E38" i="43"/>
  <c r="D38" i="43"/>
  <c r="C38" i="43"/>
  <c r="H37" i="43"/>
  <c r="G37" i="43"/>
  <c r="F37" i="43"/>
  <c r="E37" i="43"/>
  <c r="D37" i="43"/>
  <c r="C37" i="43"/>
  <c r="H36" i="43"/>
  <c r="G36" i="43"/>
  <c r="F36" i="43"/>
  <c r="E36" i="43"/>
  <c r="D36" i="43"/>
  <c r="C36" i="43"/>
  <c r="H35" i="43"/>
  <c r="H41" i="43" s="1"/>
  <c r="G35" i="43"/>
  <c r="G41" i="43" s="1"/>
  <c r="F35" i="43"/>
  <c r="F41" i="43" s="1"/>
  <c r="E35" i="43"/>
  <c r="D35" i="43"/>
  <c r="C35" i="43"/>
  <c r="H28" i="43"/>
  <c r="G28" i="43"/>
  <c r="F28" i="43"/>
  <c r="E28" i="43"/>
  <c r="D28" i="43"/>
  <c r="C28" i="43"/>
  <c r="H27" i="43"/>
  <c r="G27" i="43"/>
  <c r="F27" i="43"/>
  <c r="E27" i="43"/>
  <c r="D27" i="43"/>
  <c r="C27" i="43"/>
  <c r="H26" i="43"/>
  <c r="G26" i="43"/>
  <c r="F26" i="43"/>
  <c r="E26" i="43"/>
  <c r="D26" i="43"/>
  <c r="C26" i="43"/>
  <c r="H25" i="43"/>
  <c r="G25" i="43"/>
  <c r="F25" i="43"/>
  <c r="E25" i="43"/>
  <c r="D25" i="43"/>
  <c r="C25" i="43"/>
  <c r="H24" i="43"/>
  <c r="G24" i="43"/>
  <c r="F24" i="43"/>
  <c r="E24" i="43"/>
  <c r="D24" i="43"/>
  <c r="C24" i="43"/>
  <c r="H23" i="43"/>
  <c r="G23" i="43"/>
  <c r="F23" i="43"/>
  <c r="E23" i="43"/>
  <c r="D23" i="43"/>
  <c r="C23" i="43"/>
  <c r="H21" i="43"/>
  <c r="G21" i="43"/>
  <c r="F21" i="43"/>
  <c r="E21" i="43"/>
  <c r="D21" i="43"/>
  <c r="C21" i="43"/>
  <c r="H20" i="43"/>
  <c r="H22" i="43" s="1"/>
  <c r="G20" i="43"/>
  <c r="G22" i="43" s="1"/>
  <c r="F20" i="43"/>
  <c r="F22" i="43" s="1"/>
  <c r="E20" i="43"/>
  <c r="E22" i="43" s="1"/>
  <c r="D20" i="43"/>
  <c r="D22" i="43" s="1"/>
  <c r="C20" i="43"/>
  <c r="C22" i="43" s="1"/>
  <c r="H19" i="43"/>
  <c r="G19" i="43"/>
  <c r="F19" i="43"/>
  <c r="E19" i="43"/>
  <c r="D19" i="43"/>
  <c r="C19" i="43"/>
  <c r="H18" i="43"/>
  <c r="G18" i="43"/>
  <c r="F18" i="43"/>
  <c r="E18" i="43"/>
  <c r="D18" i="43"/>
  <c r="C18" i="43"/>
  <c r="H17" i="43"/>
  <c r="G17" i="43"/>
  <c r="F17" i="43"/>
  <c r="E17" i="43"/>
  <c r="D17" i="43"/>
  <c r="C17" i="43"/>
  <c r="H15" i="43"/>
  <c r="G15" i="43"/>
  <c r="F15" i="43"/>
  <c r="E15" i="43"/>
  <c r="D15" i="43"/>
  <c r="C15" i="43"/>
  <c r="H14" i="43"/>
  <c r="G14" i="43"/>
  <c r="F14" i="43"/>
  <c r="E14" i="43"/>
  <c r="D14" i="43"/>
  <c r="C14" i="43"/>
  <c r="B14" i="43"/>
  <c r="H13" i="43"/>
  <c r="G13" i="43"/>
  <c r="F13" i="43"/>
  <c r="E13" i="43"/>
  <c r="D13" i="43"/>
  <c r="C13" i="43"/>
  <c r="H12" i="43"/>
  <c r="G12" i="43"/>
  <c r="F12" i="43"/>
  <c r="E12" i="43"/>
  <c r="D12" i="43"/>
  <c r="C12" i="43"/>
  <c r="H11" i="43"/>
  <c r="G11" i="43"/>
  <c r="F11" i="43"/>
  <c r="E11" i="43"/>
  <c r="D11" i="43"/>
  <c r="C11" i="43"/>
  <c r="H10" i="43"/>
  <c r="G10" i="43"/>
  <c r="F10" i="43"/>
  <c r="E10" i="43"/>
  <c r="D10" i="43"/>
  <c r="C10" i="43"/>
  <c r="H9" i="43"/>
  <c r="G9" i="43"/>
  <c r="F9" i="43"/>
  <c r="E9" i="43"/>
  <c r="D9" i="43"/>
  <c r="C9" i="43"/>
  <c r="H8" i="43"/>
  <c r="G8" i="43"/>
  <c r="F8" i="43"/>
  <c r="E8" i="43"/>
  <c r="D8" i="43"/>
  <c r="C8" i="43"/>
  <c r="H7" i="43"/>
  <c r="G7" i="43"/>
  <c r="F7" i="43"/>
  <c r="E7" i="43"/>
  <c r="D7" i="43"/>
  <c r="C7" i="43"/>
  <c r="H6" i="43"/>
  <c r="G6" i="43"/>
  <c r="F6" i="43"/>
  <c r="E6" i="43"/>
  <c r="D6" i="43"/>
  <c r="C6" i="43"/>
  <c r="H5" i="43"/>
  <c r="G5" i="43"/>
  <c r="F5" i="43"/>
  <c r="E5" i="43"/>
  <c r="D5" i="43"/>
  <c r="C5" i="43"/>
  <c r="H4" i="43"/>
  <c r="G4" i="43"/>
  <c r="F4" i="43"/>
  <c r="E4" i="43"/>
  <c r="D4" i="43"/>
  <c r="C4" i="43"/>
  <c r="G60" i="42"/>
  <c r="F60" i="42"/>
  <c r="E60" i="42"/>
  <c r="D60" i="42"/>
  <c r="C60" i="42"/>
  <c r="G59" i="42"/>
  <c r="F59" i="42"/>
  <c r="E59" i="42"/>
  <c r="D59" i="42"/>
  <c r="C59" i="42"/>
  <c r="G58" i="42"/>
  <c r="F58" i="42"/>
  <c r="E58" i="42"/>
  <c r="D58" i="42"/>
  <c r="C58" i="42"/>
  <c r="G57" i="42"/>
  <c r="F57" i="42"/>
  <c r="E57" i="42"/>
  <c r="D57" i="42"/>
  <c r="C57" i="42"/>
  <c r="G56" i="42"/>
  <c r="F56" i="42"/>
  <c r="E56" i="42"/>
  <c r="D56" i="42"/>
  <c r="C56" i="42"/>
  <c r="G55" i="42"/>
  <c r="F55" i="42"/>
  <c r="E55" i="42"/>
  <c r="D55" i="42"/>
  <c r="C55" i="42"/>
  <c r="G54" i="42"/>
  <c r="F54" i="42"/>
  <c r="E54" i="42"/>
  <c r="D54" i="42"/>
  <c r="C54" i="42"/>
  <c r="G53" i="42"/>
  <c r="F53" i="42"/>
  <c r="E53" i="42"/>
  <c r="D53" i="42"/>
  <c r="C53" i="42"/>
  <c r="G52" i="42"/>
  <c r="F52" i="42"/>
  <c r="E52" i="42"/>
  <c r="D52" i="42"/>
  <c r="C52" i="42"/>
  <c r="G51" i="42"/>
  <c r="F51" i="42"/>
  <c r="E51" i="42"/>
  <c r="D51" i="42"/>
  <c r="C51" i="42"/>
  <c r="G50" i="42"/>
  <c r="F50" i="42"/>
  <c r="E50" i="42"/>
  <c r="D50" i="42"/>
  <c r="C50" i="42"/>
  <c r="G49" i="42"/>
  <c r="F49" i="42"/>
  <c r="E49" i="42"/>
  <c r="D49" i="42"/>
  <c r="C49" i="42"/>
  <c r="G48" i="42"/>
  <c r="F48" i="42"/>
  <c r="E48" i="42"/>
  <c r="D48" i="42"/>
  <c r="C48" i="42"/>
  <c r="G47" i="42"/>
  <c r="F47" i="42"/>
  <c r="E47" i="42"/>
  <c r="D47" i="42"/>
  <c r="C47" i="42"/>
  <c r="G46" i="42"/>
  <c r="F46" i="42"/>
  <c r="E46" i="42"/>
  <c r="D46" i="42"/>
  <c r="C46" i="42"/>
  <c r="G45" i="42"/>
  <c r="F45" i="42"/>
  <c r="E45" i="42"/>
  <c r="D45" i="42"/>
  <c r="C45" i="42"/>
  <c r="H38" i="42"/>
  <c r="G38" i="42"/>
  <c r="F38" i="42"/>
  <c r="E38" i="42"/>
  <c r="D38" i="42"/>
  <c r="C38" i="42"/>
  <c r="H36" i="42"/>
  <c r="G36" i="42"/>
  <c r="F36" i="42"/>
  <c r="E36" i="42"/>
  <c r="D36" i="42"/>
  <c r="C36" i="42"/>
  <c r="H34" i="42"/>
  <c r="G34" i="42"/>
  <c r="F34" i="42"/>
  <c r="E34" i="42"/>
  <c r="D34" i="42"/>
  <c r="C34" i="42"/>
  <c r="N33" i="42"/>
  <c r="M33" i="42"/>
  <c r="L33" i="42"/>
  <c r="K33" i="42"/>
  <c r="J33" i="42"/>
  <c r="I33" i="42"/>
  <c r="H33" i="42"/>
  <c r="G33" i="42"/>
  <c r="F33" i="42"/>
  <c r="E33" i="42"/>
  <c r="D33" i="42"/>
  <c r="C33" i="42"/>
  <c r="H31" i="42"/>
  <c r="G31" i="42"/>
  <c r="F31" i="42"/>
  <c r="E31" i="42"/>
  <c r="D31" i="42"/>
  <c r="C31" i="42"/>
  <c r="H30" i="42"/>
  <c r="I30" i="42" s="1"/>
  <c r="J30" i="42" s="1"/>
  <c r="K30" i="42" s="1"/>
  <c r="L30" i="42" s="1"/>
  <c r="M30" i="42" s="1"/>
  <c r="N30" i="42" s="1"/>
  <c r="G30" i="42"/>
  <c r="F30" i="42"/>
  <c r="E30" i="42"/>
  <c r="D30" i="42"/>
  <c r="C30" i="42"/>
  <c r="H29" i="42"/>
  <c r="G29" i="42"/>
  <c r="F29" i="42"/>
  <c r="E29" i="42"/>
  <c r="D29" i="42"/>
  <c r="C29" i="42"/>
  <c r="H28" i="42"/>
  <c r="G28" i="42"/>
  <c r="F28" i="42"/>
  <c r="E28" i="42"/>
  <c r="D28" i="42"/>
  <c r="C28" i="42"/>
  <c r="H26" i="42"/>
  <c r="G26" i="42"/>
  <c r="F26" i="42"/>
  <c r="E26" i="42"/>
  <c r="D26" i="42"/>
  <c r="C26" i="42"/>
  <c r="B26" i="42"/>
  <c r="H23" i="42"/>
  <c r="G23" i="42"/>
  <c r="F23" i="42"/>
  <c r="E23" i="42"/>
  <c r="D23" i="42"/>
  <c r="C23" i="42"/>
  <c r="H20" i="42"/>
  <c r="G20" i="42"/>
  <c r="F20" i="42"/>
  <c r="E20" i="42"/>
  <c r="D20" i="42"/>
  <c r="C20" i="42"/>
  <c r="H18" i="42"/>
  <c r="G18" i="42"/>
  <c r="F18" i="42"/>
  <c r="E18" i="42"/>
  <c r="D18" i="42"/>
  <c r="C18" i="42"/>
  <c r="H16" i="42"/>
  <c r="G16" i="42"/>
  <c r="F16" i="42"/>
  <c r="E16" i="42"/>
  <c r="D16" i="42"/>
  <c r="C16" i="42"/>
  <c r="H12" i="42"/>
  <c r="G12" i="42"/>
  <c r="F12" i="42"/>
  <c r="E12" i="42"/>
  <c r="D12" i="42"/>
  <c r="C12" i="42"/>
  <c r="H7" i="42"/>
  <c r="G7" i="42"/>
  <c r="F7" i="42"/>
  <c r="E7" i="42"/>
  <c r="D7" i="42"/>
  <c r="C7" i="42"/>
  <c r="H4" i="42"/>
  <c r="H14" i="42" s="1"/>
  <c r="G4" i="42"/>
  <c r="F4" i="42"/>
  <c r="E4" i="42"/>
  <c r="D4" i="42"/>
  <c r="C4" i="42"/>
  <c r="G25" i="41"/>
  <c r="F25" i="41"/>
  <c r="E25" i="41"/>
  <c r="D25" i="41"/>
  <c r="G24" i="41"/>
  <c r="F24" i="41"/>
  <c r="E24" i="41"/>
  <c r="D24" i="41"/>
  <c r="G23" i="41"/>
  <c r="F23" i="41"/>
  <c r="E23" i="41"/>
  <c r="D23" i="41"/>
  <c r="G22" i="41"/>
  <c r="F22" i="41"/>
  <c r="G21" i="41"/>
  <c r="F21" i="41"/>
  <c r="G20" i="41"/>
  <c r="F20" i="41"/>
  <c r="G19" i="41"/>
  <c r="F19" i="41"/>
  <c r="E18" i="41"/>
  <c r="E17" i="41"/>
  <c r="F16" i="41"/>
  <c r="G15" i="41"/>
  <c r="F15" i="41"/>
  <c r="E15" i="41"/>
  <c r="D15" i="41"/>
  <c r="C15" i="41"/>
  <c r="K14" i="41"/>
  <c r="J14" i="41"/>
  <c r="I14" i="41"/>
  <c r="G14" i="41"/>
  <c r="F14" i="41"/>
  <c r="E14" i="41"/>
  <c r="D14" i="41"/>
  <c r="C14" i="41"/>
  <c r="G13" i="41"/>
  <c r="F13" i="41"/>
  <c r="E13" i="41"/>
  <c r="D13" i="41"/>
  <c r="C13" i="41"/>
  <c r="G12" i="41"/>
  <c r="F12" i="41"/>
  <c r="E12" i="41"/>
  <c r="D12" i="41"/>
  <c r="C12" i="41"/>
  <c r="K11" i="41"/>
  <c r="J11" i="41"/>
  <c r="G11" i="41"/>
  <c r="F11" i="41"/>
  <c r="E11" i="41"/>
  <c r="D11" i="41"/>
  <c r="C11" i="41"/>
  <c r="K10" i="41"/>
  <c r="J10" i="41"/>
  <c r="I10" i="41"/>
  <c r="G10" i="41"/>
  <c r="F10" i="41"/>
  <c r="E10" i="41"/>
  <c r="D10" i="41"/>
  <c r="C10" i="41"/>
  <c r="R9" i="41"/>
  <c r="T9" i="41" s="1"/>
  <c r="G9" i="41"/>
  <c r="F9" i="41"/>
  <c r="E9" i="41"/>
  <c r="D9" i="41"/>
  <c r="C9" i="41"/>
  <c r="G8" i="41"/>
  <c r="F8" i="41"/>
  <c r="E8" i="41"/>
  <c r="D8" i="41"/>
  <c r="C8" i="41"/>
  <c r="G7" i="41"/>
  <c r="F7" i="41"/>
  <c r="E7" i="41"/>
  <c r="D7" i="41"/>
  <c r="C7" i="41"/>
  <c r="G6" i="41"/>
  <c r="F6" i="41"/>
  <c r="E6" i="41"/>
  <c r="D6" i="41"/>
  <c r="C6" i="41"/>
  <c r="K5" i="41"/>
  <c r="J5" i="41"/>
  <c r="I5" i="41"/>
  <c r="G5" i="41"/>
  <c r="F5" i="41"/>
  <c r="E5" i="41"/>
  <c r="D5" i="41"/>
  <c r="C5" i="41"/>
  <c r="K4" i="41"/>
  <c r="J4" i="41"/>
  <c r="I4" i="41"/>
  <c r="G4" i="41"/>
  <c r="F4" i="41"/>
  <c r="E4" i="41"/>
  <c r="D4" i="41"/>
  <c r="C4" i="41"/>
  <c r="K3" i="41"/>
  <c r="J3" i="41"/>
  <c r="I3" i="41"/>
  <c r="G3" i="41"/>
  <c r="F3" i="41"/>
  <c r="E3" i="41"/>
  <c r="D3" i="41"/>
  <c r="C3" i="41"/>
  <c r="F44" i="40"/>
  <c r="E21" i="41" s="1"/>
  <c r="E44" i="40"/>
  <c r="D21" i="41" s="1"/>
  <c r="D44" i="40"/>
  <c r="C21" i="41" s="1"/>
  <c r="F43" i="40"/>
  <c r="E22" i="41" s="1"/>
  <c r="E43" i="40"/>
  <c r="D22" i="41" s="1"/>
  <c r="D43" i="40"/>
  <c r="C22" i="41" s="1"/>
  <c r="F42" i="40"/>
  <c r="E42" i="40"/>
  <c r="D42" i="40"/>
  <c r="F40" i="40"/>
  <c r="E40" i="40"/>
  <c r="D40" i="40"/>
  <c r="C40" i="40"/>
  <c r="F39" i="40"/>
  <c r="E39" i="40"/>
  <c r="D39" i="40"/>
  <c r="F38" i="40"/>
  <c r="E38" i="40"/>
  <c r="D38" i="40"/>
  <c r="C38" i="40"/>
  <c r="F37" i="40"/>
  <c r="E37" i="40"/>
  <c r="D37" i="40"/>
  <c r="C37" i="40"/>
  <c r="F35" i="40"/>
  <c r="E35" i="40"/>
  <c r="D35" i="40"/>
  <c r="C35" i="40"/>
  <c r="F34" i="40"/>
  <c r="E34" i="40"/>
  <c r="D34" i="40"/>
  <c r="C34" i="40"/>
  <c r="F33" i="40"/>
  <c r="E33" i="40"/>
  <c r="D33" i="40"/>
  <c r="C33" i="40"/>
  <c r="F31" i="40"/>
  <c r="E31" i="40"/>
  <c r="D31" i="40"/>
  <c r="C31" i="40"/>
  <c r="F30" i="40"/>
  <c r="E30" i="40"/>
  <c r="D30" i="40"/>
  <c r="C30" i="40"/>
  <c r="F28" i="40"/>
  <c r="E28" i="40"/>
  <c r="D28" i="40"/>
  <c r="C28" i="40"/>
  <c r="F27" i="40"/>
  <c r="E27" i="40"/>
  <c r="D27" i="40"/>
  <c r="C27" i="40"/>
  <c r="F26" i="40"/>
  <c r="E26" i="40"/>
  <c r="D26" i="40"/>
  <c r="C26" i="40"/>
  <c r="F24" i="40"/>
  <c r="E24" i="40"/>
  <c r="D24" i="40"/>
  <c r="C24" i="40"/>
  <c r="F23" i="40"/>
  <c r="E23" i="40"/>
  <c r="D23" i="40"/>
  <c r="C23" i="40"/>
  <c r="F22" i="40"/>
  <c r="E22" i="40"/>
  <c r="D22" i="40"/>
  <c r="C22" i="40"/>
  <c r="P13" i="40"/>
  <c r="O13" i="40"/>
  <c r="F13" i="40"/>
  <c r="E13" i="40"/>
  <c r="D13" i="40"/>
  <c r="P9" i="40"/>
  <c r="O9" i="40"/>
  <c r="F9" i="40"/>
  <c r="E9" i="40"/>
  <c r="P7" i="40"/>
  <c r="O7" i="40"/>
  <c r="O8" i="40" s="1"/>
  <c r="F7" i="40"/>
  <c r="E7" i="40"/>
  <c r="D7" i="40"/>
  <c r="C7" i="40"/>
  <c r="P5" i="40"/>
  <c r="O5" i="40"/>
  <c r="O6" i="40" s="1"/>
  <c r="F5" i="40"/>
  <c r="E5" i="40"/>
  <c r="D5" i="40"/>
  <c r="C5" i="40"/>
  <c r="B1" i="40"/>
  <c r="I59" i="39"/>
  <c r="I58" i="39"/>
  <c r="I57" i="39"/>
  <c r="I53" i="39"/>
  <c r="I52" i="39"/>
  <c r="I51" i="39"/>
  <c r="H47" i="39"/>
  <c r="H50" i="39" s="1"/>
  <c r="H54" i="39" s="1"/>
  <c r="H56" i="39" s="1"/>
  <c r="H60" i="39" s="1"/>
  <c r="G47" i="39"/>
  <c r="G50" i="39" s="1"/>
  <c r="G54" i="39" s="1"/>
  <c r="G56" i="39" s="1"/>
  <c r="G60" i="39" s="1"/>
  <c r="F47" i="39"/>
  <c r="F50" i="39" s="1"/>
  <c r="F54" i="39" s="1"/>
  <c r="F56" i="39" s="1"/>
  <c r="F60" i="39" s="1"/>
  <c r="E47" i="39"/>
  <c r="E50" i="39" s="1"/>
  <c r="E54" i="39" s="1"/>
  <c r="E56" i="39" s="1"/>
  <c r="E60" i="39" s="1"/>
  <c r="D47" i="39"/>
  <c r="D50" i="39" s="1"/>
  <c r="D54" i="39" s="1"/>
  <c r="D56" i="39" s="1"/>
  <c r="D60" i="39" s="1"/>
  <c r="C47" i="39"/>
  <c r="C50" i="39" s="1"/>
  <c r="I46" i="39"/>
  <c r="I45" i="39"/>
  <c r="I43" i="39"/>
  <c r="I36" i="39"/>
  <c r="I35" i="39"/>
  <c r="I34" i="39"/>
  <c r="I33" i="39"/>
  <c r="I32" i="39"/>
  <c r="I31" i="39"/>
  <c r="I30" i="39"/>
  <c r="I29" i="39"/>
  <c r="I25" i="39"/>
  <c r="I24" i="39"/>
  <c r="I23" i="39"/>
  <c r="I22" i="39"/>
  <c r="I21" i="39"/>
  <c r="I20" i="39"/>
  <c r="H16" i="39"/>
  <c r="H19" i="39" s="1"/>
  <c r="H26" i="39" s="1"/>
  <c r="H28" i="39" s="1"/>
  <c r="H37" i="39" s="1"/>
  <c r="G16" i="39"/>
  <c r="G19" i="39" s="1"/>
  <c r="G26" i="39" s="1"/>
  <c r="G28" i="39" s="1"/>
  <c r="G37" i="39" s="1"/>
  <c r="F16" i="39"/>
  <c r="F19" i="39" s="1"/>
  <c r="F26" i="39" s="1"/>
  <c r="F28" i="39" s="1"/>
  <c r="F37" i="39" s="1"/>
  <c r="D16" i="39"/>
  <c r="D19" i="39" s="1"/>
  <c r="D26" i="39" s="1"/>
  <c r="D28" i="39" s="1"/>
  <c r="D37" i="39" s="1"/>
  <c r="C16" i="39"/>
  <c r="C19" i="39" s="1"/>
  <c r="I15" i="39"/>
  <c r="E14" i="39"/>
  <c r="E16" i="39" s="1"/>
  <c r="E19" i="39" s="1"/>
  <c r="E26" i="39" s="1"/>
  <c r="E28" i="39" s="1"/>
  <c r="E37" i="39" s="1"/>
  <c r="I13" i="39"/>
  <c r="I12" i="39"/>
  <c r="I11" i="39"/>
  <c r="I10" i="39"/>
  <c r="G72" i="38"/>
  <c r="G71" i="38" s="1"/>
  <c r="F72" i="38"/>
  <c r="F71" i="38" s="1"/>
  <c r="E72" i="38"/>
  <c r="G70" i="38"/>
  <c r="F70" i="38"/>
  <c r="G67" i="38"/>
  <c r="F67" i="38"/>
  <c r="G64" i="38"/>
  <c r="F64" i="38"/>
  <c r="G61" i="38"/>
  <c r="F61" i="38"/>
  <c r="G53" i="38"/>
  <c r="G52" i="38" s="1"/>
  <c r="F53" i="38"/>
  <c r="F52" i="38" s="1"/>
  <c r="E53" i="38"/>
  <c r="E52" i="38" s="1"/>
  <c r="G51" i="38"/>
  <c r="F51" i="38"/>
  <c r="G48" i="38"/>
  <c r="F48" i="38"/>
  <c r="G45" i="38"/>
  <c r="F45" i="38"/>
  <c r="G42" i="38"/>
  <c r="F42" i="38"/>
  <c r="G37" i="38"/>
  <c r="G21" i="38" s="1"/>
  <c r="G22" i="38" s="1"/>
  <c r="F27" i="38"/>
  <c r="G17" i="38"/>
  <c r="G7" i="38" s="1"/>
  <c r="F17" i="38"/>
  <c r="F7" i="38" s="1"/>
  <c r="G15" i="38"/>
  <c r="E14" i="38"/>
  <c r="G12" i="38"/>
  <c r="F12" i="38"/>
  <c r="G9" i="38"/>
  <c r="E8" i="38"/>
  <c r="G6" i="38"/>
  <c r="E5" i="38"/>
  <c r="Q74" i="37"/>
  <c r="O74" i="37"/>
  <c r="N74" i="37"/>
  <c r="M74" i="37"/>
  <c r="Q73" i="37"/>
  <c r="O73" i="37"/>
  <c r="N73" i="37"/>
  <c r="M73" i="37"/>
  <c r="Q72" i="37"/>
  <c r="O72" i="37"/>
  <c r="N72" i="37"/>
  <c r="M72" i="37"/>
  <c r="Q71" i="37"/>
  <c r="O71" i="37"/>
  <c r="N71" i="37"/>
  <c r="M71" i="37"/>
  <c r="Q70" i="37"/>
  <c r="O70" i="37"/>
  <c r="N70" i="37"/>
  <c r="M70" i="37"/>
  <c r="Q69" i="37"/>
  <c r="O69" i="37"/>
  <c r="N69" i="37"/>
  <c r="M69" i="37"/>
  <c r="Q64" i="37"/>
  <c r="O64" i="37"/>
  <c r="N64" i="37"/>
  <c r="M64" i="37"/>
  <c r="J64" i="37"/>
  <c r="Q63" i="37"/>
  <c r="O63" i="37"/>
  <c r="N63" i="37"/>
  <c r="M63" i="37"/>
  <c r="J63" i="37"/>
  <c r="Q62" i="37"/>
  <c r="O62" i="37"/>
  <c r="N62" i="37"/>
  <c r="M62" i="37"/>
  <c r="J62" i="37"/>
  <c r="Q61" i="37"/>
  <c r="O61" i="37"/>
  <c r="N61" i="37"/>
  <c r="M61" i="37"/>
  <c r="J61" i="37"/>
  <c r="Q60" i="37"/>
  <c r="O60" i="37"/>
  <c r="N60" i="37"/>
  <c r="M60" i="37"/>
  <c r="Q59" i="37"/>
  <c r="O59" i="37"/>
  <c r="N59" i="37"/>
  <c r="M59" i="37"/>
  <c r="J58" i="37"/>
  <c r="J57" i="37"/>
  <c r="J56" i="37"/>
  <c r="I55" i="37"/>
  <c r="H55" i="37"/>
  <c r="G55" i="37"/>
  <c r="F55" i="37"/>
  <c r="E55" i="37"/>
  <c r="D55" i="37"/>
  <c r="Q54" i="37"/>
  <c r="O54" i="37"/>
  <c r="N54" i="37"/>
  <c r="M54" i="37"/>
  <c r="J54" i="37"/>
  <c r="Q53" i="37"/>
  <c r="O53" i="37"/>
  <c r="N53" i="37"/>
  <c r="M53" i="37"/>
  <c r="J53" i="37"/>
  <c r="Q52" i="37"/>
  <c r="O52" i="37"/>
  <c r="N52" i="37"/>
  <c r="M52" i="37"/>
  <c r="Q51" i="37"/>
  <c r="O51" i="37"/>
  <c r="N51" i="37"/>
  <c r="M51" i="37"/>
  <c r="Q50" i="37"/>
  <c r="O50" i="37"/>
  <c r="N50" i="37"/>
  <c r="M50" i="37"/>
  <c r="Q49" i="37"/>
  <c r="O49" i="37"/>
  <c r="N49" i="37"/>
  <c r="M49" i="37"/>
  <c r="J47" i="37"/>
  <c r="J46" i="37"/>
  <c r="J45" i="37"/>
  <c r="Q44" i="37"/>
  <c r="O44" i="37"/>
  <c r="N44" i="37"/>
  <c r="M44" i="37"/>
  <c r="J44" i="37"/>
  <c r="Q43" i="37"/>
  <c r="O43" i="37"/>
  <c r="N43" i="37"/>
  <c r="M43" i="37"/>
  <c r="J43" i="37"/>
  <c r="Q42" i="37"/>
  <c r="O42" i="37"/>
  <c r="N42" i="37"/>
  <c r="M42" i="37"/>
  <c r="J42" i="37"/>
  <c r="Q41" i="37"/>
  <c r="O41" i="37"/>
  <c r="N41" i="37"/>
  <c r="M41" i="37"/>
  <c r="J41" i="37"/>
  <c r="Q40" i="37"/>
  <c r="O40" i="37"/>
  <c r="N40" i="37"/>
  <c r="M40" i="37"/>
  <c r="J40" i="37"/>
  <c r="Q39" i="37"/>
  <c r="O39" i="37"/>
  <c r="N39" i="37"/>
  <c r="M39" i="37"/>
  <c r="J39" i="37"/>
  <c r="I38" i="37"/>
  <c r="H38" i="37"/>
  <c r="G38" i="37"/>
  <c r="F38" i="37"/>
  <c r="E38" i="37"/>
  <c r="D38" i="37"/>
  <c r="J37" i="37"/>
  <c r="J36" i="37"/>
  <c r="R35" i="37"/>
  <c r="P35" i="37"/>
  <c r="Q34" i="37"/>
  <c r="O34" i="37"/>
  <c r="N34" i="37"/>
  <c r="M34" i="37"/>
  <c r="Q33" i="37"/>
  <c r="O33" i="37"/>
  <c r="N33" i="37"/>
  <c r="M33" i="37"/>
  <c r="Q32" i="37"/>
  <c r="O32" i="37"/>
  <c r="N32" i="37"/>
  <c r="M32" i="37"/>
  <c r="Q31" i="37"/>
  <c r="O31" i="37"/>
  <c r="N31" i="37"/>
  <c r="M31" i="37"/>
  <c r="Q30" i="37"/>
  <c r="O30" i="37"/>
  <c r="N30" i="37"/>
  <c r="M30" i="37"/>
  <c r="J30" i="37"/>
  <c r="Q29" i="37"/>
  <c r="O29" i="37"/>
  <c r="N29" i="37"/>
  <c r="M29" i="37"/>
  <c r="J29" i="37"/>
  <c r="J28" i="37"/>
  <c r="J27" i="37"/>
  <c r="J26" i="37"/>
  <c r="J25" i="37"/>
  <c r="J24" i="37"/>
  <c r="J23" i="37"/>
  <c r="R22" i="37"/>
  <c r="P22" i="37"/>
  <c r="J22" i="37"/>
  <c r="H22" i="37" s="1"/>
  <c r="O20" i="37" s="1"/>
  <c r="Q21" i="37"/>
  <c r="O21" i="37"/>
  <c r="N21" i="37"/>
  <c r="M21" i="37"/>
  <c r="I21" i="37"/>
  <c r="H21" i="37"/>
  <c r="G21" i="37"/>
  <c r="F21" i="37"/>
  <c r="E21" i="37"/>
  <c r="D21" i="37"/>
  <c r="Q20" i="37"/>
  <c r="N20" i="37"/>
  <c r="M20" i="37"/>
  <c r="J20" i="37"/>
  <c r="Q19" i="37"/>
  <c r="O19" i="37"/>
  <c r="F53" i="35" s="1"/>
  <c r="N19" i="37"/>
  <c r="M19" i="37"/>
  <c r="J19" i="37"/>
  <c r="Q18" i="37"/>
  <c r="O18" i="37"/>
  <c r="F50" i="35" s="1"/>
  <c r="N18" i="37"/>
  <c r="E50" i="35" s="1"/>
  <c r="M18" i="37"/>
  <c r="D50" i="35" s="1"/>
  <c r="Q17" i="37"/>
  <c r="O17" i="37"/>
  <c r="N17" i="37"/>
  <c r="E47" i="35" s="1"/>
  <c r="M17" i="37"/>
  <c r="Q16" i="37"/>
  <c r="O16" i="37"/>
  <c r="F44" i="35" s="1"/>
  <c r="N16" i="37"/>
  <c r="M16" i="37"/>
  <c r="J14" i="37"/>
  <c r="J13" i="37"/>
  <c r="J12" i="37"/>
  <c r="J11" i="37"/>
  <c r="J10" i="37"/>
  <c r="R9" i="37"/>
  <c r="P9" i="37"/>
  <c r="J9" i="37"/>
  <c r="O8" i="37"/>
  <c r="F16" i="35" s="1"/>
  <c r="N8" i="37"/>
  <c r="E16" i="35" s="1"/>
  <c r="M8" i="37"/>
  <c r="D16" i="35" s="1"/>
  <c r="J8" i="37"/>
  <c r="O7" i="37"/>
  <c r="F14" i="35" s="1"/>
  <c r="N7" i="37"/>
  <c r="E14" i="35" s="1"/>
  <c r="M7" i="37"/>
  <c r="D14" i="35" s="1"/>
  <c r="J7" i="37"/>
  <c r="O6" i="37"/>
  <c r="F12" i="35" s="1"/>
  <c r="N6" i="37"/>
  <c r="E12" i="35" s="1"/>
  <c r="M6" i="37"/>
  <c r="D12" i="35" s="1"/>
  <c r="O5" i="37"/>
  <c r="N5" i="37"/>
  <c r="E10" i="35" s="1"/>
  <c r="M5" i="37"/>
  <c r="I5" i="37"/>
  <c r="Q8" i="37" s="1"/>
  <c r="H5" i="37"/>
  <c r="G5" i="37"/>
  <c r="Q5" i="37" s="1"/>
  <c r="F5" i="37"/>
  <c r="Q4" i="37" s="1"/>
  <c r="E5" i="37"/>
  <c r="Q6" i="37" s="1"/>
  <c r="D5" i="37"/>
  <c r="Q3" i="37" s="1"/>
  <c r="O4" i="37"/>
  <c r="N4" i="37"/>
  <c r="E8" i="35" s="1"/>
  <c r="M4" i="37"/>
  <c r="D8" i="35" s="1"/>
  <c r="O3" i="37"/>
  <c r="F6" i="35" s="1"/>
  <c r="N3" i="37"/>
  <c r="E6" i="35" s="1"/>
  <c r="M3" i="37"/>
  <c r="D6" i="35" s="1"/>
  <c r="F56" i="36"/>
  <c r="E56" i="36"/>
  <c r="F54" i="36"/>
  <c r="E54" i="36"/>
  <c r="F53" i="36"/>
  <c r="E53" i="36"/>
  <c r="F52" i="36"/>
  <c r="E52" i="36"/>
  <c r="F48" i="36"/>
  <c r="H48" i="36" s="1"/>
  <c r="E48" i="36"/>
  <c r="F39" i="36"/>
  <c r="H39" i="36" s="1"/>
  <c r="E39" i="36"/>
  <c r="G39" i="36" s="1"/>
  <c r="F27" i="36"/>
  <c r="E27" i="36"/>
  <c r="F26" i="36"/>
  <c r="F25" i="36"/>
  <c r="E25" i="36"/>
  <c r="F24" i="36"/>
  <c r="E24" i="36"/>
  <c r="F23" i="36"/>
  <c r="E23" i="36"/>
  <c r="F19" i="36"/>
  <c r="E19" i="36"/>
  <c r="G15" i="36" s="1"/>
  <c r="F10" i="36"/>
  <c r="H8" i="36" s="1"/>
  <c r="E10" i="36"/>
  <c r="G10" i="36" s="1"/>
  <c r="O105" i="35"/>
  <c r="L105" i="35"/>
  <c r="I105" i="35"/>
  <c r="F105" i="35"/>
  <c r="E105" i="35"/>
  <c r="D105" i="35"/>
  <c r="F98" i="35"/>
  <c r="F100" i="35" s="1"/>
  <c r="E97" i="35"/>
  <c r="D97" i="35"/>
  <c r="O96" i="35"/>
  <c r="L96" i="35"/>
  <c r="I96" i="35"/>
  <c r="F96" i="35"/>
  <c r="E96" i="35"/>
  <c r="D96" i="35"/>
  <c r="Q90" i="35"/>
  <c r="P90" i="35"/>
  <c r="O90" i="35"/>
  <c r="V84" i="35"/>
  <c r="U84" i="35"/>
  <c r="T84" i="35"/>
  <c r="S84" i="35"/>
  <c r="R84" i="35"/>
  <c r="Q84" i="35"/>
  <c r="P84" i="35"/>
  <c r="O84" i="35"/>
  <c r="L84" i="35"/>
  <c r="N84" i="35" s="1"/>
  <c r="I84" i="35"/>
  <c r="K84" i="35" s="1"/>
  <c r="F84" i="35"/>
  <c r="H84" i="35" s="1"/>
  <c r="E84" i="35"/>
  <c r="D84" i="35"/>
  <c r="V83" i="35"/>
  <c r="U83" i="35"/>
  <c r="T83" i="35"/>
  <c r="S83" i="35"/>
  <c r="R83" i="35"/>
  <c r="Q83" i="35"/>
  <c r="P83" i="35"/>
  <c r="O83" i="35"/>
  <c r="L83" i="35"/>
  <c r="I83" i="35"/>
  <c r="F82" i="35"/>
  <c r="H82" i="35" s="1"/>
  <c r="E82" i="35"/>
  <c r="D82" i="35"/>
  <c r="V79" i="35"/>
  <c r="U79" i="35"/>
  <c r="T79" i="35"/>
  <c r="S79" i="35"/>
  <c r="R79" i="35"/>
  <c r="Q79" i="35"/>
  <c r="P79" i="35"/>
  <c r="O79" i="35"/>
  <c r="L79" i="35"/>
  <c r="N79" i="35" s="1"/>
  <c r="I79" i="35"/>
  <c r="K79" i="35" s="1"/>
  <c r="F79" i="35"/>
  <c r="H79" i="35" s="1"/>
  <c r="E79" i="35"/>
  <c r="D79" i="35"/>
  <c r="Q77" i="35"/>
  <c r="P77" i="35"/>
  <c r="M77" i="35"/>
  <c r="J77" i="35"/>
  <c r="G77" i="35"/>
  <c r="O76" i="35"/>
  <c r="L76" i="35"/>
  <c r="N76" i="35" s="1"/>
  <c r="I76" i="35"/>
  <c r="K76" i="35" s="1"/>
  <c r="F76" i="35"/>
  <c r="E76" i="35"/>
  <c r="D76" i="35"/>
  <c r="V74" i="35"/>
  <c r="U74" i="35"/>
  <c r="T74" i="35"/>
  <c r="S74" i="35"/>
  <c r="R74" i="35"/>
  <c r="Q74" i="35"/>
  <c r="P74" i="35"/>
  <c r="O74" i="35"/>
  <c r="L74" i="35"/>
  <c r="N74" i="35" s="1"/>
  <c r="I74" i="35"/>
  <c r="K74" i="35" s="1"/>
  <c r="F74" i="35"/>
  <c r="H74" i="35" s="1"/>
  <c r="E74" i="35"/>
  <c r="D74" i="35"/>
  <c r="V72" i="35"/>
  <c r="U72" i="35"/>
  <c r="T72" i="35"/>
  <c r="S72" i="35"/>
  <c r="R72" i="35"/>
  <c r="Q72" i="35"/>
  <c r="P72" i="35"/>
  <c r="O72" i="35"/>
  <c r="M72" i="35"/>
  <c r="L72" i="35"/>
  <c r="J72" i="35"/>
  <c r="I72" i="35"/>
  <c r="G72" i="35"/>
  <c r="F71" i="35"/>
  <c r="H71" i="35" s="1"/>
  <c r="E71" i="35"/>
  <c r="D71" i="35"/>
  <c r="V69" i="35"/>
  <c r="U69" i="35"/>
  <c r="T69" i="35"/>
  <c r="S69" i="35"/>
  <c r="R69" i="35"/>
  <c r="Q69" i="35"/>
  <c r="P69" i="35"/>
  <c r="O69" i="35"/>
  <c r="M69" i="35"/>
  <c r="L69" i="35"/>
  <c r="J69" i="35"/>
  <c r="I69" i="35"/>
  <c r="G69" i="35"/>
  <c r="F68" i="35"/>
  <c r="E68" i="35"/>
  <c r="D68" i="35"/>
  <c r="V66" i="35"/>
  <c r="U66" i="35"/>
  <c r="T66" i="35"/>
  <c r="S66" i="35"/>
  <c r="R66" i="35"/>
  <c r="Q66" i="35"/>
  <c r="P66" i="35"/>
  <c r="O66" i="35"/>
  <c r="L66" i="35"/>
  <c r="I66" i="35"/>
  <c r="M65" i="35"/>
  <c r="M66" i="35" s="1"/>
  <c r="J65" i="35"/>
  <c r="J66" i="35" s="1"/>
  <c r="G65" i="35"/>
  <c r="G66" i="35" s="1"/>
  <c r="F65" i="35"/>
  <c r="E65" i="35"/>
  <c r="D65" i="35"/>
  <c r="V63" i="35"/>
  <c r="U63" i="35"/>
  <c r="T63" i="35"/>
  <c r="S63" i="35"/>
  <c r="R63" i="35"/>
  <c r="Q63" i="35"/>
  <c r="P63" i="35"/>
  <c r="O63" i="35"/>
  <c r="M63" i="35"/>
  <c r="L63" i="35"/>
  <c r="J63" i="35"/>
  <c r="I63" i="35"/>
  <c r="G63" i="35"/>
  <c r="F62" i="35"/>
  <c r="H62" i="35" s="1"/>
  <c r="E62" i="35"/>
  <c r="D62" i="35"/>
  <c r="V57" i="35"/>
  <c r="U57" i="35"/>
  <c r="T57" i="35"/>
  <c r="S57" i="35"/>
  <c r="R57" i="35"/>
  <c r="Q57" i="35"/>
  <c r="P57" i="35"/>
  <c r="O57" i="35"/>
  <c r="L57" i="35"/>
  <c r="G56" i="35"/>
  <c r="V53" i="35"/>
  <c r="U53" i="35"/>
  <c r="T53" i="35"/>
  <c r="S53" i="35"/>
  <c r="R53" i="35"/>
  <c r="Q53" i="35"/>
  <c r="P53" i="35"/>
  <c r="O53" i="35"/>
  <c r="M53" i="35"/>
  <c r="L53" i="35"/>
  <c r="K53" i="35"/>
  <c r="J53" i="35"/>
  <c r="I53" i="35"/>
  <c r="H53" i="35"/>
  <c r="G53" i="35"/>
  <c r="V50" i="35"/>
  <c r="U50" i="35"/>
  <c r="T50" i="35"/>
  <c r="S50" i="35"/>
  <c r="R50" i="35"/>
  <c r="Q50" i="35"/>
  <c r="P50" i="35"/>
  <c r="O50" i="35"/>
  <c r="M50" i="35"/>
  <c r="L50" i="35"/>
  <c r="K50" i="35"/>
  <c r="J50" i="35"/>
  <c r="I50" i="35"/>
  <c r="H50" i="35"/>
  <c r="G50" i="35"/>
  <c r="V47" i="35"/>
  <c r="U47" i="35"/>
  <c r="T47" i="35"/>
  <c r="S47" i="35"/>
  <c r="R47" i="35"/>
  <c r="Q47" i="35"/>
  <c r="P47" i="35"/>
  <c r="O47" i="35"/>
  <c r="M47" i="35"/>
  <c r="L47" i="35"/>
  <c r="K47" i="35"/>
  <c r="J47" i="35"/>
  <c r="I47" i="35"/>
  <c r="H47" i="35"/>
  <c r="G47" i="35"/>
  <c r="V44" i="35"/>
  <c r="U44" i="35"/>
  <c r="T44" i="35"/>
  <c r="S44" i="35"/>
  <c r="R44" i="35"/>
  <c r="Q44" i="35"/>
  <c r="P44" i="35"/>
  <c r="O44" i="35"/>
  <c r="M44" i="35"/>
  <c r="L44" i="35"/>
  <c r="K44" i="35"/>
  <c r="J44" i="35"/>
  <c r="I44" i="35"/>
  <c r="H44" i="35"/>
  <c r="G44" i="35"/>
  <c r="M41" i="35"/>
  <c r="I41" i="35"/>
  <c r="F41" i="35"/>
  <c r="E41" i="35"/>
  <c r="D41" i="35"/>
  <c r="M31" i="35"/>
  <c r="M28" i="35"/>
  <c r="M25" i="35"/>
  <c r="V22" i="35"/>
  <c r="U22" i="35"/>
  <c r="T22" i="35"/>
  <c r="S22" i="35"/>
  <c r="R22" i="35"/>
  <c r="Q22" i="35"/>
  <c r="P22" i="35"/>
  <c r="O22" i="35"/>
  <c r="M22" i="35"/>
  <c r="L22" i="35"/>
  <c r="L19" i="35" s="1"/>
  <c r="K22" i="35"/>
  <c r="J22" i="35"/>
  <c r="I22" i="35"/>
  <c r="H22" i="35"/>
  <c r="G22" i="35"/>
  <c r="J19" i="35"/>
  <c r="J41" i="35" s="1"/>
  <c r="I19" i="35"/>
  <c r="G19" i="35"/>
  <c r="G41" i="35" s="1"/>
  <c r="F19" i="35"/>
  <c r="E19" i="35"/>
  <c r="D19" i="35"/>
  <c r="Q17" i="35"/>
  <c r="P17" i="35"/>
  <c r="O17" i="35"/>
  <c r="L17" i="35"/>
  <c r="I17" i="35"/>
  <c r="V14" i="35"/>
  <c r="V34" i="35" s="1"/>
  <c r="V36" i="35" s="1"/>
  <c r="U14" i="35"/>
  <c r="U34" i="35" s="1"/>
  <c r="U36" i="35" s="1"/>
  <c r="T14" i="35"/>
  <c r="S14" i="35"/>
  <c r="S34" i="35" s="1"/>
  <c r="S36" i="35" s="1"/>
  <c r="R14" i="35"/>
  <c r="R58" i="35" s="1"/>
  <c r="Q14" i="35"/>
  <c r="P14" i="35"/>
  <c r="P34" i="35" s="1"/>
  <c r="P36" i="35" s="1"/>
  <c r="O14" i="35"/>
  <c r="M14" i="35"/>
  <c r="M34" i="35" s="1"/>
  <c r="L14" i="35"/>
  <c r="L34" i="35" s="1"/>
  <c r="K14" i="35"/>
  <c r="K34" i="35" s="1"/>
  <c r="J14" i="35"/>
  <c r="J34" i="35" s="1"/>
  <c r="I14" i="35"/>
  <c r="I58" i="35" s="1"/>
  <c r="H14" i="35"/>
  <c r="G14" i="35"/>
  <c r="V12" i="35"/>
  <c r="U12" i="35"/>
  <c r="T12" i="35"/>
  <c r="S12" i="35"/>
  <c r="R12" i="35"/>
  <c r="Q12" i="35"/>
  <c r="P12" i="35"/>
  <c r="O12" i="35"/>
  <c r="M12" i="35"/>
  <c r="L12" i="35"/>
  <c r="K12" i="35"/>
  <c r="J12" i="35"/>
  <c r="I12" i="35"/>
  <c r="H12" i="35"/>
  <c r="G12" i="35"/>
  <c r="V10" i="35"/>
  <c r="U10" i="35"/>
  <c r="T10" i="35"/>
  <c r="S10" i="35"/>
  <c r="R10" i="35"/>
  <c r="Q10" i="35"/>
  <c r="P10" i="35"/>
  <c r="O10" i="35"/>
  <c r="M10" i="35"/>
  <c r="L10" i="35"/>
  <c r="K10" i="35"/>
  <c r="J10" i="35"/>
  <c r="I10" i="35"/>
  <c r="H10" i="35"/>
  <c r="G10" i="35"/>
  <c r="V8" i="35"/>
  <c r="U8" i="35"/>
  <c r="T8" i="35"/>
  <c r="S8" i="35"/>
  <c r="R8" i="35"/>
  <c r="Q8" i="35"/>
  <c r="P8" i="35"/>
  <c r="O8" i="35"/>
  <c r="M8" i="35"/>
  <c r="L8" i="35"/>
  <c r="K8" i="35"/>
  <c r="J8" i="35"/>
  <c r="I8" i="35"/>
  <c r="H8" i="35"/>
  <c r="G8" i="35"/>
  <c r="V6" i="35"/>
  <c r="U6" i="35"/>
  <c r="T6" i="35"/>
  <c r="S6" i="35"/>
  <c r="R6" i="35"/>
  <c r="R4" i="35" s="1"/>
  <c r="Q6" i="35"/>
  <c r="P6" i="35"/>
  <c r="O6" i="35"/>
  <c r="O4" i="35" s="1"/>
  <c r="M6" i="35"/>
  <c r="L6" i="35"/>
  <c r="L4" i="35" s="1"/>
  <c r="K6" i="35"/>
  <c r="J6" i="35"/>
  <c r="I6" i="35"/>
  <c r="H6" i="35"/>
  <c r="G6" i="35"/>
  <c r="I4" i="35"/>
  <c r="F4" i="35"/>
  <c r="E4" i="35"/>
  <c r="D4" i="35"/>
  <c r="O46" i="33"/>
  <c r="I46" i="33"/>
  <c r="D40" i="33"/>
  <c r="D39" i="33"/>
  <c r="M38" i="33"/>
  <c r="P36" i="33"/>
  <c r="O36" i="33"/>
  <c r="D36" i="33"/>
  <c r="M35" i="33"/>
  <c r="M34" i="33"/>
  <c r="D34" i="33"/>
  <c r="M33" i="33"/>
  <c r="D33" i="33"/>
  <c r="M32" i="33"/>
  <c r="M31" i="33"/>
  <c r="M30" i="33"/>
  <c r="M25" i="33"/>
  <c r="L25" i="33"/>
  <c r="K25" i="33"/>
  <c r="J25" i="33"/>
  <c r="I25" i="33"/>
  <c r="H25" i="33"/>
  <c r="G25" i="33"/>
  <c r="F25" i="33"/>
  <c r="E25" i="33"/>
  <c r="D25" i="33"/>
  <c r="M24" i="33"/>
  <c r="L24" i="33"/>
  <c r="K24" i="33"/>
  <c r="J24" i="33"/>
  <c r="I24" i="33"/>
  <c r="H24" i="33"/>
  <c r="G24" i="33"/>
  <c r="F24" i="33"/>
  <c r="E24" i="33"/>
  <c r="D24" i="33"/>
  <c r="M22" i="33"/>
  <c r="L22" i="33"/>
  <c r="K22" i="33"/>
  <c r="J22" i="33"/>
  <c r="I22" i="33"/>
  <c r="H22" i="33"/>
  <c r="G22" i="33"/>
  <c r="F22" i="33"/>
  <c r="E22" i="33"/>
  <c r="D22" i="33"/>
  <c r="M18" i="33"/>
  <c r="L18" i="33"/>
  <c r="K18" i="33"/>
  <c r="J18" i="33"/>
  <c r="I18" i="33"/>
  <c r="H18" i="33"/>
  <c r="H21" i="33" s="1"/>
  <c r="G18" i="33"/>
  <c r="G21" i="33" s="1"/>
  <c r="F18" i="33"/>
  <c r="E18" i="33"/>
  <c r="E21" i="33" s="1"/>
  <c r="D18" i="33"/>
  <c r="M16" i="33"/>
  <c r="L16" i="33"/>
  <c r="K16" i="33"/>
  <c r="J16" i="33"/>
  <c r="I16" i="33"/>
  <c r="H16" i="33"/>
  <c r="G16" i="33"/>
  <c r="F16" i="33"/>
  <c r="E16" i="33"/>
  <c r="D16" i="33"/>
  <c r="D8" i="33"/>
  <c r="D7" i="33"/>
  <c r="D6" i="33"/>
  <c r="D5" i="33"/>
  <c r="J30" i="32"/>
  <c r="K30" i="32" s="1"/>
  <c r="K29" i="32"/>
  <c r="J29" i="32"/>
  <c r="I29" i="32"/>
  <c r="H29" i="32"/>
  <c r="G29" i="32"/>
  <c r="F29" i="32"/>
  <c r="E29" i="32"/>
  <c r="D29" i="32"/>
  <c r="C29" i="32"/>
  <c r="K14" i="32"/>
  <c r="J14" i="32"/>
  <c r="K11" i="32"/>
  <c r="J11" i="32"/>
  <c r="I11" i="32"/>
  <c r="H11" i="32"/>
  <c r="G11" i="32"/>
  <c r="F11" i="32"/>
  <c r="E11" i="32"/>
  <c r="D11" i="32"/>
  <c r="C11" i="32"/>
  <c r="K9" i="32"/>
  <c r="J9" i="32"/>
  <c r="I9" i="32"/>
  <c r="H9" i="32"/>
  <c r="G9" i="32"/>
  <c r="F9" i="32"/>
  <c r="E9" i="32"/>
  <c r="D9" i="32"/>
  <c r="C9" i="32"/>
  <c r="K8" i="32"/>
  <c r="J8" i="32"/>
  <c r="I8" i="32"/>
  <c r="H8" i="32"/>
  <c r="G8" i="32"/>
  <c r="F8" i="32"/>
  <c r="E8" i="32"/>
  <c r="D8" i="32"/>
  <c r="C8" i="32"/>
  <c r="K6" i="32"/>
  <c r="J6" i="32"/>
  <c r="I6" i="32"/>
  <c r="H6" i="32"/>
  <c r="G6" i="32"/>
  <c r="F6" i="32"/>
  <c r="E6" i="32"/>
  <c r="D6" i="32"/>
  <c r="C6" i="32"/>
  <c r="K5" i="32"/>
  <c r="J5" i="32"/>
  <c r="I5" i="32"/>
  <c r="H5" i="32"/>
  <c r="G5" i="32"/>
  <c r="F5" i="32"/>
  <c r="E5" i="32"/>
  <c r="D5" i="32"/>
  <c r="C5" i="32"/>
  <c r="C22" i="32" s="1"/>
  <c r="K4" i="32"/>
  <c r="J4" i="32"/>
  <c r="I4" i="32"/>
  <c r="H4" i="32"/>
  <c r="G4" i="32"/>
  <c r="F4" i="32"/>
  <c r="E4" i="32"/>
  <c r="D4" i="32"/>
  <c r="C4" i="32"/>
  <c r="M27" i="29"/>
  <c r="L27" i="29"/>
  <c r="K27" i="29"/>
  <c r="J27" i="29"/>
  <c r="I27" i="29"/>
  <c r="H27" i="29"/>
  <c r="G27" i="29"/>
  <c r="F27" i="29"/>
  <c r="E27" i="29"/>
  <c r="D27" i="29"/>
  <c r="C27" i="29"/>
  <c r="B27" i="29"/>
  <c r="M26" i="29"/>
  <c r="L26" i="29"/>
  <c r="K26" i="29"/>
  <c r="J26" i="29"/>
  <c r="I26" i="29"/>
  <c r="H26" i="29"/>
  <c r="G26" i="29"/>
  <c r="F26" i="29"/>
  <c r="E26" i="29"/>
  <c r="D26" i="29"/>
  <c r="C26" i="29"/>
  <c r="B26" i="29"/>
  <c r="K22" i="29"/>
  <c r="O22" i="29" s="1"/>
  <c r="G22" i="29"/>
  <c r="C22" i="29"/>
  <c r="B22" i="29"/>
  <c r="K21" i="29"/>
  <c r="G21" i="29"/>
  <c r="C21" i="29"/>
  <c r="B21" i="29"/>
  <c r="N20" i="29"/>
  <c r="M20" i="29"/>
  <c r="L20" i="29"/>
  <c r="K20" i="29"/>
  <c r="J20" i="29"/>
  <c r="I20" i="29"/>
  <c r="H20" i="29"/>
  <c r="G20" i="29"/>
  <c r="F20" i="29"/>
  <c r="E20" i="29"/>
  <c r="D20" i="29"/>
  <c r="C20" i="29"/>
  <c r="B20" i="29"/>
  <c r="K19" i="29"/>
  <c r="G19" i="29"/>
  <c r="C19" i="29"/>
  <c r="B19" i="29"/>
  <c r="M13" i="29"/>
  <c r="M28" i="29" s="1"/>
  <c r="L13" i="29"/>
  <c r="L28" i="29" s="1"/>
  <c r="K13" i="29"/>
  <c r="K28" i="29" s="1"/>
  <c r="J13" i="29"/>
  <c r="J28" i="29" s="1"/>
  <c r="I13" i="29"/>
  <c r="I28" i="29" s="1"/>
  <c r="H13" i="29"/>
  <c r="H28" i="29" s="1"/>
  <c r="G13" i="29"/>
  <c r="G28" i="29" s="1"/>
  <c r="F13" i="29"/>
  <c r="F28" i="29" s="1"/>
  <c r="E13" i="29"/>
  <c r="E28" i="29" s="1"/>
  <c r="D13" i="29"/>
  <c r="C13" i="29"/>
  <c r="C28" i="29" s="1"/>
  <c r="B13" i="29"/>
  <c r="B14" i="29" s="1"/>
  <c r="B29" i="29" s="1"/>
  <c r="N12" i="29"/>
  <c r="N11" i="29"/>
  <c r="O7" i="29"/>
  <c r="O6" i="29"/>
  <c r="O5" i="29"/>
  <c r="O4" i="29"/>
  <c r="G103" i="27"/>
  <c r="G102" i="27"/>
  <c r="G101" i="27"/>
  <c r="D92" i="27"/>
  <c r="C92" i="27"/>
  <c r="G91" i="27"/>
  <c r="G90" i="27"/>
  <c r="G89" i="27"/>
  <c r="G87" i="27"/>
  <c r="E87" i="27"/>
  <c r="T86" i="27"/>
  <c r="S86" i="27"/>
  <c r="R86" i="27"/>
  <c r="Q86" i="27"/>
  <c r="P86" i="27"/>
  <c r="O86" i="27"/>
  <c r="N86" i="27"/>
  <c r="M86" i="27"/>
  <c r="L86" i="27"/>
  <c r="K86" i="27"/>
  <c r="J86" i="27"/>
  <c r="I86" i="27"/>
  <c r="H86" i="27"/>
  <c r="G86" i="27"/>
  <c r="F86" i="27"/>
  <c r="E86" i="27"/>
  <c r="D86" i="27"/>
  <c r="C86" i="27"/>
  <c r="G85" i="27"/>
  <c r="E85" i="27"/>
  <c r="H78" i="27"/>
  <c r="H74" i="27"/>
  <c r="F74" i="27"/>
  <c r="D74" i="27"/>
  <c r="C74" i="27"/>
  <c r="F70" i="27"/>
  <c r="H59" i="27"/>
  <c r="F59" i="27"/>
  <c r="D59" i="27"/>
  <c r="C59" i="27"/>
  <c r="H55" i="27"/>
  <c r="F55" i="27"/>
  <c r="D55" i="27"/>
  <c r="C55" i="27"/>
  <c r="H54" i="27"/>
  <c r="F54" i="27"/>
  <c r="D54" i="27"/>
  <c r="C54" i="27"/>
  <c r="H53" i="27"/>
  <c r="F53" i="27"/>
  <c r="D53" i="27"/>
  <c r="C53" i="27"/>
  <c r="H52" i="27"/>
  <c r="F52" i="27"/>
  <c r="D52" i="27"/>
  <c r="C52" i="27"/>
  <c r="H51" i="27"/>
  <c r="F51" i="27"/>
  <c r="D51" i="27"/>
  <c r="C51" i="27"/>
  <c r="H50" i="27"/>
  <c r="F50" i="27"/>
  <c r="D50" i="27"/>
  <c r="C50" i="27"/>
  <c r="H49" i="27"/>
  <c r="F49" i="27"/>
  <c r="D49" i="27"/>
  <c r="C49" i="27"/>
  <c r="H48" i="27"/>
  <c r="F48" i="27"/>
  <c r="D48" i="27"/>
  <c r="C48" i="27"/>
  <c r="G38" i="27"/>
  <c r="H36" i="27"/>
  <c r="F36" i="27"/>
  <c r="D36" i="27"/>
  <c r="C36" i="27"/>
  <c r="H33" i="27"/>
  <c r="F33" i="27"/>
  <c r="D33" i="27"/>
  <c r="C33" i="27"/>
  <c r="H19" i="27"/>
  <c r="F19" i="27"/>
  <c r="D19" i="27"/>
  <c r="C19" i="27"/>
  <c r="H18" i="27"/>
  <c r="F18" i="27"/>
  <c r="D18" i="27"/>
  <c r="C18" i="27"/>
  <c r="T15" i="27"/>
  <c r="S15" i="27"/>
  <c r="R15" i="27"/>
  <c r="Q15" i="27"/>
  <c r="P15" i="27"/>
  <c r="O15" i="27"/>
  <c r="N15" i="27"/>
  <c r="M15" i="27"/>
  <c r="L15" i="27"/>
  <c r="K15" i="27"/>
  <c r="J15" i="27"/>
  <c r="I15" i="27"/>
  <c r="H15" i="27"/>
  <c r="F15" i="27"/>
  <c r="D15" i="27"/>
  <c r="C15" i="27"/>
  <c r="T14" i="27"/>
  <c r="S14" i="27"/>
  <c r="R14" i="27"/>
  <c r="Q14" i="27"/>
  <c r="P14" i="27"/>
  <c r="O14" i="27"/>
  <c r="N14" i="27"/>
  <c r="M14" i="27"/>
  <c r="L14" i="27"/>
  <c r="K14" i="27"/>
  <c r="J14" i="27"/>
  <c r="I14" i="27"/>
  <c r="H14" i="27"/>
  <c r="F14" i="27"/>
  <c r="D14" i="27"/>
  <c r="C14" i="27"/>
  <c r="T13" i="27"/>
  <c r="S13" i="27"/>
  <c r="R13" i="27"/>
  <c r="Q13" i="27"/>
  <c r="P13" i="27"/>
  <c r="O13" i="27"/>
  <c r="N13" i="27"/>
  <c r="T12" i="27"/>
  <c r="S12" i="27"/>
  <c r="R12" i="27"/>
  <c r="Q12" i="27"/>
  <c r="P12" i="27"/>
  <c r="O12" i="27"/>
  <c r="N12" i="27"/>
  <c r="H11" i="27"/>
  <c r="F11" i="27"/>
  <c r="D11" i="27"/>
  <c r="C11" i="27"/>
  <c r="H8" i="27"/>
  <c r="F8" i="27"/>
  <c r="D8" i="27"/>
  <c r="C8" i="27"/>
  <c r="H7" i="27"/>
  <c r="F7" i="27"/>
  <c r="D7" i="27"/>
  <c r="C7" i="27"/>
  <c r="H6" i="27"/>
  <c r="F6" i="27"/>
  <c r="D6" i="27"/>
  <c r="C6" i="27"/>
  <c r="H5" i="27"/>
  <c r="F5" i="27"/>
  <c r="D5" i="27"/>
  <c r="C5" i="27"/>
  <c r="T2" i="27"/>
  <c r="S2" i="27"/>
  <c r="R2" i="27"/>
  <c r="Q2" i="27"/>
  <c r="P2" i="27"/>
  <c r="O2" i="27"/>
  <c r="N2" i="27"/>
  <c r="M2" i="27"/>
  <c r="L2" i="27"/>
  <c r="K2" i="27"/>
  <c r="J2" i="27"/>
  <c r="I2" i="27"/>
  <c r="H2" i="27"/>
  <c r="F2" i="27"/>
  <c r="D2" i="27"/>
  <c r="C2" i="27"/>
  <c r="T13" i="26"/>
  <c r="Q13" i="26"/>
  <c r="N13" i="26"/>
  <c r="K13" i="26"/>
  <c r="H13" i="26"/>
  <c r="E13" i="26"/>
  <c r="B13" i="26"/>
  <c r="T12" i="26"/>
  <c r="Q12" i="26"/>
  <c r="N12" i="26"/>
  <c r="T11" i="26"/>
  <c r="Q11" i="26"/>
  <c r="N11" i="26"/>
  <c r="K11" i="26"/>
  <c r="H11" i="26"/>
  <c r="E11" i="26"/>
  <c r="B11" i="26"/>
  <c r="T9" i="26"/>
  <c r="Q9" i="26"/>
  <c r="N9" i="26"/>
  <c r="K9" i="26"/>
  <c r="H9" i="26"/>
  <c r="E9" i="26"/>
  <c r="B9" i="26"/>
  <c r="F7" i="25"/>
  <c r="F5" i="25"/>
  <c r="R4" i="25"/>
  <c r="P4" i="25"/>
  <c r="N4" i="25"/>
  <c r="L4" i="25"/>
  <c r="J4" i="25"/>
  <c r="H4" i="25"/>
  <c r="F4" i="25"/>
  <c r="R3" i="25"/>
  <c r="P3" i="25"/>
  <c r="N3" i="25"/>
  <c r="L3" i="25"/>
  <c r="J3" i="25"/>
  <c r="H3" i="25"/>
  <c r="D3" i="25"/>
  <c r="Q97" i="24"/>
  <c r="P80" i="9" s="1"/>
  <c r="S76" i="4" s="1"/>
  <c r="P97" i="24"/>
  <c r="O80" i="9" s="1"/>
  <c r="R76" i="4" s="1"/>
  <c r="O97" i="24"/>
  <c r="N80" i="9" s="1"/>
  <c r="Q76" i="4" s="1"/>
  <c r="L97" i="24"/>
  <c r="K80" i="9" s="1"/>
  <c r="N76" i="4" s="1"/>
  <c r="Q96" i="24"/>
  <c r="P79" i="9" s="1"/>
  <c r="W95" i="24"/>
  <c r="W98" i="24" s="1"/>
  <c r="V95" i="24"/>
  <c r="V98" i="24" s="1"/>
  <c r="U95" i="24"/>
  <c r="U98" i="24" s="1"/>
  <c r="T95" i="24"/>
  <c r="T98" i="24" s="1"/>
  <c r="S95" i="24"/>
  <c r="S98" i="24" s="1"/>
  <c r="R95" i="24"/>
  <c r="R98" i="24" s="1"/>
  <c r="M95" i="24"/>
  <c r="M98" i="24" s="1"/>
  <c r="L95" i="24"/>
  <c r="K95" i="24"/>
  <c r="J95" i="24"/>
  <c r="I95" i="24"/>
  <c r="H95" i="24"/>
  <c r="H98" i="24" s="1"/>
  <c r="G95" i="24"/>
  <c r="G98" i="24" s="1"/>
  <c r="F95" i="24"/>
  <c r="E77" i="9" s="1"/>
  <c r="D60" i="27" s="1"/>
  <c r="E95" i="24"/>
  <c r="E98" i="24" s="1"/>
  <c r="Q92" i="24"/>
  <c r="P76" i="9" s="1"/>
  <c r="S79" i="4" s="1"/>
  <c r="P92" i="24"/>
  <c r="O76" i="9" s="1"/>
  <c r="O92" i="24"/>
  <c r="N76" i="9" s="1"/>
  <c r="Q79" i="4" s="1"/>
  <c r="N92" i="24"/>
  <c r="N95" i="24" s="1"/>
  <c r="N98" i="24" s="1"/>
  <c r="Q91" i="24"/>
  <c r="P75" i="9" s="1"/>
  <c r="S78" i="4" s="1"/>
  <c r="P91" i="24"/>
  <c r="O91" i="24"/>
  <c r="W85" i="24"/>
  <c r="V85" i="24"/>
  <c r="U85" i="24"/>
  <c r="T85" i="24"/>
  <c r="S85" i="24"/>
  <c r="R85" i="24"/>
  <c r="P85" i="24"/>
  <c r="M85" i="24"/>
  <c r="L85" i="24"/>
  <c r="K85" i="24"/>
  <c r="J85" i="24"/>
  <c r="I85" i="24"/>
  <c r="H85" i="24"/>
  <c r="G85" i="24"/>
  <c r="F85" i="24"/>
  <c r="E85" i="24"/>
  <c r="Q83" i="24"/>
  <c r="P64" i="9" s="1"/>
  <c r="Q81" i="24"/>
  <c r="O81" i="24"/>
  <c r="Q79" i="24"/>
  <c r="P66" i="9" s="1"/>
  <c r="O79" i="24"/>
  <c r="N66" i="9" s="1"/>
  <c r="N79" i="24"/>
  <c r="M66" i="9" s="1"/>
  <c r="Q78" i="24"/>
  <c r="P62" i="9" s="1"/>
  <c r="O78" i="24"/>
  <c r="N62" i="9" s="1"/>
  <c r="N50" i="12" s="1"/>
  <c r="N78" i="24"/>
  <c r="M62" i="9" s="1"/>
  <c r="Q76" i="24"/>
  <c r="N75" i="24"/>
  <c r="Q72" i="24"/>
  <c r="O72" i="24"/>
  <c r="N59" i="9" s="1"/>
  <c r="N56" i="12" s="1"/>
  <c r="N72" i="24"/>
  <c r="Q71" i="24"/>
  <c r="O71" i="24"/>
  <c r="N71" i="24"/>
  <c r="M63" i="9" s="1"/>
  <c r="M53" i="12" s="1"/>
  <c r="Q70" i="24"/>
  <c r="P58" i="9" s="1"/>
  <c r="O70" i="24"/>
  <c r="N70" i="24"/>
  <c r="Q69" i="24"/>
  <c r="P61" i="9" s="1"/>
  <c r="P44" i="12" s="1"/>
  <c r="Q68" i="24"/>
  <c r="P60" i="9" s="1"/>
  <c r="O68" i="24"/>
  <c r="N68" i="24"/>
  <c r="M60" i="9" s="1"/>
  <c r="M41" i="12" s="1"/>
  <c r="W65" i="24"/>
  <c r="V65" i="24"/>
  <c r="U65" i="24"/>
  <c r="T65" i="24"/>
  <c r="S65" i="24"/>
  <c r="R65" i="24"/>
  <c r="M65" i="24"/>
  <c r="L65" i="24"/>
  <c r="K65" i="24"/>
  <c r="J65" i="24"/>
  <c r="I65" i="24"/>
  <c r="H65" i="24"/>
  <c r="G65" i="24"/>
  <c r="F65" i="24"/>
  <c r="E65" i="24"/>
  <c r="Q63" i="24"/>
  <c r="P53" i="9" s="1"/>
  <c r="P27" i="14" s="1"/>
  <c r="O63" i="24"/>
  <c r="N53" i="9" s="1"/>
  <c r="Q61" i="24"/>
  <c r="P51" i="9" s="1"/>
  <c r="O61" i="24"/>
  <c r="N51" i="9" s="1"/>
  <c r="Q60" i="24"/>
  <c r="P48" i="9" s="1"/>
  <c r="P47" i="12" s="1"/>
  <c r="Q59" i="24"/>
  <c r="P50" i="9" s="1"/>
  <c r="P59" i="24"/>
  <c r="O50" i="9" s="1"/>
  <c r="O59" i="24"/>
  <c r="N50" i="9" s="1"/>
  <c r="N59" i="24"/>
  <c r="Q58" i="24"/>
  <c r="P49" i="9" s="1"/>
  <c r="S66" i="4" s="1"/>
  <c r="O58" i="24"/>
  <c r="N49" i="9" s="1"/>
  <c r="Q66" i="4" s="1"/>
  <c r="N58" i="24"/>
  <c r="Q57" i="24"/>
  <c r="P47" i="9" s="1"/>
  <c r="O57" i="24"/>
  <c r="N47" i="9" s="1"/>
  <c r="V51" i="24"/>
  <c r="U51" i="24"/>
  <c r="T51" i="24"/>
  <c r="S51" i="24"/>
  <c r="R51" i="24"/>
  <c r="P51" i="24"/>
  <c r="M51" i="24"/>
  <c r="L51" i="24"/>
  <c r="K51" i="24"/>
  <c r="J51" i="24"/>
  <c r="I51" i="24"/>
  <c r="H51" i="24"/>
  <c r="G51" i="24"/>
  <c r="F51" i="24"/>
  <c r="E51" i="24"/>
  <c r="Q50" i="24"/>
  <c r="P40" i="9" s="1"/>
  <c r="P23" i="12" s="1"/>
  <c r="O50" i="24"/>
  <c r="N50" i="24"/>
  <c r="Q49" i="24"/>
  <c r="P32" i="9" s="1"/>
  <c r="Q48" i="24"/>
  <c r="P39" i="9" s="1"/>
  <c r="O48" i="24"/>
  <c r="N39" i="9" s="1"/>
  <c r="N48" i="24"/>
  <c r="M39" i="9" s="1"/>
  <c r="Q44" i="24"/>
  <c r="P35" i="9" s="1"/>
  <c r="P26" i="12" s="1"/>
  <c r="O44" i="24"/>
  <c r="N35" i="9" s="1"/>
  <c r="N26" i="12" s="1"/>
  <c r="Q41" i="24"/>
  <c r="Q36" i="24"/>
  <c r="O36" i="24"/>
  <c r="Q35" i="24"/>
  <c r="O35" i="24"/>
  <c r="N35" i="24"/>
  <c r="M31" i="9" s="1"/>
  <c r="M17" i="12" s="1"/>
  <c r="Q34" i="24"/>
  <c r="O34" i="24"/>
  <c r="N34" i="24"/>
  <c r="Q33" i="24"/>
  <c r="P30" i="9" s="1"/>
  <c r="O33" i="24"/>
  <c r="N30" i="9" s="1"/>
  <c r="N14" i="12" s="1"/>
  <c r="Q32" i="24"/>
  <c r="P26" i="9" s="1"/>
  <c r="P32" i="12" s="1"/>
  <c r="O32" i="24"/>
  <c r="N26" i="9" s="1"/>
  <c r="N32" i="12" s="1"/>
  <c r="Q31" i="24"/>
  <c r="P28" i="9" s="1"/>
  <c r="P34" i="12" s="1"/>
  <c r="Q30" i="24"/>
  <c r="P27" i="9" s="1"/>
  <c r="Q35" i="27" s="1"/>
  <c r="O30" i="24"/>
  <c r="N27" i="9" s="1"/>
  <c r="Q59" i="4" s="1"/>
  <c r="Q28" i="24"/>
  <c r="O28" i="24"/>
  <c r="V25" i="24"/>
  <c r="T25" i="24"/>
  <c r="S25" i="24"/>
  <c r="R25" i="24"/>
  <c r="P25" i="24"/>
  <c r="K25" i="24"/>
  <c r="J25" i="24"/>
  <c r="I25" i="24"/>
  <c r="H25" i="24"/>
  <c r="G25" i="24"/>
  <c r="F25" i="24"/>
  <c r="E25" i="24"/>
  <c r="Q21" i="24"/>
  <c r="P18" i="9" s="1"/>
  <c r="P72" i="12" s="1"/>
  <c r="Q19" i="24"/>
  <c r="P16" i="9" s="1"/>
  <c r="Q18" i="24"/>
  <c r="P15" i="9" s="1"/>
  <c r="P75" i="12" s="1"/>
  <c r="O18" i="24"/>
  <c r="N15" i="9" s="1"/>
  <c r="N75" i="12" s="1"/>
  <c r="Q17" i="24"/>
  <c r="P22" i="9" s="1"/>
  <c r="S51" i="4" s="1"/>
  <c r="O17" i="24"/>
  <c r="N22" i="9" s="1"/>
  <c r="Q51" i="4" s="1"/>
  <c r="Q16" i="24"/>
  <c r="P14" i="9" s="1"/>
  <c r="P60" i="12" s="1"/>
  <c r="O16" i="24"/>
  <c r="Q15" i="24"/>
  <c r="O15" i="24"/>
  <c r="O14" i="24"/>
  <c r="Q12" i="24"/>
  <c r="P20" i="9" s="1"/>
  <c r="P118" i="13" s="1"/>
  <c r="O12" i="24"/>
  <c r="N20" i="9" s="1"/>
  <c r="N118" i="13" s="1"/>
  <c r="N12" i="24"/>
  <c r="M20" i="9" s="1"/>
  <c r="M118" i="13" s="1"/>
  <c r="Q11" i="24"/>
  <c r="P9" i="9" s="1"/>
  <c r="P136" i="13" s="1"/>
  <c r="O11" i="24"/>
  <c r="N9" i="9" s="1"/>
  <c r="N136" i="13" s="1"/>
  <c r="N134" i="13" s="1"/>
  <c r="M11" i="24"/>
  <c r="M25" i="24" s="1"/>
  <c r="L11" i="24"/>
  <c r="L25" i="24" s="1"/>
  <c r="Q10" i="24"/>
  <c r="O10" i="24"/>
  <c r="N10" i="24"/>
  <c r="M10" i="9" s="1"/>
  <c r="Q9" i="24"/>
  <c r="P11" i="9" s="1"/>
  <c r="O9" i="24"/>
  <c r="N11" i="9" s="1"/>
  <c r="N9" i="24"/>
  <c r="M11" i="9" s="1"/>
  <c r="Q8" i="24"/>
  <c r="P8" i="9" s="1"/>
  <c r="S52" i="4" s="1"/>
  <c r="O8" i="24"/>
  <c r="N8" i="9" s="1"/>
  <c r="Q52" i="4" s="1"/>
  <c r="N8" i="24"/>
  <c r="M8" i="9" s="1"/>
  <c r="P52" i="4" s="1"/>
  <c r="Q7" i="24"/>
  <c r="P6" i="9" s="1"/>
  <c r="O7" i="24"/>
  <c r="N6" i="9" s="1"/>
  <c r="N7" i="24"/>
  <c r="M6" i="9" s="1"/>
  <c r="Q6" i="24"/>
  <c r="P5" i="9" s="1"/>
  <c r="O6" i="24"/>
  <c r="N5" i="9" s="1"/>
  <c r="N6" i="24"/>
  <c r="U5" i="24"/>
  <c r="U25" i="24" s="1"/>
  <c r="Q5" i="24"/>
  <c r="P4" i="9" s="1"/>
  <c r="O5" i="24"/>
  <c r="N5" i="24"/>
  <c r="M4" i="9" s="1"/>
  <c r="P46" i="4" s="1"/>
  <c r="V29" i="23"/>
  <c r="U29" i="23"/>
  <c r="T29" i="23"/>
  <c r="S29" i="23"/>
  <c r="R29" i="23"/>
  <c r="Q28" i="23"/>
  <c r="P109" i="10" s="1"/>
  <c r="P28" i="23"/>
  <c r="O109" i="10" s="1"/>
  <c r="O28" i="23"/>
  <c r="M94" i="15" s="1"/>
  <c r="N28" i="23"/>
  <c r="L94" i="15" s="1"/>
  <c r="Q27" i="23"/>
  <c r="P107" i="10" s="1"/>
  <c r="N23" i="8" s="1"/>
  <c r="AT23" i="8" s="1"/>
  <c r="Q26" i="23"/>
  <c r="O92" i="15" s="1"/>
  <c r="P26" i="23"/>
  <c r="O26" i="23"/>
  <c r="M92" i="15" s="1"/>
  <c r="N26" i="23"/>
  <c r="L92" i="15" s="1"/>
  <c r="Q25" i="23"/>
  <c r="P25" i="23"/>
  <c r="O25" i="23"/>
  <c r="N25" i="23"/>
  <c r="Q23" i="23"/>
  <c r="O96" i="15" s="1"/>
  <c r="P23" i="23"/>
  <c r="N96" i="15" s="1"/>
  <c r="O23" i="23"/>
  <c r="M96" i="15" s="1"/>
  <c r="N23" i="23"/>
  <c r="L96" i="15" s="1"/>
  <c r="M23" i="23"/>
  <c r="K96" i="15" s="1"/>
  <c r="L23" i="23"/>
  <c r="J96" i="15" s="1"/>
  <c r="Q19" i="23"/>
  <c r="P72" i="14" s="1"/>
  <c r="P19" i="23"/>
  <c r="O72" i="14" s="1"/>
  <c r="O19" i="23"/>
  <c r="N90" i="10" s="1"/>
  <c r="O16" i="27" s="1"/>
  <c r="N19" i="23"/>
  <c r="M90" i="10" s="1"/>
  <c r="Q18" i="23"/>
  <c r="N20" i="8" s="1"/>
  <c r="Q197" i="16" s="1"/>
  <c r="P18" i="23"/>
  <c r="M20" i="8" s="1"/>
  <c r="P197" i="16" s="1"/>
  <c r="O18" i="23"/>
  <c r="N18" i="23"/>
  <c r="Q17" i="23"/>
  <c r="P17" i="23"/>
  <c r="M19" i="8" s="1"/>
  <c r="P195" i="16" s="1"/>
  <c r="O17" i="23"/>
  <c r="N17" i="23"/>
  <c r="T10" i="23"/>
  <c r="S79" i="10" s="1"/>
  <c r="V21" i="4" s="1"/>
  <c r="Q10" i="23"/>
  <c r="P10" i="23"/>
  <c r="O10" i="23"/>
  <c r="N79" i="10" s="1"/>
  <c r="N10" i="23"/>
  <c r="M79" i="10" s="1"/>
  <c r="M10" i="23"/>
  <c r="L10" i="23"/>
  <c r="K10" i="23"/>
  <c r="J10" i="23"/>
  <c r="I10" i="23"/>
  <c r="H10" i="23"/>
  <c r="G10" i="23"/>
  <c r="F10" i="23"/>
  <c r="E10" i="23"/>
  <c r="D10" i="23"/>
  <c r="J9" i="23"/>
  <c r="J7" i="23" s="1"/>
  <c r="I61" i="10" s="1"/>
  <c r="I9" i="23"/>
  <c r="I7" i="23" s="1"/>
  <c r="H61" i="10" s="1"/>
  <c r="Q7" i="23"/>
  <c r="P61" i="10" s="1"/>
  <c r="P7" i="23"/>
  <c r="O61" i="10" s="1"/>
  <c r="O7" i="23"/>
  <c r="N61" i="10" s="1"/>
  <c r="N7" i="23"/>
  <c r="M7" i="23"/>
  <c r="L61" i="10" s="1"/>
  <c r="L7" i="23"/>
  <c r="K61" i="10" s="1"/>
  <c r="K7" i="23"/>
  <c r="J61" i="10" s="1"/>
  <c r="H11" i="8" s="1"/>
  <c r="AH11" i="8" s="1"/>
  <c r="H7" i="23"/>
  <c r="G61" i="10" s="1"/>
  <c r="G7" i="23"/>
  <c r="F61" i="10" s="1"/>
  <c r="D11" i="8" s="1"/>
  <c r="Z11" i="8" s="1"/>
  <c r="F7" i="23"/>
  <c r="E61" i="10" s="1"/>
  <c r="E7" i="23"/>
  <c r="D61" i="10" s="1"/>
  <c r="D7" i="23"/>
  <c r="C61" i="10" s="1"/>
  <c r="V5" i="23"/>
  <c r="V21" i="23" s="1"/>
  <c r="U5" i="23"/>
  <c r="U21" i="23" s="1"/>
  <c r="T5" i="23"/>
  <c r="S5" i="23"/>
  <c r="S21" i="23" s="1"/>
  <c r="R5" i="23"/>
  <c r="R21" i="23" s="1"/>
  <c r="M5" i="23"/>
  <c r="L5" i="23"/>
  <c r="K5" i="23"/>
  <c r="J5" i="23"/>
  <c r="I5" i="23"/>
  <c r="H5" i="23"/>
  <c r="G5" i="23"/>
  <c r="F5" i="23"/>
  <c r="E5" i="23"/>
  <c r="D5" i="23"/>
  <c r="Q4" i="23"/>
  <c r="P19" i="10" s="1"/>
  <c r="S18" i="4" s="1"/>
  <c r="P4" i="23"/>
  <c r="O19" i="10" s="1"/>
  <c r="O4" i="23"/>
  <c r="N19" i="10" s="1"/>
  <c r="Q18" i="4" s="1"/>
  <c r="N4" i="23"/>
  <c r="M19" i="10" s="1"/>
  <c r="Q3" i="23"/>
  <c r="N7" i="8" s="1"/>
  <c r="AT7" i="8" s="1"/>
  <c r="P3" i="23"/>
  <c r="O4" i="10" s="1"/>
  <c r="O3" i="23"/>
  <c r="N4" i="10" s="1"/>
  <c r="N3" i="23"/>
  <c r="M4" i="10" s="1"/>
  <c r="L22" i="6" s="1"/>
  <c r="S26" i="22"/>
  <c r="T26" i="22" s="1"/>
  <c r="R26" i="22"/>
  <c r="R21" i="13" s="1"/>
  <c r="Q26" i="22"/>
  <c r="Q21" i="13" s="1"/>
  <c r="P26" i="22"/>
  <c r="P21" i="13" s="1"/>
  <c r="F26" i="22"/>
  <c r="F21" i="13" s="1"/>
  <c r="E26" i="22"/>
  <c r="E21" i="13" s="1"/>
  <c r="D26" i="22"/>
  <c r="D21" i="13" s="1"/>
  <c r="S25" i="22"/>
  <c r="R25" i="22"/>
  <c r="Q25" i="22"/>
  <c r="P25" i="22"/>
  <c r="O25" i="22"/>
  <c r="F25" i="22"/>
  <c r="E25" i="22"/>
  <c r="M24" i="22"/>
  <c r="L24" i="22"/>
  <c r="L26" i="22" s="1"/>
  <c r="L21" i="13" s="1"/>
  <c r="L20" i="22"/>
  <c r="L39" i="13" s="1"/>
  <c r="K20" i="22"/>
  <c r="K39" i="13" s="1"/>
  <c r="N18" i="22"/>
  <c r="S15" i="22"/>
  <c r="R15" i="22"/>
  <c r="Q15" i="22"/>
  <c r="P15" i="22"/>
  <c r="O15" i="22"/>
  <c r="M15" i="22"/>
  <c r="L15" i="22"/>
  <c r="K15" i="22"/>
  <c r="J15" i="22"/>
  <c r="I15" i="22"/>
  <c r="I16" i="22" s="1"/>
  <c r="H15" i="22"/>
  <c r="H16" i="22" s="1"/>
  <c r="G15" i="22"/>
  <c r="G16" i="22" s="1"/>
  <c r="F15" i="22"/>
  <c r="F16" i="22" s="1"/>
  <c r="E15" i="22"/>
  <c r="E16" i="22" s="1"/>
  <c r="D15" i="22"/>
  <c r="D16" i="22" s="1"/>
  <c r="T13" i="22"/>
  <c r="U13" i="22" s="1"/>
  <c r="N13" i="22"/>
  <c r="S11" i="22"/>
  <c r="R11" i="22"/>
  <c r="Q11" i="22"/>
  <c r="P11" i="22"/>
  <c r="O11" i="22"/>
  <c r="M11" i="22"/>
  <c r="L11" i="22"/>
  <c r="L28" i="10" s="1"/>
  <c r="I11" i="22"/>
  <c r="I28" i="10" s="1"/>
  <c r="H11" i="22"/>
  <c r="H28" i="10" s="1"/>
  <c r="G11" i="22"/>
  <c r="G28" i="10" s="1"/>
  <c r="F11" i="22"/>
  <c r="F28" i="10" s="1"/>
  <c r="E11" i="22"/>
  <c r="E28" i="10" s="1"/>
  <c r="D11" i="22"/>
  <c r="D28" i="10" s="1"/>
  <c r="T9" i="22"/>
  <c r="U9" i="22" s="1"/>
  <c r="K9" i="22"/>
  <c r="K10" i="10" s="1"/>
  <c r="J9" i="22"/>
  <c r="J11" i="22" s="1"/>
  <c r="J28" i="10" s="1"/>
  <c r="L7" i="22"/>
  <c r="K7" i="22"/>
  <c r="J7" i="22"/>
  <c r="I7" i="22"/>
  <c r="H7" i="22"/>
  <c r="G7" i="22"/>
  <c r="F7" i="22"/>
  <c r="E7" i="22"/>
  <c r="M6" i="22"/>
  <c r="F4" i="22"/>
  <c r="E4" i="22"/>
  <c r="T3" i="22"/>
  <c r="AC2" i="22"/>
  <c r="AB2" i="22"/>
  <c r="AA2" i="22"/>
  <c r="Z2" i="22"/>
  <c r="Y2" i="22"/>
  <c r="X2" i="22"/>
  <c r="W2" i="22"/>
  <c r="V2" i="22"/>
  <c r="U2" i="22"/>
  <c r="T2" i="22"/>
  <c r="S2" i="22"/>
  <c r="R2" i="22"/>
  <c r="Q2" i="22"/>
  <c r="T1" i="22"/>
  <c r="U1" i="22" s="1"/>
  <c r="V1" i="22" s="1"/>
  <c r="W1" i="22" s="1"/>
  <c r="X1" i="22" s="1"/>
  <c r="Y1" i="22" s="1"/>
  <c r="Z1" i="22" s="1"/>
  <c r="AA1" i="22" s="1"/>
  <c r="AB1" i="22" s="1"/>
  <c r="AC1" i="22" s="1"/>
  <c r="AD1" i="22" s="1"/>
  <c r="AE1" i="22" s="1"/>
  <c r="AF1" i="22" s="1"/>
  <c r="AG1" i="22" s="1"/>
  <c r="L1" i="22"/>
  <c r="I1" i="22"/>
  <c r="H1" i="22"/>
  <c r="G1" i="22"/>
  <c r="F1" i="22"/>
  <c r="E1" i="22"/>
  <c r="L13" i="21"/>
  <c r="H13" i="21"/>
  <c r="E13" i="21"/>
  <c r="L12" i="21"/>
  <c r="H12" i="21"/>
  <c r="E12" i="21"/>
  <c r="L11" i="21"/>
  <c r="E11" i="21"/>
  <c r="H8" i="21"/>
  <c r="G8" i="21"/>
  <c r="F8" i="21"/>
  <c r="D8" i="21"/>
  <c r="H5" i="21"/>
  <c r="H11" i="21" s="1"/>
  <c r="E35" i="20"/>
  <c r="C35" i="20"/>
  <c r="G30" i="20"/>
  <c r="N36" i="13" s="1"/>
  <c r="F30" i="20"/>
  <c r="M36" i="13" s="1"/>
  <c r="E30" i="20"/>
  <c r="L36" i="13" s="1"/>
  <c r="N28" i="20"/>
  <c r="M28" i="20"/>
  <c r="L28" i="20"/>
  <c r="K28" i="20"/>
  <c r="J28" i="20"/>
  <c r="I28" i="20"/>
  <c r="E28" i="20"/>
  <c r="C28" i="20"/>
  <c r="N27" i="20"/>
  <c r="M27" i="20"/>
  <c r="L27" i="20"/>
  <c r="K27" i="20"/>
  <c r="J27" i="20"/>
  <c r="H26" i="20"/>
  <c r="I27" i="20" s="1"/>
  <c r="G26" i="20"/>
  <c r="F26" i="20"/>
  <c r="N176" i="16" s="1"/>
  <c r="D26" i="20"/>
  <c r="E27" i="20" s="1"/>
  <c r="N23" i="20"/>
  <c r="N24" i="20" s="1"/>
  <c r="M23" i="20"/>
  <c r="M24" i="20" s="1"/>
  <c r="L23" i="20"/>
  <c r="L24" i="20" s="1"/>
  <c r="K23" i="20"/>
  <c r="K24" i="20" s="1"/>
  <c r="J23" i="20"/>
  <c r="J24" i="20" s="1"/>
  <c r="I23" i="20"/>
  <c r="I24" i="20" s="1"/>
  <c r="E23" i="20"/>
  <c r="E24" i="20" s="1"/>
  <c r="C23" i="20"/>
  <c r="C24" i="20" s="1"/>
  <c r="Q20" i="20"/>
  <c r="R20" i="20" s="1"/>
  <c r="S20" i="20" s="1"/>
  <c r="N20" i="20"/>
  <c r="M20" i="20"/>
  <c r="L20" i="20"/>
  <c r="K20" i="20"/>
  <c r="J20" i="20"/>
  <c r="I20" i="20"/>
  <c r="E20" i="20"/>
  <c r="C20" i="20"/>
  <c r="N19" i="20"/>
  <c r="M19" i="20"/>
  <c r="L19" i="20"/>
  <c r="K19" i="20"/>
  <c r="J19" i="20"/>
  <c r="H18" i="20"/>
  <c r="P141" i="16" s="1"/>
  <c r="AE141" i="16" s="1"/>
  <c r="G18" i="20"/>
  <c r="F18" i="20"/>
  <c r="N141" i="16" s="1"/>
  <c r="D18" i="20"/>
  <c r="K55" i="10" s="1"/>
  <c r="N15" i="20"/>
  <c r="N16" i="20" s="1"/>
  <c r="M15" i="20"/>
  <c r="M16" i="20" s="1"/>
  <c r="L15" i="20"/>
  <c r="L16" i="20" s="1"/>
  <c r="K15" i="20"/>
  <c r="K16" i="20" s="1"/>
  <c r="J15" i="20"/>
  <c r="J16" i="20" s="1"/>
  <c r="I15" i="20"/>
  <c r="I16" i="20" s="1"/>
  <c r="E15" i="20"/>
  <c r="E16" i="20" s="1"/>
  <c r="C15" i="20"/>
  <c r="C16" i="20" s="1"/>
  <c r="N12" i="20"/>
  <c r="M12" i="20"/>
  <c r="L12" i="20"/>
  <c r="K12" i="20"/>
  <c r="J12" i="20"/>
  <c r="H11" i="20"/>
  <c r="G11" i="20"/>
  <c r="G1" i="20" s="1"/>
  <c r="F11" i="20"/>
  <c r="F1" i="20" s="1"/>
  <c r="D11" i="20"/>
  <c r="L89" i="16" s="1"/>
  <c r="N9" i="20"/>
  <c r="M9" i="20"/>
  <c r="L9" i="20"/>
  <c r="K9" i="20"/>
  <c r="J9" i="20"/>
  <c r="I9" i="20"/>
  <c r="E9" i="20"/>
  <c r="C9" i="20"/>
  <c r="N7" i="20"/>
  <c r="M7" i="20"/>
  <c r="L7" i="20"/>
  <c r="K7" i="20"/>
  <c r="J7" i="20"/>
  <c r="I7" i="20"/>
  <c r="H7" i="20"/>
  <c r="G7" i="20"/>
  <c r="F7" i="20"/>
  <c r="E7" i="20"/>
  <c r="D7" i="20"/>
  <c r="N4" i="20"/>
  <c r="M4" i="20"/>
  <c r="L4" i="20"/>
  <c r="K4" i="20"/>
  <c r="J4" i="20"/>
  <c r="I4" i="20"/>
  <c r="H4" i="20"/>
  <c r="G4" i="20"/>
  <c r="D4" i="20"/>
  <c r="V55" i="10"/>
  <c r="W56" i="10" s="1"/>
  <c r="E3" i="20"/>
  <c r="E1" i="20" s="1"/>
  <c r="V2" i="20"/>
  <c r="U2" i="20"/>
  <c r="T2" i="20"/>
  <c r="S2" i="20"/>
  <c r="R2" i="20"/>
  <c r="Q2" i="20"/>
  <c r="O2" i="20"/>
  <c r="N2" i="20"/>
  <c r="M2" i="20"/>
  <c r="L2" i="20"/>
  <c r="K2" i="20"/>
  <c r="J2" i="20"/>
  <c r="Q1" i="20"/>
  <c r="R1" i="20" s="1"/>
  <c r="S1" i="20" s="1"/>
  <c r="T1" i="20" s="1"/>
  <c r="U1" i="20" s="1"/>
  <c r="V1" i="20" s="1"/>
  <c r="W1" i="20" s="1"/>
  <c r="X1" i="20" s="1"/>
  <c r="Y1" i="20" s="1"/>
  <c r="Z1" i="20" s="1"/>
  <c r="N1" i="20"/>
  <c r="M1" i="20"/>
  <c r="L1" i="20"/>
  <c r="K1" i="20"/>
  <c r="J1" i="20"/>
  <c r="I1" i="20"/>
  <c r="C1" i="20"/>
  <c r="S36" i="19"/>
  <c r="R36" i="19"/>
  <c r="L36" i="19"/>
  <c r="K36" i="19"/>
  <c r="J36" i="19"/>
  <c r="I36" i="19"/>
  <c r="G36" i="19"/>
  <c r="F36" i="19"/>
  <c r="E36" i="19"/>
  <c r="S35" i="19"/>
  <c r="T35" i="19" s="1"/>
  <c r="T34" i="19" s="1"/>
  <c r="T10" i="13" s="1"/>
  <c r="R35" i="19"/>
  <c r="R13" i="13" s="1"/>
  <c r="Q35" i="19"/>
  <c r="Q13" i="13" s="1"/>
  <c r="L35" i="19"/>
  <c r="L13" i="13" s="1"/>
  <c r="K35" i="19"/>
  <c r="K13" i="13" s="1"/>
  <c r="J35" i="19"/>
  <c r="J13" i="13" s="1"/>
  <c r="I35" i="19"/>
  <c r="I13" i="13" s="1"/>
  <c r="H35" i="19"/>
  <c r="H13" i="13" s="1"/>
  <c r="G35" i="19"/>
  <c r="G13" i="13" s="1"/>
  <c r="F35" i="19"/>
  <c r="F13" i="13" s="1"/>
  <c r="E35" i="19"/>
  <c r="E13" i="13" s="1"/>
  <c r="D35" i="19"/>
  <c r="D13" i="13" s="1"/>
  <c r="P34" i="19"/>
  <c r="P10" i="13" s="1"/>
  <c r="N34" i="19"/>
  <c r="N10" i="13" s="1"/>
  <c r="M34" i="19"/>
  <c r="M32" i="19"/>
  <c r="K32" i="19"/>
  <c r="N30" i="19"/>
  <c r="N30" i="13" s="1"/>
  <c r="M30" i="19"/>
  <c r="M30" i="13" s="1"/>
  <c r="L30" i="19"/>
  <c r="L30" i="13" s="1"/>
  <c r="K30" i="19"/>
  <c r="K30" i="13" s="1"/>
  <c r="U28" i="19"/>
  <c r="T28" i="19"/>
  <c r="S28" i="19"/>
  <c r="R28" i="19"/>
  <c r="Q28" i="19"/>
  <c r="P28" i="19"/>
  <c r="L28" i="19"/>
  <c r="I28" i="19"/>
  <c r="H28" i="19"/>
  <c r="G28" i="19"/>
  <c r="F28" i="19"/>
  <c r="E28" i="19"/>
  <c r="D28" i="19"/>
  <c r="U27" i="19"/>
  <c r="T27" i="19"/>
  <c r="S27" i="19"/>
  <c r="R27" i="19"/>
  <c r="Q27" i="19"/>
  <c r="I27" i="19"/>
  <c r="H27" i="19"/>
  <c r="G27" i="19"/>
  <c r="F27" i="19"/>
  <c r="E27" i="19"/>
  <c r="O26" i="19"/>
  <c r="N26" i="19"/>
  <c r="M26" i="19"/>
  <c r="N170" i="16" s="1"/>
  <c r="K26" i="19"/>
  <c r="J26" i="19"/>
  <c r="U23" i="19"/>
  <c r="U24" i="19" s="1"/>
  <c r="T23" i="19"/>
  <c r="T24" i="19" s="1"/>
  <c r="S23" i="19"/>
  <c r="S24" i="19" s="1"/>
  <c r="R23" i="19"/>
  <c r="R24" i="19" s="1"/>
  <c r="Q23" i="19"/>
  <c r="Q24" i="19" s="1"/>
  <c r="P23" i="19"/>
  <c r="P24" i="19" s="1"/>
  <c r="L23" i="19"/>
  <c r="L24" i="19" s="1"/>
  <c r="I23" i="19"/>
  <c r="I24" i="19" s="1"/>
  <c r="H23" i="19"/>
  <c r="H24" i="19" s="1"/>
  <c r="G23" i="19"/>
  <c r="G24" i="19" s="1"/>
  <c r="F23" i="19"/>
  <c r="F24" i="19" s="1"/>
  <c r="E23" i="19"/>
  <c r="E24" i="19" s="1"/>
  <c r="D23" i="19"/>
  <c r="D24" i="19" s="1"/>
  <c r="X20" i="19"/>
  <c r="Y20" i="19" s="1"/>
  <c r="Z20" i="19" s="1"/>
  <c r="AA20" i="19" s="1"/>
  <c r="AB20" i="19" s="1"/>
  <c r="AC20" i="19" s="1"/>
  <c r="AD20" i="19" s="1"/>
  <c r="AE20" i="19" s="1"/>
  <c r="AF20" i="19" s="1"/>
  <c r="AG20" i="19" s="1"/>
  <c r="U20" i="19"/>
  <c r="V121" i="16" s="1"/>
  <c r="T20" i="19"/>
  <c r="U121" i="16" s="1"/>
  <c r="S20" i="19"/>
  <c r="T121" i="16" s="1"/>
  <c r="R20" i="19"/>
  <c r="S121" i="16" s="1"/>
  <c r="Q20" i="19"/>
  <c r="R121" i="16" s="1"/>
  <c r="P20" i="19"/>
  <c r="Q121" i="16" s="1"/>
  <c r="L20" i="19"/>
  <c r="M121" i="16" s="1"/>
  <c r="I20" i="19"/>
  <c r="J121" i="16" s="1"/>
  <c r="H20" i="19"/>
  <c r="I121" i="16" s="1"/>
  <c r="G20" i="19"/>
  <c r="H121" i="16" s="1"/>
  <c r="F20" i="19"/>
  <c r="G121" i="16" s="1"/>
  <c r="E20" i="19"/>
  <c r="F121" i="16" s="1"/>
  <c r="D20" i="19"/>
  <c r="E121" i="16" s="1"/>
  <c r="U19" i="19"/>
  <c r="T19" i="19"/>
  <c r="S19" i="19"/>
  <c r="R19" i="19"/>
  <c r="Q19" i="19"/>
  <c r="I19" i="19"/>
  <c r="H19" i="19"/>
  <c r="G19" i="19"/>
  <c r="F19" i="19"/>
  <c r="E19" i="19"/>
  <c r="O18" i="19"/>
  <c r="N18" i="19"/>
  <c r="O135" i="16" s="1"/>
  <c r="M18" i="19"/>
  <c r="K18" i="19"/>
  <c r="L135" i="16" s="1"/>
  <c r="J18" i="19"/>
  <c r="J46" i="10" s="1"/>
  <c r="U15" i="19"/>
  <c r="U16" i="19" s="1"/>
  <c r="T15" i="19"/>
  <c r="T16" i="19" s="1"/>
  <c r="S15" i="19"/>
  <c r="S16" i="19" s="1"/>
  <c r="R15" i="19"/>
  <c r="R16" i="19" s="1"/>
  <c r="Q15" i="19"/>
  <c r="Q16" i="19" s="1"/>
  <c r="P15" i="19"/>
  <c r="P16" i="19" s="1"/>
  <c r="L15" i="19"/>
  <c r="L16" i="19" s="1"/>
  <c r="I15" i="19"/>
  <c r="I16" i="19" s="1"/>
  <c r="H15" i="19"/>
  <c r="H16" i="19" s="1"/>
  <c r="G15" i="19"/>
  <c r="G16" i="19" s="1"/>
  <c r="F15" i="19"/>
  <c r="F16" i="19" s="1"/>
  <c r="E15" i="19"/>
  <c r="E16" i="19" s="1"/>
  <c r="D15" i="19"/>
  <c r="D16" i="19" s="1"/>
  <c r="U12" i="19"/>
  <c r="T12" i="19"/>
  <c r="S12" i="19"/>
  <c r="R12" i="19"/>
  <c r="Q12" i="19"/>
  <c r="L12" i="19"/>
  <c r="K12" i="19"/>
  <c r="J12" i="19"/>
  <c r="I12" i="19"/>
  <c r="H12" i="19"/>
  <c r="G12" i="19"/>
  <c r="F12" i="19"/>
  <c r="E12" i="19"/>
  <c r="O11" i="19"/>
  <c r="O35" i="19" s="1"/>
  <c r="O13" i="13" s="1"/>
  <c r="N11" i="19"/>
  <c r="N8" i="10" s="1"/>
  <c r="M11" i="19"/>
  <c r="M8" i="10" s="1"/>
  <c r="U9" i="19"/>
  <c r="T9" i="19"/>
  <c r="S9" i="19"/>
  <c r="R9" i="19"/>
  <c r="Q9" i="19"/>
  <c r="P9" i="19"/>
  <c r="K9" i="19"/>
  <c r="J9" i="19"/>
  <c r="I9" i="19"/>
  <c r="H9" i="19"/>
  <c r="G9" i="19"/>
  <c r="F9" i="19"/>
  <c r="E9" i="19"/>
  <c r="D9" i="19"/>
  <c r="U7" i="19"/>
  <c r="T7" i="19"/>
  <c r="S7" i="19"/>
  <c r="R7" i="19"/>
  <c r="Q7" i="19"/>
  <c r="P7" i="19"/>
  <c r="O7" i="19"/>
  <c r="N7" i="19"/>
  <c r="K7" i="19"/>
  <c r="J7" i="19"/>
  <c r="I7" i="19"/>
  <c r="H7" i="19"/>
  <c r="G7" i="19"/>
  <c r="F7" i="19"/>
  <c r="E7" i="19"/>
  <c r="W63" i="16"/>
  <c r="AS63" i="16" s="1"/>
  <c r="L6" i="19"/>
  <c r="M63" i="16" s="1"/>
  <c r="AA4" i="19"/>
  <c r="AB4" i="19" s="1"/>
  <c r="AC4" i="19" s="1"/>
  <c r="AD4" i="19" s="1"/>
  <c r="AE4" i="19" s="1"/>
  <c r="AF4" i="19" s="1"/>
  <c r="AG4" i="19" s="1"/>
  <c r="U4" i="19"/>
  <c r="T4" i="19"/>
  <c r="S4" i="19"/>
  <c r="R4" i="19"/>
  <c r="Q4" i="19"/>
  <c r="P4" i="19"/>
  <c r="O4" i="19"/>
  <c r="N4" i="19"/>
  <c r="K4" i="19"/>
  <c r="J4" i="19"/>
  <c r="I4" i="19"/>
  <c r="F4" i="19"/>
  <c r="E4" i="19"/>
  <c r="L3" i="19"/>
  <c r="M10" i="16" s="1"/>
  <c r="AC2" i="19"/>
  <c r="AB2" i="19"/>
  <c r="AA2" i="19"/>
  <c r="Z2" i="19"/>
  <c r="Y2" i="19"/>
  <c r="X2" i="19"/>
  <c r="V2" i="19"/>
  <c r="U2" i="19"/>
  <c r="T2" i="19"/>
  <c r="S2" i="19"/>
  <c r="R2" i="19"/>
  <c r="Q2" i="19"/>
  <c r="Z1" i="19"/>
  <c r="AA1" i="19" s="1"/>
  <c r="AB1" i="19" s="1"/>
  <c r="AC1" i="19" s="1"/>
  <c r="AD1" i="19" s="1"/>
  <c r="AE1" i="19" s="1"/>
  <c r="AF1" i="19" s="1"/>
  <c r="AG1" i="19" s="1"/>
  <c r="U1" i="19"/>
  <c r="T1" i="19"/>
  <c r="S1" i="19"/>
  <c r="R1" i="19"/>
  <c r="Q1" i="19"/>
  <c r="P1" i="19"/>
  <c r="K1" i="19"/>
  <c r="J1" i="19"/>
  <c r="I1" i="19"/>
  <c r="H1" i="19"/>
  <c r="G1" i="19"/>
  <c r="F1" i="19"/>
  <c r="E1" i="19"/>
  <c r="Q38" i="18"/>
  <c r="K38" i="18"/>
  <c r="J38" i="18"/>
  <c r="I38" i="18"/>
  <c r="H38" i="18"/>
  <c r="G38" i="18"/>
  <c r="F38" i="18"/>
  <c r="E38" i="18"/>
  <c r="D38" i="18"/>
  <c r="S37" i="18"/>
  <c r="T37" i="18" s="1"/>
  <c r="T36" i="18" s="1"/>
  <c r="Q37" i="18"/>
  <c r="R9" i="13" s="1"/>
  <c r="P37" i="18"/>
  <c r="Q9" i="13" s="1"/>
  <c r="H37" i="18"/>
  <c r="I9" i="13" s="1"/>
  <c r="G37" i="18"/>
  <c r="H9" i="13" s="1"/>
  <c r="E37" i="18"/>
  <c r="F9" i="13" s="1"/>
  <c r="D37" i="18"/>
  <c r="E9" i="13" s="1"/>
  <c r="C37" i="18"/>
  <c r="D9" i="13" s="1"/>
  <c r="O36" i="18"/>
  <c r="P38" i="18" s="1"/>
  <c r="M36" i="18"/>
  <c r="N6" i="13" s="1"/>
  <c r="L36" i="18"/>
  <c r="M34" i="18"/>
  <c r="K34" i="18"/>
  <c r="J34" i="18"/>
  <c r="M32" i="18"/>
  <c r="N27" i="13" s="1"/>
  <c r="L32" i="18"/>
  <c r="M27" i="13" s="1"/>
  <c r="T30" i="18"/>
  <c r="S30" i="18"/>
  <c r="R30" i="18"/>
  <c r="Q30" i="18"/>
  <c r="P30" i="18"/>
  <c r="H30" i="18"/>
  <c r="G30" i="18"/>
  <c r="F30" i="18"/>
  <c r="E30" i="18"/>
  <c r="D30" i="18"/>
  <c r="C30" i="18"/>
  <c r="T29" i="18"/>
  <c r="S29" i="18"/>
  <c r="R29" i="18"/>
  <c r="Q29" i="18"/>
  <c r="P29" i="18"/>
  <c r="H29" i="18"/>
  <c r="G29" i="18"/>
  <c r="F29" i="18"/>
  <c r="E29" i="18"/>
  <c r="D29" i="18"/>
  <c r="N28" i="18"/>
  <c r="M28" i="18"/>
  <c r="L28" i="18"/>
  <c r="K28" i="18"/>
  <c r="M168" i="16" s="1"/>
  <c r="J28" i="18"/>
  <c r="L168" i="16" s="1"/>
  <c r="L190" i="16" s="1"/>
  <c r="I28" i="18"/>
  <c r="T25" i="18"/>
  <c r="T26" i="18" s="1"/>
  <c r="S25" i="18"/>
  <c r="S26" i="18" s="1"/>
  <c r="R25" i="18"/>
  <c r="R26" i="18" s="1"/>
  <c r="Q25" i="18"/>
  <c r="Q26" i="18" s="1"/>
  <c r="P25" i="18"/>
  <c r="P26" i="18" s="1"/>
  <c r="O25" i="18"/>
  <c r="H25" i="18"/>
  <c r="H26" i="18" s="1"/>
  <c r="G25" i="18"/>
  <c r="G26" i="18" s="1"/>
  <c r="F25" i="18"/>
  <c r="F26" i="18" s="1"/>
  <c r="E25" i="18"/>
  <c r="E26" i="18" s="1"/>
  <c r="D25" i="18"/>
  <c r="D26" i="18" s="1"/>
  <c r="C25" i="18"/>
  <c r="C26" i="18" s="1"/>
  <c r="X22" i="18"/>
  <c r="Y22" i="18" s="1"/>
  <c r="Z22" i="18" s="1"/>
  <c r="S22" i="18"/>
  <c r="U119" i="16" s="1"/>
  <c r="R22" i="18"/>
  <c r="T119" i="16" s="1"/>
  <c r="Q22" i="18"/>
  <c r="S119" i="16" s="1"/>
  <c r="P22" i="18"/>
  <c r="R119" i="16" s="1"/>
  <c r="H22" i="18"/>
  <c r="J119" i="16" s="1"/>
  <c r="G22" i="18"/>
  <c r="I119" i="16" s="1"/>
  <c r="F22" i="18"/>
  <c r="H119" i="16" s="1"/>
  <c r="E22" i="18"/>
  <c r="G119" i="16" s="1"/>
  <c r="D22" i="18"/>
  <c r="F119" i="16" s="1"/>
  <c r="C22" i="18"/>
  <c r="E119" i="16" s="1"/>
  <c r="T21" i="18"/>
  <c r="S21" i="18"/>
  <c r="R21" i="18"/>
  <c r="Q21" i="18"/>
  <c r="P21" i="18"/>
  <c r="H21" i="18"/>
  <c r="G21" i="18"/>
  <c r="F21" i="18"/>
  <c r="E21" i="18"/>
  <c r="D21" i="18"/>
  <c r="N20" i="18"/>
  <c r="M20" i="18"/>
  <c r="O133" i="16" s="1"/>
  <c r="L20" i="18"/>
  <c r="M43" i="10" s="1"/>
  <c r="K20" i="18"/>
  <c r="M133" i="16" s="1"/>
  <c r="J20" i="18"/>
  <c r="L133" i="16" s="1"/>
  <c r="I20" i="18"/>
  <c r="J43" i="10" s="1"/>
  <c r="T17" i="18"/>
  <c r="T18" i="18" s="1"/>
  <c r="S17" i="18"/>
  <c r="S18" i="18" s="1"/>
  <c r="R17" i="18"/>
  <c r="R18" i="18" s="1"/>
  <c r="Q17" i="18"/>
  <c r="P17" i="18"/>
  <c r="P18" i="18" s="1"/>
  <c r="H17" i="18"/>
  <c r="H18" i="18" s="1"/>
  <c r="G17" i="18"/>
  <c r="G18" i="18" s="1"/>
  <c r="F17" i="18"/>
  <c r="F18" i="18" s="1"/>
  <c r="E17" i="18"/>
  <c r="E18" i="18" s="1"/>
  <c r="D17" i="18"/>
  <c r="D18" i="18" s="1"/>
  <c r="C17" i="18"/>
  <c r="C18" i="18" s="1"/>
  <c r="T13" i="18"/>
  <c r="T14" i="18" s="1"/>
  <c r="S13" i="18"/>
  <c r="S14" i="18" s="1"/>
  <c r="R13" i="18"/>
  <c r="R14" i="18" s="1"/>
  <c r="Q13" i="18"/>
  <c r="Q14" i="18" s="1"/>
  <c r="P13" i="18"/>
  <c r="P14" i="18" s="1"/>
  <c r="O13" i="18"/>
  <c r="N13" i="18"/>
  <c r="M13" i="18"/>
  <c r="L13" i="18"/>
  <c r="K13" i="18"/>
  <c r="J13" i="18"/>
  <c r="I13" i="18"/>
  <c r="H13" i="18"/>
  <c r="H14" i="18" s="1"/>
  <c r="G13" i="18"/>
  <c r="G14" i="18" s="1"/>
  <c r="F13" i="18"/>
  <c r="F14" i="18" s="1"/>
  <c r="E13" i="18"/>
  <c r="E14" i="18" s="1"/>
  <c r="D13" i="18"/>
  <c r="T12" i="18"/>
  <c r="S12" i="18"/>
  <c r="R12" i="18"/>
  <c r="Q12" i="18"/>
  <c r="H12" i="18"/>
  <c r="G12" i="18"/>
  <c r="F12" i="18"/>
  <c r="E12" i="18"/>
  <c r="D12" i="18"/>
  <c r="O11" i="18"/>
  <c r="Q81" i="16" s="1"/>
  <c r="N11" i="18"/>
  <c r="N9" i="18" s="1"/>
  <c r="M11" i="18"/>
  <c r="N6" i="10" s="1"/>
  <c r="L11" i="18"/>
  <c r="N81" i="16" s="1"/>
  <c r="K11" i="18"/>
  <c r="K9" i="18" s="1"/>
  <c r="J11" i="18"/>
  <c r="I11" i="18"/>
  <c r="I9" i="18" s="1"/>
  <c r="T9" i="18"/>
  <c r="S9" i="18"/>
  <c r="R9" i="18"/>
  <c r="Q9" i="18"/>
  <c r="P9" i="18"/>
  <c r="H9" i="18"/>
  <c r="G9" i="18"/>
  <c r="F9" i="18"/>
  <c r="E9" i="18"/>
  <c r="D9" i="18"/>
  <c r="C9" i="18"/>
  <c r="T7" i="18"/>
  <c r="S7" i="18"/>
  <c r="R7" i="18"/>
  <c r="Q7" i="18"/>
  <c r="P7" i="18"/>
  <c r="O7" i="18"/>
  <c r="N7" i="18"/>
  <c r="M7" i="18"/>
  <c r="L7" i="18"/>
  <c r="K7" i="18"/>
  <c r="J7" i="18"/>
  <c r="I7" i="18"/>
  <c r="H7" i="18"/>
  <c r="G7" i="18"/>
  <c r="F7" i="18"/>
  <c r="E7" i="18"/>
  <c r="D7" i="18"/>
  <c r="T4" i="18"/>
  <c r="S4" i="18"/>
  <c r="R4" i="18"/>
  <c r="Q4" i="18"/>
  <c r="P4" i="18"/>
  <c r="O4" i="18"/>
  <c r="N4" i="18"/>
  <c r="M4" i="18"/>
  <c r="L4" i="18"/>
  <c r="K4" i="18"/>
  <c r="J4" i="18"/>
  <c r="I4" i="18"/>
  <c r="H4" i="18"/>
  <c r="G4" i="18"/>
  <c r="F4" i="18"/>
  <c r="E4" i="18"/>
  <c r="D4" i="18"/>
  <c r="AB2" i="18"/>
  <c r="AA2" i="18"/>
  <c r="Z2" i="18"/>
  <c r="Y2" i="18"/>
  <c r="X2" i="18"/>
  <c r="W2" i="18"/>
  <c r="U2" i="18"/>
  <c r="T2" i="18"/>
  <c r="S2" i="18"/>
  <c r="R2" i="18"/>
  <c r="Q2" i="18"/>
  <c r="P2" i="18"/>
  <c r="S1" i="18"/>
  <c r="R1" i="18"/>
  <c r="Q1" i="18"/>
  <c r="P1" i="18"/>
  <c r="H1" i="18"/>
  <c r="G1" i="18"/>
  <c r="F1" i="18"/>
  <c r="E1" i="18"/>
  <c r="D1" i="18"/>
  <c r="S75" i="17"/>
  <c r="R75" i="17"/>
  <c r="L75" i="17"/>
  <c r="K75" i="17"/>
  <c r="J75" i="17"/>
  <c r="I75" i="17"/>
  <c r="H75" i="17"/>
  <c r="G75" i="17"/>
  <c r="F75" i="17"/>
  <c r="E75" i="17"/>
  <c r="S74" i="17"/>
  <c r="T74" i="17" s="1"/>
  <c r="T17" i="13" s="1"/>
  <c r="R74" i="17"/>
  <c r="R17" i="13" s="1"/>
  <c r="Q74" i="17"/>
  <c r="Q17" i="13" s="1"/>
  <c r="I74" i="17"/>
  <c r="I17" i="13" s="1"/>
  <c r="H74" i="17"/>
  <c r="H17" i="13" s="1"/>
  <c r="G74" i="17"/>
  <c r="G17" i="13" s="1"/>
  <c r="F74" i="17"/>
  <c r="F17" i="13" s="1"/>
  <c r="E74" i="17"/>
  <c r="E17" i="13" s="1"/>
  <c r="D74" i="17"/>
  <c r="D17" i="13" s="1"/>
  <c r="P73" i="17"/>
  <c r="P14" i="13" s="1"/>
  <c r="N73" i="17"/>
  <c r="O75" i="17" s="1"/>
  <c r="M73" i="17"/>
  <c r="M75" i="17" s="1"/>
  <c r="N71" i="17"/>
  <c r="M71" i="17"/>
  <c r="L71" i="17"/>
  <c r="K71" i="17"/>
  <c r="S69" i="17"/>
  <c r="R69" i="17"/>
  <c r="Q69" i="17"/>
  <c r="P69" i="17"/>
  <c r="M69" i="17"/>
  <c r="L69" i="17"/>
  <c r="K69" i="17"/>
  <c r="J69" i="17"/>
  <c r="I69" i="17"/>
  <c r="H69" i="17"/>
  <c r="G69" i="17"/>
  <c r="F69" i="17"/>
  <c r="E69" i="17"/>
  <c r="N68" i="17"/>
  <c r="N69" i="17" s="1"/>
  <c r="U62" i="17"/>
  <c r="T62" i="17"/>
  <c r="P61" i="17"/>
  <c r="U59" i="17"/>
  <c r="T59" i="17"/>
  <c r="S59" i="17"/>
  <c r="R59" i="17"/>
  <c r="Q59" i="17"/>
  <c r="I59" i="17"/>
  <c r="H59" i="17"/>
  <c r="G59" i="17"/>
  <c r="F59" i="17"/>
  <c r="E59" i="17"/>
  <c r="D59" i="17"/>
  <c r="U58" i="17"/>
  <c r="T58" i="17"/>
  <c r="S58" i="17"/>
  <c r="R58" i="17"/>
  <c r="I58" i="17"/>
  <c r="H58" i="17"/>
  <c r="G58" i="17"/>
  <c r="F58" i="17"/>
  <c r="E58" i="17"/>
  <c r="P57" i="17"/>
  <c r="Q58" i="17" s="1"/>
  <c r="O57" i="17"/>
  <c r="N57" i="17"/>
  <c r="M57" i="17"/>
  <c r="L57" i="17"/>
  <c r="M172" i="16" s="1"/>
  <c r="K57" i="17"/>
  <c r="L172" i="16" s="1"/>
  <c r="J57" i="17"/>
  <c r="K172" i="16" s="1"/>
  <c r="U54" i="17"/>
  <c r="U55" i="17" s="1"/>
  <c r="T54" i="17"/>
  <c r="T55" i="17" s="1"/>
  <c r="S54" i="17"/>
  <c r="S55" i="17" s="1"/>
  <c r="R54" i="17"/>
  <c r="R55" i="17" s="1"/>
  <c r="Q54" i="17"/>
  <c r="Q55" i="17" s="1"/>
  <c r="I54" i="17"/>
  <c r="I55" i="17" s="1"/>
  <c r="H54" i="17"/>
  <c r="H55" i="17" s="1"/>
  <c r="G54" i="17"/>
  <c r="G55" i="17" s="1"/>
  <c r="F54" i="17"/>
  <c r="F55" i="17" s="1"/>
  <c r="E54" i="17"/>
  <c r="E55" i="17" s="1"/>
  <c r="D54" i="17"/>
  <c r="D55" i="17" s="1"/>
  <c r="M50" i="17"/>
  <c r="M48" i="17"/>
  <c r="AA44" i="17"/>
  <c r="AB44" i="17" s="1"/>
  <c r="AC44" i="17" s="1"/>
  <c r="AD44" i="17" s="1"/>
  <c r="AE44" i="17" s="1"/>
  <c r="AF44" i="17" s="1"/>
  <c r="AG44" i="17" s="1"/>
  <c r="U44" i="17"/>
  <c r="V123" i="16" s="1"/>
  <c r="T44" i="17"/>
  <c r="U123" i="16" s="1"/>
  <c r="S44" i="17"/>
  <c r="T123" i="16" s="1"/>
  <c r="R44" i="17"/>
  <c r="S123" i="16" s="1"/>
  <c r="Q44" i="17"/>
  <c r="R123" i="16" s="1"/>
  <c r="I44" i="17"/>
  <c r="J123" i="16" s="1"/>
  <c r="H44" i="17"/>
  <c r="I123" i="16" s="1"/>
  <c r="G44" i="17"/>
  <c r="H123" i="16" s="1"/>
  <c r="F44" i="17"/>
  <c r="G123" i="16" s="1"/>
  <c r="E44" i="17"/>
  <c r="F123" i="16" s="1"/>
  <c r="D44" i="17"/>
  <c r="E123" i="16" s="1"/>
  <c r="U43" i="17"/>
  <c r="T43" i="17"/>
  <c r="S43" i="17"/>
  <c r="R43" i="17"/>
  <c r="I43" i="17"/>
  <c r="H43" i="17"/>
  <c r="G43" i="17"/>
  <c r="F43" i="17"/>
  <c r="E43" i="17"/>
  <c r="P42" i="17"/>
  <c r="P52" i="10" s="1"/>
  <c r="O42" i="17"/>
  <c r="O52" i="10" s="1"/>
  <c r="N42" i="17"/>
  <c r="M42" i="17"/>
  <c r="M51" i="17" s="1"/>
  <c r="L42" i="17"/>
  <c r="K42" i="17"/>
  <c r="K52" i="10" s="1"/>
  <c r="J42" i="17"/>
  <c r="K137" i="16" s="1"/>
  <c r="U39" i="17"/>
  <c r="U40" i="17" s="1"/>
  <c r="T39" i="17"/>
  <c r="T40" i="17" s="1"/>
  <c r="S39" i="17"/>
  <c r="S40" i="17" s="1"/>
  <c r="R39" i="17"/>
  <c r="R40" i="17" s="1"/>
  <c r="Q39" i="17"/>
  <c r="Q40" i="17" s="1"/>
  <c r="I39" i="17"/>
  <c r="I40" i="17" s="1"/>
  <c r="H39" i="17"/>
  <c r="H40" i="17" s="1"/>
  <c r="G39" i="17"/>
  <c r="G40" i="17" s="1"/>
  <c r="F39" i="17"/>
  <c r="F40" i="17" s="1"/>
  <c r="E39" i="17"/>
  <c r="E40" i="17" s="1"/>
  <c r="D39" i="17"/>
  <c r="D40" i="17" s="1"/>
  <c r="S37" i="17"/>
  <c r="R37" i="17"/>
  <c r="Q36" i="17"/>
  <c r="Q37" i="17" s="1"/>
  <c r="P36" i="17"/>
  <c r="O36" i="17"/>
  <c r="U34" i="17"/>
  <c r="F34" i="17"/>
  <c r="S33" i="17"/>
  <c r="R33" i="17"/>
  <c r="Q33" i="17"/>
  <c r="I33" i="17"/>
  <c r="H33" i="17"/>
  <c r="G33" i="17"/>
  <c r="G34" i="17" s="1"/>
  <c r="U32" i="17"/>
  <c r="T32" i="17"/>
  <c r="S32" i="17"/>
  <c r="R32" i="17"/>
  <c r="Q32" i="17"/>
  <c r="P32" i="17"/>
  <c r="K32" i="17"/>
  <c r="J32" i="17"/>
  <c r="I32" i="17"/>
  <c r="H32" i="17"/>
  <c r="N31" i="17"/>
  <c r="N50" i="17" s="1"/>
  <c r="U30" i="17"/>
  <c r="T30" i="17"/>
  <c r="S30" i="17"/>
  <c r="R30" i="17"/>
  <c r="Q30" i="17"/>
  <c r="K30" i="17"/>
  <c r="J30" i="17"/>
  <c r="I30" i="17"/>
  <c r="H30" i="17"/>
  <c r="O29" i="17"/>
  <c r="N29" i="17"/>
  <c r="L29" i="17"/>
  <c r="U26" i="17"/>
  <c r="T26" i="17"/>
  <c r="S26" i="17"/>
  <c r="R26" i="17"/>
  <c r="I26" i="17"/>
  <c r="H26" i="17"/>
  <c r="G26" i="17"/>
  <c r="F26" i="17"/>
  <c r="E26" i="17"/>
  <c r="P25" i="17"/>
  <c r="Q26" i="17" s="1"/>
  <c r="O25" i="17"/>
  <c r="N25" i="17"/>
  <c r="N12" i="10" s="1"/>
  <c r="M25" i="17"/>
  <c r="N85" i="16" s="1"/>
  <c r="L25" i="17"/>
  <c r="L12" i="10" s="1"/>
  <c r="K25" i="17"/>
  <c r="K12" i="10" s="1"/>
  <c r="J25" i="17"/>
  <c r="U23" i="17"/>
  <c r="T23" i="17"/>
  <c r="S23" i="17"/>
  <c r="R23" i="17"/>
  <c r="Q23" i="17"/>
  <c r="U16" i="17"/>
  <c r="T16" i="17"/>
  <c r="S16" i="17"/>
  <c r="R16" i="17"/>
  <c r="H16" i="17"/>
  <c r="G16" i="17"/>
  <c r="P15" i="17"/>
  <c r="Q1" i="17" s="1"/>
  <c r="O15" i="17"/>
  <c r="N15" i="17"/>
  <c r="O65" i="16" s="1"/>
  <c r="M15" i="17"/>
  <c r="N65" i="16" s="1"/>
  <c r="L15" i="17"/>
  <c r="M65" i="16" s="1"/>
  <c r="K15" i="17"/>
  <c r="L65" i="16" s="1"/>
  <c r="J15" i="17"/>
  <c r="K65" i="16" s="1"/>
  <c r="I15" i="17"/>
  <c r="I16" i="17" s="1"/>
  <c r="M13" i="17"/>
  <c r="L13" i="17"/>
  <c r="K13" i="17"/>
  <c r="J13" i="17"/>
  <c r="M11" i="17"/>
  <c r="L11" i="17"/>
  <c r="K11" i="17"/>
  <c r="J11" i="17"/>
  <c r="P9" i="17"/>
  <c r="O9" i="17"/>
  <c r="M8" i="17"/>
  <c r="M3" i="17" s="1"/>
  <c r="N12" i="16" s="1"/>
  <c r="L8" i="17"/>
  <c r="K8" i="17"/>
  <c r="K3" i="17" s="1"/>
  <c r="L12" i="16" s="1"/>
  <c r="J8" i="17"/>
  <c r="I8" i="17"/>
  <c r="I3" i="17" s="1"/>
  <c r="J12" i="16" s="1"/>
  <c r="P6" i="17"/>
  <c r="O6" i="17"/>
  <c r="N6" i="17"/>
  <c r="K6" i="17"/>
  <c r="J6" i="17"/>
  <c r="L5" i="17"/>
  <c r="M6" i="17" s="1"/>
  <c r="U4" i="17"/>
  <c r="T4" i="17"/>
  <c r="S4" i="17"/>
  <c r="R4" i="17"/>
  <c r="H4" i="17"/>
  <c r="G4" i="17"/>
  <c r="P3" i="17"/>
  <c r="O3" i="17"/>
  <c r="P12" i="16" s="1"/>
  <c r="N3" i="17"/>
  <c r="O12" i="16" s="1"/>
  <c r="AC2" i="17"/>
  <c r="AB2" i="17"/>
  <c r="AA2" i="17"/>
  <c r="Z2" i="17"/>
  <c r="Y2" i="17"/>
  <c r="X2" i="17"/>
  <c r="V2" i="17"/>
  <c r="U2" i="17"/>
  <c r="T2" i="17"/>
  <c r="S2" i="17"/>
  <c r="R2" i="17"/>
  <c r="Q2" i="17"/>
  <c r="T1" i="17"/>
  <c r="S1" i="17"/>
  <c r="R1" i="17"/>
  <c r="H1" i="17"/>
  <c r="G1" i="17"/>
  <c r="S271" i="16"/>
  <c r="X265" i="16"/>
  <c r="W265" i="16"/>
  <c r="V265" i="16"/>
  <c r="U265" i="16"/>
  <c r="T265" i="16"/>
  <c r="S265" i="16"/>
  <c r="R265" i="16"/>
  <c r="X262" i="16"/>
  <c r="W262" i="16"/>
  <c r="V262" i="16"/>
  <c r="U262" i="16"/>
  <c r="T262" i="16"/>
  <c r="S262" i="16"/>
  <c r="R262" i="16"/>
  <c r="X258" i="16"/>
  <c r="W258" i="16"/>
  <c r="V258" i="16"/>
  <c r="U258" i="16"/>
  <c r="T258" i="16"/>
  <c r="S258" i="16"/>
  <c r="X256" i="16"/>
  <c r="W256" i="16"/>
  <c r="V256" i="16"/>
  <c r="U256" i="16"/>
  <c r="T256" i="16"/>
  <c r="S256" i="16"/>
  <c r="X254" i="16"/>
  <c r="W254" i="16"/>
  <c r="V254" i="16"/>
  <c r="U254" i="16"/>
  <c r="T254" i="16"/>
  <c r="S254" i="16"/>
  <c r="X252" i="16"/>
  <c r="W252" i="16"/>
  <c r="V252" i="16"/>
  <c r="U252" i="16"/>
  <c r="T252" i="16"/>
  <c r="S252" i="16"/>
  <c r="X250" i="16"/>
  <c r="W250" i="16"/>
  <c r="V250" i="16"/>
  <c r="U250" i="16"/>
  <c r="T250" i="16"/>
  <c r="S250" i="16"/>
  <c r="X247" i="16"/>
  <c r="W247" i="16"/>
  <c r="V247" i="16"/>
  <c r="U247" i="16"/>
  <c r="T247" i="16"/>
  <c r="S247" i="16"/>
  <c r="R247" i="16"/>
  <c r="Q245" i="16"/>
  <c r="P245" i="16"/>
  <c r="O245" i="16"/>
  <c r="V242" i="16"/>
  <c r="U242" i="16"/>
  <c r="AR238" i="16"/>
  <c r="AR240" i="16" s="1"/>
  <c r="AR242" i="16" s="1"/>
  <c r="AP238" i="16"/>
  <c r="AP240" i="16" s="1"/>
  <c r="AP242" i="16" s="1"/>
  <c r="AN238" i="16"/>
  <c r="AN240" i="16" s="1"/>
  <c r="AN242" i="16" s="1"/>
  <c r="AM238" i="16"/>
  <c r="AM240" i="16" s="1"/>
  <c r="AL238" i="16"/>
  <c r="AL240" i="16" s="1"/>
  <c r="AK238" i="16"/>
  <c r="AK240" i="16" s="1"/>
  <c r="AJ238" i="16"/>
  <c r="AJ240" i="16" s="1"/>
  <c r="AI238" i="16"/>
  <c r="AI240" i="16" s="1"/>
  <c r="AH238" i="16"/>
  <c r="AH240" i="16" s="1"/>
  <c r="AG238" i="16"/>
  <c r="AG240" i="16" s="1"/>
  <c r="AF238" i="16"/>
  <c r="AF240" i="16" s="1"/>
  <c r="AE238" i="16"/>
  <c r="AE240" i="16" s="1"/>
  <c r="AD238" i="16"/>
  <c r="AD240" i="16" s="1"/>
  <c r="AC238" i="16"/>
  <c r="AC240" i="16" s="1"/>
  <c r="AB238" i="16"/>
  <c r="AB240" i="16" s="1"/>
  <c r="AA238" i="16"/>
  <c r="AA240" i="16" s="1"/>
  <c r="Z238" i="16"/>
  <c r="Z240" i="16" s="1"/>
  <c r="V238" i="16"/>
  <c r="U238" i="16"/>
  <c r="T238" i="16"/>
  <c r="T240" i="16" s="1"/>
  <c r="S238" i="16"/>
  <c r="S240" i="16" s="1"/>
  <c r="R238" i="16"/>
  <c r="R240" i="16" s="1"/>
  <c r="Q238" i="16"/>
  <c r="Q240" i="16" s="1"/>
  <c r="P238" i="16"/>
  <c r="P240" i="16" s="1"/>
  <c r="O238" i="16"/>
  <c r="O240" i="16" s="1"/>
  <c r="N238" i="16"/>
  <c r="N240" i="16" s="1"/>
  <c r="AR204" i="16"/>
  <c r="AT219" i="16" s="1"/>
  <c r="AP204" i="16"/>
  <c r="AN204" i="16"/>
  <c r="AL204" i="16"/>
  <c r="AJ204" i="16"/>
  <c r="J204" i="16"/>
  <c r="I204" i="16"/>
  <c r="H204" i="16"/>
  <c r="F204" i="16"/>
  <c r="F219" i="16" s="1"/>
  <c r="T203" i="16"/>
  <c r="S203" i="16"/>
  <c r="T202" i="16"/>
  <c r="S202" i="16"/>
  <c r="F198" i="16"/>
  <c r="F215" i="16" s="1"/>
  <c r="AR197" i="16"/>
  <c r="AT217" i="16" s="1"/>
  <c r="AP197" i="16"/>
  <c r="AN197" i="16"/>
  <c r="AL197" i="16"/>
  <c r="AJ197" i="16"/>
  <c r="AT216" i="16"/>
  <c r="AN195" i="16"/>
  <c r="AL195" i="16"/>
  <c r="AJ195" i="16"/>
  <c r="AN194" i="16"/>
  <c r="AL194" i="16"/>
  <c r="AJ194" i="16"/>
  <c r="T194" i="16"/>
  <c r="S194" i="16"/>
  <c r="R194" i="16"/>
  <c r="AR193" i="16"/>
  <c r="AT213" i="16" s="1"/>
  <c r="AP193" i="16"/>
  <c r="AN193" i="16"/>
  <c r="AL193" i="16"/>
  <c r="AJ193" i="16"/>
  <c r="J193" i="16"/>
  <c r="I193" i="16"/>
  <c r="H193" i="16"/>
  <c r="G193" i="16"/>
  <c r="F193" i="16"/>
  <c r="E193" i="16"/>
  <c r="AR192" i="16"/>
  <c r="AT212" i="16" s="1"/>
  <c r="AP192" i="16"/>
  <c r="AN192" i="16"/>
  <c r="AL192" i="16"/>
  <c r="AJ192" i="16"/>
  <c r="AR191" i="16"/>
  <c r="AT211" i="16" s="1"/>
  <c r="AP191" i="16"/>
  <c r="AN191" i="16"/>
  <c r="AL191" i="16"/>
  <c r="AJ191" i="16"/>
  <c r="AR190" i="16"/>
  <c r="AT210" i="16" s="1"/>
  <c r="AP190" i="16"/>
  <c r="AN190" i="16"/>
  <c r="AL190" i="16"/>
  <c r="AJ190" i="16"/>
  <c r="AR188" i="16"/>
  <c r="AP188" i="16"/>
  <c r="AN188" i="16"/>
  <c r="AM188" i="16"/>
  <c r="AL188" i="16"/>
  <c r="AK188" i="16"/>
  <c r="AJ188" i="16"/>
  <c r="AD186" i="16"/>
  <c r="AD185" i="16"/>
  <c r="AD184" i="16"/>
  <c r="AD183" i="16"/>
  <c r="AD182" i="16"/>
  <c r="AR181" i="16"/>
  <c r="AQ181" i="16"/>
  <c r="AP181" i="16"/>
  <c r="AO181" i="16"/>
  <c r="AN181" i="16"/>
  <c r="AM181" i="16"/>
  <c r="AL181" i="16"/>
  <c r="AK181" i="16"/>
  <c r="AJ181" i="16"/>
  <c r="AI181" i="16"/>
  <c r="AH181" i="16"/>
  <c r="AG181" i="16"/>
  <c r="AF181" i="16"/>
  <c r="Q181" i="16"/>
  <c r="AR178" i="16"/>
  <c r="AP178" i="16"/>
  <c r="AN178" i="16"/>
  <c r="AL178" i="16"/>
  <c r="AJ178" i="16"/>
  <c r="AJ185" i="16" s="1"/>
  <c r="AH178" i="16"/>
  <c r="AH182" i="16" s="1"/>
  <c r="AF178" i="16"/>
  <c r="AF179" i="16" s="1"/>
  <c r="AR177" i="16"/>
  <c r="AP177" i="16"/>
  <c r="AN177" i="16"/>
  <c r="AL177" i="16"/>
  <c r="AJ177" i="16"/>
  <c r="AH177" i="16"/>
  <c r="AF177" i="16"/>
  <c r="AB176" i="16"/>
  <c r="AD177" i="16" s="1"/>
  <c r="Z176" i="16"/>
  <c r="V176" i="16"/>
  <c r="V193" i="16" s="1"/>
  <c r="U176" i="16"/>
  <c r="U193" i="16" s="1"/>
  <c r="T176" i="16"/>
  <c r="S176" i="16"/>
  <c r="R176" i="16"/>
  <c r="Q176" i="16"/>
  <c r="M176" i="16"/>
  <c r="K176" i="16"/>
  <c r="AJ175" i="16"/>
  <c r="AH175" i="16"/>
  <c r="AG175" i="16"/>
  <c r="AF175" i="16"/>
  <c r="AB174" i="16"/>
  <c r="AD175" i="16" s="1"/>
  <c r="Z174" i="16"/>
  <c r="V174" i="16"/>
  <c r="U174" i="16"/>
  <c r="T174" i="16"/>
  <c r="S174" i="16"/>
  <c r="AK174" i="16" s="1"/>
  <c r="R174" i="16"/>
  <c r="AI174" i="16" s="1"/>
  <c r="Q174" i="16"/>
  <c r="P174" i="16"/>
  <c r="N174" i="16"/>
  <c r="M174" i="16"/>
  <c r="L174" i="16"/>
  <c r="K174" i="16"/>
  <c r="J174" i="16"/>
  <c r="I174" i="16"/>
  <c r="H174" i="16"/>
  <c r="G174" i="16"/>
  <c r="F174" i="16"/>
  <c r="E174" i="16"/>
  <c r="AR173" i="16"/>
  <c r="AP173" i="16"/>
  <c r="AN173" i="16"/>
  <c r="AL173" i="16"/>
  <c r="AJ173" i="16"/>
  <c r="AH173" i="16"/>
  <c r="AF173" i="16"/>
  <c r="AB172" i="16"/>
  <c r="AD173" i="16" s="1"/>
  <c r="Z172" i="16"/>
  <c r="V172" i="16"/>
  <c r="U172" i="16"/>
  <c r="U192" i="16" s="1"/>
  <c r="T172" i="16"/>
  <c r="AM172" i="16" s="1"/>
  <c r="S172" i="16"/>
  <c r="S192" i="16" s="1"/>
  <c r="R172" i="16"/>
  <c r="R192" i="16" s="1"/>
  <c r="J172" i="16"/>
  <c r="J192" i="16" s="1"/>
  <c r="I172" i="16"/>
  <c r="H172" i="16"/>
  <c r="G172" i="16"/>
  <c r="G192" i="16" s="1"/>
  <c r="F172" i="16"/>
  <c r="E172" i="16"/>
  <c r="AR171" i="16"/>
  <c r="AP171" i="16"/>
  <c r="AN171" i="16"/>
  <c r="AL171" i="16"/>
  <c r="AJ171" i="16"/>
  <c r="AH171" i="16"/>
  <c r="AF171" i="16"/>
  <c r="AB170" i="16"/>
  <c r="Z170" i="16"/>
  <c r="V170" i="16"/>
  <c r="V191" i="16" s="1"/>
  <c r="U170" i="16"/>
  <c r="U191" i="16" s="1"/>
  <c r="T170" i="16"/>
  <c r="S170" i="16"/>
  <c r="R170" i="16"/>
  <c r="R191" i="16" s="1"/>
  <c r="Q170" i="16"/>
  <c r="M170" i="16"/>
  <c r="M191" i="16" s="1"/>
  <c r="J170" i="16"/>
  <c r="J191" i="16" s="1"/>
  <c r="I170" i="16"/>
  <c r="H170" i="16"/>
  <c r="G170" i="16"/>
  <c r="G191" i="16" s="1"/>
  <c r="F170" i="16"/>
  <c r="E170" i="16"/>
  <c r="E191" i="16" s="1"/>
  <c r="AR169" i="16"/>
  <c r="AP169" i="16"/>
  <c r="AN169" i="16"/>
  <c r="AL169" i="16"/>
  <c r="AJ169" i="16"/>
  <c r="AH169" i="16"/>
  <c r="AF169" i="16"/>
  <c r="AB168" i="16"/>
  <c r="AD169" i="16" s="1"/>
  <c r="Z168" i="16"/>
  <c r="V168" i="16"/>
  <c r="U168" i="16"/>
  <c r="T168" i="16"/>
  <c r="S168" i="16"/>
  <c r="R168" i="16"/>
  <c r="Q168" i="16"/>
  <c r="J168" i="16"/>
  <c r="I168" i="16"/>
  <c r="I190" i="16" s="1"/>
  <c r="H168" i="16"/>
  <c r="G168" i="16"/>
  <c r="F168" i="16"/>
  <c r="E168" i="16"/>
  <c r="AR167" i="16"/>
  <c r="AQ167" i="16"/>
  <c r="AP167" i="16"/>
  <c r="AO167" i="16"/>
  <c r="AN167" i="16"/>
  <c r="AM167" i="16"/>
  <c r="AL167" i="16"/>
  <c r="AK167" i="16"/>
  <c r="AJ167" i="16"/>
  <c r="AI167" i="16"/>
  <c r="AH167" i="16"/>
  <c r="AG167" i="16"/>
  <c r="AF167" i="16"/>
  <c r="Q167" i="16"/>
  <c r="J163" i="16"/>
  <c r="I163" i="16"/>
  <c r="H163" i="16"/>
  <c r="G163" i="16"/>
  <c r="F163" i="16"/>
  <c r="AR162" i="16"/>
  <c r="AT163" i="16" s="1"/>
  <c r="AP162" i="16"/>
  <c r="AN162" i="16"/>
  <c r="AL162" i="16"/>
  <c r="AJ162" i="16"/>
  <c r="AH162" i="16"/>
  <c r="AF162" i="16"/>
  <c r="AD162" i="16"/>
  <c r="AR158" i="16"/>
  <c r="AT159" i="16" s="1"/>
  <c r="AP158" i="16"/>
  <c r="AN158" i="16"/>
  <c r="AL158" i="16"/>
  <c r="AJ158" i="16"/>
  <c r="AH158" i="16"/>
  <c r="AF158" i="16"/>
  <c r="AD158" i="16"/>
  <c r="AR156" i="16"/>
  <c r="AT157" i="16" s="1"/>
  <c r="AP156" i="16"/>
  <c r="AN156" i="16"/>
  <c r="AL156" i="16"/>
  <c r="AJ156" i="16"/>
  <c r="AH156" i="16"/>
  <c r="AF156" i="16"/>
  <c r="AD156" i="16"/>
  <c r="AR154" i="16"/>
  <c r="AT155" i="16" s="1"/>
  <c r="AP154" i="16"/>
  <c r="AN154" i="16"/>
  <c r="AL154" i="16"/>
  <c r="AJ154" i="16"/>
  <c r="AH154" i="16"/>
  <c r="AF154" i="16"/>
  <c r="AD154" i="16"/>
  <c r="AR153" i="16"/>
  <c r="AQ153" i="16"/>
  <c r="AP153" i="16"/>
  <c r="AO153" i="16"/>
  <c r="AN153" i="16"/>
  <c r="AM153" i="16"/>
  <c r="AL153" i="16"/>
  <c r="Q153" i="16"/>
  <c r="AR146" i="16"/>
  <c r="AQ146" i="16"/>
  <c r="AP146" i="16"/>
  <c r="AO146" i="16"/>
  <c r="AN146" i="16"/>
  <c r="AM146" i="16"/>
  <c r="AL146" i="16"/>
  <c r="AK146" i="16"/>
  <c r="AJ146" i="16"/>
  <c r="AI146" i="16"/>
  <c r="AH146" i="16"/>
  <c r="AG146" i="16"/>
  <c r="AF146" i="16"/>
  <c r="Q146" i="16"/>
  <c r="AR143" i="16"/>
  <c r="AT144" i="16" s="1"/>
  <c r="AP143" i="16"/>
  <c r="AN143" i="16"/>
  <c r="AL143" i="16"/>
  <c r="AL147" i="16" s="1"/>
  <c r="AJ143" i="16"/>
  <c r="AH143" i="16"/>
  <c r="AF143" i="16"/>
  <c r="AD143" i="16"/>
  <c r="AD151" i="16" s="1"/>
  <c r="AR142" i="16"/>
  <c r="AP142" i="16"/>
  <c r="AN142" i="16"/>
  <c r="AL142" i="16"/>
  <c r="AJ142" i="16"/>
  <c r="AH142" i="16"/>
  <c r="AF142" i="16"/>
  <c r="AB141" i="16"/>
  <c r="AD142" i="16" s="1"/>
  <c r="Z141" i="16"/>
  <c r="V141" i="16"/>
  <c r="AQ141" i="16" s="1"/>
  <c r="U141" i="16"/>
  <c r="AO141" i="16" s="1"/>
  <c r="T141" i="16"/>
  <c r="S141" i="16"/>
  <c r="R141" i="16"/>
  <c r="AI141" i="16" s="1"/>
  <c r="Q141" i="16"/>
  <c r="M141" i="16"/>
  <c r="K141" i="16"/>
  <c r="AB140" i="16"/>
  <c r="U139" i="16"/>
  <c r="T139" i="16"/>
  <c r="S139" i="16"/>
  <c r="R139" i="16"/>
  <c r="Q139" i="16"/>
  <c r="P139" i="16"/>
  <c r="N139" i="16"/>
  <c r="AA139" i="16" s="1"/>
  <c r="M139" i="16"/>
  <c r="L139" i="16"/>
  <c r="K139" i="16"/>
  <c r="J139" i="16"/>
  <c r="I139" i="16"/>
  <c r="H139" i="16"/>
  <c r="G139" i="16"/>
  <c r="F139" i="16"/>
  <c r="E139" i="16"/>
  <c r="AR138" i="16"/>
  <c r="AP138" i="16"/>
  <c r="AN138" i="16"/>
  <c r="AL138" i="16"/>
  <c r="AJ138" i="16"/>
  <c r="AH138" i="16"/>
  <c r="AF138" i="16"/>
  <c r="AB137" i="16"/>
  <c r="AD138" i="16" s="1"/>
  <c r="Z137" i="16"/>
  <c r="V137" i="16"/>
  <c r="U137" i="16"/>
  <c r="T137" i="16"/>
  <c r="S137" i="16"/>
  <c r="R137" i="16"/>
  <c r="J137" i="16"/>
  <c r="I137" i="16"/>
  <c r="H137" i="16"/>
  <c r="G137" i="16"/>
  <c r="F137" i="16"/>
  <c r="E137" i="16"/>
  <c r="AR136" i="16"/>
  <c r="AP136" i="16"/>
  <c r="AN136" i="16"/>
  <c r="AL136" i="16"/>
  <c r="AJ136" i="16"/>
  <c r="AH136" i="16"/>
  <c r="AF136" i="16"/>
  <c r="AB135" i="16"/>
  <c r="AD136" i="16" s="1"/>
  <c r="Z135" i="16"/>
  <c r="V135" i="16"/>
  <c r="U135" i="16"/>
  <c r="T135" i="16"/>
  <c r="S135" i="16"/>
  <c r="R135" i="16"/>
  <c r="AI135" i="16" s="1"/>
  <c r="Q135" i="16"/>
  <c r="M135" i="16"/>
  <c r="J135" i="16"/>
  <c r="I135" i="16"/>
  <c r="H135" i="16"/>
  <c r="G135" i="16"/>
  <c r="F135" i="16"/>
  <c r="E135" i="16"/>
  <c r="AR134" i="16"/>
  <c r="AP134" i="16"/>
  <c r="AN134" i="16"/>
  <c r="AL134" i="16"/>
  <c r="AJ134" i="16"/>
  <c r="AH134" i="16"/>
  <c r="AF134" i="16"/>
  <c r="AB133" i="16"/>
  <c r="Z133" i="16"/>
  <c r="W133" i="16"/>
  <c r="AS133" i="16" s="1"/>
  <c r="V133" i="16"/>
  <c r="U133" i="16"/>
  <c r="T133" i="16"/>
  <c r="S133" i="16"/>
  <c r="R133" i="16"/>
  <c r="Q133" i="16"/>
  <c r="AG133" i="16" s="1"/>
  <c r="J133" i="16"/>
  <c r="I133" i="16"/>
  <c r="H133" i="16"/>
  <c r="G133" i="16"/>
  <c r="F133" i="16"/>
  <c r="E133" i="16"/>
  <c r="AR132" i="16"/>
  <c r="AQ132" i="16"/>
  <c r="AP132" i="16"/>
  <c r="AO132" i="16"/>
  <c r="AN132" i="16"/>
  <c r="AM132" i="16"/>
  <c r="AL132" i="16"/>
  <c r="AK132" i="16"/>
  <c r="AJ132" i="16"/>
  <c r="AI132" i="16"/>
  <c r="AH132" i="16"/>
  <c r="AG132" i="16"/>
  <c r="AF132" i="16"/>
  <c r="Q132" i="16"/>
  <c r="AR127" i="16"/>
  <c r="AT128" i="16" s="1"/>
  <c r="AP127" i="16"/>
  <c r="AN127" i="16"/>
  <c r="AL127" i="16"/>
  <c r="AJ127" i="16"/>
  <c r="AH127" i="16"/>
  <c r="AF127" i="16"/>
  <c r="AD127" i="16"/>
  <c r="X125" i="16"/>
  <c r="W125" i="16"/>
  <c r="V125" i="16"/>
  <c r="U125" i="16"/>
  <c r="T125" i="16"/>
  <c r="S125" i="16"/>
  <c r="R125" i="16"/>
  <c r="Q125" i="16"/>
  <c r="P125" i="16"/>
  <c r="O125" i="16"/>
  <c r="N125" i="16"/>
  <c r="M125" i="16"/>
  <c r="L125" i="16"/>
  <c r="K125" i="16"/>
  <c r="J125" i="16"/>
  <c r="I125" i="16"/>
  <c r="H125" i="16"/>
  <c r="G125" i="16"/>
  <c r="F125" i="16"/>
  <c r="E125" i="16"/>
  <c r="AR123" i="16"/>
  <c r="AT124" i="16" s="1"/>
  <c r="AP123" i="16"/>
  <c r="AN123" i="16"/>
  <c r="AL123" i="16"/>
  <c r="AJ123" i="16"/>
  <c r="AH123" i="16"/>
  <c r="AF123" i="16"/>
  <c r="AD123" i="16"/>
  <c r="X123" i="16"/>
  <c r="AR121" i="16"/>
  <c r="AT122" i="16" s="1"/>
  <c r="AP121" i="16"/>
  <c r="AN121" i="16"/>
  <c r="AL121" i="16"/>
  <c r="AJ121" i="16"/>
  <c r="AH121" i="16"/>
  <c r="AF121" i="16"/>
  <c r="AD121" i="16"/>
  <c r="X121" i="16"/>
  <c r="W121" i="16"/>
  <c r="AR119" i="16"/>
  <c r="AT120" i="16" s="1"/>
  <c r="AP119" i="16"/>
  <c r="AN119" i="16"/>
  <c r="AL119" i="16"/>
  <c r="AJ119" i="16"/>
  <c r="AH119" i="16"/>
  <c r="AF119" i="16"/>
  <c r="AD119" i="16"/>
  <c r="X119" i="16"/>
  <c r="W119" i="16"/>
  <c r="AR118" i="16"/>
  <c r="AQ118" i="16"/>
  <c r="AP118" i="16"/>
  <c r="AO118" i="16"/>
  <c r="AN118" i="16"/>
  <c r="AM118" i="16"/>
  <c r="AL118" i="16"/>
  <c r="AK118" i="16"/>
  <c r="AJ118" i="16"/>
  <c r="AI118" i="16"/>
  <c r="AH118" i="16"/>
  <c r="AG118" i="16"/>
  <c r="AF118" i="16"/>
  <c r="Q118" i="16"/>
  <c r="N118" i="16"/>
  <c r="BA115" i="16"/>
  <c r="AX115" i="16"/>
  <c r="BA114" i="16"/>
  <c r="AX114" i="16"/>
  <c r="BA113" i="16"/>
  <c r="AX113" i="16"/>
  <c r="BA112" i="16"/>
  <c r="AX112" i="16"/>
  <c r="AR105" i="16"/>
  <c r="AQ105" i="16"/>
  <c r="AP105" i="16"/>
  <c r="AO105" i="16"/>
  <c r="AN105" i="16"/>
  <c r="AM105" i="16"/>
  <c r="AL105" i="16"/>
  <c r="AK105" i="16"/>
  <c r="AJ105" i="16"/>
  <c r="AI105" i="16"/>
  <c r="AH105" i="16"/>
  <c r="AG105" i="16"/>
  <c r="AF105" i="16"/>
  <c r="Q105" i="16"/>
  <c r="N105" i="16"/>
  <c r="AR103" i="16"/>
  <c r="AP103" i="16"/>
  <c r="AZ103" i="16" s="1"/>
  <c r="AZ102" i="16"/>
  <c r="AY102" i="16"/>
  <c r="V102" i="16"/>
  <c r="V114" i="16" s="1"/>
  <c r="U102" i="16"/>
  <c r="U115" i="16" s="1"/>
  <c r="T102" i="16"/>
  <c r="BA101" i="16"/>
  <c r="AR101" i="16"/>
  <c r="AP101" i="16"/>
  <c r="AZ101" i="16" s="1"/>
  <c r="V101" i="16"/>
  <c r="U101" i="16"/>
  <c r="AZ100" i="16"/>
  <c r="BA99" i="16"/>
  <c r="AR99" i="16"/>
  <c r="AP99" i="16"/>
  <c r="AZ99" i="16" s="1"/>
  <c r="V99" i="16"/>
  <c r="U99" i="16"/>
  <c r="AZ98" i="16"/>
  <c r="BA97" i="16"/>
  <c r="AR97" i="16"/>
  <c r="AP97" i="16"/>
  <c r="AZ97" i="16" s="1"/>
  <c r="V97" i="16"/>
  <c r="U97" i="16"/>
  <c r="AZ96" i="16"/>
  <c r="BA95" i="16"/>
  <c r="AR95" i="16"/>
  <c r="AP95" i="16"/>
  <c r="AZ95" i="16" s="1"/>
  <c r="V95" i="16"/>
  <c r="U95" i="16"/>
  <c r="AZ94" i="16"/>
  <c r="AP93" i="16"/>
  <c r="AN93" i="16"/>
  <c r="AL93" i="16"/>
  <c r="AJ93" i="16"/>
  <c r="AH93" i="16"/>
  <c r="AF93" i="16"/>
  <c r="AR91" i="16"/>
  <c r="AT92" i="16" s="1"/>
  <c r="AP91" i="16"/>
  <c r="AP108" i="16" s="1"/>
  <c r="AN91" i="16"/>
  <c r="AN107" i="16" s="1"/>
  <c r="AL91" i="16"/>
  <c r="AJ91" i="16"/>
  <c r="AJ106" i="16" s="1"/>
  <c r="AH91" i="16"/>
  <c r="AF91" i="16"/>
  <c r="AF106" i="16" s="1"/>
  <c r="AD91" i="16"/>
  <c r="AD106" i="16" s="1"/>
  <c r="AR90" i="16"/>
  <c r="AP90" i="16"/>
  <c r="AN90" i="16"/>
  <c r="AL90" i="16"/>
  <c r="AJ90" i="16"/>
  <c r="AH90" i="16"/>
  <c r="AF90" i="16"/>
  <c r="AB89" i="16"/>
  <c r="AD90" i="16" s="1"/>
  <c r="Z89" i="16"/>
  <c r="V89" i="16"/>
  <c r="U89" i="16"/>
  <c r="T89" i="16"/>
  <c r="S89" i="16"/>
  <c r="R89" i="16"/>
  <c r="Q89" i="16"/>
  <c r="M89" i="16"/>
  <c r="K89" i="16"/>
  <c r="T87" i="16"/>
  <c r="S87" i="16"/>
  <c r="R87" i="16"/>
  <c r="Q87" i="16"/>
  <c r="P87" i="16"/>
  <c r="O87" i="16"/>
  <c r="N87" i="16"/>
  <c r="M87" i="16"/>
  <c r="J87" i="16"/>
  <c r="I87" i="16"/>
  <c r="H87" i="16"/>
  <c r="G87" i="16"/>
  <c r="F87" i="16"/>
  <c r="E87" i="16"/>
  <c r="AR86" i="16"/>
  <c r="AP86" i="16"/>
  <c r="AN86" i="16"/>
  <c r="AL86" i="16"/>
  <c r="AJ86" i="16"/>
  <c r="AH86" i="16"/>
  <c r="AF86" i="16"/>
  <c r="AB85" i="16"/>
  <c r="Z85" i="16"/>
  <c r="V85" i="16"/>
  <c r="U85" i="16"/>
  <c r="T85" i="16"/>
  <c r="S85" i="16"/>
  <c r="R85" i="16"/>
  <c r="J85" i="16"/>
  <c r="I85" i="16"/>
  <c r="H85" i="16"/>
  <c r="G85" i="16"/>
  <c r="F85" i="16"/>
  <c r="E85" i="16"/>
  <c r="AR84" i="16"/>
  <c r="AP84" i="16"/>
  <c r="AN84" i="16"/>
  <c r="AL84" i="16"/>
  <c r="AJ84" i="16"/>
  <c r="AH84" i="16"/>
  <c r="AF84" i="16"/>
  <c r="AB83" i="16"/>
  <c r="Z83" i="16"/>
  <c r="W83" i="16"/>
  <c r="AS83" i="16" s="1"/>
  <c r="V83" i="16"/>
  <c r="U83" i="16"/>
  <c r="AO83" i="16" s="1"/>
  <c r="T83" i="16"/>
  <c r="AM83" i="16" s="1"/>
  <c r="S83" i="16"/>
  <c r="R83" i="16"/>
  <c r="Q83" i="16"/>
  <c r="M83" i="16"/>
  <c r="L83" i="16"/>
  <c r="K83" i="16"/>
  <c r="J83" i="16"/>
  <c r="I83" i="16"/>
  <c r="H83" i="16"/>
  <c r="G83" i="16"/>
  <c r="F83" i="16"/>
  <c r="E83" i="16"/>
  <c r="AR82" i="16"/>
  <c r="AP82" i="16"/>
  <c r="AN82" i="16"/>
  <c r="AL82" i="16"/>
  <c r="AJ82" i="16"/>
  <c r="AH82" i="16"/>
  <c r="AF82" i="16"/>
  <c r="AB81" i="16"/>
  <c r="Z81" i="16"/>
  <c r="W81" i="16"/>
  <c r="V81" i="16"/>
  <c r="U81" i="16"/>
  <c r="T81" i="16"/>
  <c r="AM81" i="16" s="1"/>
  <c r="S81" i="16"/>
  <c r="AK81" i="16" s="1"/>
  <c r="R81" i="16"/>
  <c r="AI81" i="16" s="1"/>
  <c r="J81" i="16"/>
  <c r="I81" i="16"/>
  <c r="H81" i="16"/>
  <c r="G81" i="16"/>
  <c r="F81" i="16"/>
  <c r="E81" i="16"/>
  <c r="AR80" i="16"/>
  <c r="AQ80" i="16"/>
  <c r="AP80" i="16"/>
  <c r="AO80" i="16"/>
  <c r="AN80" i="16"/>
  <c r="AM80" i="16"/>
  <c r="AL80" i="16"/>
  <c r="AK80" i="16"/>
  <c r="AJ80" i="16"/>
  <c r="AI80" i="16"/>
  <c r="AH80" i="16"/>
  <c r="AG80" i="16"/>
  <c r="AF80" i="16"/>
  <c r="Q80" i="16"/>
  <c r="N80" i="16"/>
  <c r="AD74" i="16"/>
  <c r="AB74" i="16"/>
  <c r="AR73" i="16"/>
  <c r="AT74" i="16" s="1"/>
  <c r="AP73" i="16"/>
  <c r="AN73" i="16"/>
  <c r="AL73" i="16"/>
  <c r="AJ73" i="16"/>
  <c r="AH73" i="16"/>
  <c r="AF73" i="16"/>
  <c r="AF74" i="16" s="1"/>
  <c r="AR72" i="16"/>
  <c r="AP72" i="16"/>
  <c r="AN72" i="16"/>
  <c r="AL72" i="16"/>
  <c r="AJ72" i="16"/>
  <c r="AH72" i="16"/>
  <c r="AF72" i="16"/>
  <c r="AE72" i="16"/>
  <c r="AD72" i="16"/>
  <c r="AB72" i="16"/>
  <c r="V71" i="16"/>
  <c r="U71" i="16"/>
  <c r="AO71" i="16" s="1"/>
  <c r="T71" i="16"/>
  <c r="S71" i="16"/>
  <c r="AK71" i="16" s="1"/>
  <c r="R71" i="16"/>
  <c r="Q71" i="16"/>
  <c r="P71" i="16"/>
  <c r="O71" i="16"/>
  <c r="N71" i="16"/>
  <c r="AA71" i="16" s="1"/>
  <c r="AC72" i="16" s="1"/>
  <c r="M71" i="16"/>
  <c r="L71" i="16"/>
  <c r="K71" i="16"/>
  <c r="T69" i="16"/>
  <c r="S69" i="16"/>
  <c r="R69" i="16"/>
  <c r="Q69" i="16"/>
  <c r="P69" i="16"/>
  <c r="O69" i="16"/>
  <c r="N69" i="16"/>
  <c r="M69" i="16"/>
  <c r="L69" i="16"/>
  <c r="K69" i="16"/>
  <c r="J69" i="16"/>
  <c r="I69" i="16"/>
  <c r="H69" i="16"/>
  <c r="G69" i="16"/>
  <c r="F69" i="16"/>
  <c r="E69" i="16"/>
  <c r="AP68" i="16"/>
  <c r="AN68" i="16"/>
  <c r="AL68" i="16"/>
  <c r="AJ67" i="16"/>
  <c r="AJ68" i="16" s="1"/>
  <c r="AR66" i="16"/>
  <c r="AP66" i="16"/>
  <c r="AN66" i="16"/>
  <c r="AL66" i="16"/>
  <c r="AJ66" i="16"/>
  <c r="AH66" i="16"/>
  <c r="AD65" i="16"/>
  <c r="AB65" i="16"/>
  <c r="Z65" i="16"/>
  <c r="V65" i="16"/>
  <c r="U65" i="16"/>
  <c r="T65" i="16"/>
  <c r="S65" i="16"/>
  <c r="R65" i="16"/>
  <c r="I65" i="16"/>
  <c r="H65" i="16"/>
  <c r="G65" i="16"/>
  <c r="F65" i="16"/>
  <c r="E65" i="16"/>
  <c r="AR64" i="16"/>
  <c r="AP64" i="16"/>
  <c r="AN64" i="16"/>
  <c r="AL64" i="16"/>
  <c r="AJ64" i="16"/>
  <c r="AH64" i="16"/>
  <c r="AF64" i="16"/>
  <c r="AE64" i="16"/>
  <c r="AD64" i="16"/>
  <c r="AB64" i="16"/>
  <c r="V63" i="16"/>
  <c r="U63" i="16"/>
  <c r="T63" i="16"/>
  <c r="S63" i="16"/>
  <c r="R63" i="16"/>
  <c r="AI63" i="16" s="1"/>
  <c r="Q63" i="16"/>
  <c r="P63" i="16"/>
  <c r="O63" i="16"/>
  <c r="N63" i="16"/>
  <c r="L63" i="16"/>
  <c r="K63" i="16"/>
  <c r="J63" i="16"/>
  <c r="I63" i="16"/>
  <c r="H63" i="16"/>
  <c r="G63" i="16"/>
  <c r="F63" i="16"/>
  <c r="E63" i="16"/>
  <c r="AR62" i="16"/>
  <c r="AP62" i="16"/>
  <c r="AN62" i="16"/>
  <c r="AL62" i="16"/>
  <c r="AJ62" i="16"/>
  <c r="AH62" i="16"/>
  <c r="AF62" i="16"/>
  <c r="AE62" i="16"/>
  <c r="AD62" i="16"/>
  <c r="AB62" i="16"/>
  <c r="V61" i="16"/>
  <c r="U61" i="16"/>
  <c r="T61" i="16"/>
  <c r="S61" i="16"/>
  <c r="R61" i="16"/>
  <c r="Q61" i="16"/>
  <c r="P61" i="16"/>
  <c r="O61" i="16"/>
  <c r="N61" i="16"/>
  <c r="AA61" i="16" s="1"/>
  <c r="AC62" i="16" s="1"/>
  <c r="M61" i="16"/>
  <c r="L61" i="16"/>
  <c r="K61" i="16"/>
  <c r="J61" i="16"/>
  <c r="I61" i="16"/>
  <c r="H61" i="16"/>
  <c r="G61" i="16"/>
  <c r="F61" i="16"/>
  <c r="E61" i="16"/>
  <c r="AR60" i="16"/>
  <c r="AQ60" i="16"/>
  <c r="AP60" i="16"/>
  <c r="AO60" i="16"/>
  <c r="AN60" i="16"/>
  <c r="AM60" i="16"/>
  <c r="AL60" i="16"/>
  <c r="AK60" i="16"/>
  <c r="AJ60" i="16"/>
  <c r="AI60" i="16"/>
  <c r="AH60" i="16"/>
  <c r="AG60" i="16"/>
  <c r="AF60" i="16"/>
  <c r="Q60" i="16"/>
  <c r="N60" i="16"/>
  <c r="AD50" i="16"/>
  <c r="AB50" i="16"/>
  <c r="Z50" i="16"/>
  <c r="AR48" i="16"/>
  <c r="AP48" i="16"/>
  <c r="AN48" i="16"/>
  <c r="AR47" i="16"/>
  <c r="AP47" i="16"/>
  <c r="AN47" i="16"/>
  <c r="AR46" i="16"/>
  <c r="AP46" i="16"/>
  <c r="AN46" i="16"/>
  <c r="AD43" i="16"/>
  <c r="AB43" i="16"/>
  <c r="Z43" i="16"/>
  <c r="AD42" i="16"/>
  <c r="AB42" i="16"/>
  <c r="Z42" i="16"/>
  <c r="AR41" i="16"/>
  <c r="AQ41" i="16"/>
  <c r="AP41" i="16"/>
  <c r="AO41" i="16"/>
  <c r="AN41" i="16"/>
  <c r="AM41" i="16"/>
  <c r="AL41" i="16"/>
  <c r="AK41" i="16"/>
  <c r="AJ41" i="16"/>
  <c r="AI41" i="16"/>
  <c r="AH41" i="16"/>
  <c r="AW38" i="16"/>
  <c r="AR38" i="16"/>
  <c r="AP38" i="16"/>
  <c r="AP55" i="16" s="1"/>
  <c r="AN38" i="16"/>
  <c r="AN58" i="16" s="1"/>
  <c r="V38" i="16"/>
  <c r="BN38" i="16" s="1"/>
  <c r="U38" i="16"/>
  <c r="U57" i="16" s="1"/>
  <c r="T38" i="16"/>
  <c r="BA37" i="16"/>
  <c r="AR37" i="16"/>
  <c r="AP37" i="16"/>
  <c r="V37" i="16"/>
  <c r="U37" i="16"/>
  <c r="AQ36" i="16"/>
  <c r="AS37" i="16" s="1"/>
  <c r="AO36" i="16"/>
  <c r="BA35" i="16"/>
  <c r="AR35" i="16"/>
  <c r="AP35" i="16"/>
  <c r="V35" i="16"/>
  <c r="U35" i="16"/>
  <c r="AQ34" i="16"/>
  <c r="AS35" i="16" s="1"/>
  <c r="AO34" i="16"/>
  <c r="BA33" i="16"/>
  <c r="AR33" i="16"/>
  <c r="AP33" i="16"/>
  <c r="V33" i="16"/>
  <c r="U33" i="16"/>
  <c r="AQ32" i="16"/>
  <c r="AO32" i="16"/>
  <c r="BA31" i="16"/>
  <c r="AR31" i="16"/>
  <c r="AP31" i="16"/>
  <c r="V31" i="16"/>
  <c r="U31" i="16"/>
  <c r="AQ30" i="16"/>
  <c r="AS31" i="16" s="1"/>
  <c r="AO30" i="16"/>
  <c r="AD25" i="16"/>
  <c r="AB25" i="16"/>
  <c r="AR24" i="16"/>
  <c r="AT25" i="16" s="1"/>
  <c r="AP24" i="16"/>
  <c r="AP44" i="16" s="1"/>
  <c r="AN24" i="16"/>
  <c r="AL24" i="16"/>
  <c r="AL49" i="16" s="1"/>
  <c r="AJ24" i="16"/>
  <c r="AJ44" i="16" s="1"/>
  <c r="AH24" i="16"/>
  <c r="AF24" i="16"/>
  <c r="AF25" i="16" s="1"/>
  <c r="AR23" i="16"/>
  <c r="AP23" i="16"/>
  <c r="AN23" i="16"/>
  <c r="AL23" i="16"/>
  <c r="AJ23" i="16"/>
  <c r="AH23" i="16"/>
  <c r="AF23" i="16"/>
  <c r="AD23" i="16"/>
  <c r="AB23" i="16"/>
  <c r="W22" i="16"/>
  <c r="AS22" i="16" s="1"/>
  <c r="V22" i="16"/>
  <c r="U22" i="16"/>
  <c r="AO22" i="16" s="1"/>
  <c r="T22" i="16"/>
  <c r="S22" i="16"/>
  <c r="AK22" i="16" s="1"/>
  <c r="R22" i="16"/>
  <c r="AI22" i="16" s="1"/>
  <c r="Q22" i="16"/>
  <c r="AG22" i="16" s="1"/>
  <c r="P22" i="16"/>
  <c r="O22" i="16"/>
  <c r="AC22" i="16" s="1"/>
  <c r="N22" i="16"/>
  <c r="AA22" i="16" s="1"/>
  <c r="L22" i="16"/>
  <c r="K22" i="16"/>
  <c r="T20" i="16"/>
  <c r="S20" i="16"/>
  <c r="R20" i="16"/>
  <c r="Q20" i="16"/>
  <c r="P20" i="16"/>
  <c r="O20" i="16"/>
  <c r="N20" i="16"/>
  <c r="M20" i="16"/>
  <c r="L20" i="16"/>
  <c r="K20" i="16"/>
  <c r="J20" i="16"/>
  <c r="I20" i="16"/>
  <c r="H20" i="16"/>
  <c r="G20" i="16"/>
  <c r="F20" i="16"/>
  <c r="E20" i="16"/>
  <c r="AL18" i="16"/>
  <c r="AL48" i="16" s="1"/>
  <c r="AJ18" i="16"/>
  <c r="AJ48" i="16" s="1"/>
  <c r="AH18" i="16"/>
  <c r="AH48" i="16" s="1"/>
  <c r="AL16" i="16"/>
  <c r="AL47" i="16" s="1"/>
  <c r="AJ16" i="16"/>
  <c r="AJ47" i="16" s="1"/>
  <c r="AH16" i="16"/>
  <c r="AH47" i="16" s="1"/>
  <c r="AL14" i="16"/>
  <c r="AL46" i="16" s="1"/>
  <c r="AJ14" i="16"/>
  <c r="AJ46" i="16" s="1"/>
  <c r="AH14" i="16"/>
  <c r="AH46" i="16" s="1"/>
  <c r="AR13" i="16"/>
  <c r="AP13" i="16"/>
  <c r="AN13" i="16"/>
  <c r="AL13" i="16"/>
  <c r="AJ13" i="16"/>
  <c r="AH13" i="16"/>
  <c r="AD12" i="16"/>
  <c r="AB12" i="16"/>
  <c r="AB44" i="16" s="1"/>
  <c r="Z12" i="16"/>
  <c r="Z44" i="16" s="1"/>
  <c r="W12" i="16"/>
  <c r="AS12" i="16" s="1"/>
  <c r="V12" i="16"/>
  <c r="U12" i="16"/>
  <c r="T12" i="16"/>
  <c r="S12" i="16"/>
  <c r="R12" i="16"/>
  <c r="I12" i="16"/>
  <c r="H12" i="16"/>
  <c r="G12" i="16"/>
  <c r="F12" i="16"/>
  <c r="E12" i="16"/>
  <c r="AR11" i="16"/>
  <c r="AP11" i="16"/>
  <c r="AN11" i="16"/>
  <c r="AL11" i="16"/>
  <c r="AJ11" i="16"/>
  <c r="AH11" i="16"/>
  <c r="AF11" i="16"/>
  <c r="AD11" i="16"/>
  <c r="AB11" i="16"/>
  <c r="W10" i="16"/>
  <c r="AS10" i="16" s="1"/>
  <c r="V10" i="16"/>
  <c r="U10" i="16"/>
  <c r="T10" i="16"/>
  <c r="AM10" i="16" s="1"/>
  <c r="S10" i="16"/>
  <c r="R10" i="16"/>
  <c r="AI10" i="16" s="1"/>
  <c r="Q10" i="16"/>
  <c r="AG10" i="16" s="1"/>
  <c r="P10" i="16"/>
  <c r="AE10" i="16" s="1"/>
  <c r="O10" i="16"/>
  <c r="AC10" i="16" s="1"/>
  <c r="N10" i="16"/>
  <c r="L10" i="16"/>
  <c r="K10" i="16"/>
  <c r="J10" i="16"/>
  <c r="I10" i="16"/>
  <c r="H10" i="16"/>
  <c r="G10" i="16"/>
  <c r="F10" i="16"/>
  <c r="E10" i="16"/>
  <c r="AR3" i="16"/>
  <c r="AP3" i="16"/>
  <c r="AN3" i="16"/>
  <c r="AL3" i="16"/>
  <c r="AJ3" i="16"/>
  <c r="AH3" i="16"/>
  <c r="AF3" i="16"/>
  <c r="AD3" i="16"/>
  <c r="AB3" i="16"/>
  <c r="W2" i="16"/>
  <c r="AS2" i="16" s="1"/>
  <c r="V2" i="16"/>
  <c r="U2" i="16"/>
  <c r="T2" i="16"/>
  <c r="S2" i="16"/>
  <c r="R2" i="16"/>
  <c r="Q2" i="16"/>
  <c r="P2" i="16"/>
  <c r="O2" i="16"/>
  <c r="AC2" i="16" s="1"/>
  <c r="N2" i="16"/>
  <c r="AA2" i="16" s="1"/>
  <c r="M2" i="16"/>
  <c r="L2" i="16"/>
  <c r="K2" i="16"/>
  <c r="J2" i="16"/>
  <c r="I2" i="16"/>
  <c r="H2" i="16"/>
  <c r="G2" i="16"/>
  <c r="F2" i="16"/>
  <c r="E2" i="16"/>
  <c r="X1" i="16"/>
  <c r="W1" i="16"/>
  <c r="W105" i="16" s="1"/>
  <c r="V1" i="16"/>
  <c r="U1" i="16"/>
  <c r="T1" i="16"/>
  <c r="S1" i="16"/>
  <c r="S105" i="16" s="1"/>
  <c r="R1" i="16"/>
  <c r="C161" i="15"/>
  <c r="J160" i="15"/>
  <c r="I160" i="15"/>
  <c r="H160" i="15"/>
  <c r="H161" i="15" s="1"/>
  <c r="G160" i="15"/>
  <c r="G161" i="15" s="1"/>
  <c r="F160" i="15"/>
  <c r="F161" i="15" s="1"/>
  <c r="E160" i="15"/>
  <c r="E161" i="15" s="1"/>
  <c r="D160" i="15"/>
  <c r="D161" i="15" s="1"/>
  <c r="R158" i="15"/>
  <c r="Q158" i="15"/>
  <c r="P158" i="15"/>
  <c r="P160" i="15" s="1"/>
  <c r="O158" i="15"/>
  <c r="P95" i="13" s="1"/>
  <c r="N158" i="15"/>
  <c r="N160" i="15" s="1"/>
  <c r="M158" i="15"/>
  <c r="N95" i="13" s="1"/>
  <c r="L158" i="15"/>
  <c r="M95" i="13" s="1"/>
  <c r="K158" i="15"/>
  <c r="L95" i="13" s="1"/>
  <c r="O157" i="15"/>
  <c r="P89" i="13" s="1"/>
  <c r="P101" i="13" s="1"/>
  <c r="M157" i="15"/>
  <c r="L157" i="15"/>
  <c r="M89" i="13" s="1"/>
  <c r="M101" i="13" s="1"/>
  <c r="K157" i="15"/>
  <c r="T153" i="15"/>
  <c r="S153" i="15"/>
  <c r="R153" i="15"/>
  <c r="Q153" i="15"/>
  <c r="P153" i="15"/>
  <c r="N153" i="15"/>
  <c r="J153" i="15"/>
  <c r="I153" i="15"/>
  <c r="H153" i="15"/>
  <c r="G153" i="15"/>
  <c r="F153" i="15"/>
  <c r="E153" i="15"/>
  <c r="D153" i="15"/>
  <c r="C153" i="15"/>
  <c r="O150" i="15"/>
  <c r="P76" i="13" s="1"/>
  <c r="Q73" i="13" s="1"/>
  <c r="M150" i="15"/>
  <c r="N76" i="13" s="1"/>
  <c r="O73" i="13" s="1"/>
  <c r="L150" i="15"/>
  <c r="M76" i="13" s="1"/>
  <c r="N73" i="13" s="1"/>
  <c r="K150" i="15"/>
  <c r="L76" i="13" s="1"/>
  <c r="O149" i="15"/>
  <c r="P70" i="13" s="1"/>
  <c r="M149" i="15"/>
  <c r="L149" i="15"/>
  <c r="K149" i="15"/>
  <c r="L70" i="13" s="1"/>
  <c r="O142" i="15"/>
  <c r="M142" i="15"/>
  <c r="L142" i="15"/>
  <c r="O141" i="15"/>
  <c r="M141" i="15"/>
  <c r="L141" i="15"/>
  <c r="M138" i="15"/>
  <c r="L138" i="15"/>
  <c r="I136" i="15"/>
  <c r="H136" i="15"/>
  <c r="I135" i="15"/>
  <c r="H135" i="15"/>
  <c r="G135" i="15"/>
  <c r="F135" i="15"/>
  <c r="L132" i="15"/>
  <c r="T131" i="15"/>
  <c r="S131" i="15"/>
  <c r="R131" i="15"/>
  <c r="Q131" i="15"/>
  <c r="P131" i="15"/>
  <c r="O131" i="15"/>
  <c r="N131" i="15"/>
  <c r="M131" i="15"/>
  <c r="L131" i="15"/>
  <c r="K131" i="15"/>
  <c r="J131" i="15"/>
  <c r="I131" i="15"/>
  <c r="H131" i="15"/>
  <c r="G131" i="15"/>
  <c r="F131" i="15"/>
  <c r="O128" i="15"/>
  <c r="M127" i="15"/>
  <c r="L127" i="15"/>
  <c r="O126" i="15"/>
  <c r="O125" i="15"/>
  <c r="Q124" i="15"/>
  <c r="O124" i="15"/>
  <c r="M124" i="15"/>
  <c r="L124" i="15"/>
  <c r="T123" i="15"/>
  <c r="S123" i="15"/>
  <c r="R123" i="15"/>
  <c r="Q123" i="15"/>
  <c r="P123" i="15"/>
  <c r="O123" i="15"/>
  <c r="N123" i="15"/>
  <c r="M123" i="15"/>
  <c r="L123" i="15"/>
  <c r="K123" i="15"/>
  <c r="J123" i="15"/>
  <c r="I123" i="15"/>
  <c r="H123" i="15"/>
  <c r="G123" i="15"/>
  <c r="F123" i="15"/>
  <c r="L122" i="15"/>
  <c r="O121" i="15"/>
  <c r="M121" i="15"/>
  <c r="L121" i="15"/>
  <c r="O116" i="15"/>
  <c r="M116" i="15"/>
  <c r="L116" i="15"/>
  <c r="O115" i="15"/>
  <c r="P132" i="13" s="1"/>
  <c r="M115" i="15"/>
  <c r="N132" i="13" s="1"/>
  <c r="L115" i="15"/>
  <c r="M132" i="13" s="1"/>
  <c r="M124" i="13" s="1"/>
  <c r="M123" i="13" s="1"/>
  <c r="O114" i="15"/>
  <c r="P114" i="13" s="1"/>
  <c r="M114" i="15"/>
  <c r="N114" i="13" s="1"/>
  <c r="L114" i="15"/>
  <c r="M114" i="13" s="1"/>
  <c r="M113" i="15"/>
  <c r="L113" i="15"/>
  <c r="J113" i="15"/>
  <c r="K6" i="11" s="1"/>
  <c r="N89" i="4" s="1"/>
  <c r="L112" i="15"/>
  <c r="O111" i="15"/>
  <c r="P74" i="13" s="1"/>
  <c r="P65" i="13" s="1"/>
  <c r="N111" i="15"/>
  <c r="M111" i="15"/>
  <c r="N74" i="13" s="1"/>
  <c r="N65" i="13" s="1"/>
  <c r="L111" i="15"/>
  <c r="M74" i="13" s="1"/>
  <c r="T110" i="15"/>
  <c r="S110" i="15"/>
  <c r="R110" i="15"/>
  <c r="Q110" i="15"/>
  <c r="P110" i="15"/>
  <c r="O110" i="15"/>
  <c r="N110" i="15"/>
  <c r="M110" i="15"/>
  <c r="L110" i="15"/>
  <c r="K110" i="15"/>
  <c r="J110" i="15"/>
  <c r="I110" i="15"/>
  <c r="J9" i="11" s="1"/>
  <c r="M94" i="4" s="1"/>
  <c r="H110" i="15"/>
  <c r="I9" i="11" s="1"/>
  <c r="L94" i="4" s="1"/>
  <c r="G110" i="15"/>
  <c r="H9" i="11" s="1"/>
  <c r="K94" i="4" s="1"/>
  <c r="F110" i="15"/>
  <c r="G9" i="11" s="1"/>
  <c r="H69" i="27" s="1"/>
  <c r="C110" i="15"/>
  <c r="D9" i="11" s="1"/>
  <c r="C69" i="27" s="1"/>
  <c r="O108" i="15"/>
  <c r="M108" i="15"/>
  <c r="L108" i="15"/>
  <c r="T106" i="15"/>
  <c r="S106" i="15"/>
  <c r="M105" i="15"/>
  <c r="O104" i="15"/>
  <c r="T103" i="15"/>
  <c r="S103" i="15"/>
  <c r="M101" i="15"/>
  <c r="L101" i="15"/>
  <c r="O100" i="15"/>
  <c r="M100" i="15"/>
  <c r="T98" i="15"/>
  <c r="S98" i="15"/>
  <c r="R98" i="15"/>
  <c r="Q98" i="15"/>
  <c r="P98" i="15"/>
  <c r="O98" i="15"/>
  <c r="N98" i="15"/>
  <c r="M98" i="15"/>
  <c r="L98" i="15"/>
  <c r="K98" i="15"/>
  <c r="J98" i="15"/>
  <c r="R8" i="11"/>
  <c r="O97" i="15"/>
  <c r="P8" i="11" s="1"/>
  <c r="M97" i="15"/>
  <c r="N8" i="11" s="1"/>
  <c r="L97" i="15"/>
  <c r="M8" i="11" s="1"/>
  <c r="T96" i="15"/>
  <c r="S96" i="15"/>
  <c r="R96" i="15"/>
  <c r="Q96" i="15"/>
  <c r="P96" i="15"/>
  <c r="I96" i="15"/>
  <c r="H96" i="15"/>
  <c r="G96" i="15"/>
  <c r="F96" i="15"/>
  <c r="E96" i="15"/>
  <c r="D96" i="15"/>
  <c r="C96" i="15"/>
  <c r="T94" i="15"/>
  <c r="S94" i="15"/>
  <c r="R94" i="15"/>
  <c r="Q94" i="15"/>
  <c r="P94" i="15"/>
  <c r="K94" i="15"/>
  <c r="J94" i="15"/>
  <c r="I94" i="15"/>
  <c r="H94" i="15"/>
  <c r="G94" i="15"/>
  <c r="F94" i="15"/>
  <c r="E94" i="15"/>
  <c r="D94" i="15"/>
  <c r="C94" i="15"/>
  <c r="T92" i="15"/>
  <c r="S92" i="15"/>
  <c r="R92" i="15"/>
  <c r="Q92" i="15"/>
  <c r="P92" i="15"/>
  <c r="K92" i="15"/>
  <c r="J92" i="15"/>
  <c r="I92" i="15"/>
  <c r="H92" i="15"/>
  <c r="G92" i="15"/>
  <c r="F92" i="15"/>
  <c r="E92" i="15"/>
  <c r="D92" i="15"/>
  <c r="C92" i="15"/>
  <c r="O86" i="15"/>
  <c r="P30" i="11" s="1"/>
  <c r="S107" i="4" s="1"/>
  <c r="N86" i="15"/>
  <c r="O30" i="11" s="1"/>
  <c r="R107" i="4" s="1"/>
  <c r="M86" i="15"/>
  <c r="N30" i="11" s="1"/>
  <c r="Q107" i="4" s="1"/>
  <c r="L86" i="15"/>
  <c r="M30" i="11" s="1"/>
  <c r="P107" i="4" s="1"/>
  <c r="N85" i="15"/>
  <c r="O33" i="11" s="1"/>
  <c r="M85" i="15"/>
  <c r="N33" i="11" s="1"/>
  <c r="L85" i="15"/>
  <c r="M33" i="11" s="1"/>
  <c r="F85" i="15"/>
  <c r="G33" i="11" s="1"/>
  <c r="H82" i="27" s="1"/>
  <c r="E85" i="15"/>
  <c r="F33" i="11" s="1"/>
  <c r="F82" i="27" s="1"/>
  <c r="D85" i="15"/>
  <c r="E33" i="11" s="1"/>
  <c r="D82" i="27" s="1"/>
  <c r="S82" i="15"/>
  <c r="T28" i="11" s="1"/>
  <c r="W101" i="4" s="1"/>
  <c r="Q82" i="15"/>
  <c r="R28" i="11" s="1"/>
  <c r="P82" i="15"/>
  <c r="N82" i="15"/>
  <c r="O28" i="11" s="1"/>
  <c r="R101" i="4" s="1"/>
  <c r="K82" i="15"/>
  <c r="L28" i="11" s="1"/>
  <c r="J82" i="15"/>
  <c r="K28" i="11" s="1"/>
  <c r="E82" i="15"/>
  <c r="F28" i="11" s="1"/>
  <c r="F79" i="27" s="1"/>
  <c r="D82" i="15"/>
  <c r="E28" i="11" s="1"/>
  <c r="D79" i="27" s="1"/>
  <c r="T78" i="15"/>
  <c r="T82" i="15" s="1"/>
  <c r="U28" i="11" s="1"/>
  <c r="R78" i="15"/>
  <c r="R82" i="15" s="1"/>
  <c r="O78" i="15"/>
  <c r="O77" i="15"/>
  <c r="M77" i="15"/>
  <c r="L77" i="15"/>
  <c r="O72" i="15"/>
  <c r="M72" i="15"/>
  <c r="L72" i="15"/>
  <c r="O71" i="15"/>
  <c r="O70" i="15"/>
  <c r="M70" i="15"/>
  <c r="L70" i="15"/>
  <c r="O68" i="15"/>
  <c r="M68" i="15"/>
  <c r="L68" i="15"/>
  <c r="G64" i="15"/>
  <c r="G82" i="15" s="1"/>
  <c r="H28" i="11" s="1"/>
  <c r="I79" i="27" s="1"/>
  <c r="O58" i="15"/>
  <c r="M58" i="15"/>
  <c r="L58" i="15"/>
  <c r="O55" i="15"/>
  <c r="M55" i="15"/>
  <c r="L55" i="15"/>
  <c r="C55" i="15"/>
  <c r="C82" i="15" s="1"/>
  <c r="D28" i="11" s="1"/>
  <c r="M53" i="15"/>
  <c r="N23" i="11" s="1"/>
  <c r="Q102" i="4" s="1"/>
  <c r="L53" i="15"/>
  <c r="M23" i="11" s="1"/>
  <c r="I53" i="15"/>
  <c r="I82" i="15" s="1"/>
  <c r="J28" i="11" s="1"/>
  <c r="K79" i="27" s="1"/>
  <c r="H53" i="15"/>
  <c r="H82" i="15" s="1"/>
  <c r="I28" i="11" s="1"/>
  <c r="L101" i="4" s="1"/>
  <c r="F53" i="15"/>
  <c r="F82" i="15" s="1"/>
  <c r="G28" i="11" s="1"/>
  <c r="O52" i="15"/>
  <c r="M52" i="15"/>
  <c r="L52" i="15"/>
  <c r="N49" i="15"/>
  <c r="O18" i="11" s="1"/>
  <c r="F49" i="15"/>
  <c r="E49" i="15"/>
  <c r="C49" i="15"/>
  <c r="D18" i="11" s="1"/>
  <c r="C75" i="27" s="1"/>
  <c r="T47" i="15"/>
  <c r="S47" i="15"/>
  <c r="R47" i="15"/>
  <c r="O47" i="15"/>
  <c r="M47" i="15"/>
  <c r="L47" i="15"/>
  <c r="D47" i="15"/>
  <c r="D49" i="15" s="1"/>
  <c r="E18" i="11" s="1"/>
  <c r="D75" i="27" s="1"/>
  <c r="L45" i="15"/>
  <c r="M44" i="15"/>
  <c r="L44" i="15"/>
  <c r="M43" i="15"/>
  <c r="L43" i="15"/>
  <c r="O38" i="15"/>
  <c r="M37" i="15"/>
  <c r="L37" i="15"/>
  <c r="S33" i="15"/>
  <c r="M33" i="15"/>
  <c r="J33" i="15"/>
  <c r="K16" i="11" s="1"/>
  <c r="N98" i="4" s="1"/>
  <c r="I33" i="15"/>
  <c r="J16" i="11" s="1"/>
  <c r="M98" i="4" s="1"/>
  <c r="M32" i="15"/>
  <c r="L32" i="15"/>
  <c r="G32" i="15"/>
  <c r="H16" i="11" s="1"/>
  <c r="K98" i="4" s="1"/>
  <c r="O31" i="15"/>
  <c r="M31" i="15"/>
  <c r="L31" i="15"/>
  <c r="M26" i="15"/>
  <c r="L26" i="15"/>
  <c r="T25" i="15"/>
  <c r="S25" i="15"/>
  <c r="R25" i="15"/>
  <c r="Q25" i="15"/>
  <c r="Q49" i="15" s="1"/>
  <c r="R18" i="11" s="1"/>
  <c r="U96" i="4" s="1"/>
  <c r="P25" i="15"/>
  <c r="P49" i="15" s="1"/>
  <c r="Q18" i="11" s="1"/>
  <c r="O25" i="15"/>
  <c r="M25" i="15"/>
  <c r="L25" i="15"/>
  <c r="K25" i="15"/>
  <c r="K49" i="15" s="1"/>
  <c r="L18" i="11" s="1"/>
  <c r="O96" i="4" s="1"/>
  <c r="J25" i="15"/>
  <c r="I25" i="15"/>
  <c r="H25" i="15"/>
  <c r="H49" i="15" s="1"/>
  <c r="I18" i="11" s="1"/>
  <c r="G25" i="15"/>
  <c r="M21" i="15"/>
  <c r="L21" i="15"/>
  <c r="M20" i="15"/>
  <c r="L20" i="15"/>
  <c r="M18" i="15"/>
  <c r="L18" i="15"/>
  <c r="M17" i="15"/>
  <c r="L17" i="15"/>
  <c r="M16" i="15"/>
  <c r="L16" i="15"/>
  <c r="S14" i="15"/>
  <c r="O14" i="15"/>
  <c r="M14" i="15"/>
  <c r="L14" i="15"/>
  <c r="O13" i="15"/>
  <c r="O12" i="15"/>
  <c r="P15" i="11" s="1"/>
  <c r="S97" i="4" s="1"/>
  <c r="M12" i="15"/>
  <c r="N15" i="11" s="1"/>
  <c r="Q97" i="4" s="1"/>
  <c r="L12" i="15"/>
  <c r="M15" i="11" s="1"/>
  <c r="P97" i="4" s="1"/>
  <c r="O11" i="15"/>
  <c r="M11" i="15"/>
  <c r="L11" i="15"/>
  <c r="N8" i="15"/>
  <c r="O11" i="11" s="1"/>
  <c r="L80" i="14"/>
  <c r="K80" i="14"/>
  <c r="J80" i="14"/>
  <c r="I80" i="14"/>
  <c r="H80" i="14"/>
  <c r="G80" i="14"/>
  <c r="E80" i="14"/>
  <c r="F79" i="14"/>
  <c r="F80" i="14" s="1"/>
  <c r="D79" i="14"/>
  <c r="D80" i="14" s="1"/>
  <c r="U78" i="14"/>
  <c r="T78" i="14"/>
  <c r="S78" i="14"/>
  <c r="R78" i="14"/>
  <c r="R80" i="14" s="1"/>
  <c r="Q78" i="14"/>
  <c r="Q80" i="14" s="1"/>
  <c r="P78" i="14"/>
  <c r="O78" i="14"/>
  <c r="N78" i="14"/>
  <c r="M78" i="14"/>
  <c r="U75" i="14"/>
  <c r="T75" i="14"/>
  <c r="S75" i="14"/>
  <c r="P75" i="14"/>
  <c r="O75" i="14"/>
  <c r="N75" i="14"/>
  <c r="M75" i="14"/>
  <c r="U72" i="14"/>
  <c r="T72" i="14"/>
  <c r="S72" i="14"/>
  <c r="R72" i="14"/>
  <c r="Q72" i="14"/>
  <c r="M72" i="14"/>
  <c r="L72" i="14"/>
  <c r="K72" i="14"/>
  <c r="J72" i="14"/>
  <c r="I72" i="14"/>
  <c r="H72" i="14"/>
  <c r="G72" i="14"/>
  <c r="F72" i="14"/>
  <c r="E72" i="14"/>
  <c r="D72" i="14"/>
  <c r="X70" i="14"/>
  <c r="Y70" i="14" s="1"/>
  <c r="Z70" i="14" s="1"/>
  <c r="AA70" i="14" s="1"/>
  <c r="AB70" i="14" s="1"/>
  <c r="AC70" i="14" s="1"/>
  <c r="AD70" i="14" s="1"/>
  <c r="AE70" i="14" s="1"/>
  <c r="AF70" i="14" s="1"/>
  <c r="AG70" i="14" s="1"/>
  <c r="N70" i="14"/>
  <c r="M70" i="14"/>
  <c r="L70" i="14"/>
  <c r="K70" i="14"/>
  <c r="J70" i="14"/>
  <c r="U67" i="14"/>
  <c r="U68" i="14" s="1"/>
  <c r="T67" i="14"/>
  <c r="T68" i="14" s="1"/>
  <c r="S67" i="14"/>
  <c r="R67" i="14"/>
  <c r="R68" i="14" s="1"/>
  <c r="Q67" i="14"/>
  <c r="Q68" i="14" s="1"/>
  <c r="P67" i="14"/>
  <c r="O67" i="14"/>
  <c r="N67" i="14"/>
  <c r="M67" i="14"/>
  <c r="J67" i="14"/>
  <c r="P66" i="14"/>
  <c r="P28" i="14" s="1"/>
  <c r="O66" i="14"/>
  <c r="O28" i="14" s="1"/>
  <c r="N66" i="14"/>
  <c r="N28" i="14" s="1"/>
  <c r="M66" i="14"/>
  <c r="M28" i="14" s="1"/>
  <c r="O65" i="14"/>
  <c r="N65" i="14"/>
  <c r="M65" i="14"/>
  <c r="L65" i="14"/>
  <c r="K65" i="14"/>
  <c r="P64" i="14"/>
  <c r="P17" i="14" s="1"/>
  <c r="O64" i="14"/>
  <c r="O17" i="14" s="1"/>
  <c r="N64" i="14"/>
  <c r="N17" i="14" s="1"/>
  <c r="M64" i="14"/>
  <c r="M17" i="14" s="1"/>
  <c r="L64" i="14"/>
  <c r="L17" i="14" s="1"/>
  <c r="K64" i="14"/>
  <c r="K17" i="14" s="1"/>
  <c r="J64" i="14"/>
  <c r="I64" i="14"/>
  <c r="I17" i="14" s="1"/>
  <c r="H64" i="14"/>
  <c r="H17" i="14" s="1"/>
  <c r="G64" i="14"/>
  <c r="G17" i="14" s="1"/>
  <c r="F64" i="14"/>
  <c r="F68" i="14" s="1"/>
  <c r="E64" i="14"/>
  <c r="E68" i="14" s="1"/>
  <c r="D64" i="14"/>
  <c r="D68" i="14" s="1"/>
  <c r="U28" i="14"/>
  <c r="T28" i="14"/>
  <c r="S28" i="14"/>
  <c r="R28" i="14"/>
  <c r="Q28" i="14"/>
  <c r="L28" i="14"/>
  <c r="K28" i="14"/>
  <c r="U22" i="14"/>
  <c r="T22" i="14"/>
  <c r="S22" i="14"/>
  <c r="R22" i="14"/>
  <c r="Q22" i="14"/>
  <c r="P22" i="14"/>
  <c r="O22" i="14"/>
  <c r="N22" i="14"/>
  <c r="M22" i="14"/>
  <c r="U17" i="14"/>
  <c r="T17" i="14"/>
  <c r="S17" i="14"/>
  <c r="R17" i="14"/>
  <c r="Q17" i="14"/>
  <c r="AC2" i="14"/>
  <c r="AB2" i="14"/>
  <c r="AA2" i="14"/>
  <c r="Z2" i="14"/>
  <c r="Y2" i="14"/>
  <c r="X2" i="14"/>
  <c r="W2" i="14"/>
  <c r="V2" i="14"/>
  <c r="U2" i="14"/>
  <c r="T2" i="14"/>
  <c r="S2" i="14"/>
  <c r="R2" i="14"/>
  <c r="Q2" i="14"/>
  <c r="L134" i="13"/>
  <c r="M131" i="13" s="1"/>
  <c r="K134" i="13"/>
  <c r="J134" i="13"/>
  <c r="K131" i="13" s="1"/>
  <c r="U60" i="13"/>
  <c r="V61" i="13" s="1"/>
  <c r="T132" i="13"/>
  <c r="T60" i="13" s="1"/>
  <c r="S132" i="13"/>
  <c r="S124" i="13" s="1"/>
  <c r="R132" i="13"/>
  <c r="R124" i="13" s="1"/>
  <c r="Q132" i="13"/>
  <c r="Q60" i="13" s="1"/>
  <c r="O132" i="13"/>
  <c r="O60" i="13" s="1"/>
  <c r="L132" i="13"/>
  <c r="K132" i="13"/>
  <c r="J132" i="13"/>
  <c r="T128" i="13"/>
  <c r="S128" i="13"/>
  <c r="R128" i="13"/>
  <c r="Q128" i="13"/>
  <c r="P128" i="13"/>
  <c r="J128" i="13"/>
  <c r="K126" i="13" s="1"/>
  <c r="K127" i="13" s="1"/>
  <c r="P126" i="13"/>
  <c r="O126" i="13"/>
  <c r="O127" i="13" s="1"/>
  <c r="N126" i="13"/>
  <c r="N127" i="13" s="1"/>
  <c r="M126" i="13"/>
  <c r="M127" i="13" s="1"/>
  <c r="L126" i="13"/>
  <c r="L127" i="13" s="1"/>
  <c r="U124" i="13"/>
  <c r="P115" i="13"/>
  <c r="N115" i="13"/>
  <c r="M115" i="13"/>
  <c r="L115" i="13"/>
  <c r="K115" i="13"/>
  <c r="U105" i="13"/>
  <c r="U57" i="13" s="1"/>
  <c r="V58" i="13" s="1"/>
  <c r="T114" i="13"/>
  <c r="T105" i="13" s="1"/>
  <c r="T57" i="13" s="1"/>
  <c r="S114" i="13"/>
  <c r="R114" i="13"/>
  <c r="R105" i="13" s="1"/>
  <c r="R57" i="13" s="1"/>
  <c r="Q114" i="13"/>
  <c r="O114" i="13"/>
  <c r="O105" i="13" s="1"/>
  <c r="L114" i="13"/>
  <c r="K114" i="13"/>
  <c r="K57" i="13" s="1"/>
  <c r="J114" i="13"/>
  <c r="I114" i="13"/>
  <c r="I116" i="13" s="1"/>
  <c r="J113" i="13" s="1"/>
  <c r="G110" i="13"/>
  <c r="G120" i="13" s="1"/>
  <c r="X109" i="13"/>
  <c r="Y109" i="13" s="1"/>
  <c r="Z109" i="13" s="1"/>
  <c r="AA109" i="13" s="1"/>
  <c r="AB109" i="13" s="1"/>
  <c r="AC109" i="13" s="1"/>
  <c r="AD109" i="13" s="1"/>
  <c r="AE109" i="13" s="1"/>
  <c r="AF109" i="13" s="1"/>
  <c r="AG109" i="13" s="1"/>
  <c r="P109" i="13"/>
  <c r="N109" i="13"/>
  <c r="M109" i="13"/>
  <c r="L109" i="13"/>
  <c r="K109" i="13"/>
  <c r="X108" i="13"/>
  <c r="Y108" i="13" s="1"/>
  <c r="Z108" i="13" s="1"/>
  <c r="AA108" i="13" s="1"/>
  <c r="AB108" i="13" s="1"/>
  <c r="AC108" i="13" s="1"/>
  <c r="AD108" i="13" s="1"/>
  <c r="AE108" i="13" s="1"/>
  <c r="AF108" i="13" s="1"/>
  <c r="AG108" i="13" s="1"/>
  <c r="M108" i="13"/>
  <c r="L108" i="13"/>
  <c r="K108" i="13"/>
  <c r="L97" i="13"/>
  <c r="K97" i="13"/>
  <c r="J97" i="13"/>
  <c r="I97" i="13"/>
  <c r="H97" i="13"/>
  <c r="G97" i="13"/>
  <c r="F97" i="13"/>
  <c r="E97" i="13"/>
  <c r="D97" i="13"/>
  <c r="K95" i="13"/>
  <c r="L92" i="13" s="1"/>
  <c r="J95" i="13"/>
  <c r="I95" i="13"/>
  <c r="J92" i="13" s="1"/>
  <c r="H95" i="13"/>
  <c r="G95" i="13"/>
  <c r="F95" i="13"/>
  <c r="E95" i="13"/>
  <c r="D95" i="13"/>
  <c r="L93" i="13"/>
  <c r="L84" i="13" s="1"/>
  <c r="L51" i="13" s="1"/>
  <c r="K93" i="13"/>
  <c r="K84" i="13" s="1"/>
  <c r="K51" i="13" s="1"/>
  <c r="J93" i="13"/>
  <c r="I93" i="13"/>
  <c r="H93" i="13"/>
  <c r="H84" i="13" s="1"/>
  <c r="G93" i="13"/>
  <c r="G84" i="13" s="1"/>
  <c r="F93" i="13"/>
  <c r="F84" i="13" s="1"/>
  <c r="E93" i="13"/>
  <c r="S89" i="13"/>
  <c r="S101" i="13" s="1"/>
  <c r="R89" i="13"/>
  <c r="R101" i="13" s="1"/>
  <c r="Q89" i="13"/>
  <c r="Q101" i="13" s="1"/>
  <c r="O89" i="13"/>
  <c r="O101" i="13" s="1"/>
  <c r="K89" i="13"/>
  <c r="J89" i="13"/>
  <c r="I89" i="13"/>
  <c r="J86" i="13" s="1"/>
  <c r="H89" i="13"/>
  <c r="I86" i="13" s="1"/>
  <c r="G89" i="13"/>
  <c r="H86" i="13" s="1"/>
  <c r="F89" i="13"/>
  <c r="G86" i="13" s="1"/>
  <c r="E89" i="13"/>
  <c r="F86" i="13" s="1"/>
  <c r="D89" i="13"/>
  <c r="E86" i="13" s="1"/>
  <c r="D84" i="13"/>
  <c r="T76" i="13"/>
  <c r="U73" i="13" s="1"/>
  <c r="S76" i="13"/>
  <c r="T73" i="13" s="1"/>
  <c r="R76" i="13"/>
  <c r="U48" i="4" s="1"/>
  <c r="Q76" i="13"/>
  <c r="O76" i="13"/>
  <c r="K76" i="13"/>
  <c r="L73" i="13" s="1"/>
  <c r="J76" i="13"/>
  <c r="M48" i="4" s="1"/>
  <c r="I76" i="13"/>
  <c r="J73" i="13" s="1"/>
  <c r="H76" i="13"/>
  <c r="K48" i="4" s="1"/>
  <c r="G76" i="13"/>
  <c r="F76" i="13"/>
  <c r="E76" i="13"/>
  <c r="U74" i="13"/>
  <c r="U65" i="13" s="1"/>
  <c r="T74" i="13"/>
  <c r="T65" i="13" s="1"/>
  <c r="S74" i="13"/>
  <c r="S65" i="13" s="1"/>
  <c r="R74" i="13"/>
  <c r="R65" i="13" s="1"/>
  <c r="Q74" i="13"/>
  <c r="Q65" i="13" s="1"/>
  <c r="L74" i="13"/>
  <c r="K74" i="13"/>
  <c r="K65" i="13" s="1"/>
  <c r="K48" i="13" s="1"/>
  <c r="J74" i="13"/>
  <c r="I74" i="13"/>
  <c r="I65" i="13" s="1"/>
  <c r="I48" i="13" s="1"/>
  <c r="H74" i="13"/>
  <c r="H65" i="13" s="1"/>
  <c r="H48" i="13" s="1"/>
  <c r="G74" i="13"/>
  <c r="F74" i="13"/>
  <c r="E74" i="13"/>
  <c r="E65" i="13" s="1"/>
  <c r="E48" i="13" s="1"/>
  <c r="D65" i="13"/>
  <c r="D48" i="13" s="1"/>
  <c r="T70" i="13"/>
  <c r="S70" i="13"/>
  <c r="T67" i="13" s="1"/>
  <c r="R70" i="13"/>
  <c r="Q70" i="13"/>
  <c r="R67" i="13" s="1"/>
  <c r="O70" i="13"/>
  <c r="P67" i="13" s="1"/>
  <c r="K70" i="13"/>
  <c r="L67" i="13" s="1"/>
  <c r="J70" i="13"/>
  <c r="I70" i="13"/>
  <c r="J67" i="13" s="1"/>
  <c r="H70" i="13"/>
  <c r="G70" i="13"/>
  <c r="H67" i="13" s="1"/>
  <c r="F70" i="13"/>
  <c r="G67" i="13" s="1"/>
  <c r="E70" i="13"/>
  <c r="I60" i="13"/>
  <c r="H60" i="13"/>
  <c r="G60" i="13"/>
  <c r="H57" i="13"/>
  <c r="G57" i="13"/>
  <c r="S39" i="13"/>
  <c r="R39" i="13"/>
  <c r="Q39" i="13"/>
  <c r="P39" i="13"/>
  <c r="O39" i="13"/>
  <c r="N39" i="13"/>
  <c r="M39" i="13"/>
  <c r="J39" i="13"/>
  <c r="I39" i="13"/>
  <c r="H39" i="13"/>
  <c r="G39" i="13"/>
  <c r="F39" i="13"/>
  <c r="E39" i="13"/>
  <c r="D39" i="13"/>
  <c r="S36" i="13"/>
  <c r="R36" i="13"/>
  <c r="Q36" i="13"/>
  <c r="P36" i="13"/>
  <c r="O36" i="13"/>
  <c r="K36" i="13"/>
  <c r="S33" i="13"/>
  <c r="R33" i="13"/>
  <c r="Q33" i="13"/>
  <c r="P33" i="13"/>
  <c r="O33" i="13"/>
  <c r="M33" i="13"/>
  <c r="L33" i="13"/>
  <c r="K33" i="13"/>
  <c r="J33" i="13"/>
  <c r="I33" i="13"/>
  <c r="H33" i="13"/>
  <c r="G33" i="13"/>
  <c r="F33" i="13"/>
  <c r="E33" i="13"/>
  <c r="D33" i="13"/>
  <c r="S30" i="13"/>
  <c r="R30" i="13"/>
  <c r="Q30" i="13"/>
  <c r="P30" i="13"/>
  <c r="O30" i="13"/>
  <c r="J30" i="13"/>
  <c r="I30" i="13"/>
  <c r="H30" i="13"/>
  <c r="G30" i="13"/>
  <c r="F30" i="13"/>
  <c r="E30" i="13"/>
  <c r="D30" i="13"/>
  <c r="S27" i="13"/>
  <c r="R27" i="13"/>
  <c r="Q27" i="13"/>
  <c r="P27" i="13"/>
  <c r="O27" i="13"/>
  <c r="L27" i="13"/>
  <c r="K27" i="13"/>
  <c r="J27" i="13"/>
  <c r="I27" i="13"/>
  <c r="H27" i="13"/>
  <c r="G27" i="13"/>
  <c r="F27" i="13"/>
  <c r="E27" i="13"/>
  <c r="D27" i="13"/>
  <c r="K21" i="13"/>
  <c r="J21" i="13"/>
  <c r="I21" i="13"/>
  <c r="H21" i="13"/>
  <c r="G21" i="13"/>
  <c r="S18" i="13"/>
  <c r="R18" i="13"/>
  <c r="Q18" i="13"/>
  <c r="P18" i="13"/>
  <c r="O18" i="13"/>
  <c r="N18" i="13"/>
  <c r="M18" i="13"/>
  <c r="L18" i="13"/>
  <c r="K18" i="13"/>
  <c r="J18" i="13"/>
  <c r="I18" i="13"/>
  <c r="H18" i="13"/>
  <c r="G18" i="13"/>
  <c r="F18" i="13"/>
  <c r="E18" i="13"/>
  <c r="D18" i="13"/>
  <c r="S14" i="13"/>
  <c r="R14" i="13"/>
  <c r="Q14" i="13"/>
  <c r="O14" i="13"/>
  <c r="L14" i="13"/>
  <c r="K14" i="13"/>
  <c r="J14" i="13"/>
  <c r="I14" i="13"/>
  <c r="H14" i="13"/>
  <c r="G14" i="13"/>
  <c r="F14" i="13"/>
  <c r="E14" i="13"/>
  <c r="D14" i="13"/>
  <c r="S10" i="13"/>
  <c r="R10" i="13"/>
  <c r="Q10" i="13"/>
  <c r="O10" i="13"/>
  <c r="M10" i="13"/>
  <c r="L10" i="13"/>
  <c r="K10" i="13"/>
  <c r="J10" i="13"/>
  <c r="I10" i="13"/>
  <c r="H10" i="13"/>
  <c r="G10" i="13"/>
  <c r="F10" i="13"/>
  <c r="E10" i="13"/>
  <c r="D10" i="13"/>
  <c r="G9" i="13"/>
  <c r="S6" i="13"/>
  <c r="R6" i="13"/>
  <c r="Q6" i="13"/>
  <c r="P6" i="13"/>
  <c r="O6" i="13"/>
  <c r="L6" i="13"/>
  <c r="K6" i="13"/>
  <c r="J6" i="13"/>
  <c r="I6" i="13"/>
  <c r="H6" i="13"/>
  <c r="G6" i="13"/>
  <c r="F6" i="13"/>
  <c r="E6" i="13"/>
  <c r="D6" i="13"/>
  <c r="AC2" i="13"/>
  <c r="AB2" i="13"/>
  <c r="AA2" i="13"/>
  <c r="Z2" i="13"/>
  <c r="Y2" i="13"/>
  <c r="X2" i="13"/>
  <c r="W2" i="13"/>
  <c r="V2" i="13"/>
  <c r="U2" i="13"/>
  <c r="T2" i="13"/>
  <c r="R66" i="12"/>
  <c r="Q66" i="12"/>
  <c r="P66" i="12"/>
  <c r="O66" i="12"/>
  <c r="N66" i="12"/>
  <c r="M66" i="12"/>
  <c r="L66" i="12"/>
  <c r="K66" i="12"/>
  <c r="J66" i="12"/>
  <c r="Q64" i="12"/>
  <c r="P64" i="12"/>
  <c r="O64" i="12"/>
  <c r="N64" i="12"/>
  <c r="M64" i="12"/>
  <c r="L64" i="12"/>
  <c r="K64" i="12"/>
  <c r="J64" i="12"/>
  <c r="Q62" i="12"/>
  <c r="P62" i="12"/>
  <c r="O62" i="12"/>
  <c r="N62" i="12"/>
  <c r="M62" i="12"/>
  <c r="L62" i="12"/>
  <c r="K62" i="12"/>
  <c r="J62" i="12"/>
  <c r="AC2" i="12"/>
  <c r="AB2" i="12"/>
  <c r="AA2" i="12"/>
  <c r="Z2" i="12"/>
  <c r="Y2" i="12"/>
  <c r="X2" i="12"/>
  <c r="U2" i="12"/>
  <c r="T2" i="12"/>
  <c r="L33" i="11"/>
  <c r="M82" i="27" s="1"/>
  <c r="K33" i="11"/>
  <c r="L82" i="27" s="1"/>
  <c r="J33" i="11"/>
  <c r="M109" i="4" s="1"/>
  <c r="D33" i="11"/>
  <c r="C82" i="27" s="1"/>
  <c r="S30" i="11"/>
  <c r="V107" i="4" s="1"/>
  <c r="R30" i="11"/>
  <c r="U107" i="4" s="1"/>
  <c r="Q30" i="11"/>
  <c r="T107" i="4" s="1"/>
  <c r="L30" i="11"/>
  <c r="O107" i="4" s="1"/>
  <c r="K30" i="11"/>
  <c r="N107" i="4" s="1"/>
  <c r="J30" i="11"/>
  <c r="M107" i="4" s="1"/>
  <c r="I30" i="11"/>
  <c r="L107" i="4" s="1"/>
  <c r="H30" i="11"/>
  <c r="K107" i="4" s="1"/>
  <c r="G30" i="11"/>
  <c r="H80" i="27" s="1"/>
  <c r="F30" i="11"/>
  <c r="F80" i="27" s="1"/>
  <c r="E30" i="11"/>
  <c r="D80" i="27" s="1"/>
  <c r="D30" i="11"/>
  <c r="C80" i="27" s="1"/>
  <c r="S28" i="11"/>
  <c r="T79" i="27" s="1"/>
  <c r="R26" i="11"/>
  <c r="U103" i="4" s="1"/>
  <c r="Q26" i="11"/>
  <c r="T103" i="4" s="1"/>
  <c r="O26" i="11"/>
  <c r="L26" i="11"/>
  <c r="O103" i="4" s="1"/>
  <c r="K26" i="11"/>
  <c r="N103" i="4" s="1"/>
  <c r="J26" i="11"/>
  <c r="M103" i="4" s="1"/>
  <c r="I26" i="11"/>
  <c r="L103" i="4" s="1"/>
  <c r="F26" i="11"/>
  <c r="F78" i="27" s="1"/>
  <c r="E26" i="11"/>
  <c r="D78" i="27" s="1"/>
  <c r="R24" i="11"/>
  <c r="U104" i="4" s="1"/>
  <c r="Q24" i="11"/>
  <c r="T104" i="4" s="1"/>
  <c r="O24" i="11"/>
  <c r="R104" i="4" s="1"/>
  <c r="L24" i="11"/>
  <c r="O104" i="4" s="1"/>
  <c r="K24" i="11"/>
  <c r="N104" i="4" s="1"/>
  <c r="J24" i="11"/>
  <c r="M104" i="4" s="1"/>
  <c r="I24" i="11"/>
  <c r="L104" i="4" s="1"/>
  <c r="F24" i="11"/>
  <c r="E24" i="11"/>
  <c r="D77" i="27" s="1"/>
  <c r="D24" i="11"/>
  <c r="C77" i="27" s="1"/>
  <c r="T23" i="11"/>
  <c r="W102" i="4" s="1"/>
  <c r="S23" i="11"/>
  <c r="V102" i="4" s="1"/>
  <c r="R23" i="11"/>
  <c r="U102" i="4" s="1"/>
  <c r="Q23" i="11"/>
  <c r="T102" i="4" s="1"/>
  <c r="P23" i="11"/>
  <c r="O23" i="11"/>
  <c r="L23" i="11"/>
  <c r="O102" i="4" s="1"/>
  <c r="K23" i="11"/>
  <c r="N102" i="4" s="1"/>
  <c r="F23" i="11"/>
  <c r="F76" i="27" s="1"/>
  <c r="E23" i="11"/>
  <c r="D76" i="27" s="1"/>
  <c r="D23" i="11"/>
  <c r="C76" i="27" s="1"/>
  <c r="L16" i="11"/>
  <c r="O98" i="4" s="1"/>
  <c r="I16" i="11"/>
  <c r="L98" i="4" s="1"/>
  <c r="G16" i="11"/>
  <c r="H73" i="27" s="1"/>
  <c r="F16" i="11"/>
  <c r="F73" i="27" s="1"/>
  <c r="E16" i="11"/>
  <c r="D73" i="27" s="1"/>
  <c r="D16" i="11"/>
  <c r="C73" i="27" s="1"/>
  <c r="R15" i="11"/>
  <c r="U97" i="4" s="1"/>
  <c r="Q15" i="11"/>
  <c r="T97" i="4" s="1"/>
  <c r="O15" i="11"/>
  <c r="R97" i="4" s="1"/>
  <c r="L15" i="11"/>
  <c r="O97" i="4" s="1"/>
  <c r="K15" i="11"/>
  <c r="N97" i="4" s="1"/>
  <c r="J15" i="11"/>
  <c r="M97" i="4" s="1"/>
  <c r="I15" i="11"/>
  <c r="H15" i="11"/>
  <c r="K97" i="4" s="1"/>
  <c r="G15" i="11"/>
  <c r="H72" i="27" s="1"/>
  <c r="F15" i="11"/>
  <c r="F72" i="27" s="1"/>
  <c r="E15" i="11"/>
  <c r="D72" i="27" s="1"/>
  <c r="D15" i="11"/>
  <c r="C72" i="27" s="1"/>
  <c r="T11" i="11"/>
  <c r="W85" i="4" s="1"/>
  <c r="S11" i="11"/>
  <c r="T71" i="27" s="1"/>
  <c r="R11" i="11"/>
  <c r="U85" i="4" s="1"/>
  <c r="Q11" i="11"/>
  <c r="T85" i="4" s="1"/>
  <c r="P11" i="11"/>
  <c r="S85" i="4" s="1"/>
  <c r="N11" i="11"/>
  <c r="Q85" i="4" s="1"/>
  <c r="M11" i="11"/>
  <c r="P85" i="4" s="1"/>
  <c r="L11" i="11"/>
  <c r="O85" i="4" s="1"/>
  <c r="K11" i="11"/>
  <c r="L71" i="27" s="1"/>
  <c r="J11" i="11"/>
  <c r="M85" i="4" s="1"/>
  <c r="I11" i="11"/>
  <c r="J71" i="27" s="1"/>
  <c r="H11" i="11"/>
  <c r="K85" i="4" s="1"/>
  <c r="G11" i="11"/>
  <c r="F11" i="11"/>
  <c r="E11" i="11"/>
  <c r="D11" i="11"/>
  <c r="F9" i="11"/>
  <c r="F69" i="27" s="1"/>
  <c r="E9" i="11"/>
  <c r="D69" i="27" s="1"/>
  <c r="Q8" i="11"/>
  <c r="O8" i="11"/>
  <c r="L8" i="11"/>
  <c r="K8" i="11"/>
  <c r="J8" i="11"/>
  <c r="I8" i="11"/>
  <c r="H8" i="11"/>
  <c r="G8" i="11"/>
  <c r="H68" i="27" s="1"/>
  <c r="F8" i="11"/>
  <c r="F68" i="27" s="1"/>
  <c r="E8" i="11"/>
  <c r="D68" i="27" s="1"/>
  <c r="D8" i="11"/>
  <c r="C68" i="27" s="1"/>
  <c r="R6" i="11"/>
  <c r="U89" i="4" s="1"/>
  <c r="Q6" i="11"/>
  <c r="T89" i="4" s="1"/>
  <c r="L6" i="11"/>
  <c r="O89" i="4" s="1"/>
  <c r="J6" i="11"/>
  <c r="M89" i="4" s="1"/>
  <c r="I6" i="11"/>
  <c r="L89" i="4" s="1"/>
  <c r="H6" i="11"/>
  <c r="K89" i="4" s="1"/>
  <c r="G6" i="11"/>
  <c r="H66" i="27" s="1"/>
  <c r="F6" i="11"/>
  <c r="F66" i="27" s="1"/>
  <c r="E6" i="11"/>
  <c r="D66" i="27" s="1"/>
  <c r="D6" i="11"/>
  <c r="C66" i="27" s="1"/>
  <c r="AC2" i="11"/>
  <c r="AB2" i="11"/>
  <c r="AA2" i="11"/>
  <c r="Z2" i="11"/>
  <c r="Y2" i="11"/>
  <c r="X2" i="11"/>
  <c r="W2" i="11"/>
  <c r="V2" i="11"/>
  <c r="U2" i="11"/>
  <c r="T2" i="11"/>
  <c r="J130" i="10"/>
  <c r="J132" i="10" s="1"/>
  <c r="I130" i="10"/>
  <c r="I132" i="10" s="1"/>
  <c r="H33" i="6" s="1"/>
  <c r="H130" i="10"/>
  <c r="H132" i="10" s="1"/>
  <c r="G16" i="6" s="1"/>
  <c r="G49" i="6" s="1"/>
  <c r="G130" i="10"/>
  <c r="G132" i="10" s="1"/>
  <c r="F130" i="10"/>
  <c r="F132" i="10" s="1"/>
  <c r="E130" i="10"/>
  <c r="E132" i="10" s="1"/>
  <c r="D88" i="27" s="1"/>
  <c r="D130" i="10"/>
  <c r="D132" i="10" s="1"/>
  <c r="C88" i="27" s="1"/>
  <c r="AI129" i="10"/>
  <c r="L129" i="10"/>
  <c r="O40" i="4" s="1"/>
  <c r="AI125" i="10"/>
  <c r="J125" i="10"/>
  <c r="J126" i="10" s="1"/>
  <c r="I125" i="10"/>
  <c r="I126" i="10" s="1"/>
  <c r="H125" i="10"/>
  <c r="H126" i="10" s="1"/>
  <c r="G125" i="10"/>
  <c r="G126" i="10" s="1"/>
  <c r="F125" i="10"/>
  <c r="F126" i="10" s="1"/>
  <c r="E125" i="10"/>
  <c r="E126" i="10" s="1"/>
  <c r="D125" i="10"/>
  <c r="D126" i="10" s="1"/>
  <c r="P119" i="10"/>
  <c r="O119" i="10"/>
  <c r="N119" i="10"/>
  <c r="M119" i="10"/>
  <c r="L119" i="10"/>
  <c r="K119" i="10"/>
  <c r="J119" i="10"/>
  <c r="I119" i="10"/>
  <c r="H119" i="10"/>
  <c r="G119" i="10"/>
  <c r="F119" i="10"/>
  <c r="E119" i="10"/>
  <c r="D119" i="10"/>
  <c r="U109" i="10"/>
  <c r="U5" i="11" s="1"/>
  <c r="X87" i="4" s="1"/>
  <c r="T109" i="10"/>
  <c r="T5" i="11" s="1"/>
  <c r="W87" i="4" s="1"/>
  <c r="S109" i="10"/>
  <c r="Q24" i="8" s="1"/>
  <c r="AZ24" i="8" s="1"/>
  <c r="R109" i="10"/>
  <c r="P24" i="8" s="1"/>
  <c r="AX24" i="8" s="1"/>
  <c r="Q109" i="10"/>
  <c r="L109" i="10"/>
  <c r="M26" i="27" s="1"/>
  <c r="K109" i="10"/>
  <c r="L26" i="27" s="1"/>
  <c r="J109" i="10"/>
  <c r="K26" i="27" s="1"/>
  <c r="I109" i="10"/>
  <c r="L35" i="4" s="1"/>
  <c r="H109" i="10"/>
  <c r="I26" i="27" s="1"/>
  <c r="G109" i="10"/>
  <c r="H26" i="27" s="1"/>
  <c r="F109" i="10"/>
  <c r="E109" i="10"/>
  <c r="D109" i="10"/>
  <c r="C26" i="27" s="1"/>
  <c r="C109" i="10"/>
  <c r="U107" i="10"/>
  <c r="T107" i="10"/>
  <c r="S107" i="10"/>
  <c r="Q23" i="8" s="1"/>
  <c r="AZ23" i="8" s="1"/>
  <c r="R107" i="10"/>
  <c r="P23" i="8" s="1"/>
  <c r="AX23" i="8" s="1"/>
  <c r="Q107" i="10"/>
  <c r="O23" i="8" s="1"/>
  <c r="AV23" i="8" s="1"/>
  <c r="U105" i="10"/>
  <c r="X34" i="4" s="1"/>
  <c r="T105" i="10"/>
  <c r="R22" i="8" s="1"/>
  <c r="S105" i="10"/>
  <c r="V34" i="4" s="1"/>
  <c r="R105" i="10"/>
  <c r="U34" i="4" s="1"/>
  <c r="Q105" i="10"/>
  <c r="R22" i="27" s="1"/>
  <c r="P105" i="10"/>
  <c r="S34" i="4" s="1"/>
  <c r="N105" i="10"/>
  <c r="Q34" i="4" s="1"/>
  <c r="M105" i="10"/>
  <c r="P34" i="4" s="1"/>
  <c r="J105" i="10"/>
  <c r="M34" i="4" s="1"/>
  <c r="I105" i="10"/>
  <c r="L34" i="4" s="1"/>
  <c r="H105" i="10"/>
  <c r="K34" i="4" s="1"/>
  <c r="G105" i="10"/>
  <c r="H22" i="27" s="1"/>
  <c r="F105" i="10"/>
  <c r="F22" i="27" s="1"/>
  <c r="E105" i="10"/>
  <c r="D22" i="27" s="1"/>
  <c r="D105" i="10"/>
  <c r="C22" i="27" s="1"/>
  <c r="C105" i="10"/>
  <c r="U100" i="10"/>
  <c r="X31" i="4" s="1"/>
  <c r="T100" i="10"/>
  <c r="W31" i="4" s="1"/>
  <c r="S100" i="10"/>
  <c r="V32" i="4" s="1"/>
  <c r="R100" i="10"/>
  <c r="P18" i="8" s="1"/>
  <c r="Q100" i="10"/>
  <c r="L100" i="10"/>
  <c r="K100" i="10"/>
  <c r="N31" i="4" s="1"/>
  <c r="J100" i="10"/>
  <c r="M31" i="4" s="1"/>
  <c r="I100" i="10"/>
  <c r="L31" i="4" s="1"/>
  <c r="H100" i="10"/>
  <c r="K31" i="4" s="1"/>
  <c r="G100" i="10"/>
  <c r="F100" i="10"/>
  <c r="E100" i="10"/>
  <c r="D100" i="10"/>
  <c r="C100" i="10"/>
  <c r="U90" i="10"/>
  <c r="U8" i="11" s="1"/>
  <c r="T90" i="10"/>
  <c r="T8" i="11" s="1"/>
  <c r="S90" i="10"/>
  <c r="V28" i="4" s="1"/>
  <c r="V27" i="4" s="1"/>
  <c r="R90" i="10"/>
  <c r="S16" i="27" s="1"/>
  <c r="Q90" i="10"/>
  <c r="R16" i="27" s="1"/>
  <c r="L90" i="10"/>
  <c r="M16" i="27" s="1"/>
  <c r="K90" i="10"/>
  <c r="J90" i="10"/>
  <c r="I90" i="10"/>
  <c r="J16" i="27" s="1"/>
  <c r="H90" i="10"/>
  <c r="I16" i="27" s="1"/>
  <c r="G90" i="10"/>
  <c r="F90" i="10"/>
  <c r="E90" i="10"/>
  <c r="D90" i="10"/>
  <c r="C90" i="10"/>
  <c r="X88" i="10"/>
  <c r="Y88" i="10" s="1"/>
  <c r="Z88" i="10" s="1"/>
  <c r="AA88" i="10" s="1"/>
  <c r="AB88" i="10" s="1"/>
  <c r="AC88" i="10" s="1"/>
  <c r="AD88" i="10" s="1"/>
  <c r="AE88" i="10" s="1"/>
  <c r="AF88" i="10" s="1"/>
  <c r="AG88" i="10" s="1"/>
  <c r="U88" i="10"/>
  <c r="S16" i="8" s="1"/>
  <c r="BD16" i="8" s="1"/>
  <c r="T88" i="10"/>
  <c r="R16" i="8" s="1"/>
  <c r="BB16" i="8" s="1"/>
  <c r="S88" i="10"/>
  <c r="Q16" i="8" s="1"/>
  <c r="AZ16" i="8" s="1"/>
  <c r="R88" i="10"/>
  <c r="P16" i="8" s="1"/>
  <c r="AX16" i="8" s="1"/>
  <c r="Q88" i="10"/>
  <c r="O16" i="8" s="1"/>
  <c r="AV16" i="8" s="1"/>
  <c r="P88" i="10"/>
  <c r="N16" i="8" s="1"/>
  <c r="AT16" i="8" s="1"/>
  <c r="O88" i="10"/>
  <c r="M16" i="8" s="1"/>
  <c r="AR16" i="8" s="1"/>
  <c r="N88" i="10"/>
  <c r="M88" i="10"/>
  <c r="K16" i="8" s="1"/>
  <c r="AN16" i="8" s="1"/>
  <c r="L88" i="10"/>
  <c r="J16" i="8" s="1"/>
  <c r="AL16" i="8" s="1"/>
  <c r="K88" i="10"/>
  <c r="I16" i="8" s="1"/>
  <c r="AJ16" i="8" s="1"/>
  <c r="J88" i="10"/>
  <c r="I88" i="10"/>
  <c r="H88" i="10"/>
  <c r="G88" i="10"/>
  <c r="H17" i="27" s="1"/>
  <c r="F88" i="10"/>
  <c r="F17" i="27" s="1"/>
  <c r="E88" i="10"/>
  <c r="D17" i="27" s="1"/>
  <c r="D88" i="10"/>
  <c r="C17" i="27" s="1"/>
  <c r="C88" i="10"/>
  <c r="L85" i="10"/>
  <c r="K85" i="10"/>
  <c r="J85" i="10"/>
  <c r="I85" i="10"/>
  <c r="H85" i="10"/>
  <c r="G85" i="10"/>
  <c r="F85" i="10"/>
  <c r="E85" i="10"/>
  <c r="D85" i="10"/>
  <c r="C85" i="10"/>
  <c r="L83" i="10"/>
  <c r="M13" i="27" s="1"/>
  <c r="K83" i="10"/>
  <c r="L13" i="27" s="1"/>
  <c r="J83" i="10"/>
  <c r="K13" i="27" s="1"/>
  <c r="I83" i="10"/>
  <c r="J13" i="27" s="1"/>
  <c r="H83" i="10"/>
  <c r="I13" i="27" s="1"/>
  <c r="G83" i="10"/>
  <c r="H13" i="27" s="1"/>
  <c r="F83" i="10"/>
  <c r="E83" i="10"/>
  <c r="D83" i="10"/>
  <c r="C83" i="10"/>
  <c r="L81" i="10"/>
  <c r="K81" i="10"/>
  <c r="N22" i="4" s="1"/>
  <c r="J81" i="10"/>
  <c r="K12" i="27" s="1"/>
  <c r="I81" i="10"/>
  <c r="L22" i="4" s="1"/>
  <c r="H81" i="10"/>
  <c r="K22" i="4" s="1"/>
  <c r="G81" i="10"/>
  <c r="H12" i="27" s="1"/>
  <c r="F81" i="10"/>
  <c r="F12" i="27" s="1"/>
  <c r="E81" i="10"/>
  <c r="D12" i="27" s="1"/>
  <c r="D81" i="10"/>
  <c r="C12" i="27" s="1"/>
  <c r="C81" i="10"/>
  <c r="Y80" i="10"/>
  <c r="Z80" i="10" s="1"/>
  <c r="AA80" i="10" s="1"/>
  <c r="AB80" i="10" s="1"/>
  <c r="AC80" i="10" s="1"/>
  <c r="AD80" i="10" s="1"/>
  <c r="AE80" i="10" s="1"/>
  <c r="AF80" i="10" s="1"/>
  <c r="AG80" i="10" s="1"/>
  <c r="U79" i="10"/>
  <c r="X21" i="4" s="1"/>
  <c r="T79" i="10"/>
  <c r="R79" i="10"/>
  <c r="Q79" i="10"/>
  <c r="T21" i="4" s="1"/>
  <c r="P79" i="10"/>
  <c r="N13" i="8" s="1"/>
  <c r="O79" i="10"/>
  <c r="M13" i="8" s="1"/>
  <c r="J76" i="10"/>
  <c r="H12" i="8" s="1"/>
  <c r="G76" i="10"/>
  <c r="F76" i="10"/>
  <c r="E76" i="10"/>
  <c r="D76" i="10"/>
  <c r="C76" i="10"/>
  <c r="J74" i="10"/>
  <c r="I74" i="10"/>
  <c r="H74" i="10"/>
  <c r="G74" i="10"/>
  <c r="F74" i="10"/>
  <c r="E74" i="10"/>
  <c r="D74" i="10"/>
  <c r="C74" i="10"/>
  <c r="U67" i="10"/>
  <c r="T67" i="10"/>
  <c r="S67" i="10"/>
  <c r="R67" i="10"/>
  <c r="Q67" i="10"/>
  <c r="P67" i="10"/>
  <c r="N67" i="10"/>
  <c r="M67" i="10"/>
  <c r="L67" i="10"/>
  <c r="K67" i="10"/>
  <c r="M66" i="10"/>
  <c r="K65" i="10"/>
  <c r="U63" i="10"/>
  <c r="T63" i="10"/>
  <c r="S63" i="10"/>
  <c r="R63" i="10"/>
  <c r="Q63" i="10"/>
  <c r="P63" i="10"/>
  <c r="O63" i="10"/>
  <c r="N63" i="10"/>
  <c r="M63" i="10"/>
  <c r="L63" i="10"/>
  <c r="K63" i="10"/>
  <c r="U61" i="10"/>
  <c r="U9" i="11" s="1"/>
  <c r="X94" i="4" s="1"/>
  <c r="T61" i="10"/>
  <c r="S61" i="10"/>
  <c r="R61" i="10"/>
  <c r="Q61" i="10"/>
  <c r="M61" i="10"/>
  <c r="U55" i="10"/>
  <c r="T55" i="10"/>
  <c r="S55" i="10"/>
  <c r="R55" i="10"/>
  <c r="Q55" i="10"/>
  <c r="P55" i="10"/>
  <c r="O55" i="10"/>
  <c r="L55" i="10"/>
  <c r="J55" i="10"/>
  <c r="F54" i="10"/>
  <c r="U52" i="10"/>
  <c r="T52" i="10"/>
  <c r="S52" i="10"/>
  <c r="R52" i="10"/>
  <c r="Q52" i="10"/>
  <c r="I52" i="10"/>
  <c r="H52" i="10"/>
  <c r="G52" i="10"/>
  <c r="D54" i="10"/>
  <c r="T49" i="10"/>
  <c r="S49" i="10"/>
  <c r="R49" i="10"/>
  <c r="Q49" i="10"/>
  <c r="P49" i="10"/>
  <c r="O49" i="10"/>
  <c r="N49" i="10"/>
  <c r="M49" i="10"/>
  <c r="L49" i="10"/>
  <c r="K49" i="10"/>
  <c r="J49" i="10"/>
  <c r="I49" i="10"/>
  <c r="H49" i="10"/>
  <c r="G49" i="10"/>
  <c r="F49" i="10"/>
  <c r="E49" i="10"/>
  <c r="D49" i="10"/>
  <c r="E48" i="10"/>
  <c r="U46" i="10"/>
  <c r="T46" i="10"/>
  <c r="S46" i="10"/>
  <c r="R46" i="10"/>
  <c r="Q46" i="10"/>
  <c r="P46" i="10"/>
  <c r="O46" i="10"/>
  <c r="N46" i="10"/>
  <c r="L46" i="10"/>
  <c r="I46" i="10"/>
  <c r="H46" i="10"/>
  <c r="G46" i="10"/>
  <c r="F48" i="10"/>
  <c r="V43" i="10"/>
  <c r="W44" i="10" s="1"/>
  <c r="U43" i="10"/>
  <c r="T43" i="10"/>
  <c r="S43" i="10"/>
  <c r="R43" i="10"/>
  <c r="Q43" i="10"/>
  <c r="P43" i="10"/>
  <c r="O43" i="10"/>
  <c r="I43" i="10"/>
  <c r="H43" i="10"/>
  <c r="G43" i="10"/>
  <c r="AC37" i="10"/>
  <c r="AB37" i="10"/>
  <c r="AA37" i="10"/>
  <c r="Z37" i="10"/>
  <c r="Y37" i="10"/>
  <c r="X37" i="10"/>
  <c r="D31" i="10"/>
  <c r="D33" i="10" s="1"/>
  <c r="F25" i="10"/>
  <c r="D22" i="10"/>
  <c r="U19" i="10"/>
  <c r="S8" i="8" s="1"/>
  <c r="BD8" i="8" s="1"/>
  <c r="T19" i="10"/>
  <c r="R8" i="8" s="1"/>
  <c r="BB8" i="8" s="1"/>
  <c r="S19" i="10"/>
  <c r="Q8" i="8" s="1"/>
  <c r="AZ8" i="8" s="1"/>
  <c r="R19" i="10"/>
  <c r="U18" i="4" s="1"/>
  <c r="Q19" i="10"/>
  <c r="O8" i="8" s="1"/>
  <c r="L19" i="10"/>
  <c r="J8" i="8" s="1"/>
  <c r="AL8" i="8" s="1"/>
  <c r="K19" i="10"/>
  <c r="J19" i="10"/>
  <c r="M18" i="4" s="1"/>
  <c r="I19" i="10"/>
  <c r="L18" i="4" s="1"/>
  <c r="H19" i="10"/>
  <c r="G19" i="10"/>
  <c r="F19" i="10"/>
  <c r="E19" i="10"/>
  <c r="D19" i="10"/>
  <c r="C19" i="10"/>
  <c r="U14" i="10"/>
  <c r="T14" i="10"/>
  <c r="S14" i="10"/>
  <c r="R14" i="10"/>
  <c r="Q14" i="10"/>
  <c r="P14" i="10"/>
  <c r="L14" i="10"/>
  <c r="J14" i="10"/>
  <c r="U12" i="10"/>
  <c r="T12" i="10"/>
  <c r="S12" i="10"/>
  <c r="R12" i="10"/>
  <c r="Q12" i="10"/>
  <c r="I12" i="10"/>
  <c r="H12" i="10"/>
  <c r="G12" i="10"/>
  <c r="S10" i="10"/>
  <c r="R10" i="10"/>
  <c r="Q10" i="10"/>
  <c r="P10" i="10"/>
  <c r="O10" i="10"/>
  <c r="N10" i="10"/>
  <c r="M10" i="10"/>
  <c r="L10" i="10"/>
  <c r="I10" i="10"/>
  <c r="H10" i="10"/>
  <c r="G10" i="10"/>
  <c r="F10" i="10"/>
  <c r="E10" i="10"/>
  <c r="D10" i="10"/>
  <c r="V8" i="10"/>
  <c r="W9" i="10" s="1"/>
  <c r="U8" i="10"/>
  <c r="T8" i="10"/>
  <c r="S8" i="10"/>
  <c r="R8" i="10"/>
  <c r="Q8" i="10"/>
  <c r="P8" i="10"/>
  <c r="L8" i="10"/>
  <c r="K8" i="10"/>
  <c r="J8" i="10"/>
  <c r="I8" i="10"/>
  <c r="H8" i="10"/>
  <c r="G8" i="10"/>
  <c r="G9" i="10" s="1"/>
  <c r="E9" i="10"/>
  <c r="V6" i="10"/>
  <c r="U6" i="10"/>
  <c r="T6" i="10"/>
  <c r="S6" i="10"/>
  <c r="R6" i="10"/>
  <c r="Q6" i="10"/>
  <c r="L6" i="10"/>
  <c r="I6" i="10"/>
  <c r="H6" i="10"/>
  <c r="G6" i="10"/>
  <c r="F22" i="10"/>
  <c r="D4" i="27"/>
  <c r="C4" i="27"/>
  <c r="U4" i="10"/>
  <c r="T4" i="10"/>
  <c r="S4" i="10"/>
  <c r="R4" i="10"/>
  <c r="Q4" i="10"/>
  <c r="P4" i="10"/>
  <c r="P79" i="12" s="1"/>
  <c r="L4" i="10"/>
  <c r="K4" i="10"/>
  <c r="J4" i="10"/>
  <c r="I4" i="10"/>
  <c r="H4" i="10"/>
  <c r="G4" i="10"/>
  <c r="F4" i="10"/>
  <c r="E4" i="10"/>
  <c r="D4" i="10"/>
  <c r="D79" i="12" s="1"/>
  <c r="C4" i="10"/>
  <c r="B22" i="6" s="1"/>
  <c r="V88" i="9"/>
  <c r="V125" i="4"/>
  <c r="R88" i="9"/>
  <c r="Q88" i="9"/>
  <c r="P88" i="9"/>
  <c r="O88" i="9"/>
  <c r="N88" i="9"/>
  <c r="M88" i="9"/>
  <c r="M130" i="10" s="1"/>
  <c r="M132" i="10" s="1"/>
  <c r="L88" i="9"/>
  <c r="O125" i="4" s="1"/>
  <c r="K88" i="9"/>
  <c r="K125" i="10" s="1"/>
  <c r="K126" i="10" s="1"/>
  <c r="U80" i="9"/>
  <c r="X76" i="4" s="1"/>
  <c r="T80" i="9"/>
  <c r="W76" i="4" s="1"/>
  <c r="S80" i="9"/>
  <c r="V76" i="4" s="1"/>
  <c r="R80" i="9"/>
  <c r="U76" i="4" s="1"/>
  <c r="Q80" i="9"/>
  <c r="T76" i="4" s="1"/>
  <c r="M80" i="9"/>
  <c r="P76" i="4" s="1"/>
  <c r="L80" i="9"/>
  <c r="O76" i="4" s="1"/>
  <c r="J80" i="9"/>
  <c r="M76" i="4" s="1"/>
  <c r="I80" i="9"/>
  <c r="L76" i="4" s="1"/>
  <c r="H80" i="9"/>
  <c r="K76" i="4" s="1"/>
  <c r="G80" i="9"/>
  <c r="F80" i="9"/>
  <c r="E80" i="9"/>
  <c r="D80" i="9"/>
  <c r="U79" i="9"/>
  <c r="T79" i="9"/>
  <c r="S79" i="9"/>
  <c r="R79" i="9"/>
  <c r="Q79" i="9"/>
  <c r="C77" i="9"/>
  <c r="F80" i="4" s="1"/>
  <c r="U76" i="9"/>
  <c r="T76" i="9"/>
  <c r="W79" i="4" s="1"/>
  <c r="S76" i="9"/>
  <c r="R76" i="9"/>
  <c r="U79" i="4" s="1"/>
  <c r="Q76" i="9"/>
  <c r="L76" i="9"/>
  <c r="O79" i="4" s="1"/>
  <c r="K76" i="9"/>
  <c r="N79" i="4" s="1"/>
  <c r="J76" i="9"/>
  <c r="M79" i="4" s="1"/>
  <c r="I76" i="9"/>
  <c r="L79" i="4" s="1"/>
  <c r="H76" i="9"/>
  <c r="G76" i="9"/>
  <c r="F76" i="9"/>
  <c r="E76" i="9"/>
  <c r="D76" i="9"/>
  <c r="U75" i="9"/>
  <c r="X78" i="4" s="1"/>
  <c r="T75" i="9"/>
  <c r="W78" i="4" s="1"/>
  <c r="S75" i="9"/>
  <c r="V78" i="4" s="1"/>
  <c r="R75" i="9"/>
  <c r="U78" i="4" s="1"/>
  <c r="Q75" i="9"/>
  <c r="T78" i="4" s="1"/>
  <c r="O75" i="9"/>
  <c r="R78" i="4" s="1"/>
  <c r="M75" i="9"/>
  <c r="P78" i="4" s="1"/>
  <c r="L75" i="9"/>
  <c r="O78" i="4" s="1"/>
  <c r="K75" i="9"/>
  <c r="N78" i="4" s="1"/>
  <c r="J75" i="9"/>
  <c r="M78" i="4" s="1"/>
  <c r="I75" i="9"/>
  <c r="H75" i="9"/>
  <c r="G75" i="9"/>
  <c r="F75" i="9"/>
  <c r="E75" i="9"/>
  <c r="D75" i="9"/>
  <c r="U68" i="9"/>
  <c r="T68" i="9"/>
  <c r="S68" i="9"/>
  <c r="R68" i="9"/>
  <c r="Q68" i="9"/>
  <c r="P68" i="9"/>
  <c r="O68" i="9"/>
  <c r="O35" i="14" s="1"/>
  <c r="N68" i="9"/>
  <c r="M68" i="9"/>
  <c r="M35" i="14" s="1"/>
  <c r="L68" i="9"/>
  <c r="L35" i="14" s="1"/>
  <c r="K68" i="9"/>
  <c r="K35" i="14" s="1"/>
  <c r="J68" i="9"/>
  <c r="J35" i="14" s="1"/>
  <c r="I68" i="9"/>
  <c r="I35" i="14" s="1"/>
  <c r="H68" i="9"/>
  <c r="G68" i="9"/>
  <c r="F68" i="9"/>
  <c r="E68" i="9"/>
  <c r="D68" i="9"/>
  <c r="U67" i="9"/>
  <c r="T67" i="9"/>
  <c r="S67" i="9"/>
  <c r="U66" i="9"/>
  <c r="T66" i="9"/>
  <c r="S66" i="9"/>
  <c r="R66" i="9"/>
  <c r="Q66" i="9"/>
  <c r="O66" i="9"/>
  <c r="L66" i="9"/>
  <c r="K66" i="9"/>
  <c r="J66" i="9"/>
  <c r="I66" i="9"/>
  <c r="H66" i="9"/>
  <c r="G66" i="9"/>
  <c r="F66" i="9"/>
  <c r="E66" i="9"/>
  <c r="D66" i="9"/>
  <c r="C45" i="27" s="1"/>
  <c r="U64" i="9"/>
  <c r="T64" i="9"/>
  <c r="S64" i="9"/>
  <c r="R64" i="9"/>
  <c r="Q64" i="9"/>
  <c r="O64" i="9"/>
  <c r="N64" i="9"/>
  <c r="M64" i="9"/>
  <c r="L64" i="9"/>
  <c r="K64" i="9"/>
  <c r="J64" i="9"/>
  <c r="I64" i="9"/>
  <c r="H64" i="9"/>
  <c r="G64" i="9"/>
  <c r="F64" i="9"/>
  <c r="E64" i="9"/>
  <c r="D64" i="9"/>
  <c r="U63" i="9"/>
  <c r="U53" i="12" s="1"/>
  <c r="T63" i="9"/>
  <c r="T53" i="12" s="1"/>
  <c r="S63" i="9"/>
  <c r="S53" i="12" s="1"/>
  <c r="R63" i="9"/>
  <c r="R53" i="12" s="1"/>
  <c r="Q63" i="9"/>
  <c r="Q53" i="12" s="1"/>
  <c r="O63" i="9"/>
  <c r="O53" i="12" s="1"/>
  <c r="L63" i="9"/>
  <c r="L53" i="12" s="1"/>
  <c r="K63" i="9"/>
  <c r="K53" i="12" s="1"/>
  <c r="J63" i="9"/>
  <c r="J53" i="12" s="1"/>
  <c r="I63" i="9"/>
  <c r="I53" i="12" s="1"/>
  <c r="H63" i="9"/>
  <c r="H53" i="12" s="1"/>
  <c r="G63" i="9"/>
  <c r="G53" i="12" s="1"/>
  <c r="F63" i="9"/>
  <c r="F53" i="12" s="1"/>
  <c r="E63" i="9"/>
  <c r="E53" i="12" s="1"/>
  <c r="D63" i="9"/>
  <c r="D53" i="12" s="1"/>
  <c r="U62" i="9"/>
  <c r="U50" i="12" s="1"/>
  <c r="T62" i="9"/>
  <c r="T50" i="12" s="1"/>
  <c r="S62" i="9"/>
  <c r="S50" i="12" s="1"/>
  <c r="R62" i="9"/>
  <c r="R50" i="12" s="1"/>
  <c r="Q62" i="9"/>
  <c r="Q50" i="12" s="1"/>
  <c r="O62" i="9"/>
  <c r="O50" i="12" s="1"/>
  <c r="L62" i="9"/>
  <c r="L50" i="12" s="1"/>
  <c r="K62" i="9"/>
  <c r="K50" i="12" s="1"/>
  <c r="J62" i="9"/>
  <c r="J50" i="12" s="1"/>
  <c r="I62" i="9"/>
  <c r="I50" i="12" s="1"/>
  <c r="H62" i="9"/>
  <c r="G62" i="9"/>
  <c r="G50" i="12" s="1"/>
  <c r="F62" i="9"/>
  <c r="F50" i="12" s="1"/>
  <c r="E62" i="9"/>
  <c r="E50" i="12" s="1"/>
  <c r="D62" i="9"/>
  <c r="D50" i="12" s="1"/>
  <c r="U61" i="9"/>
  <c r="U44" i="12" s="1"/>
  <c r="T61" i="9"/>
  <c r="T44" i="12" s="1"/>
  <c r="S61" i="9"/>
  <c r="S44" i="12" s="1"/>
  <c r="R61" i="9"/>
  <c r="R44" i="12" s="1"/>
  <c r="Q61" i="9"/>
  <c r="Q44" i="12" s="1"/>
  <c r="O61" i="9"/>
  <c r="O44" i="12" s="1"/>
  <c r="U60" i="9"/>
  <c r="T60" i="9"/>
  <c r="S60" i="9"/>
  <c r="R60" i="9"/>
  <c r="Q60" i="9"/>
  <c r="O60" i="9"/>
  <c r="L60" i="9"/>
  <c r="L41" i="12" s="1"/>
  <c r="K60" i="9"/>
  <c r="K41" i="12" s="1"/>
  <c r="J60" i="9"/>
  <c r="J41" i="12" s="1"/>
  <c r="I60" i="9"/>
  <c r="I41" i="12" s="1"/>
  <c r="H60" i="9"/>
  <c r="H41" i="12" s="1"/>
  <c r="G60" i="9"/>
  <c r="G41" i="12" s="1"/>
  <c r="F60" i="9"/>
  <c r="F41" i="12" s="1"/>
  <c r="E60" i="9"/>
  <c r="E41" i="12" s="1"/>
  <c r="D60" i="9"/>
  <c r="D41" i="12" s="1"/>
  <c r="U59" i="9"/>
  <c r="U56" i="12" s="1"/>
  <c r="T59" i="9"/>
  <c r="T56" i="12" s="1"/>
  <c r="S59" i="9"/>
  <c r="R59" i="9"/>
  <c r="R56" i="12" s="1"/>
  <c r="Q59" i="9"/>
  <c r="Q56" i="12" s="1"/>
  <c r="O59" i="9"/>
  <c r="R73" i="4" s="1"/>
  <c r="L59" i="9"/>
  <c r="L56" i="12" s="1"/>
  <c r="K59" i="9"/>
  <c r="K56" i="12" s="1"/>
  <c r="J59" i="9"/>
  <c r="J56" i="12" s="1"/>
  <c r="I59" i="9"/>
  <c r="I56" i="12" s="1"/>
  <c r="H59" i="9"/>
  <c r="H56" i="12" s="1"/>
  <c r="G59" i="9"/>
  <c r="G56" i="12" s="1"/>
  <c r="F59" i="9"/>
  <c r="F56" i="12" s="1"/>
  <c r="E59" i="9"/>
  <c r="E56" i="12" s="1"/>
  <c r="D59" i="9"/>
  <c r="D56" i="12" s="1"/>
  <c r="U58" i="9"/>
  <c r="U38" i="12" s="1"/>
  <c r="T58" i="9"/>
  <c r="T38" i="12" s="1"/>
  <c r="S58" i="9"/>
  <c r="R58" i="9"/>
  <c r="Q58" i="9"/>
  <c r="O58" i="9"/>
  <c r="N58" i="9"/>
  <c r="M58" i="9"/>
  <c r="L58" i="9"/>
  <c r="K58" i="9"/>
  <c r="J58" i="9"/>
  <c r="I58" i="9"/>
  <c r="H58" i="9"/>
  <c r="G58" i="9"/>
  <c r="F58" i="9"/>
  <c r="E58" i="9"/>
  <c r="D58" i="9"/>
  <c r="U54" i="9"/>
  <c r="T54" i="9"/>
  <c r="S54" i="9"/>
  <c r="R54" i="9"/>
  <c r="Q54" i="9"/>
  <c r="P54" i="9"/>
  <c r="O54" i="9"/>
  <c r="N54" i="9"/>
  <c r="U53" i="9"/>
  <c r="T53" i="9"/>
  <c r="T96" i="10" s="1"/>
  <c r="S53" i="9"/>
  <c r="R53" i="9"/>
  <c r="R27" i="14" s="1"/>
  <c r="S25" i="14" s="1"/>
  <c r="Q53" i="9"/>
  <c r="O53" i="9"/>
  <c r="O27" i="14" s="1"/>
  <c r="M53" i="9"/>
  <c r="M27" i="14" s="1"/>
  <c r="L53" i="9"/>
  <c r="L27" i="14" s="1"/>
  <c r="K53" i="9"/>
  <c r="K27" i="14" s="1"/>
  <c r="J53" i="9"/>
  <c r="J27" i="14" s="1"/>
  <c r="I53" i="9"/>
  <c r="I27" i="14" s="1"/>
  <c r="H53" i="9"/>
  <c r="H27" i="14" s="1"/>
  <c r="G53" i="9"/>
  <c r="G27" i="14" s="1"/>
  <c r="F53" i="9"/>
  <c r="F27" i="14" s="1"/>
  <c r="E53" i="9"/>
  <c r="E27" i="14" s="1"/>
  <c r="D53" i="9"/>
  <c r="D27" i="14" s="1"/>
  <c r="E25" i="14" s="1"/>
  <c r="U52" i="9"/>
  <c r="U95" i="10" s="1"/>
  <c r="T52" i="9"/>
  <c r="T95" i="10" s="1"/>
  <c r="S52" i="9"/>
  <c r="S95" i="10" s="1"/>
  <c r="R52" i="9"/>
  <c r="R95" i="10" s="1"/>
  <c r="Q52" i="9"/>
  <c r="Q95" i="10" s="1"/>
  <c r="P52" i="9"/>
  <c r="P95" i="10" s="1"/>
  <c r="O52" i="9"/>
  <c r="O95" i="10" s="1"/>
  <c r="N52" i="9"/>
  <c r="N95" i="10" s="1"/>
  <c r="M52" i="9"/>
  <c r="L52" i="9"/>
  <c r="K52" i="9"/>
  <c r="J52" i="9"/>
  <c r="I52" i="9"/>
  <c r="H52" i="9"/>
  <c r="H35" i="14" s="1"/>
  <c r="G52" i="9"/>
  <c r="F52" i="9"/>
  <c r="E52" i="9"/>
  <c r="D52" i="9"/>
  <c r="U51" i="9"/>
  <c r="T51" i="9"/>
  <c r="S51" i="9"/>
  <c r="R51" i="9"/>
  <c r="Q51" i="9"/>
  <c r="O51" i="9"/>
  <c r="M51" i="9"/>
  <c r="L51" i="9"/>
  <c r="K51" i="9"/>
  <c r="J51" i="9"/>
  <c r="I51" i="9"/>
  <c r="H51" i="9"/>
  <c r="G51" i="9"/>
  <c r="F51" i="9"/>
  <c r="E51" i="9"/>
  <c r="D51" i="9"/>
  <c r="U50" i="9"/>
  <c r="T50" i="9"/>
  <c r="S50" i="9"/>
  <c r="R50" i="9"/>
  <c r="Q50" i="9"/>
  <c r="Q94" i="10" s="1"/>
  <c r="M50" i="9"/>
  <c r="M8" i="14" s="1"/>
  <c r="L50" i="9"/>
  <c r="K50" i="9"/>
  <c r="J50" i="9"/>
  <c r="I50" i="9"/>
  <c r="H50" i="9"/>
  <c r="G50" i="9"/>
  <c r="F50" i="9"/>
  <c r="E50" i="9"/>
  <c r="D50" i="9"/>
  <c r="U49" i="9"/>
  <c r="X66" i="4" s="1"/>
  <c r="T49" i="9"/>
  <c r="W66" i="4" s="1"/>
  <c r="S49" i="9"/>
  <c r="V66" i="4" s="1"/>
  <c r="R49" i="9"/>
  <c r="U66" i="4" s="1"/>
  <c r="Q49" i="9"/>
  <c r="T66" i="4" s="1"/>
  <c r="O49" i="9"/>
  <c r="R66" i="4" s="1"/>
  <c r="L49" i="9"/>
  <c r="O66" i="4" s="1"/>
  <c r="K49" i="9"/>
  <c r="N66" i="4" s="1"/>
  <c r="J49" i="9"/>
  <c r="M66" i="4" s="1"/>
  <c r="I49" i="9"/>
  <c r="L66" i="4" s="1"/>
  <c r="H49" i="9"/>
  <c r="G49" i="9"/>
  <c r="H46" i="27" s="1"/>
  <c r="F49" i="9"/>
  <c r="F46" i="27" s="1"/>
  <c r="E49" i="9"/>
  <c r="D46" i="27" s="1"/>
  <c r="D49" i="9"/>
  <c r="C46" i="27" s="1"/>
  <c r="U48" i="9"/>
  <c r="U47" i="12" s="1"/>
  <c r="T48" i="9"/>
  <c r="T47" i="12" s="1"/>
  <c r="S48" i="9"/>
  <c r="S47" i="12" s="1"/>
  <c r="R48" i="9"/>
  <c r="R47" i="12" s="1"/>
  <c r="Q48" i="9"/>
  <c r="Q47" i="12" s="1"/>
  <c r="U47" i="9"/>
  <c r="T47" i="9"/>
  <c r="S47" i="9"/>
  <c r="R47" i="9"/>
  <c r="Q47" i="9"/>
  <c r="O47" i="9"/>
  <c r="M47" i="9"/>
  <c r="L47" i="9"/>
  <c r="K47" i="9"/>
  <c r="J47" i="9"/>
  <c r="I47" i="9"/>
  <c r="H47" i="9"/>
  <c r="G47" i="9"/>
  <c r="F47" i="9"/>
  <c r="E47" i="9"/>
  <c r="D47" i="9"/>
  <c r="U40" i="9"/>
  <c r="T40" i="9"/>
  <c r="T23" i="12" s="1"/>
  <c r="S40" i="9"/>
  <c r="S23" i="12" s="1"/>
  <c r="R40" i="9"/>
  <c r="R23" i="12" s="1"/>
  <c r="Q40" i="9"/>
  <c r="Q23" i="12" s="1"/>
  <c r="O40" i="9"/>
  <c r="N40" i="9"/>
  <c r="M40" i="9"/>
  <c r="M23" i="12" s="1"/>
  <c r="L40" i="9"/>
  <c r="L23" i="12" s="1"/>
  <c r="K40" i="9"/>
  <c r="K23" i="12" s="1"/>
  <c r="J40" i="9"/>
  <c r="J23" i="12" s="1"/>
  <c r="I40" i="9"/>
  <c r="I23" i="12" s="1"/>
  <c r="H40" i="9"/>
  <c r="H23" i="12" s="1"/>
  <c r="G40" i="9"/>
  <c r="G23" i="12" s="1"/>
  <c r="F40" i="9"/>
  <c r="F23" i="12" s="1"/>
  <c r="E40" i="9"/>
  <c r="E23" i="12" s="1"/>
  <c r="D40" i="9"/>
  <c r="D23" i="12" s="1"/>
  <c r="U39" i="9"/>
  <c r="V33" i="11" s="1"/>
  <c r="V34" i="11" s="1"/>
  <c r="V38" i="11" s="1"/>
  <c r="T39" i="9"/>
  <c r="S39" i="9"/>
  <c r="R39" i="9"/>
  <c r="Q39" i="9"/>
  <c r="O39" i="9"/>
  <c r="L39" i="9"/>
  <c r="K39" i="9"/>
  <c r="J39" i="9"/>
  <c r="I39" i="9"/>
  <c r="H39" i="9"/>
  <c r="G39" i="9"/>
  <c r="F39" i="9"/>
  <c r="E39" i="9"/>
  <c r="D39" i="9"/>
  <c r="U38" i="9"/>
  <c r="T38" i="9"/>
  <c r="S38" i="9"/>
  <c r="R38" i="9"/>
  <c r="Q38" i="9"/>
  <c r="P38" i="9"/>
  <c r="O38" i="9"/>
  <c r="N38" i="9"/>
  <c r="M38" i="9"/>
  <c r="L38" i="9"/>
  <c r="K38" i="9"/>
  <c r="J38" i="9"/>
  <c r="I38" i="9"/>
  <c r="H38" i="9"/>
  <c r="G38" i="9"/>
  <c r="H42" i="27" s="1"/>
  <c r="F38" i="9"/>
  <c r="E38" i="9"/>
  <c r="D38" i="9"/>
  <c r="C42" i="27" s="1"/>
  <c r="U36" i="9"/>
  <c r="T36" i="9"/>
  <c r="S36" i="9"/>
  <c r="S53" i="14" s="1"/>
  <c r="R36" i="9"/>
  <c r="R53" i="14" s="1"/>
  <c r="Q36" i="9"/>
  <c r="Q53" i="14" s="1"/>
  <c r="P36" i="9"/>
  <c r="P53" i="14" s="1"/>
  <c r="O36" i="9"/>
  <c r="O53" i="14" s="1"/>
  <c r="N36" i="9"/>
  <c r="N53" i="14" s="1"/>
  <c r="M36" i="9"/>
  <c r="M53" i="14" s="1"/>
  <c r="L36" i="9"/>
  <c r="L53" i="14" s="1"/>
  <c r="K36" i="9"/>
  <c r="K53" i="14" s="1"/>
  <c r="J36" i="9"/>
  <c r="I36" i="9"/>
  <c r="I53" i="14" s="1"/>
  <c r="H36" i="9"/>
  <c r="G36" i="9"/>
  <c r="G53" i="14" s="1"/>
  <c r="F36" i="9"/>
  <c r="F53" i="14" s="1"/>
  <c r="E36" i="9"/>
  <c r="E53" i="14" s="1"/>
  <c r="D36" i="9"/>
  <c r="D53" i="14" s="1"/>
  <c r="U35" i="9"/>
  <c r="T35" i="9"/>
  <c r="T26" i="12" s="1"/>
  <c r="S35" i="9"/>
  <c r="S26" i="12" s="1"/>
  <c r="R35" i="9"/>
  <c r="R26" i="12" s="1"/>
  <c r="Q35" i="9"/>
  <c r="Q26" i="12" s="1"/>
  <c r="O35" i="9"/>
  <c r="O26" i="12" s="1"/>
  <c r="M35" i="9"/>
  <c r="M26" i="12" s="1"/>
  <c r="L35" i="9"/>
  <c r="L26" i="12" s="1"/>
  <c r="K35" i="9"/>
  <c r="K26" i="12" s="1"/>
  <c r="J35" i="9"/>
  <c r="J26" i="12" s="1"/>
  <c r="I35" i="9"/>
  <c r="I26" i="12" s="1"/>
  <c r="H35" i="9"/>
  <c r="H26" i="12" s="1"/>
  <c r="G35" i="9"/>
  <c r="F35" i="9"/>
  <c r="E35" i="9"/>
  <c r="D35" i="9"/>
  <c r="A35" i="9"/>
  <c r="U29" i="12"/>
  <c r="T34" i="9"/>
  <c r="S34" i="9"/>
  <c r="S29" i="12" s="1"/>
  <c r="R34" i="9"/>
  <c r="Q34" i="9"/>
  <c r="P34" i="9"/>
  <c r="O34" i="9"/>
  <c r="O29" i="12" s="1"/>
  <c r="M34" i="9"/>
  <c r="M29" i="12" s="1"/>
  <c r="L34" i="9"/>
  <c r="L29" i="12" s="1"/>
  <c r="K34" i="9"/>
  <c r="K29" i="12" s="1"/>
  <c r="J34" i="9"/>
  <c r="J29" i="12" s="1"/>
  <c r="I34" i="9"/>
  <c r="I29" i="12" s="1"/>
  <c r="H34" i="9"/>
  <c r="H29" i="12" s="1"/>
  <c r="G34" i="9"/>
  <c r="G29" i="12" s="1"/>
  <c r="F34" i="9"/>
  <c r="F29" i="12" s="1"/>
  <c r="E34" i="9"/>
  <c r="E29" i="12" s="1"/>
  <c r="D34" i="9"/>
  <c r="D29" i="12" s="1"/>
  <c r="U32" i="9"/>
  <c r="T32" i="9"/>
  <c r="S32" i="9"/>
  <c r="R32" i="9"/>
  <c r="Q32" i="9"/>
  <c r="O32" i="9"/>
  <c r="N32" i="9"/>
  <c r="M32" i="9"/>
  <c r="L32" i="9"/>
  <c r="K32" i="9"/>
  <c r="J32" i="9"/>
  <c r="I32" i="9"/>
  <c r="H32" i="9"/>
  <c r="G32" i="9"/>
  <c r="F32" i="9"/>
  <c r="E32" i="9"/>
  <c r="D32" i="9"/>
  <c r="U31" i="9"/>
  <c r="U17" i="12" s="1"/>
  <c r="T31" i="9"/>
  <c r="T17" i="12" s="1"/>
  <c r="S31" i="9"/>
  <c r="S17" i="12" s="1"/>
  <c r="R31" i="9"/>
  <c r="R17" i="12" s="1"/>
  <c r="Q31" i="9"/>
  <c r="Q17" i="12" s="1"/>
  <c r="O31" i="9"/>
  <c r="O17" i="12" s="1"/>
  <c r="L31" i="9"/>
  <c r="L17" i="12" s="1"/>
  <c r="K31" i="9"/>
  <c r="K17" i="12" s="1"/>
  <c r="J31" i="9"/>
  <c r="J17" i="12" s="1"/>
  <c r="I31" i="9"/>
  <c r="I17" i="12" s="1"/>
  <c r="H31" i="9"/>
  <c r="H17" i="12" s="1"/>
  <c r="G31" i="9"/>
  <c r="G17" i="12" s="1"/>
  <c r="F31" i="9"/>
  <c r="F17" i="12" s="1"/>
  <c r="E31" i="9"/>
  <c r="E17" i="12" s="1"/>
  <c r="D31" i="9"/>
  <c r="D17" i="12" s="1"/>
  <c r="U30" i="9"/>
  <c r="U14" i="12" s="1"/>
  <c r="T30" i="9"/>
  <c r="T14" i="12" s="1"/>
  <c r="S30" i="9"/>
  <c r="R30" i="9"/>
  <c r="R14" i="12" s="1"/>
  <c r="Q30" i="9"/>
  <c r="O30" i="9"/>
  <c r="O14" i="12" s="1"/>
  <c r="M30" i="9"/>
  <c r="M14" i="12" s="1"/>
  <c r="L30" i="9"/>
  <c r="L14" i="12" s="1"/>
  <c r="K30" i="9"/>
  <c r="K14" i="12" s="1"/>
  <c r="J30" i="9"/>
  <c r="J14" i="12" s="1"/>
  <c r="I30" i="9"/>
  <c r="I14" i="12" s="1"/>
  <c r="H30" i="9"/>
  <c r="H14" i="12" s="1"/>
  <c r="G30" i="9"/>
  <c r="G14" i="12" s="1"/>
  <c r="F30" i="9"/>
  <c r="F14" i="12" s="1"/>
  <c r="E30" i="9"/>
  <c r="E14" i="12" s="1"/>
  <c r="D30" i="9"/>
  <c r="D14" i="12" s="1"/>
  <c r="U29" i="9"/>
  <c r="T29" i="9"/>
  <c r="S29" i="9"/>
  <c r="R29" i="9"/>
  <c r="Q29" i="9"/>
  <c r="P29" i="9"/>
  <c r="O29" i="9"/>
  <c r="N29" i="9"/>
  <c r="O34" i="27" s="1"/>
  <c r="M29" i="9"/>
  <c r="L29" i="9"/>
  <c r="K29" i="9"/>
  <c r="J29" i="9"/>
  <c r="I29" i="9"/>
  <c r="H29" i="9"/>
  <c r="G29" i="9"/>
  <c r="F29" i="9"/>
  <c r="E29" i="9"/>
  <c r="D29" i="9"/>
  <c r="U28" i="9"/>
  <c r="U34" i="12" s="1"/>
  <c r="T28" i="9"/>
  <c r="T34" i="12" s="1"/>
  <c r="S28" i="9"/>
  <c r="S34" i="12" s="1"/>
  <c r="R28" i="9"/>
  <c r="R34" i="12" s="1"/>
  <c r="Q28" i="9"/>
  <c r="Q34" i="12" s="1"/>
  <c r="U27" i="9"/>
  <c r="U20" i="12" s="1"/>
  <c r="T27" i="9"/>
  <c r="T20" i="12" s="1"/>
  <c r="S27" i="9"/>
  <c r="V59" i="4" s="1"/>
  <c r="R27" i="9"/>
  <c r="U59" i="4" s="1"/>
  <c r="Q27" i="9"/>
  <c r="T59" i="4" s="1"/>
  <c r="O27" i="9"/>
  <c r="R59" i="4" s="1"/>
  <c r="M27" i="9"/>
  <c r="N35" i="27" s="1"/>
  <c r="L27" i="9"/>
  <c r="M35" i="27" s="1"/>
  <c r="K27" i="9"/>
  <c r="J27" i="9"/>
  <c r="M59" i="4" s="1"/>
  <c r="I27" i="9"/>
  <c r="L59" i="4" s="1"/>
  <c r="H27" i="9"/>
  <c r="K59" i="4" s="1"/>
  <c r="G27" i="9"/>
  <c r="F27" i="9"/>
  <c r="E27" i="9"/>
  <c r="D27" i="9"/>
  <c r="U26" i="9"/>
  <c r="U32" i="12" s="1"/>
  <c r="T26" i="9"/>
  <c r="T32" i="12" s="1"/>
  <c r="S26" i="9"/>
  <c r="S32" i="12" s="1"/>
  <c r="R26" i="9"/>
  <c r="R32" i="12" s="1"/>
  <c r="Q26" i="9"/>
  <c r="Q32" i="12" s="1"/>
  <c r="O26" i="9"/>
  <c r="O32" i="12" s="1"/>
  <c r="M26" i="9"/>
  <c r="M32" i="12" s="1"/>
  <c r="L26" i="9"/>
  <c r="L32" i="12" s="1"/>
  <c r="K26" i="9"/>
  <c r="K32" i="12" s="1"/>
  <c r="J26" i="9"/>
  <c r="J32" i="12" s="1"/>
  <c r="I26" i="9"/>
  <c r="I32" i="12" s="1"/>
  <c r="H26" i="9"/>
  <c r="H32" i="12" s="1"/>
  <c r="G26" i="9"/>
  <c r="G32" i="12" s="1"/>
  <c r="F26" i="9"/>
  <c r="F32" i="12" s="1"/>
  <c r="E26" i="9"/>
  <c r="E32" i="12" s="1"/>
  <c r="D26" i="9"/>
  <c r="D32" i="12" s="1"/>
  <c r="U22" i="9"/>
  <c r="T22" i="9"/>
  <c r="W51" i="4" s="1"/>
  <c r="S22" i="9"/>
  <c r="V51" i="4" s="1"/>
  <c r="R22" i="9"/>
  <c r="U51" i="4" s="1"/>
  <c r="Q22" i="9"/>
  <c r="T51" i="4" s="1"/>
  <c r="O22" i="9"/>
  <c r="R51" i="4" s="1"/>
  <c r="M22" i="9"/>
  <c r="L22" i="9"/>
  <c r="K22" i="9"/>
  <c r="J22" i="9"/>
  <c r="I22" i="9"/>
  <c r="H22" i="9"/>
  <c r="G22" i="9"/>
  <c r="G78" i="12" s="1"/>
  <c r="F22" i="9"/>
  <c r="F78" i="12" s="1"/>
  <c r="E22" i="9"/>
  <c r="E78" i="12" s="1"/>
  <c r="D22" i="9"/>
  <c r="D78" i="12" s="1"/>
  <c r="U21" i="9"/>
  <c r="T21" i="9"/>
  <c r="S21" i="9"/>
  <c r="R21" i="9"/>
  <c r="Q21" i="9"/>
  <c r="P21" i="9"/>
  <c r="O21" i="9"/>
  <c r="N21" i="9"/>
  <c r="U20" i="9"/>
  <c r="U118" i="13" s="1"/>
  <c r="T20" i="9"/>
  <c r="T118" i="13" s="1"/>
  <c r="S20" i="9"/>
  <c r="S118" i="13" s="1"/>
  <c r="R20" i="9"/>
  <c r="R118" i="13" s="1"/>
  <c r="Q20" i="9"/>
  <c r="Q118" i="13" s="1"/>
  <c r="O20" i="9"/>
  <c r="O118" i="13" s="1"/>
  <c r="L20" i="9"/>
  <c r="L118" i="13" s="1"/>
  <c r="K20" i="9"/>
  <c r="K118" i="13" s="1"/>
  <c r="J20" i="9"/>
  <c r="J118" i="13" s="1"/>
  <c r="I20" i="9"/>
  <c r="I118" i="13" s="1"/>
  <c r="H20" i="9"/>
  <c r="H118" i="13" s="1"/>
  <c r="G20" i="9"/>
  <c r="G118" i="13" s="1"/>
  <c r="F20" i="9"/>
  <c r="E20" i="9"/>
  <c r="D20" i="9"/>
  <c r="U19" i="9"/>
  <c r="T19" i="9"/>
  <c r="S19" i="9"/>
  <c r="R19" i="9"/>
  <c r="Q19" i="9"/>
  <c r="P19" i="9"/>
  <c r="O19" i="9"/>
  <c r="N19" i="9"/>
  <c r="M19" i="9"/>
  <c r="L19" i="9"/>
  <c r="K19" i="9"/>
  <c r="J19" i="9"/>
  <c r="I19" i="9"/>
  <c r="H19" i="9"/>
  <c r="G19" i="9"/>
  <c r="F19" i="9"/>
  <c r="E19" i="9"/>
  <c r="D19" i="9"/>
  <c r="U18" i="9"/>
  <c r="U72" i="12" s="1"/>
  <c r="T18" i="9"/>
  <c r="T72" i="12" s="1"/>
  <c r="S18" i="9"/>
  <c r="S72" i="12" s="1"/>
  <c r="R18" i="9"/>
  <c r="R72" i="12" s="1"/>
  <c r="Q18" i="9"/>
  <c r="Q72" i="12" s="1"/>
  <c r="O18" i="9"/>
  <c r="O72" i="12" s="1"/>
  <c r="N18" i="9"/>
  <c r="N72" i="12" s="1"/>
  <c r="M18" i="9"/>
  <c r="M72" i="12" s="1"/>
  <c r="L18" i="9"/>
  <c r="L72" i="12" s="1"/>
  <c r="K18" i="9"/>
  <c r="K72" i="12" s="1"/>
  <c r="J18" i="9"/>
  <c r="J72" i="12" s="1"/>
  <c r="I18" i="9"/>
  <c r="I72" i="12" s="1"/>
  <c r="H18" i="9"/>
  <c r="H72" i="12" s="1"/>
  <c r="G18" i="9"/>
  <c r="G72" i="12" s="1"/>
  <c r="F18" i="9"/>
  <c r="F72" i="12" s="1"/>
  <c r="E18" i="9"/>
  <c r="E72" i="12" s="1"/>
  <c r="D18" i="9"/>
  <c r="D72" i="12" s="1"/>
  <c r="U17" i="9"/>
  <c r="T17" i="9"/>
  <c r="S17" i="9"/>
  <c r="R17" i="9"/>
  <c r="Q17" i="9"/>
  <c r="P17" i="9"/>
  <c r="O17" i="9"/>
  <c r="N17" i="9"/>
  <c r="M17" i="9"/>
  <c r="L17" i="9"/>
  <c r="K17" i="9"/>
  <c r="J17" i="9"/>
  <c r="I17" i="9"/>
  <c r="H17" i="9"/>
  <c r="G17" i="9"/>
  <c r="F17" i="9"/>
  <c r="E17" i="9"/>
  <c r="D17" i="9"/>
  <c r="U16" i="9"/>
  <c r="T16" i="9"/>
  <c r="S16" i="9"/>
  <c r="R16" i="9"/>
  <c r="Q16" i="9"/>
  <c r="U15" i="9"/>
  <c r="U75" i="12" s="1"/>
  <c r="T15" i="9"/>
  <c r="T75" i="12" s="1"/>
  <c r="S15" i="9"/>
  <c r="S75" i="12" s="1"/>
  <c r="R15" i="9"/>
  <c r="R75" i="12" s="1"/>
  <c r="Q15" i="9"/>
  <c r="Q75" i="12" s="1"/>
  <c r="O15" i="9"/>
  <c r="O75" i="12" s="1"/>
  <c r="M15" i="9"/>
  <c r="M75" i="12" s="1"/>
  <c r="L15" i="9"/>
  <c r="L75" i="12" s="1"/>
  <c r="K15" i="9"/>
  <c r="K75" i="12" s="1"/>
  <c r="J15" i="9"/>
  <c r="I15" i="9"/>
  <c r="H15" i="9"/>
  <c r="H75" i="12" s="1"/>
  <c r="G15" i="9"/>
  <c r="G75" i="12" s="1"/>
  <c r="F15" i="9"/>
  <c r="F75" i="12" s="1"/>
  <c r="E15" i="9"/>
  <c r="E75" i="12" s="1"/>
  <c r="D15" i="9"/>
  <c r="D75" i="12" s="1"/>
  <c r="T14" i="9"/>
  <c r="T60" i="12" s="1"/>
  <c r="S14" i="9"/>
  <c r="S60" i="12" s="1"/>
  <c r="R14" i="9"/>
  <c r="R60" i="12" s="1"/>
  <c r="Q14" i="9"/>
  <c r="Q60" i="12" s="1"/>
  <c r="O14" i="9"/>
  <c r="O60" i="12" s="1"/>
  <c r="N14" i="9"/>
  <c r="N60" i="12" s="1"/>
  <c r="M14" i="9"/>
  <c r="M60" i="12" s="1"/>
  <c r="M61" i="12" s="1"/>
  <c r="L14" i="9"/>
  <c r="L60" i="12" s="1"/>
  <c r="K14" i="9"/>
  <c r="J14" i="9"/>
  <c r="I14" i="9"/>
  <c r="H14" i="9"/>
  <c r="G14" i="9"/>
  <c r="F14" i="9"/>
  <c r="E14" i="9"/>
  <c r="D14" i="9"/>
  <c r="U13" i="9"/>
  <c r="U69" i="12" s="1"/>
  <c r="T13" i="9"/>
  <c r="T69" i="12" s="1"/>
  <c r="S13" i="9"/>
  <c r="S69" i="12" s="1"/>
  <c r="R13" i="9"/>
  <c r="R69" i="12" s="1"/>
  <c r="Q13" i="9"/>
  <c r="Q69" i="12" s="1"/>
  <c r="P13" i="9"/>
  <c r="P69" i="12" s="1"/>
  <c r="O13" i="9"/>
  <c r="O69" i="12" s="1"/>
  <c r="N13" i="9"/>
  <c r="N69" i="12" s="1"/>
  <c r="M13" i="9"/>
  <c r="M69" i="12" s="1"/>
  <c r="L13" i="9"/>
  <c r="L69" i="12" s="1"/>
  <c r="K13" i="9"/>
  <c r="K69" i="12" s="1"/>
  <c r="J13" i="9"/>
  <c r="J69" i="12" s="1"/>
  <c r="I13" i="9"/>
  <c r="I69" i="12" s="1"/>
  <c r="H13" i="9"/>
  <c r="H69" i="12" s="1"/>
  <c r="G13" i="9"/>
  <c r="G69" i="12" s="1"/>
  <c r="F13" i="9"/>
  <c r="F69" i="12" s="1"/>
  <c r="E13" i="9"/>
  <c r="E69" i="12" s="1"/>
  <c r="D13" i="9"/>
  <c r="D69" i="12" s="1"/>
  <c r="U12" i="9"/>
  <c r="T12" i="9"/>
  <c r="S12" i="9"/>
  <c r="R12" i="9"/>
  <c r="Q12" i="9"/>
  <c r="P12" i="9"/>
  <c r="O12" i="9"/>
  <c r="N12" i="9"/>
  <c r="M12" i="9"/>
  <c r="L12" i="9"/>
  <c r="K12" i="9"/>
  <c r="J12" i="9"/>
  <c r="I12" i="9"/>
  <c r="H12" i="9"/>
  <c r="G12" i="9"/>
  <c r="F12" i="9"/>
  <c r="E12" i="9"/>
  <c r="D12" i="9"/>
  <c r="U11" i="9"/>
  <c r="T11" i="9"/>
  <c r="S11" i="9"/>
  <c r="R11" i="9"/>
  <c r="Q11" i="9"/>
  <c r="O11" i="9"/>
  <c r="L11" i="9"/>
  <c r="K11" i="9"/>
  <c r="J11" i="9"/>
  <c r="I11" i="9"/>
  <c r="H11" i="9"/>
  <c r="G11" i="9"/>
  <c r="F11" i="9"/>
  <c r="E11" i="9"/>
  <c r="D11" i="9"/>
  <c r="U10" i="9"/>
  <c r="T10" i="9"/>
  <c r="S10" i="9"/>
  <c r="R10" i="9"/>
  <c r="Q10" i="9"/>
  <c r="P10" i="9"/>
  <c r="O10" i="9"/>
  <c r="N10" i="9"/>
  <c r="L10" i="9"/>
  <c r="K10" i="9"/>
  <c r="J10" i="9"/>
  <c r="I10" i="9"/>
  <c r="H10" i="9"/>
  <c r="G10" i="9"/>
  <c r="H32" i="27" s="1"/>
  <c r="F10" i="9"/>
  <c r="F32" i="27" s="1"/>
  <c r="E10" i="9"/>
  <c r="D32" i="27" s="1"/>
  <c r="D10" i="9"/>
  <c r="C32" i="27" s="1"/>
  <c r="U9" i="9"/>
  <c r="U136" i="13" s="1"/>
  <c r="U134" i="13" s="1"/>
  <c r="T9" i="9"/>
  <c r="T136" i="13" s="1"/>
  <c r="S9" i="9"/>
  <c r="S136" i="13" s="1"/>
  <c r="R9" i="9"/>
  <c r="R136" i="13" s="1"/>
  <c r="Q9" i="9"/>
  <c r="Q136" i="13" s="1"/>
  <c r="O9" i="9"/>
  <c r="O136" i="13" s="1"/>
  <c r="O134" i="13" s="1"/>
  <c r="M9" i="9"/>
  <c r="M136" i="13" s="1"/>
  <c r="M134" i="13" s="1"/>
  <c r="L9" i="9"/>
  <c r="J9" i="9"/>
  <c r="I9" i="9"/>
  <c r="H9" i="9"/>
  <c r="G9" i="9"/>
  <c r="H31" i="27" s="1"/>
  <c r="F9" i="9"/>
  <c r="F31" i="27" s="1"/>
  <c r="E9" i="9"/>
  <c r="D31" i="27" s="1"/>
  <c r="D9" i="9"/>
  <c r="C31" i="27" s="1"/>
  <c r="U8" i="9"/>
  <c r="X52" i="4" s="1"/>
  <c r="T8" i="9"/>
  <c r="W52" i="4" s="1"/>
  <c r="S8" i="9"/>
  <c r="R8" i="9"/>
  <c r="Q8" i="9"/>
  <c r="T52" i="4" s="1"/>
  <c r="O8" i="9"/>
  <c r="R52" i="4" s="1"/>
  <c r="L8" i="9"/>
  <c r="O52" i="4" s="1"/>
  <c r="K8" i="9"/>
  <c r="N52" i="4" s="1"/>
  <c r="J8" i="9"/>
  <c r="M52" i="4" s="1"/>
  <c r="I8" i="9"/>
  <c r="L52" i="4" s="1"/>
  <c r="H8" i="9"/>
  <c r="K52" i="4" s="1"/>
  <c r="G8" i="9"/>
  <c r="H30" i="27" s="1"/>
  <c r="F8" i="9"/>
  <c r="F30" i="27" s="1"/>
  <c r="E8" i="9"/>
  <c r="D30" i="27" s="1"/>
  <c r="D8" i="9"/>
  <c r="C30" i="27" s="1"/>
  <c r="U7" i="9"/>
  <c r="T7" i="9"/>
  <c r="S7" i="9"/>
  <c r="R7" i="9"/>
  <c r="Q7" i="9"/>
  <c r="P7" i="9"/>
  <c r="O7" i="9"/>
  <c r="N7" i="9"/>
  <c r="M7" i="9"/>
  <c r="L7" i="9"/>
  <c r="K7" i="9"/>
  <c r="J7" i="9"/>
  <c r="I7" i="9"/>
  <c r="H7" i="9"/>
  <c r="G7" i="9"/>
  <c r="F7" i="9"/>
  <c r="E7" i="9"/>
  <c r="D7" i="9"/>
  <c r="U6" i="9"/>
  <c r="T6" i="9"/>
  <c r="S6" i="9"/>
  <c r="R6" i="9"/>
  <c r="Q6" i="9"/>
  <c r="O6" i="9"/>
  <c r="L6" i="9"/>
  <c r="K6" i="9"/>
  <c r="J6" i="9"/>
  <c r="I6" i="9"/>
  <c r="H6" i="9"/>
  <c r="G6" i="9"/>
  <c r="F6" i="9"/>
  <c r="E6" i="9"/>
  <c r="D6" i="9"/>
  <c r="U5" i="9"/>
  <c r="X49" i="4" s="1"/>
  <c r="T5" i="9"/>
  <c r="W49" i="4" s="1"/>
  <c r="S5" i="9"/>
  <c r="S99" i="13" s="1"/>
  <c r="R5" i="9"/>
  <c r="R99" i="13" s="1"/>
  <c r="Q5" i="9"/>
  <c r="O5" i="9"/>
  <c r="O99" i="13" s="1"/>
  <c r="M5" i="9"/>
  <c r="L5" i="9"/>
  <c r="K5" i="9"/>
  <c r="J5" i="9"/>
  <c r="J99" i="13" s="1"/>
  <c r="I5" i="9"/>
  <c r="I99" i="13" s="1"/>
  <c r="H5" i="9"/>
  <c r="H99" i="13" s="1"/>
  <c r="G5" i="9"/>
  <c r="G99" i="13" s="1"/>
  <c r="F5" i="9"/>
  <c r="E5" i="9"/>
  <c r="D5" i="9"/>
  <c r="U4" i="9"/>
  <c r="U78" i="13" s="1"/>
  <c r="S4" i="9"/>
  <c r="V46" i="4" s="1"/>
  <c r="R4" i="9"/>
  <c r="S40" i="27" s="1"/>
  <c r="Q4" i="9"/>
  <c r="T46" i="4" s="1"/>
  <c r="O4" i="9"/>
  <c r="R46" i="4" s="1"/>
  <c r="N4" i="9"/>
  <c r="O40" i="27" s="1"/>
  <c r="L4" i="9"/>
  <c r="O46" i="4" s="1"/>
  <c r="K4" i="9"/>
  <c r="N46" i="4" s="1"/>
  <c r="J4" i="9"/>
  <c r="M46" i="4" s="1"/>
  <c r="I4" i="9"/>
  <c r="L46" i="4" s="1"/>
  <c r="H4" i="9"/>
  <c r="K46" i="4" s="1"/>
  <c r="G4" i="9"/>
  <c r="F4" i="9"/>
  <c r="E4" i="9"/>
  <c r="D4" i="9"/>
  <c r="AC2" i="9"/>
  <c r="AB2" i="9"/>
  <c r="AA2" i="9"/>
  <c r="Z2" i="9"/>
  <c r="Y2" i="9"/>
  <c r="X2" i="9"/>
  <c r="V2" i="9"/>
  <c r="U2" i="9"/>
  <c r="T2" i="9"/>
  <c r="S2" i="9"/>
  <c r="R2" i="9"/>
  <c r="Q2" i="9"/>
  <c r="O57" i="8"/>
  <c r="N57" i="8"/>
  <c r="M57" i="8"/>
  <c r="BD52" i="8"/>
  <c r="BB52" i="8"/>
  <c r="AZ52" i="8"/>
  <c r="BD51" i="8"/>
  <c r="BB51" i="8"/>
  <c r="AZ51" i="8"/>
  <c r="BD50" i="8"/>
  <c r="BB50" i="8"/>
  <c r="AZ50" i="8"/>
  <c r="BC49" i="8"/>
  <c r="BA49" i="8"/>
  <c r="BA53" i="8" s="1"/>
  <c r="AY49" i="8"/>
  <c r="AY53" i="8" s="1"/>
  <c r="AX49" i="8"/>
  <c r="AX53" i="8" s="1"/>
  <c r="AW49" i="8"/>
  <c r="AW53" i="8" s="1"/>
  <c r="Q49" i="8"/>
  <c r="P49" i="8"/>
  <c r="P53" i="8" s="1"/>
  <c r="O49" i="8"/>
  <c r="O53" i="8" s="1"/>
  <c r="BD47" i="8"/>
  <c r="BB47" i="8"/>
  <c r="AZ47" i="8"/>
  <c r="BB46" i="8"/>
  <c r="AZ46" i="8"/>
  <c r="BB44" i="8"/>
  <c r="AZ44" i="8"/>
  <c r="BD42" i="8"/>
  <c r="BC42" i="8"/>
  <c r="BA42" i="8"/>
  <c r="AY42" i="8"/>
  <c r="AW42" i="8"/>
  <c r="AU42" i="8"/>
  <c r="R42" i="8"/>
  <c r="Q42" i="8"/>
  <c r="BB41" i="8"/>
  <c r="AZ41" i="8"/>
  <c r="BB40" i="8"/>
  <c r="AZ40" i="8"/>
  <c r="AQ36" i="8"/>
  <c r="AK36" i="8"/>
  <c r="AI36" i="8"/>
  <c r="AG36" i="8"/>
  <c r="AE36" i="8"/>
  <c r="AE35" i="8"/>
  <c r="AC35" i="8"/>
  <c r="BE33" i="8"/>
  <c r="BC33" i="8"/>
  <c r="BA33" i="8"/>
  <c r="AY33" i="8"/>
  <c r="AW33" i="8"/>
  <c r="AU33" i="8"/>
  <c r="AS33" i="8"/>
  <c r="AO33" i="8"/>
  <c r="AM33" i="8"/>
  <c r="AK33" i="8"/>
  <c r="AI33" i="8"/>
  <c r="AG33" i="8"/>
  <c r="AE33" i="8"/>
  <c r="AC33" i="8"/>
  <c r="AA33" i="8"/>
  <c r="G33" i="8"/>
  <c r="F33" i="8"/>
  <c r="E33" i="8"/>
  <c r="BE32" i="8"/>
  <c r="BC32" i="8"/>
  <c r="BA32" i="8"/>
  <c r="AY32" i="8"/>
  <c r="AW32" i="8"/>
  <c r="AU32" i="8"/>
  <c r="AS32" i="8"/>
  <c r="AO32" i="8"/>
  <c r="AM32" i="8"/>
  <c r="AK32" i="8"/>
  <c r="AI32" i="8"/>
  <c r="AG32" i="8"/>
  <c r="AE32" i="8"/>
  <c r="AC32" i="8"/>
  <c r="AA32" i="8"/>
  <c r="Y32" i="8"/>
  <c r="G32" i="8"/>
  <c r="F32" i="8"/>
  <c r="E32" i="8"/>
  <c r="BE31" i="8"/>
  <c r="BC31" i="8"/>
  <c r="BA31" i="8"/>
  <c r="AY31" i="8"/>
  <c r="AW31" i="8"/>
  <c r="AU31" i="8"/>
  <c r="AS31" i="8"/>
  <c r="AO31" i="8"/>
  <c r="AM31" i="8"/>
  <c r="BC30" i="8"/>
  <c r="BA30" i="8"/>
  <c r="AY30" i="8"/>
  <c r="AW30" i="8"/>
  <c r="AU30" i="8"/>
  <c r="AS30" i="8"/>
  <c r="AE30" i="8"/>
  <c r="AC30" i="8"/>
  <c r="G30" i="8"/>
  <c r="F30" i="8"/>
  <c r="E30" i="8"/>
  <c r="BQ27" i="8"/>
  <c r="BS27" i="8" s="1"/>
  <c r="AM27" i="8"/>
  <c r="S27" i="8"/>
  <c r="BD27" i="8" s="1"/>
  <c r="R27" i="8"/>
  <c r="BB27" i="8" s="1"/>
  <c r="H27" i="8"/>
  <c r="G27" i="8"/>
  <c r="AG27" i="8" s="1"/>
  <c r="AH27" i="8" s="1"/>
  <c r="F27" i="8"/>
  <c r="E27" i="8"/>
  <c r="D27" i="8"/>
  <c r="AE26" i="8"/>
  <c r="AC26" i="8"/>
  <c r="N26" i="8"/>
  <c r="AT26" i="8" s="1"/>
  <c r="AT5" i="8" s="1"/>
  <c r="M26" i="8"/>
  <c r="L26" i="8"/>
  <c r="AP26" i="8" s="1"/>
  <c r="AQ5" i="8" s="1"/>
  <c r="K26" i="8"/>
  <c r="J26" i="8"/>
  <c r="I26" i="8"/>
  <c r="H26" i="8"/>
  <c r="G26" i="8"/>
  <c r="F26" i="8"/>
  <c r="E26" i="8"/>
  <c r="D26" i="8"/>
  <c r="AQ25" i="8"/>
  <c r="F6" i="25" s="1"/>
  <c r="AK25" i="8"/>
  <c r="AK26" i="8" s="1"/>
  <c r="AI25" i="8"/>
  <c r="AG25" i="8"/>
  <c r="BQ24" i="8"/>
  <c r="BP24" i="8"/>
  <c r="BO24" i="8"/>
  <c r="BN24" i="8"/>
  <c r="BM24" i="8"/>
  <c r="BL24" i="8"/>
  <c r="AF24" i="8"/>
  <c r="AD24" i="8"/>
  <c r="AB24" i="8"/>
  <c r="D24" i="8"/>
  <c r="Z24" i="8" s="1"/>
  <c r="BQ23" i="8"/>
  <c r="BP23" i="8"/>
  <c r="BO23" i="8"/>
  <c r="BN23" i="8"/>
  <c r="BM23" i="8"/>
  <c r="BL23" i="8"/>
  <c r="BQ22" i="8"/>
  <c r="BP22" i="8"/>
  <c r="BO22" i="8"/>
  <c r="BN22" i="8"/>
  <c r="BM22" i="8"/>
  <c r="BL22" i="8"/>
  <c r="AF22" i="8"/>
  <c r="AD22" i="8"/>
  <c r="AB22" i="8"/>
  <c r="O22" i="8"/>
  <c r="AV22" i="8" s="1"/>
  <c r="D22" i="8"/>
  <c r="BQ20" i="8"/>
  <c r="BP20" i="8"/>
  <c r="BO20" i="8"/>
  <c r="BN20" i="8"/>
  <c r="BM20" i="8"/>
  <c r="BL20" i="8"/>
  <c r="S20" i="8"/>
  <c r="R20" i="8"/>
  <c r="Q20" i="8"/>
  <c r="P20" i="8"/>
  <c r="S197" i="16" s="1"/>
  <c r="O20" i="8"/>
  <c r="BQ19" i="8"/>
  <c r="BP19" i="8"/>
  <c r="BO19" i="8"/>
  <c r="BN19" i="8"/>
  <c r="BM19" i="8"/>
  <c r="BL19" i="8"/>
  <c r="S19" i="8"/>
  <c r="R19" i="8"/>
  <c r="U195" i="16" s="1"/>
  <c r="U196" i="16" s="1"/>
  <c r="Q19" i="8"/>
  <c r="P19" i="8"/>
  <c r="O19" i="8"/>
  <c r="N19" i="8"/>
  <c r="BE18" i="8"/>
  <c r="BQ18" i="8" s="1"/>
  <c r="BC18" i="8"/>
  <c r="BC21" i="8" s="1"/>
  <c r="BA18" i="8"/>
  <c r="AY18" i="8"/>
  <c r="AW18" i="8"/>
  <c r="AU18" i="8"/>
  <c r="AS18" i="8"/>
  <c r="AS21" i="8" s="1"/>
  <c r="AQ18" i="8"/>
  <c r="AO18" i="8"/>
  <c r="AM18" i="8"/>
  <c r="AK18" i="8"/>
  <c r="AI18" i="8"/>
  <c r="AG18" i="8"/>
  <c r="AE18" i="8"/>
  <c r="AC18" i="8"/>
  <c r="I18" i="8"/>
  <c r="L198" i="16" s="1"/>
  <c r="G18" i="8"/>
  <c r="J198" i="16" s="1"/>
  <c r="F18" i="8"/>
  <c r="E18" i="8"/>
  <c r="H198" i="16" s="1"/>
  <c r="D18" i="8"/>
  <c r="BQ17" i="8"/>
  <c r="BP17" i="8"/>
  <c r="BO17" i="8"/>
  <c r="BN17" i="8"/>
  <c r="BM17" i="8"/>
  <c r="BL17" i="8"/>
  <c r="AF17" i="8"/>
  <c r="AD17" i="8"/>
  <c r="AB17" i="8"/>
  <c r="Q17" i="8"/>
  <c r="D17" i="8"/>
  <c r="BQ16" i="8"/>
  <c r="BP16" i="8"/>
  <c r="BO16" i="8"/>
  <c r="BN16" i="8"/>
  <c r="BM16" i="8"/>
  <c r="BL16" i="8"/>
  <c r="AF16" i="8"/>
  <c r="AG16" i="8" s="1"/>
  <c r="AD16" i="8"/>
  <c r="AB16" i="8"/>
  <c r="L16" i="8"/>
  <c r="AP16" i="8" s="1"/>
  <c r="D16" i="8"/>
  <c r="Z16" i="8" s="1"/>
  <c r="BQ15" i="8"/>
  <c r="BP15" i="8"/>
  <c r="BO15" i="8"/>
  <c r="BN15" i="8"/>
  <c r="BM15" i="8"/>
  <c r="BL15" i="8"/>
  <c r="BD15" i="8"/>
  <c r="BB15" i="8"/>
  <c r="AZ15" i="8"/>
  <c r="AX15" i="8"/>
  <c r="AV15" i="8"/>
  <c r="AT15" i="8"/>
  <c r="AR15" i="8"/>
  <c r="AP15" i="8"/>
  <c r="AF15" i="8"/>
  <c r="AD15" i="8"/>
  <c r="AB15" i="8"/>
  <c r="D15" i="8"/>
  <c r="BQ14" i="8"/>
  <c r="BP14" i="8"/>
  <c r="BO14" i="8"/>
  <c r="BN14" i="8"/>
  <c r="BM14" i="8"/>
  <c r="BL14" i="8"/>
  <c r="BD14" i="8"/>
  <c r="BB14" i="8"/>
  <c r="AZ14" i="8"/>
  <c r="AX14" i="8"/>
  <c r="AV14" i="8"/>
  <c r="AT14" i="8"/>
  <c r="AR14" i="8"/>
  <c r="AP14" i="8"/>
  <c r="AF14" i="8"/>
  <c r="AD14" i="8"/>
  <c r="AB14" i="8"/>
  <c r="D14" i="8"/>
  <c r="Z14" i="8" s="1"/>
  <c r="BQ13" i="8"/>
  <c r="BP13" i="8"/>
  <c r="BO13" i="8"/>
  <c r="BN13" i="8"/>
  <c r="BM13" i="8"/>
  <c r="BL13" i="8"/>
  <c r="AK13" i="8"/>
  <c r="AK31" i="8" s="1"/>
  <c r="AI13" i="8"/>
  <c r="AI31" i="8" s="1"/>
  <c r="AG13" i="8"/>
  <c r="AG31" i="8" s="1"/>
  <c r="S13" i="8"/>
  <c r="R13" i="8"/>
  <c r="P13" i="8"/>
  <c r="O13" i="8"/>
  <c r="L13" i="8"/>
  <c r="G13" i="8"/>
  <c r="G31" i="8" s="1"/>
  <c r="F13" i="8"/>
  <c r="F31" i="8" s="1"/>
  <c r="E13" i="8"/>
  <c r="E31" i="8" s="1"/>
  <c r="BQ12" i="8"/>
  <c r="BP12" i="8"/>
  <c r="BO12" i="8"/>
  <c r="BN12" i="8"/>
  <c r="BM12" i="8"/>
  <c r="BL12" i="8"/>
  <c r="BD12" i="8"/>
  <c r="BB12" i="8"/>
  <c r="AZ12" i="8"/>
  <c r="AX12" i="8"/>
  <c r="AV12" i="8"/>
  <c r="AT12" i="8"/>
  <c r="AR12" i="8"/>
  <c r="AP12" i="8"/>
  <c r="AG12" i="8"/>
  <c r="AG10" i="8" s="1"/>
  <c r="AE12" i="8"/>
  <c r="AC12" i="8"/>
  <c r="AA12" i="8"/>
  <c r="Y12" i="8"/>
  <c r="J12" i="8"/>
  <c r="AL12" i="8" s="1"/>
  <c r="I12" i="8"/>
  <c r="AJ12" i="8" s="1"/>
  <c r="G12" i="8"/>
  <c r="G10" i="8" s="1"/>
  <c r="F12" i="8"/>
  <c r="F10" i="8" s="1"/>
  <c r="E12" i="8"/>
  <c r="E10" i="8" s="1"/>
  <c r="D12" i="8"/>
  <c r="BQ11" i="8"/>
  <c r="BP11" i="8"/>
  <c r="BO11" i="8"/>
  <c r="BN11" i="8"/>
  <c r="BM11" i="8"/>
  <c r="BL11" i="8"/>
  <c r="BD11" i="8"/>
  <c r="BB11" i="8"/>
  <c r="AZ11" i="8"/>
  <c r="AX11" i="8"/>
  <c r="AV11" i="8"/>
  <c r="AT11" i="8"/>
  <c r="AR11" i="8"/>
  <c r="AP11" i="8"/>
  <c r="AF11" i="8"/>
  <c r="AD11" i="8"/>
  <c r="AB11" i="8"/>
  <c r="BQ10" i="8"/>
  <c r="BP10" i="8"/>
  <c r="BO10" i="8"/>
  <c r="BN10" i="8"/>
  <c r="BM10" i="8"/>
  <c r="BL10" i="8"/>
  <c r="AK10" i="8"/>
  <c r="AI10" i="8"/>
  <c r="S10" i="8"/>
  <c r="BD10" i="8" s="1"/>
  <c r="R10" i="8"/>
  <c r="BB10" i="8" s="1"/>
  <c r="Q10" i="8"/>
  <c r="AZ10" i="8" s="1"/>
  <c r="P10" i="8"/>
  <c r="AX10" i="8" s="1"/>
  <c r="O10" i="8"/>
  <c r="AV10" i="8" s="1"/>
  <c r="K10" i="8"/>
  <c r="AN10" i="8" s="1"/>
  <c r="BQ9" i="8"/>
  <c r="BP9" i="8"/>
  <c r="BO9" i="8"/>
  <c r="BN9" i="8"/>
  <c r="BM9" i="8"/>
  <c r="BL9" i="8"/>
  <c r="AO9" i="8"/>
  <c r="AM9" i="8"/>
  <c r="AK9" i="8"/>
  <c r="AK30" i="8" s="1"/>
  <c r="AI9" i="8"/>
  <c r="AI30" i="8" s="1"/>
  <c r="AG9" i="8"/>
  <c r="AF9" i="8"/>
  <c r="AD9" i="8"/>
  <c r="BP8" i="8"/>
  <c r="BO8" i="8"/>
  <c r="BN8" i="8"/>
  <c r="BM8" i="8"/>
  <c r="BL8" i="8"/>
  <c r="AF8" i="8"/>
  <c r="AD8" i="8"/>
  <c r="AA8" i="8"/>
  <c r="AA9" i="8" s="1"/>
  <c r="AC2" i="8" s="1"/>
  <c r="Y8" i="8"/>
  <c r="Y9" i="8" s="1"/>
  <c r="BP7" i="8"/>
  <c r="BO7" i="8"/>
  <c r="BN7" i="8"/>
  <c r="BM7" i="8"/>
  <c r="BL7" i="8"/>
  <c r="AQ7" i="8"/>
  <c r="AF7" i="8"/>
  <c r="AD7" i="8"/>
  <c r="AB7" i="8"/>
  <c r="AS4" i="8"/>
  <c r="AQ4" i="8"/>
  <c r="AO4" i="8"/>
  <c r="BA2" i="8"/>
  <c r="AY2" i="8"/>
  <c r="AW2" i="8"/>
  <c r="AU2" i="8"/>
  <c r="AS2" i="8"/>
  <c r="AE2" i="8"/>
  <c r="G2" i="8"/>
  <c r="F2" i="8"/>
  <c r="BA1" i="8"/>
  <c r="AY1" i="8"/>
  <c r="AW1" i="8"/>
  <c r="AU1" i="8"/>
  <c r="AO1" i="8"/>
  <c r="AM1" i="8"/>
  <c r="AK1" i="8"/>
  <c r="AI1" i="8"/>
  <c r="AG1" i="8"/>
  <c r="AE1" i="8"/>
  <c r="AC1" i="8"/>
  <c r="AA1" i="8"/>
  <c r="G1" i="8"/>
  <c r="F1" i="8"/>
  <c r="AF48" i="7"/>
  <c r="AN28" i="7"/>
  <c r="AJ28" i="7"/>
  <c r="AF28" i="7"/>
  <c r="X26" i="7"/>
  <c r="AU23" i="7"/>
  <c r="AT23" i="7"/>
  <c r="AO23" i="7"/>
  <c r="AN23" i="7"/>
  <c r="AM23" i="7"/>
  <c r="AL23" i="7"/>
  <c r="AK23" i="7"/>
  <c r="AJ23" i="7"/>
  <c r="AI23" i="7"/>
  <c r="AH23" i="7"/>
  <c r="AG23" i="7"/>
  <c r="AF23" i="7"/>
  <c r="AE23" i="7"/>
  <c r="AD23" i="7"/>
  <c r="AO22" i="7"/>
  <c r="AN22" i="7"/>
  <c r="AM22" i="7"/>
  <c r="AL22" i="7"/>
  <c r="AK22" i="7"/>
  <c r="AJ22" i="7"/>
  <c r="AI22" i="7"/>
  <c r="AH22" i="7"/>
  <c r="AG22" i="7"/>
  <c r="AF22" i="7"/>
  <c r="AE22" i="7"/>
  <c r="AD22" i="7"/>
  <c r="AN17" i="7"/>
  <c r="AL17" i="7"/>
  <c r="AJ17" i="7"/>
  <c r="AH17" i="7"/>
  <c r="AO16" i="7"/>
  <c r="AM16" i="7"/>
  <c r="AK16" i="7"/>
  <c r="AI16" i="7"/>
  <c r="AG16" i="7"/>
  <c r="Q16" i="7"/>
  <c r="AO15" i="7"/>
  <c r="AM15" i="7"/>
  <c r="AK15" i="7"/>
  <c r="AI15" i="7"/>
  <c r="AG15" i="7"/>
  <c r="Q15" i="7"/>
  <c r="AW12" i="7"/>
  <c r="AU12" i="7"/>
  <c r="AS12" i="7"/>
  <c r="AQ12" i="7"/>
  <c r="AO12" i="7"/>
  <c r="AN12" i="7"/>
  <c r="AM12" i="7"/>
  <c r="AL12" i="7"/>
  <c r="AK12" i="7"/>
  <c r="AJ12" i="7"/>
  <c r="AI12" i="7"/>
  <c r="AH12" i="7"/>
  <c r="AG12" i="7"/>
  <c r="Q12" i="7"/>
  <c r="AW11" i="7"/>
  <c r="AU11" i="7"/>
  <c r="AS11" i="7"/>
  <c r="AQ11" i="7"/>
  <c r="AO11" i="7"/>
  <c r="AN11" i="7"/>
  <c r="AM11" i="7"/>
  <c r="AL11" i="7"/>
  <c r="AK11" i="7"/>
  <c r="AJ11" i="7"/>
  <c r="AI11" i="7"/>
  <c r="AH11" i="7"/>
  <c r="AG11" i="7"/>
  <c r="Q11" i="7"/>
  <c r="M11" i="7"/>
  <c r="AW9" i="7"/>
  <c r="AS9" i="7"/>
  <c r="AT28" i="7" s="1"/>
  <c r="AR9" i="7"/>
  <c r="AR28" i="7" s="1"/>
  <c r="AV36" i="7" s="1"/>
  <c r="AQ9" i="7"/>
  <c r="AP9" i="7"/>
  <c r="AO9" i="7"/>
  <c r="AM9" i="7"/>
  <c r="AK9" i="7"/>
  <c r="AI9" i="7"/>
  <c r="AG9" i="7"/>
  <c r="AE9" i="7"/>
  <c r="AE28" i="7" s="1"/>
  <c r="AC9" i="7"/>
  <c r="AD28" i="7" s="1"/>
  <c r="AB9" i="7"/>
  <c r="Z9" i="7"/>
  <c r="AD17" i="7" s="1"/>
  <c r="X9" i="7"/>
  <c r="X28" i="7" s="1"/>
  <c r="V9" i="7"/>
  <c r="T9" i="7"/>
  <c r="R9" i="7"/>
  <c r="Q9" i="7"/>
  <c r="AD46" i="7" s="1"/>
  <c r="P9" i="7"/>
  <c r="N9" i="7"/>
  <c r="M9" i="7"/>
  <c r="L9" i="7"/>
  <c r="L28" i="7" s="1"/>
  <c r="J9" i="7"/>
  <c r="I9" i="7"/>
  <c r="H9" i="7"/>
  <c r="H28" i="7" s="1"/>
  <c r="AA8" i="7"/>
  <c r="AE16" i="7" s="1"/>
  <c r="Y8" i="7"/>
  <c r="AC16" i="7" s="1"/>
  <c r="U8" i="7"/>
  <c r="U16" i="7" s="1"/>
  <c r="S8" i="7"/>
  <c r="W16" i="7" s="1"/>
  <c r="O8" i="7"/>
  <c r="K8" i="7"/>
  <c r="AA7" i="7"/>
  <c r="Y7" i="7"/>
  <c r="W7" i="7"/>
  <c r="U7" i="7"/>
  <c r="T7" i="7"/>
  <c r="S7" i="7"/>
  <c r="P7" i="7"/>
  <c r="O7" i="7"/>
  <c r="K7" i="7"/>
  <c r="AW5" i="7"/>
  <c r="BA13" i="7" s="1"/>
  <c r="AV5" i="7"/>
  <c r="AU5" i="7"/>
  <c r="AT5" i="7"/>
  <c r="AS5" i="7"/>
  <c r="AQ5" i="7"/>
  <c r="AO5" i="7"/>
  <c r="AN5" i="7"/>
  <c r="AN18" i="7" s="1"/>
  <c r="AM5" i="7"/>
  <c r="AL5" i="7"/>
  <c r="AL18" i="7" s="1"/>
  <c r="AK5" i="7"/>
  <c r="AJ5" i="7"/>
  <c r="AJ18" i="7" s="1"/>
  <c r="AI5" i="7"/>
  <c r="AH5" i="7"/>
  <c r="AH18" i="7" s="1"/>
  <c r="AG5" i="7"/>
  <c r="AF5" i="7"/>
  <c r="AF18" i="7" s="1"/>
  <c r="AE5" i="7"/>
  <c r="AD5" i="7"/>
  <c r="AD18" i="7" s="1"/>
  <c r="AC5" i="7"/>
  <c r="W5" i="7"/>
  <c r="Q5" i="7"/>
  <c r="AR4" i="7"/>
  <c r="AS23" i="7" s="1"/>
  <c r="AP4" i="7"/>
  <c r="W194" i="16" s="1"/>
  <c r="AB4" i="7"/>
  <c r="AA4" i="7"/>
  <c r="AA12" i="7" s="1"/>
  <c r="Z4" i="7"/>
  <c r="AD12" i="7" s="1"/>
  <c r="Y4" i="7"/>
  <c r="X4" i="7"/>
  <c r="X23" i="7" s="1"/>
  <c r="V4" i="7"/>
  <c r="W23" i="7" s="1"/>
  <c r="U4" i="7"/>
  <c r="T4" i="7"/>
  <c r="T23" i="7" s="1"/>
  <c r="S4" i="7"/>
  <c r="R4" i="7"/>
  <c r="R23" i="7" s="1"/>
  <c r="O4" i="7"/>
  <c r="N4" i="7"/>
  <c r="N23" i="7" s="1"/>
  <c r="AR3" i="7"/>
  <c r="AP3" i="7"/>
  <c r="AB3" i="7"/>
  <c r="AA3" i="7"/>
  <c r="Z3" i="7"/>
  <c r="Y3" i="7"/>
  <c r="X3" i="7"/>
  <c r="V3" i="7"/>
  <c r="U3" i="7"/>
  <c r="T3" i="7"/>
  <c r="S3" i="7"/>
  <c r="R3" i="7"/>
  <c r="P3" i="7"/>
  <c r="O3" i="7"/>
  <c r="N3" i="7"/>
  <c r="L3" i="7"/>
  <c r="L22" i="7" s="1"/>
  <c r="K3" i="7"/>
  <c r="J3" i="7"/>
  <c r="H3" i="7"/>
  <c r="I22" i="7" s="1"/>
  <c r="B54" i="6"/>
  <c r="B53" i="6"/>
  <c r="B52" i="6"/>
  <c r="B51" i="6"/>
  <c r="B50" i="6"/>
  <c r="B49" i="6"/>
  <c r="B48" i="6"/>
  <c r="B47" i="6"/>
  <c r="B46" i="6"/>
  <c r="O39" i="6"/>
  <c r="N39" i="6"/>
  <c r="M39" i="6"/>
  <c r="L39" i="6"/>
  <c r="K39" i="6"/>
  <c r="J39" i="6"/>
  <c r="I39" i="6"/>
  <c r="H39" i="6"/>
  <c r="G39" i="6"/>
  <c r="F39" i="6"/>
  <c r="E39" i="6"/>
  <c r="D39" i="6"/>
  <c r="C39" i="6"/>
  <c r="B39" i="6"/>
  <c r="O21" i="6"/>
  <c r="N21" i="6"/>
  <c r="M21" i="6"/>
  <c r="L21" i="6"/>
  <c r="K21" i="6"/>
  <c r="J21" i="6"/>
  <c r="I21" i="6"/>
  <c r="H21" i="6"/>
  <c r="G21" i="6"/>
  <c r="F21" i="6"/>
  <c r="E21" i="6"/>
  <c r="D21" i="6"/>
  <c r="C21" i="6"/>
  <c r="B21" i="6"/>
  <c r="B19" i="6"/>
  <c r="B18" i="6"/>
  <c r="B17" i="6"/>
  <c r="B16" i="6"/>
  <c r="B33" i="6" s="1"/>
  <c r="B15" i="6"/>
  <c r="B32" i="6" s="1"/>
  <c r="B14" i="6"/>
  <c r="B31" i="6" s="1"/>
  <c r="B13" i="6"/>
  <c r="B30" i="6" s="1"/>
  <c r="B12" i="6"/>
  <c r="B29" i="6" s="1"/>
  <c r="L5" i="6"/>
  <c r="L40" i="6" s="1"/>
  <c r="W4" i="6"/>
  <c r="W21" i="6" s="1"/>
  <c r="V4" i="6"/>
  <c r="U4" i="6"/>
  <c r="T4" i="6"/>
  <c r="S4" i="6"/>
  <c r="R4" i="6"/>
  <c r="Q4" i="6"/>
  <c r="P4" i="6"/>
  <c r="J2" i="6"/>
  <c r="A1" i="6"/>
  <c r="T75" i="5"/>
  <c r="T72" i="5"/>
  <c r="T70" i="5"/>
  <c r="T69" i="5"/>
  <c r="T68" i="5"/>
  <c r="T67" i="5"/>
  <c r="T66" i="5"/>
  <c r="J64" i="5"/>
  <c r="N79" i="5"/>
  <c r="T23" i="5"/>
  <c r="T73" i="5" s="1"/>
  <c r="T21" i="5"/>
  <c r="S3" i="5"/>
  <c r="S53" i="5" s="1"/>
  <c r="R3" i="5"/>
  <c r="R53" i="5" s="1"/>
  <c r="Q3" i="5"/>
  <c r="Q53" i="5" s="1"/>
  <c r="P3" i="5"/>
  <c r="P53" i="5" s="1"/>
  <c r="O3" i="5"/>
  <c r="O53" i="5" s="1"/>
  <c r="N3" i="5"/>
  <c r="N53" i="5" s="1"/>
  <c r="M3" i="5"/>
  <c r="M53" i="5" s="1"/>
  <c r="L3" i="5"/>
  <c r="L53" i="5" s="1"/>
  <c r="K3" i="5"/>
  <c r="K53" i="5" s="1"/>
  <c r="J3" i="5"/>
  <c r="J53" i="5" s="1"/>
  <c r="X125" i="4"/>
  <c r="W125" i="4"/>
  <c r="P125" i="4"/>
  <c r="M125" i="4"/>
  <c r="L125" i="4"/>
  <c r="K125" i="4"/>
  <c r="X121" i="4"/>
  <c r="W121" i="4"/>
  <c r="P121" i="4"/>
  <c r="M121" i="4"/>
  <c r="L121" i="4"/>
  <c r="K121" i="4"/>
  <c r="AA107" i="4"/>
  <c r="Z107" i="4"/>
  <c r="Y107" i="4"/>
  <c r="R103" i="4"/>
  <c r="AA102" i="4"/>
  <c r="Z102" i="4"/>
  <c r="Y102" i="4"/>
  <c r="X102" i="4"/>
  <c r="S102" i="4"/>
  <c r="R102" i="4"/>
  <c r="P102" i="4"/>
  <c r="R85" i="4"/>
  <c r="L85" i="4"/>
  <c r="E80" i="4"/>
  <c r="K79" i="4"/>
  <c r="V72" i="4"/>
  <c r="W48" i="4"/>
  <c r="P40" i="4"/>
  <c r="N40" i="4"/>
  <c r="M40" i="4"/>
  <c r="L40" i="4"/>
  <c r="K40" i="4"/>
  <c r="S39" i="4"/>
  <c r="R39" i="4"/>
  <c r="Q39" i="4"/>
  <c r="P39" i="4"/>
  <c r="O39" i="4"/>
  <c r="N39" i="4"/>
  <c r="M39" i="4"/>
  <c r="L39" i="4"/>
  <c r="K39" i="4"/>
  <c r="Y32" i="4"/>
  <c r="Y31" i="4"/>
  <c r="AA23" i="4"/>
  <c r="Z23" i="4"/>
  <c r="Y23" i="4"/>
  <c r="X23" i="4"/>
  <c r="W23" i="4"/>
  <c r="V23" i="4"/>
  <c r="U23" i="4"/>
  <c r="T23" i="4"/>
  <c r="S23" i="4"/>
  <c r="R23" i="4"/>
  <c r="Q23" i="4"/>
  <c r="P23" i="4"/>
  <c r="AA22" i="4"/>
  <c r="Z22" i="4"/>
  <c r="Y22" i="4"/>
  <c r="X22" i="4"/>
  <c r="W22" i="4"/>
  <c r="V22" i="4"/>
  <c r="U22" i="4"/>
  <c r="T22" i="4"/>
  <c r="S22" i="4"/>
  <c r="R22" i="4"/>
  <c r="Q22" i="4"/>
  <c r="P22" i="4"/>
  <c r="Q21" i="4"/>
  <c r="F21" i="4"/>
  <c r="R18" i="4"/>
  <c r="N18" i="4"/>
  <c r="P17" i="4"/>
  <c r="N31" i="9" l="1"/>
  <c r="N17" i="12" s="1"/>
  <c r="AP27" i="8"/>
  <c r="N129" i="10"/>
  <c r="N66" i="10"/>
  <c r="N79" i="12"/>
  <c r="M7" i="8"/>
  <c r="O79" i="12"/>
  <c r="N94" i="15"/>
  <c r="V211" i="16"/>
  <c r="K27" i="8"/>
  <c r="Q125" i="4"/>
  <c r="N51" i="4"/>
  <c r="K78" i="12"/>
  <c r="K79" i="12" s="1"/>
  <c r="L51" i="4"/>
  <c r="I78" i="12"/>
  <c r="I79" i="12" s="1"/>
  <c r="O51" i="4"/>
  <c r="L78" i="12"/>
  <c r="L79" i="12" s="1"/>
  <c r="O9" i="11"/>
  <c r="R94" i="4" s="1"/>
  <c r="W16" i="11"/>
  <c r="M51" i="4"/>
  <c r="J78" i="12"/>
  <c r="J79" i="12" s="1"/>
  <c r="F15" i="35"/>
  <c r="U121" i="4"/>
  <c r="R129" i="10"/>
  <c r="W98" i="10"/>
  <c r="V35" i="14"/>
  <c r="K51" i="4"/>
  <c r="H78" i="12"/>
  <c r="P51" i="4"/>
  <c r="M78" i="12"/>
  <c r="M79" i="12" s="1"/>
  <c r="G22" i="10"/>
  <c r="S125" i="4"/>
  <c r="P129" i="10"/>
  <c r="T125" i="4"/>
  <c r="Q129" i="10"/>
  <c r="V8" i="14"/>
  <c r="W24" i="11"/>
  <c r="D7" i="8"/>
  <c r="Z7" i="8" s="1"/>
  <c r="F79" i="12"/>
  <c r="O105" i="10"/>
  <c r="M22" i="8" s="1"/>
  <c r="AR22" i="8" s="1"/>
  <c r="F5" i="6"/>
  <c r="F40" i="6" s="1"/>
  <c r="G79" i="12"/>
  <c r="V36" i="11"/>
  <c r="W33" i="11"/>
  <c r="W34" i="11" s="1"/>
  <c r="G22" i="6"/>
  <c r="H79" i="12"/>
  <c r="H22" i="6"/>
  <c r="D5" i="6"/>
  <c r="D40" i="6" s="1"/>
  <c r="E79" i="12"/>
  <c r="I5" i="6"/>
  <c r="I40" i="6" s="1"/>
  <c r="AR27" i="8"/>
  <c r="O129" i="10"/>
  <c r="K5" i="6"/>
  <c r="K13" i="8"/>
  <c r="P22" i="6"/>
  <c r="P40" i="6" s="1"/>
  <c r="Q79" i="12"/>
  <c r="V17" i="4"/>
  <c r="S79" i="12"/>
  <c r="P7" i="8"/>
  <c r="AX7" i="8" s="1"/>
  <c r="AX32" i="8" s="1"/>
  <c r="R79" i="12"/>
  <c r="S22" i="6"/>
  <c r="S40" i="6" s="1"/>
  <c r="T79" i="12"/>
  <c r="T22" i="6"/>
  <c r="T40" i="6" s="1"/>
  <c r="U79" i="12"/>
  <c r="L65" i="12"/>
  <c r="U125" i="4"/>
  <c r="V60" i="12"/>
  <c r="U160" i="15"/>
  <c r="V99" i="13"/>
  <c r="W89" i="13" s="1"/>
  <c r="Y121" i="4"/>
  <c r="R49" i="4"/>
  <c r="Y78" i="4"/>
  <c r="Y51" i="9"/>
  <c r="Z51" i="9" s="1"/>
  <c r="AA51" i="9" s="1"/>
  <c r="AB51" i="9" s="1"/>
  <c r="AC51" i="9" s="1"/>
  <c r="AD51" i="9" s="1"/>
  <c r="AE51" i="9" s="1"/>
  <c r="AF51" i="9" s="1"/>
  <c r="AG51" i="9" s="1"/>
  <c r="BD19" i="8"/>
  <c r="V195" i="16"/>
  <c r="S60" i="13"/>
  <c r="T61" i="13" s="1"/>
  <c r="T8" i="8"/>
  <c r="W20" i="10"/>
  <c r="U6" i="13"/>
  <c r="BB20" i="8"/>
  <c r="U197" i="16"/>
  <c r="U198" i="16" s="1"/>
  <c r="BA38" i="7"/>
  <c r="V213" i="16"/>
  <c r="V20" i="8"/>
  <c r="W197" i="16"/>
  <c r="Q13" i="35"/>
  <c r="H47" i="36"/>
  <c r="V19" i="8"/>
  <c r="W195" i="16"/>
  <c r="BD20" i="8"/>
  <c r="V197" i="16"/>
  <c r="V217" i="16" s="1"/>
  <c r="U102" i="24"/>
  <c r="AO168" i="16"/>
  <c r="U190" i="16"/>
  <c r="W190" i="16"/>
  <c r="X169" i="16"/>
  <c r="AQ168" i="16"/>
  <c r="V190" i="16"/>
  <c r="W193" i="16"/>
  <c r="X177" i="16"/>
  <c r="AS172" i="16"/>
  <c r="AU173" i="16" s="1"/>
  <c r="W192" i="16"/>
  <c r="X173" i="16"/>
  <c r="AS170" i="16"/>
  <c r="AU171" i="16" s="1"/>
  <c r="W191" i="16"/>
  <c r="X171" i="16"/>
  <c r="AQ172" i="16"/>
  <c r="V192" i="16"/>
  <c r="V212" i="16" s="1"/>
  <c r="AS64" i="16"/>
  <c r="W120" i="10"/>
  <c r="BJ16" i="8"/>
  <c r="U72" i="4"/>
  <c r="M59" i="9"/>
  <c r="M56" i="12" s="1"/>
  <c r="M57" i="12" s="1"/>
  <c r="F98" i="24"/>
  <c r="X12" i="9"/>
  <c r="Y12" i="9" s="1"/>
  <c r="Z12" i="9" s="1"/>
  <c r="AA12" i="9" s="1"/>
  <c r="AB12" i="9" s="1"/>
  <c r="AC12" i="9" s="1"/>
  <c r="AD12" i="9" s="1"/>
  <c r="AE12" i="9" s="1"/>
  <c r="AF12" i="9" s="1"/>
  <c r="AG12" i="9" s="1"/>
  <c r="X11" i="9"/>
  <c r="Y11" i="9" s="1"/>
  <c r="Z11" i="9" s="1"/>
  <c r="AA11" i="9" s="1"/>
  <c r="AB11" i="9" s="1"/>
  <c r="AC11" i="9" s="1"/>
  <c r="AD11" i="9" s="1"/>
  <c r="AE11" i="9" s="1"/>
  <c r="AF11" i="9" s="1"/>
  <c r="AG11" i="9" s="1"/>
  <c r="V96" i="10"/>
  <c r="X10" i="9"/>
  <c r="Y10" i="9" s="1"/>
  <c r="Z10" i="9" s="1"/>
  <c r="AA10" i="9" s="1"/>
  <c r="AB10" i="9" s="1"/>
  <c r="AC10" i="9" s="1"/>
  <c r="AD10" i="9" s="1"/>
  <c r="AE10" i="9" s="1"/>
  <c r="AF10" i="9" s="1"/>
  <c r="AG10" i="9" s="1"/>
  <c r="V95" i="10"/>
  <c r="X52" i="9"/>
  <c r="Y52" i="9" s="1"/>
  <c r="Z52" i="9" s="1"/>
  <c r="AA52" i="9" s="1"/>
  <c r="AB52" i="9" s="1"/>
  <c r="AC52" i="9" s="1"/>
  <c r="AD52" i="9" s="1"/>
  <c r="AE52" i="9" s="1"/>
  <c r="AF52" i="9" s="1"/>
  <c r="AG52" i="9" s="1"/>
  <c r="Y79" i="9"/>
  <c r="X8" i="9"/>
  <c r="Y8" i="9" s="1"/>
  <c r="T71" i="4"/>
  <c r="X7" i="9"/>
  <c r="Y7" i="9" s="1"/>
  <c r="Z7" i="9" s="1"/>
  <c r="AA7" i="9" s="1"/>
  <c r="AB7" i="9" s="1"/>
  <c r="AC7" i="9" s="1"/>
  <c r="AD7" i="9" s="1"/>
  <c r="AE7" i="9" s="1"/>
  <c r="AF7" i="9" s="1"/>
  <c r="AG7" i="9" s="1"/>
  <c r="X19" i="9"/>
  <c r="Y19" i="9" s="1"/>
  <c r="Z19" i="9" s="1"/>
  <c r="AA19" i="9" s="1"/>
  <c r="AB19" i="9" s="1"/>
  <c r="AC19" i="9" s="1"/>
  <c r="AD19" i="9" s="1"/>
  <c r="AE19" i="9" s="1"/>
  <c r="AF19" i="9" s="1"/>
  <c r="AG19" i="9" s="1"/>
  <c r="X17" i="9"/>
  <c r="Y17" i="9" s="1"/>
  <c r="Z17" i="9" s="1"/>
  <c r="AA17" i="9" s="1"/>
  <c r="AB17" i="9" s="1"/>
  <c r="AC17" i="9" s="1"/>
  <c r="AD17" i="9" s="1"/>
  <c r="AE17" i="9" s="1"/>
  <c r="AF17" i="9" s="1"/>
  <c r="AG17" i="9" s="1"/>
  <c r="X16" i="9"/>
  <c r="Y16" i="9" s="1"/>
  <c r="Z16" i="9" s="1"/>
  <c r="AA16" i="9" s="1"/>
  <c r="AB16" i="9" s="1"/>
  <c r="AC16" i="9" s="1"/>
  <c r="AD16" i="9" s="1"/>
  <c r="AE16" i="9" s="1"/>
  <c r="AF16" i="9" s="1"/>
  <c r="AG16" i="9" s="1"/>
  <c r="T24" i="5"/>
  <c r="I33" i="5" s="1"/>
  <c r="E17" i="14"/>
  <c r="P9" i="11"/>
  <c r="S94" i="4" s="1"/>
  <c r="T28" i="35"/>
  <c r="T30" i="35" s="1"/>
  <c r="E35" i="45"/>
  <c r="X72" i="4"/>
  <c r="G19" i="13"/>
  <c r="V71" i="4"/>
  <c r="M81" i="16"/>
  <c r="N82" i="16" s="1"/>
  <c r="S31" i="35"/>
  <c r="M65" i="4"/>
  <c r="Q85" i="16"/>
  <c r="U17" i="4"/>
  <c r="U19" i="4" s="1"/>
  <c r="V48" i="4"/>
  <c r="L105" i="10"/>
  <c r="O34" i="4" s="1"/>
  <c r="E46" i="45"/>
  <c r="V54" i="12"/>
  <c r="AX31" i="7"/>
  <c r="BF53" i="8"/>
  <c r="BI53" i="8" s="1"/>
  <c r="M26" i="11"/>
  <c r="P103" i="4" s="1"/>
  <c r="P100" i="10"/>
  <c r="S31" i="4" s="1"/>
  <c r="S69" i="4"/>
  <c r="F12" i="32"/>
  <c r="K133" i="16"/>
  <c r="V21" i="12"/>
  <c r="W4" i="12" s="1"/>
  <c r="P63" i="9"/>
  <c r="P53" i="12" s="1"/>
  <c r="P54" i="12" s="1"/>
  <c r="G17" i="33"/>
  <c r="R71" i="4"/>
  <c r="N14" i="13"/>
  <c r="V4" i="20"/>
  <c r="W4" i="20" s="1"/>
  <c r="X4" i="20" s="1"/>
  <c r="Y4" i="20" s="1"/>
  <c r="Z4" i="20" s="1"/>
  <c r="K21" i="23"/>
  <c r="G31" i="35"/>
  <c r="AS22" i="7"/>
  <c r="AS30" i="7" s="1"/>
  <c r="AV11" i="7"/>
  <c r="K57" i="4"/>
  <c r="J65" i="16"/>
  <c r="S121" i="4"/>
  <c r="Q22" i="6"/>
  <c r="Q40" i="6" s="1"/>
  <c r="E71" i="45"/>
  <c r="O28" i="4"/>
  <c r="O27" i="4" s="1"/>
  <c r="O94" i="15"/>
  <c r="AT39" i="16"/>
  <c r="AR54" i="16"/>
  <c r="T18" i="8"/>
  <c r="V18" i="8" s="1"/>
  <c r="V101" i="10"/>
  <c r="O53" i="4"/>
  <c r="M12" i="10"/>
  <c r="S17" i="13"/>
  <c r="R72" i="4"/>
  <c r="T72" i="4"/>
  <c r="T25" i="10"/>
  <c r="T27" i="10" s="1"/>
  <c r="P12" i="10"/>
  <c r="N43" i="10"/>
  <c r="Q124" i="13"/>
  <c r="M80" i="10"/>
  <c r="T124" i="13"/>
  <c r="R60" i="13"/>
  <c r="M6" i="10"/>
  <c r="D78" i="43"/>
  <c r="AA22" i="18"/>
  <c r="AB22" i="18" s="1"/>
  <c r="AC22" i="18" s="1"/>
  <c r="AD22" i="18" s="1"/>
  <c r="AE22" i="18" s="1"/>
  <c r="AF22" i="18" s="1"/>
  <c r="BR11" i="8"/>
  <c r="BS11" i="8" s="1"/>
  <c r="BR12" i="8"/>
  <c r="BS12" i="8" s="1"/>
  <c r="BR15" i="8"/>
  <c r="BS15" i="8" s="1"/>
  <c r="BR14" i="8"/>
  <c r="BS14" i="8" s="1"/>
  <c r="AT209" i="16"/>
  <c r="AT179" i="16"/>
  <c r="I122" i="16"/>
  <c r="I156" i="16"/>
  <c r="AR58" i="16"/>
  <c r="AR148" i="16"/>
  <c r="AR44" i="16"/>
  <c r="AR110" i="16"/>
  <c r="AR182" i="16"/>
  <c r="H120" i="16"/>
  <c r="R122" i="16"/>
  <c r="AK192" i="16"/>
  <c r="AJ183" i="16"/>
  <c r="AL209" i="16"/>
  <c r="J173" i="16"/>
  <c r="H122" i="16"/>
  <c r="AN108" i="16"/>
  <c r="X3" i="17"/>
  <c r="AA4" i="18"/>
  <c r="AB4" i="18" s="1"/>
  <c r="AC4" i="18" s="1"/>
  <c r="AD4" i="18" s="1"/>
  <c r="AE4" i="18" s="1"/>
  <c r="AF4" i="18" s="1"/>
  <c r="X2" i="16"/>
  <c r="AU2" i="16" s="1"/>
  <c r="BF10" i="8"/>
  <c r="BI10" i="8" s="1"/>
  <c r="BF19" i="8"/>
  <c r="BI19" i="8" s="1"/>
  <c r="BF22" i="8"/>
  <c r="BF16" i="8"/>
  <c r="BI16" i="8" s="1"/>
  <c r="BF20" i="8"/>
  <c r="BI20" i="8" s="1"/>
  <c r="BF8" i="8"/>
  <c r="AH48" i="7"/>
  <c r="AH49" i="7" s="1"/>
  <c r="AS3" i="8"/>
  <c r="BF13" i="8"/>
  <c r="BI13" i="8" s="1"/>
  <c r="BB38" i="7"/>
  <c r="AY24" i="7"/>
  <c r="BC32" i="7" s="1"/>
  <c r="BB31" i="7"/>
  <c r="BB30" i="7"/>
  <c r="AG24" i="7"/>
  <c r="AX18" i="7"/>
  <c r="BB13" i="7"/>
  <c r="AX28" i="7"/>
  <c r="BA17" i="7"/>
  <c r="N16" i="27"/>
  <c r="P28" i="4"/>
  <c r="P27" i="4" s="1"/>
  <c r="M24" i="8"/>
  <c r="AR24" i="8" s="1"/>
  <c r="R35" i="4"/>
  <c r="M14" i="13"/>
  <c r="M15" i="13" s="1"/>
  <c r="X67" i="9"/>
  <c r="Y67" i="9" s="1"/>
  <c r="Z67" i="9" s="1"/>
  <c r="AA67" i="9" s="1"/>
  <c r="AB67" i="9" s="1"/>
  <c r="AC67" i="9" s="1"/>
  <c r="AD67" i="9" s="1"/>
  <c r="AE67" i="9" s="1"/>
  <c r="AF67" i="9" s="1"/>
  <c r="AG67" i="9" s="1"/>
  <c r="U11" i="35"/>
  <c r="L87" i="16"/>
  <c r="M88" i="16" s="1"/>
  <c r="J17" i="33"/>
  <c r="D66" i="35"/>
  <c r="J10" i="10"/>
  <c r="Q137" i="16"/>
  <c r="Q143" i="16" s="1"/>
  <c r="Q148" i="16" s="1"/>
  <c r="P37" i="17"/>
  <c r="O65" i="4"/>
  <c r="F87" i="24"/>
  <c r="M52" i="10"/>
  <c r="N109" i="10"/>
  <c r="Q35" i="4" s="1"/>
  <c r="L137" i="16"/>
  <c r="L138" i="16" s="1"/>
  <c r="N39" i="17"/>
  <c r="N40" i="17" s="1"/>
  <c r="Z34" i="17"/>
  <c r="AA34" i="17" s="1"/>
  <c r="AB34" i="17" s="1"/>
  <c r="AC34" i="17" s="1"/>
  <c r="AD34" i="17" s="1"/>
  <c r="AE34" i="17" s="1"/>
  <c r="AF34" i="17" s="1"/>
  <c r="AG34" i="17" s="1"/>
  <c r="X33" i="17"/>
  <c r="M57" i="4"/>
  <c r="P61" i="4"/>
  <c r="E22" i="6"/>
  <c r="I22" i="6"/>
  <c r="O100" i="10"/>
  <c r="R32" i="4" s="1"/>
  <c r="S59" i="4"/>
  <c r="N137" i="16"/>
  <c r="AA137" i="16" s="1"/>
  <c r="S52" i="35"/>
  <c r="P137" i="16"/>
  <c r="AE137" i="16" s="1"/>
  <c r="N14" i="10"/>
  <c r="N15" i="10" s="1"/>
  <c r="O126" i="16"/>
  <c r="L176" i="16"/>
  <c r="L177" i="16" s="1"/>
  <c r="I76" i="10"/>
  <c r="I77" i="10" s="1"/>
  <c r="D33" i="6"/>
  <c r="H22" i="10"/>
  <c r="H24" i="10" s="1"/>
  <c r="K32" i="4"/>
  <c r="U65" i="4"/>
  <c r="N32" i="4"/>
  <c r="X73" i="4"/>
  <c r="J23" i="11"/>
  <c r="M102" i="4" s="1"/>
  <c r="E15" i="13"/>
  <c r="H31" i="13"/>
  <c r="P65" i="24"/>
  <c r="P87" i="24" s="1"/>
  <c r="T34" i="4"/>
  <c r="M15" i="12"/>
  <c r="T69" i="4"/>
  <c r="T10" i="10"/>
  <c r="T51" i="10" s="1"/>
  <c r="M100" i="10"/>
  <c r="K18" i="8" s="1"/>
  <c r="R87" i="24"/>
  <c r="C24" i="42"/>
  <c r="R67" i="4"/>
  <c r="E87" i="24"/>
  <c r="E100" i="24" s="1"/>
  <c r="M109" i="10"/>
  <c r="K24" i="8" s="1"/>
  <c r="AN24" i="8" s="1"/>
  <c r="F17" i="33"/>
  <c r="S17" i="8"/>
  <c r="D77" i="9"/>
  <c r="E78" i="9" s="1"/>
  <c r="AJ49" i="16"/>
  <c r="C35" i="42"/>
  <c r="X54" i="9"/>
  <c r="Y54" i="9" s="1"/>
  <c r="Z54" i="9" s="1"/>
  <c r="AA54" i="9" s="1"/>
  <c r="AB54" i="9" s="1"/>
  <c r="AC54" i="9" s="1"/>
  <c r="AD54" i="9" s="1"/>
  <c r="AE54" i="9" s="1"/>
  <c r="AF54" i="9" s="1"/>
  <c r="AG54" i="9" s="1"/>
  <c r="T20" i="4"/>
  <c r="Q46" i="4"/>
  <c r="S34" i="13"/>
  <c r="X3" i="19"/>
  <c r="P48" i="4"/>
  <c r="AN27" i="8"/>
  <c r="K7" i="8"/>
  <c r="W34" i="4"/>
  <c r="S48" i="4"/>
  <c r="K101" i="4"/>
  <c r="T4" i="9"/>
  <c r="T78" i="13" s="1"/>
  <c r="F17" i="14"/>
  <c r="N26" i="11"/>
  <c r="Q103" i="4" s="1"/>
  <c r="R9" i="11"/>
  <c r="U94" i="4" s="1"/>
  <c r="AN92" i="16"/>
  <c r="N100" i="10"/>
  <c r="Q32" i="4" s="1"/>
  <c r="W102" i="24"/>
  <c r="T31" i="35"/>
  <c r="F14" i="42"/>
  <c r="N31" i="13"/>
  <c r="N63" i="9"/>
  <c r="N53" i="12" s="1"/>
  <c r="N54" i="12" s="1"/>
  <c r="X28" i="4"/>
  <c r="X27" i="4" s="1"/>
  <c r="H76" i="10"/>
  <c r="P70" i="16"/>
  <c r="P176" i="16"/>
  <c r="Q177" i="16" s="1"/>
  <c r="R53" i="24"/>
  <c r="R103" i="24" s="1"/>
  <c r="Q22" i="10"/>
  <c r="Q24" i="35"/>
  <c r="Y33" i="37"/>
  <c r="U20" i="4"/>
  <c r="U87" i="16"/>
  <c r="U88" i="16" s="1"/>
  <c r="T53" i="24"/>
  <c r="T103" i="24" s="1"/>
  <c r="W71" i="4"/>
  <c r="S21" i="13"/>
  <c r="K23" i="4"/>
  <c r="Q48" i="4"/>
  <c r="M35" i="4"/>
  <c r="M101" i="4"/>
  <c r="T87" i="24"/>
  <c r="T100" i="24" s="1"/>
  <c r="U31" i="35"/>
  <c r="E24" i="42"/>
  <c r="U87" i="24"/>
  <c r="F21" i="32"/>
  <c r="V31" i="35"/>
  <c r="V33" i="35" s="1"/>
  <c r="D21" i="35"/>
  <c r="S55" i="35"/>
  <c r="P18" i="4"/>
  <c r="P19" i="4" s="1"/>
  <c r="K8" i="8"/>
  <c r="AN8" i="8" s="1"/>
  <c r="P57" i="4"/>
  <c r="L79" i="27"/>
  <c r="N101" i="4"/>
  <c r="O20" i="11"/>
  <c r="R96" i="4"/>
  <c r="W50" i="4"/>
  <c r="X67" i="4"/>
  <c r="Q95" i="13"/>
  <c r="AJ46" i="7"/>
  <c r="Q57" i="4"/>
  <c r="K105" i="10"/>
  <c r="J127" i="13"/>
  <c r="AH25" i="16"/>
  <c r="N83" i="16"/>
  <c r="AA83" i="16" s="1"/>
  <c r="L31" i="13"/>
  <c r="E53" i="24"/>
  <c r="E103" i="24" s="1"/>
  <c r="Q95" i="24"/>
  <c r="Q98" i="24" s="1"/>
  <c r="R46" i="35"/>
  <c r="D69" i="35"/>
  <c r="G24" i="36"/>
  <c r="M76" i="9"/>
  <c r="P79" i="4" s="1"/>
  <c r="Y19" i="37"/>
  <c r="Y66" i="4"/>
  <c r="R57" i="4"/>
  <c r="O8" i="10"/>
  <c r="O9" i="10" s="1"/>
  <c r="S13" i="13"/>
  <c r="P83" i="16"/>
  <c r="Q84" i="16" s="1"/>
  <c r="P75" i="17"/>
  <c r="H28" i="20"/>
  <c r="S24" i="35"/>
  <c r="S46" i="35"/>
  <c r="T55" i="35"/>
  <c r="Q65" i="16"/>
  <c r="Q73" i="16" s="1"/>
  <c r="Q78" i="16" s="1"/>
  <c r="AH128" i="16"/>
  <c r="T51" i="35"/>
  <c r="Q22" i="8"/>
  <c r="AZ22" i="8" s="1"/>
  <c r="R20" i="11"/>
  <c r="T13" i="13"/>
  <c r="P127" i="13"/>
  <c r="S68" i="14"/>
  <c r="X67" i="14"/>
  <c r="Y67" i="14" s="1"/>
  <c r="Z67" i="14" s="1"/>
  <c r="AA67" i="14" s="1"/>
  <c r="AB67" i="14" s="1"/>
  <c r="AC67" i="14" s="1"/>
  <c r="AD67" i="14" s="1"/>
  <c r="AE67" i="14" s="1"/>
  <c r="AF67" i="14" s="1"/>
  <c r="AG67" i="14" s="1"/>
  <c r="Q9" i="11"/>
  <c r="T94" i="4" s="1"/>
  <c r="L9" i="11"/>
  <c r="O94" i="4" s="1"/>
  <c r="R171" i="16"/>
  <c r="Q75" i="17"/>
  <c r="V25" i="35"/>
  <c r="V27" i="35" s="1"/>
  <c r="S11" i="35"/>
  <c r="U55" i="35"/>
  <c r="C21" i="42"/>
  <c r="F40" i="42"/>
  <c r="P65" i="4"/>
  <c r="S64" i="16"/>
  <c r="X31" i="37"/>
  <c r="T53" i="4"/>
  <c r="G13" i="42"/>
  <c r="Q58" i="4"/>
  <c r="N109" i="4"/>
  <c r="T57" i="4"/>
  <c r="N57" i="4"/>
  <c r="X10" i="16"/>
  <c r="AU10" i="16" s="1"/>
  <c r="E156" i="16"/>
  <c r="K87" i="24"/>
  <c r="K100" i="24" s="1"/>
  <c r="S71" i="4"/>
  <c r="P59" i="9"/>
  <c r="P56" i="12" s="1"/>
  <c r="P57" i="12" s="1"/>
  <c r="O31" i="35"/>
  <c r="O33" i="35" s="1"/>
  <c r="S58" i="35"/>
  <c r="D21" i="42"/>
  <c r="E14" i="42"/>
  <c r="L48" i="35"/>
  <c r="L102" i="24"/>
  <c r="F3" i="13"/>
  <c r="F8" i="13" s="1"/>
  <c r="J49" i="15"/>
  <c r="K18" i="11" s="1"/>
  <c r="N96" i="4" s="1"/>
  <c r="Z127" i="16"/>
  <c r="AJ124" i="16"/>
  <c r="L87" i="24"/>
  <c r="G21" i="32"/>
  <c r="D72" i="35"/>
  <c r="E21" i="42"/>
  <c r="F24" i="42"/>
  <c r="M69" i="4"/>
  <c r="O109" i="4"/>
  <c r="L50" i="4"/>
  <c r="U69" i="4"/>
  <c r="M14" i="10"/>
  <c r="M15" i="10" s="1"/>
  <c r="G156" i="16"/>
  <c r="O54" i="17"/>
  <c r="O55" i="17" s="1"/>
  <c r="J48" i="35"/>
  <c r="T49" i="35"/>
  <c r="H64" i="43"/>
  <c r="O59" i="4"/>
  <c r="L72" i="4"/>
  <c r="N85" i="4"/>
  <c r="L48" i="4"/>
  <c r="M72" i="4"/>
  <c r="Q13" i="8"/>
  <c r="AZ13" i="8" s="1"/>
  <c r="N65" i="4"/>
  <c r="P6" i="11"/>
  <c r="S89" i="4" s="1"/>
  <c r="J31" i="13"/>
  <c r="AP122" i="16"/>
  <c r="L53" i="24"/>
  <c r="L103" i="24" s="1"/>
  <c r="L17" i="33"/>
  <c r="K48" i="35"/>
  <c r="Q51" i="35"/>
  <c r="H36" i="36"/>
  <c r="W16" i="37"/>
  <c r="E60" i="45"/>
  <c r="P51" i="10"/>
  <c r="I15" i="8"/>
  <c r="AJ15" i="8" s="1"/>
  <c r="K17" i="8"/>
  <c r="AN17" i="8" s="1"/>
  <c r="E40" i="10"/>
  <c r="Q50" i="10"/>
  <c r="V85" i="4"/>
  <c r="K15" i="12"/>
  <c r="R27" i="12"/>
  <c r="N23" i="4"/>
  <c r="O18" i="4"/>
  <c r="S32" i="4"/>
  <c r="E5" i="6"/>
  <c r="E40" i="6" s="1"/>
  <c r="Q7" i="8"/>
  <c r="H8" i="8"/>
  <c r="AH8" i="8" s="1"/>
  <c r="H24" i="8"/>
  <c r="AH24" i="8" s="1"/>
  <c r="X35" i="4"/>
  <c r="R5" i="6"/>
  <c r="L3" i="26" s="1"/>
  <c r="S24" i="8"/>
  <c r="BD24" i="8" s="1"/>
  <c r="G31" i="10"/>
  <c r="G33" i="10" s="1"/>
  <c r="R22" i="6"/>
  <c r="R40" i="6" s="1"/>
  <c r="S41" i="6" s="1"/>
  <c r="G33" i="6"/>
  <c r="J75" i="27"/>
  <c r="L96" i="4"/>
  <c r="N82" i="27"/>
  <c r="P109" i="4"/>
  <c r="U10" i="10"/>
  <c r="V87" i="16"/>
  <c r="V91" i="16" s="1"/>
  <c r="O82" i="27"/>
  <c r="Q109" i="4"/>
  <c r="P82" i="27"/>
  <c r="R109" i="4"/>
  <c r="M50" i="12"/>
  <c r="P72" i="4"/>
  <c r="V13" i="22"/>
  <c r="V49" i="10" s="1"/>
  <c r="U49" i="10"/>
  <c r="U50" i="10" s="1"/>
  <c r="N24" i="8"/>
  <c r="AT24" i="8" s="1"/>
  <c r="S35" i="4"/>
  <c r="N5" i="6"/>
  <c r="O45" i="12"/>
  <c r="T17" i="4"/>
  <c r="L32" i="4"/>
  <c r="S73" i="13"/>
  <c r="S75" i="13" s="1"/>
  <c r="R21" i="4"/>
  <c r="T28" i="4"/>
  <c r="T27" i="4" s="1"/>
  <c r="T74" i="4"/>
  <c r="N125" i="4"/>
  <c r="K14" i="10"/>
  <c r="K15" i="10" s="1"/>
  <c r="P90" i="10"/>
  <c r="P91" i="10" s="1"/>
  <c r="I23" i="11"/>
  <c r="L102" i="4" s="1"/>
  <c r="N33" i="13"/>
  <c r="O95" i="13"/>
  <c r="F101" i="13"/>
  <c r="U126" i="13"/>
  <c r="U127" i="13" s="1"/>
  <c r="AR124" i="16"/>
  <c r="AB142" i="16"/>
  <c r="O69" i="17"/>
  <c r="E102" i="24"/>
  <c r="G23" i="33"/>
  <c r="G26" i="33" s="1"/>
  <c r="T7" i="35"/>
  <c r="H65" i="35"/>
  <c r="H35" i="36"/>
  <c r="H24" i="42"/>
  <c r="V35" i="11"/>
  <c r="V64" i="10"/>
  <c r="AP144" i="16"/>
  <c r="P11" i="35"/>
  <c r="N72" i="4"/>
  <c r="N121" i="4"/>
  <c r="V5" i="7"/>
  <c r="W24" i="7" s="1"/>
  <c r="I24" i="8"/>
  <c r="AJ24" i="8" s="1"/>
  <c r="K9" i="9"/>
  <c r="K24" i="9" s="1"/>
  <c r="R66" i="10"/>
  <c r="R48" i="12"/>
  <c r="R45" i="12"/>
  <c r="R19" i="13"/>
  <c r="F31" i="13"/>
  <c r="H107" i="13"/>
  <c r="H110" i="13" s="1"/>
  <c r="H120" i="13" s="1"/>
  <c r="E119" i="15"/>
  <c r="E140" i="15" s="1"/>
  <c r="E144" i="15" s="1"/>
  <c r="E146" i="15" s="1"/>
  <c r="AF109" i="16"/>
  <c r="AL120" i="16"/>
  <c r="J213" i="16"/>
  <c r="H102" i="24"/>
  <c r="T9" i="35"/>
  <c r="G23" i="36"/>
  <c r="Q45" i="37"/>
  <c r="C1" i="44"/>
  <c r="V131" i="13"/>
  <c r="P48" i="12"/>
  <c r="P45" i="12"/>
  <c r="AE24" i="7"/>
  <c r="AE37" i="7" s="1"/>
  <c r="K35" i="4"/>
  <c r="Q53" i="4"/>
  <c r="H15" i="8"/>
  <c r="AH15" i="8" s="1"/>
  <c r="S18" i="8"/>
  <c r="BD18" i="8" s="1"/>
  <c r="S45" i="12"/>
  <c r="S48" i="12"/>
  <c r="O6" i="10"/>
  <c r="H53" i="10"/>
  <c r="R80" i="10"/>
  <c r="L101" i="10"/>
  <c r="G31" i="13"/>
  <c r="I49" i="13"/>
  <c r="N72" i="14"/>
  <c r="AJ109" i="16"/>
  <c r="AN120" i="16"/>
  <c r="O20" i="19"/>
  <c r="P121" i="16" s="1"/>
  <c r="Q122" i="16" s="1"/>
  <c r="G21" i="23"/>
  <c r="G25" i="23" s="1"/>
  <c r="T21" i="23"/>
  <c r="K17" i="33"/>
  <c r="R34" i="35"/>
  <c r="R36" i="35" s="1"/>
  <c r="P58" i="35"/>
  <c r="Q22" i="37"/>
  <c r="G25" i="38"/>
  <c r="G27" i="38" s="1"/>
  <c r="H9" i="42"/>
  <c r="X6" i="9"/>
  <c r="Y6" i="9" s="1"/>
  <c r="Z6" i="9" s="1"/>
  <c r="AA6" i="9" s="1"/>
  <c r="AB6" i="9" s="1"/>
  <c r="AC6" i="9" s="1"/>
  <c r="AD6" i="9" s="1"/>
  <c r="AE6" i="9" s="1"/>
  <c r="AF6" i="9" s="1"/>
  <c r="AG6" i="9" s="1"/>
  <c r="J11" i="13"/>
  <c r="E31" i="13"/>
  <c r="L52" i="13"/>
  <c r="J136" i="16"/>
  <c r="AY30" i="7"/>
  <c r="M49" i="4"/>
  <c r="B5" i="6"/>
  <c r="B40" i="6" s="1"/>
  <c r="S12" i="7"/>
  <c r="L23" i="4"/>
  <c r="K22" i="7"/>
  <c r="T66" i="10"/>
  <c r="T45" i="12"/>
  <c r="T48" i="12"/>
  <c r="N50" i="10"/>
  <c r="S19" i="13"/>
  <c r="M24" i="11"/>
  <c r="P104" i="4" s="1"/>
  <c r="K87" i="16"/>
  <c r="AN109" i="16"/>
  <c r="K54" i="35"/>
  <c r="C14" i="42"/>
  <c r="V98" i="10"/>
  <c r="M23" i="4"/>
  <c r="J99" i="9"/>
  <c r="U67" i="4"/>
  <c r="U66" i="10"/>
  <c r="U45" i="12"/>
  <c r="U48" i="12"/>
  <c r="R34" i="10"/>
  <c r="R36" i="10" s="1"/>
  <c r="J52" i="10"/>
  <c r="J53" i="10" s="1"/>
  <c r="S62" i="10"/>
  <c r="R96" i="10"/>
  <c r="T9" i="13"/>
  <c r="I31" i="13"/>
  <c r="Q71" i="14"/>
  <c r="N24" i="11"/>
  <c r="Q104" i="4" s="1"/>
  <c r="P81" i="16"/>
  <c r="AE81" i="16" s="1"/>
  <c r="I171" i="16"/>
  <c r="K102" i="24"/>
  <c r="K21" i="32"/>
  <c r="T11" i="35"/>
  <c r="G34" i="35"/>
  <c r="G25" i="36"/>
  <c r="I17" i="11"/>
  <c r="L100" i="4" s="1"/>
  <c r="W18" i="4"/>
  <c r="K20" i="4"/>
  <c r="W20" i="4"/>
  <c r="U9" i="13"/>
  <c r="I57" i="13"/>
  <c r="I56" i="13" s="1"/>
  <c r="F87" i="13"/>
  <c r="I119" i="15"/>
  <c r="I140" i="15" s="1"/>
  <c r="I144" i="15" s="1"/>
  <c r="I146" i="15" s="1"/>
  <c r="N89" i="16"/>
  <c r="AA89" i="16" s="1"/>
  <c r="M39" i="17"/>
  <c r="M40" i="17" s="1"/>
  <c r="D77" i="43"/>
  <c r="G1" i="44"/>
  <c r="V24" i="11"/>
  <c r="R34" i="17"/>
  <c r="N35" i="4"/>
  <c r="O35" i="4"/>
  <c r="N48" i="4"/>
  <c r="N47" i="4" s="1"/>
  <c r="L97" i="4"/>
  <c r="T17" i="7"/>
  <c r="BP18" i="8"/>
  <c r="L99" i="9"/>
  <c r="S77" i="9"/>
  <c r="V80" i="4" s="1"/>
  <c r="S22" i="10"/>
  <c r="K46" i="10"/>
  <c r="L47" i="10" s="1"/>
  <c r="D26" i="11"/>
  <c r="C78" i="27" s="1"/>
  <c r="R123" i="13"/>
  <c r="U23" i="16"/>
  <c r="O89" i="16"/>
  <c r="AC89" i="16" s="1"/>
  <c r="AL92" i="16"/>
  <c r="L126" i="16"/>
  <c r="M175" i="16"/>
  <c r="O4" i="17"/>
  <c r="O1" i="19"/>
  <c r="J21" i="32"/>
  <c r="O55" i="35"/>
  <c r="F62" i="38"/>
  <c r="F5" i="42"/>
  <c r="F13" i="42"/>
  <c r="D29" i="43"/>
  <c r="D31" i="43" s="1"/>
  <c r="S12" i="45"/>
  <c r="O7" i="8"/>
  <c r="O1" i="8" s="1"/>
  <c r="Q48" i="12"/>
  <c r="Q45" i="12"/>
  <c r="AN55" i="16"/>
  <c r="AN211" i="16"/>
  <c r="O52" i="35"/>
  <c r="D10" i="8"/>
  <c r="T55" i="4"/>
  <c r="G99" i="9"/>
  <c r="U34" i="10"/>
  <c r="S49" i="15"/>
  <c r="S84" i="15" s="1"/>
  <c r="Q172" i="16"/>
  <c r="Q192" i="16" s="1"/>
  <c r="R212" i="16" s="1"/>
  <c r="G87" i="24"/>
  <c r="G100" i="24" s="1"/>
  <c r="E12" i="32"/>
  <c r="D20" i="33"/>
  <c r="V48" i="12"/>
  <c r="V45" i="12"/>
  <c r="V136" i="16"/>
  <c r="AL159" i="16"/>
  <c r="J178" i="16"/>
  <c r="J185" i="16" s="1"/>
  <c r="AR210" i="16"/>
  <c r="M58" i="17"/>
  <c r="U53" i="24"/>
  <c r="U103" i="24" s="1"/>
  <c r="R102" i="24"/>
  <c r="H87" i="24"/>
  <c r="H100" i="24" s="1"/>
  <c r="C21" i="32"/>
  <c r="E17" i="33"/>
  <c r="I24" i="35"/>
  <c r="D44" i="35"/>
  <c r="D22" i="35" s="1"/>
  <c r="D24" i="35" s="1"/>
  <c r="K31" i="10"/>
  <c r="K33" i="10" s="1"/>
  <c r="K69" i="4"/>
  <c r="M32" i="4"/>
  <c r="N74" i="4"/>
  <c r="R33" i="9"/>
  <c r="R41" i="9" s="1"/>
  <c r="L57" i="4"/>
  <c r="L67" i="4"/>
  <c r="X69" i="4"/>
  <c r="O90" i="10"/>
  <c r="M17" i="8" s="1"/>
  <c r="N9" i="11"/>
  <c r="Q94" i="4" s="1"/>
  <c r="Q191" i="16"/>
  <c r="R211" i="16" s="1"/>
  <c r="O26" i="17"/>
  <c r="P74" i="17"/>
  <c r="P17" i="13" s="1"/>
  <c r="AA81" i="16"/>
  <c r="P31" i="9"/>
  <c r="P17" i="12" s="1"/>
  <c r="P18" i="12" s="1"/>
  <c r="G12" i="32"/>
  <c r="O11" i="35"/>
  <c r="U51" i="35"/>
  <c r="R55" i="35"/>
  <c r="H34" i="36"/>
  <c r="F65" i="38"/>
  <c r="F8" i="40"/>
  <c r="G24" i="42"/>
  <c r="V16" i="11"/>
  <c r="AI23" i="16"/>
  <c r="Q37" i="13"/>
  <c r="P89" i="16"/>
  <c r="Q90" i="16" s="1"/>
  <c r="R142" i="16"/>
  <c r="N37" i="13"/>
  <c r="O14" i="10"/>
  <c r="P15" i="10" s="1"/>
  <c r="F20" i="20"/>
  <c r="M55" i="10"/>
  <c r="L141" i="16"/>
  <c r="L127" i="16" s="1"/>
  <c r="M23" i="13"/>
  <c r="J57" i="10"/>
  <c r="H7" i="13"/>
  <c r="K43" i="10"/>
  <c r="K44" i="10" s="1"/>
  <c r="P6" i="10"/>
  <c r="P45" i="10" s="1"/>
  <c r="M38" i="18"/>
  <c r="R28" i="13"/>
  <c r="U22" i="10"/>
  <c r="K7" i="13"/>
  <c r="P44" i="10"/>
  <c r="N133" i="16"/>
  <c r="O134" i="16" s="1"/>
  <c r="G7" i="13"/>
  <c r="L43" i="10"/>
  <c r="M44" i="10" s="1"/>
  <c r="I25" i="18"/>
  <c r="I26" i="18" s="1"/>
  <c r="K81" i="16"/>
  <c r="M12" i="18"/>
  <c r="J6" i="10"/>
  <c r="J7" i="10" s="1"/>
  <c r="N44" i="10"/>
  <c r="J7" i="13"/>
  <c r="J23" i="13"/>
  <c r="J35" i="13" s="1"/>
  <c r="O12" i="18"/>
  <c r="K37" i="18"/>
  <c r="L9" i="13" s="1"/>
  <c r="L38" i="18"/>
  <c r="M6" i="13"/>
  <c r="M7" i="13" s="1"/>
  <c r="N38" i="18"/>
  <c r="E3" i="13"/>
  <c r="E8" i="13" s="1"/>
  <c r="D71" i="14"/>
  <c r="T71" i="14"/>
  <c r="X17" i="4"/>
  <c r="V20" i="4"/>
  <c r="G5" i="6"/>
  <c r="E76" i="12"/>
  <c r="C75" i="10"/>
  <c r="P21" i="4"/>
  <c r="P25" i="4" s="1"/>
  <c r="Q5" i="6"/>
  <c r="I3" i="26" s="1"/>
  <c r="J3" i="26" s="1"/>
  <c r="J11" i="26" s="1"/>
  <c r="O17" i="8"/>
  <c r="R204" i="16" s="1"/>
  <c r="E30" i="12"/>
  <c r="N9" i="10"/>
  <c r="I44" i="10"/>
  <c r="J50" i="10"/>
  <c r="L20" i="4"/>
  <c r="T5" i="6"/>
  <c r="D22" i="6"/>
  <c r="G45" i="10"/>
  <c r="S56" i="10"/>
  <c r="K62" i="10"/>
  <c r="V18" i="12"/>
  <c r="K17" i="4"/>
  <c r="T18" i="4"/>
  <c r="U13" i="10"/>
  <c r="N20" i="10"/>
  <c r="M20" i="4"/>
  <c r="S7" i="8"/>
  <c r="S9" i="8" s="1"/>
  <c r="J15" i="8"/>
  <c r="AL15" i="8" s="1"/>
  <c r="X18" i="4"/>
  <c r="K4" i="5"/>
  <c r="K54" i="5" s="1"/>
  <c r="F40" i="10"/>
  <c r="Q44" i="10"/>
  <c r="E1" i="8"/>
  <c r="U25" i="10"/>
  <c r="U27" i="10" s="1"/>
  <c r="O44" i="10"/>
  <c r="O50" i="10"/>
  <c r="O23" i="4"/>
  <c r="O32" i="4"/>
  <c r="S5" i="6"/>
  <c r="S6" i="6" s="1"/>
  <c r="R7" i="8"/>
  <c r="R31" i="8" s="1"/>
  <c r="H18" i="8"/>
  <c r="K198" i="16" s="1"/>
  <c r="K215" i="16" s="1"/>
  <c r="I40" i="10"/>
  <c r="T5" i="10"/>
  <c r="S23" i="6" s="1"/>
  <c r="J9" i="10"/>
  <c r="P50" i="10"/>
  <c r="K54" i="10"/>
  <c r="L57" i="10"/>
  <c r="T24" i="8"/>
  <c r="V5" i="11"/>
  <c r="U21" i="4"/>
  <c r="U25" i="4" s="1"/>
  <c r="L17" i="8"/>
  <c r="O204" i="16" s="1"/>
  <c r="J18" i="8"/>
  <c r="M198" i="16" s="1"/>
  <c r="M215" i="16" s="1"/>
  <c r="K5" i="10"/>
  <c r="J23" i="6" s="1"/>
  <c r="E11" i="10"/>
  <c r="G79" i="10"/>
  <c r="G80" i="10" s="1"/>
  <c r="V9" i="12"/>
  <c r="V3" i="12" s="1"/>
  <c r="T23" i="8"/>
  <c r="V23" i="8" s="1"/>
  <c r="U95" i="15"/>
  <c r="U119" i="15" s="1"/>
  <c r="U140" i="15" s="1"/>
  <c r="U144" i="15" s="1"/>
  <c r="S21" i="4"/>
  <c r="S25" i="4" s="1"/>
  <c r="K28" i="4"/>
  <c r="K27" i="4" s="1"/>
  <c r="I11" i="8"/>
  <c r="AJ11" i="8" s="1"/>
  <c r="AJ10" i="8" s="1"/>
  <c r="U5" i="10"/>
  <c r="O31" i="4"/>
  <c r="F22" i="6"/>
  <c r="H16" i="8"/>
  <c r="AH16" i="8" s="1"/>
  <c r="Q71" i="10"/>
  <c r="Q72" i="10" s="1"/>
  <c r="J5" i="11"/>
  <c r="M87" i="4" s="1"/>
  <c r="W17" i="4"/>
  <c r="Q28" i="4"/>
  <c r="Q27" i="4" s="1"/>
  <c r="J4" i="5"/>
  <c r="J54" i="5" s="1"/>
  <c r="L8" i="8"/>
  <c r="AP8" i="8" s="1"/>
  <c r="P56" i="10"/>
  <c r="J101" i="10"/>
  <c r="M22" i="4"/>
  <c r="H7" i="8"/>
  <c r="AH7" i="8" s="1"/>
  <c r="AH1" i="8" s="1"/>
  <c r="P17" i="8"/>
  <c r="S204" i="16" s="1"/>
  <c r="K50" i="10"/>
  <c r="K101" i="10"/>
  <c r="T17" i="8"/>
  <c r="W204" i="16" s="1"/>
  <c r="M17" i="4"/>
  <c r="M19" i="4" s="1"/>
  <c r="U28" i="4"/>
  <c r="U27" i="4" s="1"/>
  <c r="R17" i="8"/>
  <c r="S22" i="8"/>
  <c r="BD22" i="8" s="1"/>
  <c r="J24" i="8"/>
  <c r="AL24" i="8" s="1"/>
  <c r="H54" i="10"/>
  <c r="X20" i="4"/>
  <c r="W28" i="4"/>
  <c r="W27" i="4" s="1"/>
  <c r="H14" i="8"/>
  <c r="U56" i="10"/>
  <c r="AV18" i="7"/>
  <c r="F21" i="16"/>
  <c r="M70" i="16"/>
  <c r="AL213" i="16"/>
  <c r="O62" i="16"/>
  <c r="G66" i="16"/>
  <c r="F88" i="16"/>
  <c r="AF120" i="16"/>
  <c r="M126" i="16"/>
  <c r="AN144" i="16"/>
  <c r="AP159" i="16"/>
  <c r="L140" i="16"/>
  <c r="O70" i="16"/>
  <c r="AZ115" i="16"/>
  <c r="AD110" i="16"/>
  <c r="AR122" i="16"/>
  <c r="N126" i="16"/>
  <c r="AB127" i="16"/>
  <c r="AD128" i="16" s="1"/>
  <c r="S136" i="16"/>
  <c r="AL210" i="16"/>
  <c r="AN212" i="16"/>
  <c r="AP213" i="16"/>
  <c r="L23" i="16"/>
  <c r="AL44" i="16"/>
  <c r="K84" i="16"/>
  <c r="F158" i="16"/>
  <c r="AN209" i="16"/>
  <c r="AR185" i="16"/>
  <c r="AN210" i="16"/>
  <c r="AP212" i="16"/>
  <c r="P126" i="16"/>
  <c r="AF128" i="16"/>
  <c r="Q140" i="16"/>
  <c r="AH155" i="16"/>
  <c r="AF163" i="16"/>
  <c r="I13" i="16"/>
  <c r="U84" i="16"/>
  <c r="AP120" i="16"/>
  <c r="R126" i="16"/>
  <c r="AJ128" i="16"/>
  <c r="I134" i="16"/>
  <c r="S140" i="16"/>
  <c r="AJ155" i="16"/>
  <c r="F169" i="16"/>
  <c r="AK197" i="16"/>
  <c r="AF50" i="16"/>
  <c r="AH74" i="16"/>
  <c r="AN106" i="16"/>
  <c r="T120" i="16"/>
  <c r="T126" i="16"/>
  <c r="I136" i="16"/>
  <c r="AB136" i="16"/>
  <c r="H138" i="16"/>
  <c r="AF159" i="16"/>
  <c r="AN163" i="16"/>
  <c r="J3" i="16"/>
  <c r="AL128" i="16"/>
  <c r="T140" i="16"/>
  <c r="G213" i="16"/>
  <c r="U55" i="16"/>
  <c r="F154" i="16"/>
  <c r="I126" i="16"/>
  <c r="AN182" i="16"/>
  <c r="AX30" i="7"/>
  <c r="AZ32" i="7"/>
  <c r="AX24" i="7"/>
  <c r="AZ13" i="7"/>
  <c r="M79" i="27"/>
  <c r="O101" i="4"/>
  <c r="Q20" i="11"/>
  <c r="T96" i="4"/>
  <c r="N17" i="4"/>
  <c r="N19" i="4" s="1"/>
  <c r="T27" i="8"/>
  <c r="J20" i="10"/>
  <c r="I50" i="10"/>
  <c r="K66" i="10"/>
  <c r="AT18" i="7"/>
  <c r="AX13" i="7"/>
  <c r="AA2" i="8"/>
  <c r="G21" i="8"/>
  <c r="I27" i="8"/>
  <c r="V60" i="4"/>
  <c r="S33" i="9"/>
  <c r="S41" i="9" s="1"/>
  <c r="F100" i="9"/>
  <c r="F101" i="9" s="1"/>
  <c r="K9" i="10"/>
  <c r="T47" i="10"/>
  <c r="K71" i="10"/>
  <c r="K72" i="10" s="1"/>
  <c r="I3" i="13"/>
  <c r="I8" i="13" s="1"/>
  <c r="L37" i="13"/>
  <c r="M60" i="13"/>
  <c r="L94" i="13"/>
  <c r="AJ25" i="16"/>
  <c r="F4" i="20"/>
  <c r="M22" i="16"/>
  <c r="M23" i="16" s="1"/>
  <c r="E4" i="20"/>
  <c r="K86" i="10"/>
  <c r="I101" i="10"/>
  <c r="I101" i="13"/>
  <c r="AH108" i="16"/>
  <c r="AH109" i="16"/>
  <c r="AH110" i="16"/>
  <c r="AH106" i="16"/>
  <c r="M137" i="16"/>
  <c r="L43" i="17"/>
  <c r="T121" i="4"/>
  <c r="O27" i="8"/>
  <c r="U57" i="4"/>
  <c r="O67" i="4"/>
  <c r="E22" i="10"/>
  <c r="F23" i="10" s="1"/>
  <c r="AY13" i="7"/>
  <c r="V25" i="4"/>
  <c r="V65" i="4"/>
  <c r="C33" i="6"/>
  <c r="U24" i="11"/>
  <c r="L65" i="4"/>
  <c r="L69" i="4"/>
  <c r="V7" i="10"/>
  <c r="I13" i="10"/>
  <c r="M20" i="10"/>
  <c r="D51" i="10"/>
  <c r="E54" i="10"/>
  <c r="F77" i="10"/>
  <c r="S8" i="11"/>
  <c r="I7" i="13"/>
  <c r="P37" i="13"/>
  <c r="D84" i="15"/>
  <c r="D87" i="15" s="1"/>
  <c r="D89" i="15" s="1"/>
  <c r="M82" i="15"/>
  <c r="N28" i="11" s="1"/>
  <c r="Q101" i="4" s="1"/>
  <c r="P84" i="15"/>
  <c r="M11" i="16"/>
  <c r="V13" i="16"/>
  <c r="AA85" i="16"/>
  <c r="AL109" i="16"/>
  <c r="AL110" i="16"/>
  <c r="AZ114" i="16"/>
  <c r="Q67" i="4"/>
  <c r="AS156" i="16"/>
  <c r="H10" i="8"/>
  <c r="C16" i="6"/>
  <c r="C49" i="6" s="1"/>
  <c r="J22" i="6"/>
  <c r="V18" i="4"/>
  <c r="V19" i="4" s="1"/>
  <c r="O72" i="4"/>
  <c r="J5" i="6"/>
  <c r="J40" i="6" s="1"/>
  <c r="J41" i="6" s="1"/>
  <c r="Z12" i="8"/>
  <c r="J17" i="8"/>
  <c r="M204" i="16" s="1"/>
  <c r="V50" i="4"/>
  <c r="H99" i="9"/>
  <c r="T99" i="9"/>
  <c r="E91" i="10"/>
  <c r="E7" i="10"/>
  <c r="E50" i="10"/>
  <c r="P62" i="10"/>
  <c r="K84" i="10"/>
  <c r="H64" i="13"/>
  <c r="L131" i="13"/>
  <c r="L133" i="13" s="1"/>
  <c r="K136" i="13"/>
  <c r="H68" i="14"/>
  <c r="H71" i="14" s="1"/>
  <c r="P26" i="11"/>
  <c r="S103" i="4" s="1"/>
  <c r="L139" i="15"/>
  <c r="O153" i="15"/>
  <c r="AS47" i="16"/>
  <c r="AS48" i="16"/>
  <c r="AS46" i="16"/>
  <c r="AP185" i="16"/>
  <c r="AP189" i="16"/>
  <c r="Y5" i="7"/>
  <c r="AC13" i="7" s="1"/>
  <c r="H5" i="6"/>
  <c r="H40" i="6" s="1"/>
  <c r="I41" i="6" s="1"/>
  <c r="AB12" i="8"/>
  <c r="X58" i="4"/>
  <c r="I99" i="9"/>
  <c r="X57" i="4"/>
  <c r="N69" i="4"/>
  <c r="D48" i="10"/>
  <c r="G54" i="10"/>
  <c r="E62" i="10"/>
  <c r="K31" i="13"/>
  <c r="I84" i="13"/>
  <c r="AN44" i="16"/>
  <c r="AN49" i="16"/>
  <c r="AN25" i="16"/>
  <c r="AN50" i="16"/>
  <c r="AH24" i="7"/>
  <c r="S65" i="4"/>
  <c r="T11" i="12"/>
  <c r="T9" i="12" s="1"/>
  <c r="T33" i="9"/>
  <c r="T41" i="9" s="1"/>
  <c r="AK46" i="7"/>
  <c r="U11" i="12"/>
  <c r="U9" i="12" s="1"/>
  <c r="U33" i="9"/>
  <c r="U41" i="9" s="1"/>
  <c r="W53" i="4"/>
  <c r="W55" i="4"/>
  <c r="V67" i="4"/>
  <c r="X59" i="4"/>
  <c r="Y125" i="4"/>
  <c r="AS31" i="7"/>
  <c r="K50" i="4"/>
  <c r="G5" i="10"/>
  <c r="F23" i="6" s="1"/>
  <c r="T40" i="10"/>
  <c r="K5" i="21" s="1"/>
  <c r="F62" i="10"/>
  <c r="R71" i="10"/>
  <c r="R72" i="10" s="1"/>
  <c r="F75" i="10"/>
  <c r="G11" i="13"/>
  <c r="T11" i="13"/>
  <c r="L136" i="13"/>
  <c r="T49" i="15"/>
  <c r="T84" i="15" s="1"/>
  <c r="V139" i="16"/>
  <c r="V143" i="16" s="1"/>
  <c r="O73" i="4"/>
  <c r="AJ36" i="7"/>
  <c r="I7" i="8"/>
  <c r="AJ7" i="8" s="1"/>
  <c r="L49" i="4"/>
  <c r="O61" i="4"/>
  <c r="W39" i="6"/>
  <c r="P69" i="4"/>
  <c r="U80" i="10"/>
  <c r="F9" i="10"/>
  <c r="T22" i="10"/>
  <c r="I54" i="10"/>
  <c r="G75" i="10"/>
  <c r="O98" i="10"/>
  <c r="I11" i="13"/>
  <c r="Q28" i="13"/>
  <c r="R34" i="13"/>
  <c r="S37" i="13"/>
  <c r="F71" i="14"/>
  <c r="E24" i="16"/>
  <c r="E50" i="16" s="1"/>
  <c r="AK194" i="16"/>
  <c r="AN57" i="16"/>
  <c r="AN54" i="16"/>
  <c r="K74" i="4"/>
  <c r="W74" i="4"/>
  <c r="L17" i="4"/>
  <c r="V79" i="4"/>
  <c r="D8" i="8"/>
  <c r="D9" i="8" s="1"/>
  <c r="E2" i="8" s="1"/>
  <c r="N65" i="12"/>
  <c r="Z66" i="4"/>
  <c r="X49" i="9"/>
  <c r="Y49" i="9" s="1"/>
  <c r="E65" i="9"/>
  <c r="E5" i="12" s="1"/>
  <c r="J5" i="10"/>
  <c r="I23" i="6" s="1"/>
  <c r="G20" i="10"/>
  <c r="L68" i="13"/>
  <c r="M67" i="13"/>
  <c r="E101" i="13"/>
  <c r="AQ33" i="16"/>
  <c r="AS33" i="16"/>
  <c r="BL38" i="16"/>
  <c r="BM38" i="16"/>
  <c r="AP58" i="16"/>
  <c r="AB66" i="16"/>
  <c r="Q70" i="16"/>
  <c r="R82" i="16"/>
  <c r="I9" i="10"/>
  <c r="H21" i="10"/>
  <c r="D25" i="10"/>
  <c r="D27" i="10" s="1"/>
  <c r="R48" i="10"/>
  <c r="L52" i="10"/>
  <c r="L54" i="10" s="1"/>
  <c r="J62" i="10"/>
  <c r="H86" i="10"/>
  <c r="P7" i="13"/>
  <c r="G3" i="13"/>
  <c r="G8" i="13" s="1"/>
  <c r="F40" i="13"/>
  <c r="C84" i="15"/>
  <c r="C87" i="15" s="1"/>
  <c r="M9" i="11"/>
  <c r="P94" i="4" s="1"/>
  <c r="AR57" i="16"/>
  <c r="BP38" i="16"/>
  <c r="BT39" i="16" s="1"/>
  <c r="BQ38" i="16"/>
  <c r="BU39" i="16" s="1"/>
  <c r="AR39" i="16"/>
  <c r="AR55" i="16"/>
  <c r="V70" i="12"/>
  <c r="I86" i="10"/>
  <c r="N20" i="4"/>
  <c r="E7" i="13"/>
  <c r="Q7" i="13"/>
  <c r="I23" i="13"/>
  <c r="I32" i="13" s="1"/>
  <c r="H119" i="15"/>
  <c r="H140" i="15" s="1"/>
  <c r="H144" i="15" s="1"/>
  <c r="H146" i="15" s="1"/>
  <c r="M6" i="11"/>
  <c r="P89" i="4" s="1"/>
  <c r="AF183" i="16"/>
  <c r="AF182" i="16"/>
  <c r="M43" i="17"/>
  <c r="R68" i="35"/>
  <c r="R71" i="35"/>
  <c r="R65" i="35"/>
  <c r="AB13" i="16"/>
  <c r="H64" i="16"/>
  <c r="AB90" i="16"/>
  <c r="AP109" i="16"/>
  <c r="U140" i="16"/>
  <c r="AN159" i="16"/>
  <c r="AR163" i="16"/>
  <c r="AR183" i="16"/>
  <c r="F213" i="16"/>
  <c r="U248" i="16"/>
  <c r="L16" i="17"/>
  <c r="I34" i="17"/>
  <c r="P19" i="19"/>
  <c r="M21" i="23"/>
  <c r="M25" i="23" s="1"/>
  <c r="S53" i="24"/>
  <c r="S103" i="24" s="1"/>
  <c r="C14" i="29"/>
  <c r="C29" i="29" s="1"/>
  <c r="T4" i="35"/>
  <c r="L11" i="35"/>
  <c r="V13" i="35"/>
  <c r="P28" i="35"/>
  <c r="P30" i="35" s="1"/>
  <c r="P51" i="35"/>
  <c r="G36" i="36"/>
  <c r="G53" i="36"/>
  <c r="G29" i="38"/>
  <c r="G31" i="38" s="1"/>
  <c r="F35" i="42"/>
  <c r="K57" i="45"/>
  <c r="R25" i="45" s="1"/>
  <c r="T25" i="45" s="1"/>
  <c r="V24" i="12"/>
  <c r="V71" i="10"/>
  <c r="V72" i="10" s="1"/>
  <c r="AS175" i="16"/>
  <c r="O19" i="29"/>
  <c r="G33" i="38"/>
  <c r="F21" i="42"/>
  <c r="G35" i="42"/>
  <c r="Y51" i="4"/>
  <c r="X22" i="9"/>
  <c r="Y22" i="9" s="1"/>
  <c r="V66" i="10"/>
  <c r="AS173" i="16"/>
  <c r="E71" i="14"/>
  <c r="G49" i="15"/>
  <c r="G84" i="15" s="1"/>
  <c r="D119" i="15"/>
  <c r="D140" i="15" s="1"/>
  <c r="D144" i="15" s="1"/>
  <c r="D146" i="15" s="1"/>
  <c r="L160" i="15"/>
  <c r="AJ19" i="16"/>
  <c r="AB52" i="16"/>
  <c r="AL50" i="16"/>
  <c r="J64" i="16"/>
  <c r="AN74" i="16"/>
  <c r="G82" i="16"/>
  <c r="N88" i="16"/>
  <c r="U114" i="16"/>
  <c r="AO102" i="16"/>
  <c r="AO103" i="16" s="1"/>
  <c r="Q126" i="16"/>
  <c r="R134" i="16"/>
  <c r="P135" i="16"/>
  <c r="P136" i="16" s="1"/>
  <c r="AL148" i="16"/>
  <c r="AJ179" i="16"/>
  <c r="AR184" i="16"/>
  <c r="I213" i="16"/>
  <c r="W248" i="16"/>
  <c r="N16" i="17"/>
  <c r="V56" i="10"/>
  <c r="V53" i="24"/>
  <c r="V103" i="24" s="1"/>
  <c r="S67" i="4"/>
  <c r="Q69" i="4"/>
  <c r="M13" i="35"/>
  <c r="M23" i="35"/>
  <c r="L58" i="35"/>
  <c r="G37" i="36"/>
  <c r="G54" i="36"/>
  <c r="X18" i="37"/>
  <c r="F68" i="38"/>
  <c r="H35" i="42"/>
  <c r="H40" i="42"/>
  <c r="D1" i="44"/>
  <c r="F122" i="16"/>
  <c r="K140" i="16"/>
  <c r="AR179" i="16"/>
  <c r="I12" i="18"/>
  <c r="I14" i="18"/>
  <c r="M87" i="24"/>
  <c r="M100" i="24" s="1"/>
  <c r="L23" i="35"/>
  <c r="G38" i="36"/>
  <c r="H21" i="42"/>
  <c r="P24" i="45"/>
  <c r="V39" i="12"/>
  <c r="BR102" i="16"/>
  <c r="AS102" i="16"/>
  <c r="T7" i="8"/>
  <c r="V7" i="8" s="1"/>
  <c r="AK23" i="16"/>
  <c r="H66" i="16"/>
  <c r="AR74" i="16"/>
  <c r="AS81" i="16"/>
  <c r="AY113" i="16"/>
  <c r="BK102" i="16"/>
  <c r="BL102" i="16" s="1"/>
  <c r="BP103" i="16" s="1"/>
  <c r="S126" i="16"/>
  <c r="AD149" i="16"/>
  <c r="AB162" i="16"/>
  <c r="AD163" i="16" s="1"/>
  <c r="N172" i="16"/>
  <c r="AA172" i="16" s="1"/>
  <c r="K175" i="16"/>
  <c r="AH185" i="16"/>
  <c r="AP211" i="16"/>
  <c r="X260" i="16"/>
  <c r="P23" i="17"/>
  <c r="O32" i="17"/>
  <c r="P12" i="19"/>
  <c r="H1" i="20"/>
  <c r="N75" i="37"/>
  <c r="G29" i="43"/>
  <c r="G31" i="43" s="1"/>
  <c r="G32" i="43" s="1"/>
  <c r="V27" i="12"/>
  <c r="V33" i="9"/>
  <c r="V41" i="9" s="1"/>
  <c r="AY18" i="7"/>
  <c r="AR189" i="16"/>
  <c r="K14" i="18"/>
  <c r="I37" i="18"/>
  <c r="J9" i="13" s="1"/>
  <c r="O15" i="19"/>
  <c r="O16" i="19" s="1"/>
  <c r="P95" i="24"/>
  <c r="P98" i="24" s="1"/>
  <c r="E21" i="32"/>
  <c r="H12" i="32"/>
  <c r="S9" i="35"/>
  <c r="Q31" i="35"/>
  <c r="Q33" i="35" s="1"/>
  <c r="I49" i="35"/>
  <c r="P52" i="35"/>
  <c r="S54" i="35"/>
  <c r="U58" i="35"/>
  <c r="H7" i="36"/>
  <c r="G56" i="36"/>
  <c r="X16" i="37"/>
  <c r="J38" i="37"/>
  <c r="Q65" i="37"/>
  <c r="P8" i="40"/>
  <c r="D24" i="42"/>
  <c r="I11" i="45"/>
  <c r="I14" i="45" s="1"/>
  <c r="I16" i="45" s="1"/>
  <c r="V77" i="9"/>
  <c r="V27" i="14"/>
  <c r="V30" i="12"/>
  <c r="V12" i="12"/>
  <c r="AY17" i="7"/>
  <c r="M17" i="33"/>
  <c r="R13" i="35"/>
  <c r="L15" i="35"/>
  <c r="N22" i="35"/>
  <c r="N23" i="35" s="1"/>
  <c r="O46" i="35"/>
  <c r="D63" i="35"/>
  <c r="G8" i="36"/>
  <c r="H46" i="36"/>
  <c r="W19" i="37"/>
  <c r="X33" i="37"/>
  <c r="Q75" i="37"/>
  <c r="C9" i="42"/>
  <c r="C29" i="43"/>
  <c r="C31" i="43" s="1"/>
  <c r="E40" i="45"/>
  <c r="AY28" i="7"/>
  <c r="BC36" i="7" s="1"/>
  <c r="AL122" i="16"/>
  <c r="N142" i="16"/>
  <c r="H34" i="17"/>
  <c r="F124" i="16"/>
  <c r="M14" i="18"/>
  <c r="I53" i="24"/>
  <c r="I103" i="24" s="1"/>
  <c r="I87" i="24"/>
  <c r="I100" i="24" s="1"/>
  <c r="T102" i="24"/>
  <c r="P9" i="25"/>
  <c r="I13" i="35"/>
  <c r="S15" i="35"/>
  <c r="T24" i="35"/>
  <c r="K49" i="35"/>
  <c r="E52" i="35"/>
  <c r="I29" i="44"/>
  <c r="E6" i="45"/>
  <c r="E11" i="45" s="1"/>
  <c r="W126" i="16"/>
  <c r="AP128" i="16"/>
  <c r="L134" i="16"/>
  <c r="AJ182" i="16"/>
  <c r="AR186" i="16"/>
  <c r="AN198" i="16"/>
  <c r="Q16" i="17"/>
  <c r="N14" i="18"/>
  <c r="P67" i="12"/>
  <c r="J87" i="24"/>
  <c r="J100" i="24" s="1"/>
  <c r="S4" i="25"/>
  <c r="H21" i="32"/>
  <c r="V15" i="35"/>
  <c r="M81" i="35"/>
  <c r="M86" i="35" s="1"/>
  <c r="M88" i="35" s="1"/>
  <c r="I54" i="35"/>
  <c r="Y16" i="37"/>
  <c r="G62" i="38"/>
  <c r="T12" i="45"/>
  <c r="V97" i="10"/>
  <c r="V14" i="14"/>
  <c r="W11" i="14" s="1"/>
  <c r="W13" i="14" s="1"/>
  <c r="X13" i="14" s="1"/>
  <c r="Y13" i="14" s="1"/>
  <c r="Z13" i="14" s="1"/>
  <c r="AA13" i="14" s="1"/>
  <c r="AB13" i="14" s="1"/>
  <c r="AC13" i="14" s="1"/>
  <c r="AD13" i="14" s="1"/>
  <c r="AE13" i="14" s="1"/>
  <c r="AF13" i="14" s="1"/>
  <c r="AG13" i="14" s="1"/>
  <c r="V94" i="10"/>
  <c r="V15" i="12"/>
  <c r="V76" i="12"/>
  <c r="V91" i="10"/>
  <c r="U80" i="14"/>
  <c r="O160" i="15"/>
  <c r="H13" i="16"/>
  <c r="AY114" i="16"/>
  <c r="AL124" i="16"/>
  <c r="X126" i="16"/>
  <c r="F138" i="16"/>
  <c r="AR212" i="16"/>
  <c r="L3" i="17"/>
  <c r="M12" i="16" s="1"/>
  <c r="O38" i="18"/>
  <c r="S28" i="35"/>
  <c r="S30" i="35" s="1"/>
  <c r="H31" i="35"/>
  <c r="U13" i="35"/>
  <c r="E17" i="35"/>
  <c r="I28" i="35"/>
  <c r="M43" i="35"/>
  <c r="G28" i="35"/>
  <c r="I55" i="35"/>
  <c r="F63" i="35"/>
  <c r="D77" i="35"/>
  <c r="G34" i="36"/>
  <c r="F6" i="40"/>
  <c r="C40" i="42"/>
  <c r="F29" i="43"/>
  <c r="F31" i="43" s="1"/>
  <c r="D61" i="43"/>
  <c r="F71" i="43"/>
  <c r="F72" i="43" s="1"/>
  <c r="F77" i="43" s="1"/>
  <c r="G30" i="46"/>
  <c r="V61" i="12"/>
  <c r="I49" i="15"/>
  <c r="J18" i="11" s="1"/>
  <c r="J20" i="11" s="1"/>
  <c r="P24" i="11"/>
  <c r="S104" i="4" s="1"/>
  <c r="N6" i="11"/>
  <c r="Q89" i="4" s="1"/>
  <c r="AF164" i="16"/>
  <c r="J120" i="16"/>
  <c r="M134" i="16"/>
  <c r="AF155" i="16"/>
  <c r="I173" i="16"/>
  <c r="AR198" i="16"/>
  <c r="AT215" i="16" s="1"/>
  <c r="K1" i="17"/>
  <c r="O9" i="19"/>
  <c r="D30" i="10"/>
  <c r="M53" i="24"/>
  <c r="M103" i="24" s="1"/>
  <c r="R24" i="35"/>
  <c r="K55" i="35"/>
  <c r="D35" i="42"/>
  <c r="V73" i="12"/>
  <c r="BR38" i="16"/>
  <c r="BR39" i="16" s="1"/>
  <c r="AS38" i="16"/>
  <c r="W169" i="16"/>
  <c r="AS168" i="16"/>
  <c r="AU169" i="16" s="1"/>
  <c r="J43" i="17"/>
  <c r="H21" i="23"/>
  <c r="H28" i="35"/>
  <c r="U28" i="35"/>
  <c r="U30" i="35" s="1"/>
  <c r="O28" i="35"/>
  <c r="O30" i="35" s="1"/>
  <c r="T46" i="35"/>
  <c r="P6" i="40"/>
  <c r="E35" i="42"/>
  <c r="V51" i="12"/>
  <c r="W177" i="16"/>
  <c r="AS176" i="16"/>
  <c r="AU177" i="16" s="1"/>
  <c r="AY31" i="7"/>
  <c r="X122" i="16"/>
  <c r="AQ102" i="16"/>
  <c r="BN102" i="16"/>
  <c r="AC3" i="16"/>
  <c r="J11" i="16"/>
  <c r="W13" i="16"/>
  <c r="M64" i="16"/>
  <c r="AI172" i="16"/>
  <c r="H24" i="16"/>
  <c r="H50" i="16" s="1"/>
  <c r="K11" i="16"/>
  <c r="J66" i="16"/>
  <c r="S72" i="16"/>
  <c r="F82" i="16"/>
  <c r="V120" i="16"/>
  <c r="R136" i="16"/>
  <c r="AG170" i="16"/>
  <c r="AK172" i="16"/>
  <c r="AM173" i="16" s="1"/>
  <c r="AC23" i="16"/>
  <c r="L66" i="16"/>
  <c r="L70" i="16"/>
  <c r="J82" i="16"/>
  <c r="H86" i="16"/>
  <c r="G120" i="16"/>
  <c r="S122" i="16"/>
  <c r="AI170" i="16"/>
  <c r="J175" i="16"/>
  <c r="AN216" i="16"/>
  <c r="U124" i="16"/>
  <c r="S13" i="16"/>
  <c r="Q23" i="16"/>
  <c r="E73" i="16"/>
  <c r="E78" i="16" s="1"/>
  <c r="I64" i="16"/>
  <c r="M66" i="16"/>
  <c r="F70" i="16"/>
  <c r="G134" i="16"/>
  <c r="K127" i="16"/>
  <c r="U142" i="16"/>
  <c r="U169" i="16"/>
  <c r="J171" i="16"/>
  <c r="W173" i="16"/>
  <c r="AM22" i="16"/>
  <c r="AM23" i="16" s="1"/>
  <c r="W171" i="16"/>
  <c r="W156" i="16"/>
  <c r="R70" i="16"/>
  <c r="V122" i="16"/>
  <c r="T124" i="16"/>
  <c r="J134" i="16"/>
  <c r="AI133" i="16"/>
  <c r="AI119" i="16" s="1"/>
  <c r="K138" i="16"/>
  <c r="BB49" i="8"/>
  <c r="M4" i="8"/>
  <c r="N4" i="8"/>
  <c r="BB42" i="8"/>
  <c r="BE37" i="8"/>
  <c r="J9" i="25"/>
  <c r="AF2" i="8"/>
  <c r="P198" i="16"/>
  <c r="AD12" i="8"/>
  <c r="AF12" i="8"/>
  <c r="AX18" i="8"/>
  <c r="J4" i="8"/>
  <c r="AR219" i="16"/>
  <c r="AE4" i="8"/>
  <c r="AF1" i="8"/>
  <c r="E4" i="8"/>
  <c r="J219" i="16"/>
  <c r="L9" i="25"/>
  <c r="X5" i="7"/>
  <c r="X18" i="7" s="1"/>
  <c r="AL30" i="7"/>
  <c r="AN36" i="7"/>
  <c r="T5" i="7"/>
  <c r="U23" i="7"/>
  <c r="AK30" i="7"/>
  <c r="N28" i="7"/>
  <c r="AK13" i="7"/>
  <c r="AM13" i="7"/>
  <c r="AW17" i="7"/>
  <c r="Q18" i="7"/>
  <c r="AQ13" i="7"/>
  <c r="V12" i="7"/>
  <c r="W12" i="7"/>
  <c r="Z12" i="7"/>
  <c r="H22" i="7"/>
  <c r="L30" i="7" s="1"/>
  <c r="AA5" i="7"/>
  <c r="AA13" i="7" s="1"/>
  <c r="AR22" i="7"/>
  <c r="AV30" i="7" s="1"/>
  <c r="AU18" i="7"/>
  <c r="J22" i="7"/>
  <c r="R31" i="7"/>
  <c r="O11" i="7"/>
  <c r="O23" i="7"/>
  <c r="AC12" i="7"/>
  <c r="AJ13" i="7"/>
  <c r="X17" i="7"/>
  <c r="AQ23" i="7"/>
  <c r="AQ31" i="7" s="1"/>
  <c r="AI13" i="7"/>
  <c r="AW13" i="7"/>
  <c r="AE12" i="7"/>
  <c r="X31" i="7"/>
  <c r="Q28" i="7"/>
  <c r="R12" i="7"/>
  <c r="P11" i="7"/>
  <c r="AC18" i="7"/>
  <c r="AI31" i="7"/>
  <c r="AC28" i="7"/>
  <c r="V17" i="7"/>
  <c r="AW18" i="7"/>
  <c r="AL31" i="7"/>
  <c r="W122" i="16"/>
  <c r="X120" i="16"/>
  <c r="W154" i="16"/>
  <c r="W178" i="16"/>
  <c r="V80" i="10"/>
  <c r="V14" i="10"/>
  <c r="V57" i="10" s="1"/>
  <c r="W89" i="16"/>
  <c r="W90" i="16" s="1"/>
  <c r="O12" i="20"/>
  <c r="U12" i="18"/>
  <c r="X12" i="16"/>
  <c r="AU12" i="16" s="1"/>
  <c r="O48" i="4"/>
  <c r="O47" i="4" s="1"/>
  <c r="M73" i="13"/>
  <c r="M75" i="13" s="1"/>
  <c r="K40" i="6"/>
  <c r="X46" i="4"/>
  <c r="AS13" i="7"/>
  <c r="AI24" i="7"/>
  <c r="V101" i="4"/>
  <c r="T71" i="5"/>
  <c r="T41" i="6"/>
  <c r="U12" i="7"/>
  <c r="AJ30" i="7"/>
  <c r="AJ24" i="7"/>
  <c r="AH31" i="7"/>
  <c r="L7" i="8"/>
  <c r="L31" i="8" s="1"/>
  <c r="AZ42" i="8"/>
  <c r="P48" i="10"/>
  <c r="P47" i="10"/>
  <c r="K71" i="27"/>
  <c r="T70" i="16"/>
  <c r="S70" i="16"/>
  <c r="T136" i="16"/>
  <c r="T143" i="16"/>
  <c r="T151" i="16" s="1"/>
  <c r="T34" i="17"/>
  <c r="S34" i="17"/>
  <c r="U25" i="35"/>
  <c r="U9" i="35"/>
  <c r="V9" i="35"/>
  <c r="M75" i="37"/>
  <c r="R18" i="8"/>
  <c r="BB18" i="8" s="1"/>
  <c r="U31" i="4"/>
  <c r="R11" i="7"/>
  <c r="R22" i="7"/>
  <c r="R24" i="7" s="1"/>
  <c r="AG30" i="8"/>
  <c r="AI2" i="8"/>
  <c r="AG2" i="8"/>
  <c r="AP5" i="8"/>
  <c r="AO5" i="8"/>
  <c r="H40" i="10"/>
  <c r="H21" i="19" s="1"/>
  <c r="H5" i="10"/>
  <c r="G23" i="6" s="1"/>
  <c r="H18" i="12"/>
  <c r="H91" i="10"/>
  <c r="I20" i="10"/>
  <c r="U4" i="35"/>
  <c r="U68" i="35" s="1"/>
  <c r="U16" i="35"/>
  <c r="U37" i="35" s="1"/>
  <c r="U38" i="35" s="1"/>
  <c r="U7" i="35"/>
  <c r="T31" i="4"/>
  <c r="T32" i="4"/>
  <c r="O18" i="8"/>
  <c r="AV18" i="8" s="1"/>
  <c r="K18" i="4"/>
  <c r="Q72" i="4"/>
  <c r="L6" i="6"/>
  <c r="AF17" i="7"/>
  <c r="AB28" i="7"/>
  <c r="AF36" i="7" s="1"/>
  <c r="T204" i="16"/>
  <c r="AZ17" i="8"/>
  <c r="Q53" i="8"/>
  <c r="AZ53" i="8" s="1"/>
  <c r="AZ49" i="8"/>
  <c r="Q55" i="4"/>
  <c r="R121" i="4"/>
  <c r="R125" i="4"/>
  <c r="J44" i="10"/>
  <c r="I53" i="10"/>
  <c r="L71" i="10"/>
  <c r="O20" i="4"/>
  <c r="L62" i="10"/>
  <c r="K22" i="27"/>
  <c r="H22" i="8"/>
  <c r="AH22" i="8" s="1"/>
  <c r="S95" i="15"/>
  <c r="S119" i="15" s="1"/>
  <c r="S140" i="15" s="1"/>
  <c r="S144" i="15" s="1"/>
  <c r="R23" i="8"/>
  <c r="BB23" i="8" s="1"/>
  <c r="O24" i="8"/>
  <c r="AV24" i="8" s="1"/>
  <c r="T35" i="4"/>
  <c r="U13" i="16"/>
  <c r="T13" i="16"/>
  <c r="J12" i="10"/>
  <c r="K85" i="16"/>
  <c r="J9" i="18"/>
  <c r="J14" i="18"/>
  <c r="J1" i="18"/>
  <c r="L81" i="16"/>
  <c r="M82" i="16" s="1"/>
  <c r="J37" i="18"/>
  <c r="K9" i="13" s="1"/>
  <c r="J12" i="18"/>
  <c r="K6" i="10"/>
  <c r="K12" i="18"/>
  <c r="H14" i="36"/>
  <c r="H19" i="36"/>
  <c r="H17" i="36"/>
  <c r="H15" i="36"/>
  <c r="F28" i="36"/>
  <c r="H18" i="36"/>
  <c r="H16" i="36"/>
  <c r="X19" i="37"/>
  <c r="E53" i="35"/>
  <c r="T95" i="15"/>
  <c r="T119" i="15" s="1"/>
  <c r="T140" i="15" s="1"/>
  <c r="T144" i="15" s="1"/>
  <c r="S23" i="8"/>
  <c r="BD23" i="8" s="1"/>
  <c r="R195" i="16"/>
  <c r="AV19" i="8"/>
  <c r="N71" i="10"/>
  <c r="N72" i="10" s="1"/>
  <c r="L10" i="8"/>
  <c r="AP10" i="8" s="1"/>
  <c r="P102" i="24"/>
  <c r="T197" i="16"/>
  <c r="AZ20" i="8"/>
  <c r="Q85" i="24"/>
  <c r="F10" i="35"/>
  <c r="F52" i="35" s="1"/>
  <c r="Y31" i="37"/>
  <c r="U35" i="4"/>
  <c r="V121" i="4"/>
  <c r="Q27" i="8"/>
  <c r="S11" i="16"/>
  <c r="AK10" i="16"/>
  <c r="AK11" i="16" s="1"/>
  <c r="BB19" i="8"/>
  <c r="I8" i="8"/>
  <c r="AJ8" i="8" s="1"/>
  <c r="K40" i="10"/>
  <c r="J23" i="18" s="1"/>
  <c r="T101" i="10"/>
  <c r="W32" i="4"/>
  <c r="S79" i="27"/>
  <c r="R27" i="11"/>
  <c r="U106" i="4" s="1"/>
  <c r="U101" i="4"/>
  <c r="T123" i="13"/>
  <c r="U105" i="16"/>
  <c r="U41" i="16"/>
  <c r="T11" i="16"/>
  <c r="V54" i="16"/>
  <c r="V56" i="16"/>
  <c r="V57" i="16"/>
  <c r="V55" i="16"/>
  <c r="AG61" i="16"/>
  <c r="AG62" i="16" s="1"/>
  <c r="Q62" i="16"/>
  <c r="M5" i="6"/>
  <c r="M6" i="6" s="1"/>
  <c r="O22" i="6"/>
  <c r="O40" i="6" s="1"/>
  <c r="P41" i="6" s="1"/>
  <c r="O5" i="6"/>
  <c r="C3" i="26" s="1"/>
  <c r="D3" i="26" s="1"/>
  <c r="D11" i="26" s="1"/>
  <c r="S17" i="4"/>
  <c r="S19" i="4" s="1"/>
  <c r="L20" i="10"/>
  <c r="K16" i="27"/>
  <c r="H17" i="8"/>
  <c r="U123" i="13"/>
  <c r="L153" i="15"/>
  <c r="M70" i="13"/>
  <c r="M80" i="13" s="1"/>
  <c r="R95" i="13"/>
  <c r="Q160" i="15"/>
  <c r="V132" i="16"/>
  <c r="V105" i="16"/>
  <c r="V41" i="16"/>
  <c r="Z52" i="16"/>
  <c r="Z51" i="16"/>
  <c r="AI61" i="16"/>
  <c r="R62" i="16"/>
  <c r="AC23" i="7"/>
  <c r="AG31" i="7" s="1"/>
  <c r="AB12" i="7"/>
  <c r="AF12" i="7"/>
  <c r="Z17" i="7"/>
  <c r="O22" i="7"/>
  <c r="O30" i="7" s="1"/>
  <c r="AU28" i="7"/>
  <c r="AU21" i="8"/>
  <c r="AU3" i="8" s="1"/>
  <c r="BL18" i="8"/>
  <c r="BB22" i="8"/>
  <c r="T60" i="4"/>
  <c r="H50" i="12"/>
  <c r="H51" i="12" s="1"/>
  <c r="K72" i="4"/>
  <c r="U99" i="9"/>
  <c r="P5" i="6"/>
  <c r="Q5" i="10"/>
  <c r="P23" i="6" s="1"/>
  <c r="W21" i="4"/>
  <c r="W25" i="4" s="1"/>
  <c r="T80" i="10"/>
  <c r="L16" i="27"/>
  <c r="I17" i="8"/>
  <c r="L204" i="16" s="1"/>
  <c r="N28" i="4"/>
  <c r="N27" i="4" s="1"/>
  <c r="R37" i="13"/>
  <c r="P79" i="27"/>
  <c r="O27" i="11"/>
  <c r="R106" i="4" s="1"/>
  <c r="M153" i="15"/>
  <c r="N70" i="13"/>
  <c r="R160" i="15"/>
  <c r="S157" i="15" s="1"/>
  <c r="T89" i="13" s="1"/>
  <c r="T101" i="13" s="1"/>
  <c r="S95" i="13"/>
  <c r="J156" i="16"/>
  <c r="J157" i="16" s="1"/>
  <c r="J84" i="16"/>
  <c r="T114" i="16"/>
  <c r="T115" i="16"/>
  <c r="T112" i="16"/>
  <c r="U26" i="22"/>
  <c r="V26" i="22" s="1"/>
  <c r="W26" i="22" s="1"/>
  <c r="X26" i="22" s="1"/>
  <c r="T21" i="13"/>
  <c r="T24" i="22"/>
  <c r="T18" i="13" s="1"/>
  <c r="T19" i="13" s="1"/>
  <c r="S20" i="4"/>
  <c r="L36" i="7"/>
  <c r="O17" i="4"/>
  <c r="O19" i="4" s="1"/>
  <c r="AB17" i="7"/>
  <c r="AW28" i="7"/>
  <c r="BA36" i="7" s="1"/>
  <c r="AF50" i="7"/>
  <c r="J11" i="8"/>
  <c r="AL11" i="8" s="1"/>
  <c r="AL10" i="8" s="1"/>
  <c r="Q18" i="8"/>
  <c r="AZ18" i="8" s="1"/>
  <c r="U60" i="4"/>
  <c r="R13" i="10"/>
  <c r="Q13" i="10"/>
  <c r="M65" i="13"/>
  <c r="X60" i="16"/>
  <c r="X105" i="16"/>
  <c r="X41" i="16"/>
  <c r="X132" i="16"/>
  <c r="F175" i="16"/>
  <c r="AV12" i="7"/>
  <c r="AR12" i="7"/>
  <c r="AR23" i="7"/>
  <c r="L66" i="10"/>
  <c r="O37" i="13"/>
  <c r="P73" i="13"/>
  <c r="R48" i="4"/>
  <c r="R47" i="4" s="1"/>
  <c r="Z178" i="16"/>
  <c r="Z185" i="16" s="1"/>
  <c r="Z156" i="16"/>
  <c r="X25" i="4"/>
  <c r="Q17" i="4"/>
  <c r="Q19" i="4" s="1"/>
  <c r="AY21" i="8"/>
  <c r="AY25" i="8" s="1"/>
  <c r="BN18" i="8"/>
  <c r="T50" i="4"/>
  <c r="I75" i="12"/>
  <c r="I76" i="12" s="1"/>
  <c r="L53" i="4"/>
  <c r="F67" i="13"/>
  <c r="F68" i="13" s="1"/>
  <c r="E80" i="13"/>
  <c r="T48" i="4"/>
  <c r="T47" i="4" s="1"/>
  <c r="R73" i="13"/>
  <c r="R75" i="13" s="1"/>
  <c r="O74" i="13"/>
  <c r="O65" i="13" s="1"/>
  <c r="O80" i="13" s="1"/>
  <c r="O6" i="11"/>
  <c r="R89" i="4" s="1"/>
  <c r="S82" i="16"/>
  <c r="AH150" i="16"/>
  <c r="AH149" i="16"/>
  <c r="AH151" i="16"/>
  <c r="V52" i="35"/>
  <c r="V51" i="35"/>
  <c r="L35" i="27"/>
  <c r="N59" i="4"/>
  <c r="P68" i="10"/>
  <c r="R25" i="4"/>
  <c r="R74" i="4"/>
  <c r="L11" i="7"/>
  <c r="M22" i="7"/>
  <c r="M30" i="7" s="1"/>
  <c r="R5" i="7"/>
  <c r="R18" i="7" s="1"/>
  <c r="R28" i="7"/>
  <c r="BA21" i="8"/>
  <c r="AN205" i="16" s="1"/>
  <c r="BO18" i="8"/>
  <c r="H4" i="8"/>
  <c r="Q40" i="27"/>
  <c r="P24" i="9"/>
  <c r="S45" i="4" s="1"/>
  <c r="U50" i="4"/>
  <c r="J75" i="12"/>
  <c r="J76" i="12" s="1"/>
  <c r="M53" i="4"/>
  <c r="J53" i="14"/>
  <c r="K51" i="14" s="1"/>
  <c r="K52" i="14" s="1"/>
  <c r="M58" i="4"/>
  <c r="N23" i="13"/>
  <c r="N41" i="13" s="1"/>
  <c r="S23" i="13"/>
  <c r="S35" i="13" s="1"/>
  <c r="S28" i="13"/>
  <c r="G21" i="16"/>
  <c r="AJ147" i="16"/>
  <c r="AJ148" i="16"/>
  <c r="AJ144" i="16"/>
  <c r="AJ149" i="16"/>
  <c r="AJ151" i="16"/>
  <c r="AL144" i="16"/>
  <c r="O1" i="18"/>
  <c r="O30" i="18"/>
  <c r="O9" i="18"/>
  <c r="O17" i="18"/>
  <c r="O37" i="18"/>
  <c r="P9" i="13" s="1"/>
  <c r="P12" i="18"/>
  <c r="F51" i="35"/>
  <c r="S25" i="10"/>
  <c r="S27" i="10" s="1"/>
  <c r="S9" i="10"/>
  <c r="S248" i="16"/>
  <c r="O85" i="24"/>
  <c r="N60" i="9"/>
  <c r="N41" i="12" s="1"/>
  <c r="N42" i="12" s="1"/>
  <c r="Q41" i="6"/>
  <c r="Y23" i="7"/>
  <c r="Y12" i="7"/>
  <c r="T195" i="16"/>
  <c r="U216" i="16" s="1"/>
  <c r="AZ19" i="8"/>
  <c r="N40" i="10"/>
  <c r="N21" i="19" s="1"/>
  <c r="M22" i="6"/>
  <c r="M40" i="6" s="1"/>
  <c r="M41" i="6" s="1"/>
  <c r="P71" i="10"/>
  <c r="P72" i="10" s="1"/>
  <c r="N10" i="8"/>
  <c r="AT10" i="8" s="1"/>
  <c r="F79" i="10"/>
  <c r="F80" i="10" s="1"/>
  <c r="F86" i="10"/>
  <c r="T138" i="13"/>
  <c r="P62" i="16"/>
  <c r="G178" i="16"/>
  <c r="G190" i="16"/>
  <c r="G169" i="16"/>
  <c r="L19" i="4"/>
  <c r="Q20" i="4"/>
  <c r="AD1" i="8"/>
  <c r="AB1" i="8"/>
  <c r="X71" i="4"/>
  <c r="O74" i="4"/>
  <c r="Q25" i="4"/>
  <c r="L28" i="4"/>
  <c r="L27" i="4" s="1"/>
  <c r="M28" i="4"/>
  <c r="M27" i="4" s="1"/>
  <c r="X32" i="4"/>
  <c r="U49" i="4"/>
  <c r="N11" i="7"/>
  <c r="N22" i="7"/>
  <c r="N24" i="7" s="1"/>
  <c r="N5" i="7"/>
  <c r="N18" i="7" s="1"/>
  <c r="U5" i="7"/>
  <c r="U13" i="7" s="1"/>
  <c r="E21" i="8"/>
  <c r="AB18" i="8"/>
  <c r="M24" i="9"/>
  <c r="P45" i="4" s="1"/>
  <c r="U23" i="12"/>
  <c r="U24" i="12" s="1"/>
  <c r="X61" i="4"/>
  <c r="N5" i="10"/>
  <c r="M23" i="6" s="1"/>
  <c r="P66" i="10"/>
  <c r="R197" i="16"/>
  <c r="AV20" i="8"/>
  <c r="M71" i="10"/>
  <c r="M72" i="10" s="1"/>
  <c r="P20" i="4"/>
  <c r="AG63" i="16"/>
  <c r="R64" i="16"/>
  <c r="P1" i="17"/>
  <c r="O16" i="17"/>
  <c r="P65" i="16"/>
  <c r="P73" i="16" s="1"/>
  <c r="P16" i="17"/>
  <c r="P50" i="12"/>
  <c r="P51" i="12" s="1"/>
  <c r="S72" i="4"/>
  <c r="L40" i="10"/>
  <c r="E21" i="20" s="1"/>
  <c r="L5" i="10"/>
  <c r="K23" i="6" s="1"/>
  <c r="K22" i="6"/>
  <c r="L68" i="10"/>
  <c r="J7" i="8"/>
  <c r="R20" i="4"/>
  <c r="M10" i="8"/>
  <c r="AR10" i="8" s="1"/>
  <c r="R101" i="10"/>
  <c r="U32" i="4"/>
  <c r="J105" i="13"/>
  <c r="J57" i="13"/>
  <c r="K58" i="13" s="1"/>
  <c r="T54" i="16"/>
  <c r="T55" i="16"/>
  <c r="T57" i="16"/>
  <c r="Q18" i="18"/>
  <c r="R22" i="10"/>
  <c r="R24" i="10" s="1"/>
  <c r="S101" i="10"/>
  <c r="V31" i="4"/>
  <c r="K11" i="45"/>
  <c r="V35" i="4"/>
  <c r="AQ22" i="7"/>
  <c r="AQ30" i="7" s="1"/>
  <c r="AP22" i="7"/>
  <c r="AT30" i="7" s="1"/>
  <c r="AW21" i="8"/>
  <c r="AJ205" i="16" s="1"/>
  <c r="BM18" i="8"/>
  <c r="AS37" i="8"/>
  <c r="N55" i="4"/>
  <c r="G98" i="9"/>
  <c r="I65" i="9"/>
  <c r="I69" i="9" s="1"/>
  <c r="L68" i="4" s="1"/>
  <c r="Q66" i="10"/>
  <c r="O71" i="10"/>
  <c r="O72" i="10" s="1"/>
  <c r="N5" i="11"/>
  <c r="Q87" i="4" s="1"/>
  <c r="I67" i="13"/>
  <c r="H68" i="13"/>
  <c r="O13" i="16"/>
  <c r="AC12" i="16"/>
  <c r="AG81" i="16"/>
  <c r="E53" i="10"/>
  <c r="H62" i="10"/>
  <c r="AB121" i="16"/>
  <c r="AD122" i="16" s="1"/>
  <c r="AB84" i="16"/>
  <c r="AD84" i="16"/>
  <c r="AX116" i="16"/>
  <c r="M12" i="19"/>
  <c r="M9" i="19"/>
  <c r="T6" i="22"/>
  <c r="U69" i="16" s="1"/>
  <c r="U70" i="16" s="1"/>
  <c r="U20" i="16"/>
  <c r="U24" i="16" s="1"/>
  <c r="U44" i="16" s="1"/>
  <c r="H23" i="33"/>
  <c r="H26" i="33" s="1"/>
  <c r="E21" i="35"/>
  <c r="E69" i="35"/>
  <c r="Q25" i="35"/>
  <c r="Q27" i="35" s="1"/>
  <c r="Q9" i="35"/>
  <c r="R9" i="35"/>
  <c r="Q11" i="35"/>
  <c r="R11" i="35"/>
  <c r="Q28" i="35"/>
  <c r="Q30" i="35" s="1"/>
  <c r="V53" i="4"/>
  <c r="P17" i="7"/>
  <c r="AQ28" i="7"/>
  <c r="AE18" i="7"/>
  <c r="AH30" i="7"/>
  <c r="AU37" i="8"/>
  <c r="N15" i="12"/>
  <c r="S99" i="9"/>
  <c r="U71" i="4"/>
  <c r="R7" i="10"/>
  <c r="L25" i="10"/>
  <c r="L27" i="10" s="1"/>
  <c r="L9" i="10"/>
  <c r="U20" i="10"/>
  <c r="F51" i="10"/>
  <c r="F53" i="10"/>
  <c r="T68" i="10"/>
  <c r="P80" i="10"/>
  <c r="L7" i="13"/>
  <c r="U61" i="13"/>
  <c r="T64" i="13"/>
  <c r="J65" i="13"/>
  <c r="J48" i="13" s="1"/>
  <c r="K49" i="13" s="1"/>
  <c r="J64" i="13"/>
  <c r="AA12" i="16"/>
  <c r="V72" i="16"/>
  <c r="BA116" i="16"/>
  <c r="S120" i="16"/>
  <c r="AF124" i="16"/>
  <c r="O44" i="17"/>
  <c r="P123" i="16" s="1"/>
  <c r="U120" i="16"/>
  <c r="W64" i="16"/>
  <c r="R11" i="10"/>
  <c r="F50" i="10"/>
  <c r="O7" i="13"/>
  <c r="E11" i="13"/>
  <c r="F11" i="13"/>
  <c r="J3" i="13"/>
  <c r="D69" i="13"/>
  <c r="D80" i="13"/>
  <c r="L65" i="13"/>
  <c r="L64" i="13"/>
  <c r="Q123" i="13"/>
  <c r="O82" i="15"/>
  <c r="P28" i="11" s="1"/>
  <c r="T41" i="16"/>
  <c r="T105" i="16"/>
  <c r="P3" i="16"/>
  <c r="AE2" i="16"/>
  <c r="AE3" i="16" s="1"/>
  <c r="U72" i="16"/>
  <c r="K134" i="16"/>
  <c r="AF144" i="16"/>
  <c r="AF151" i="16"/>
  <c r="AF150" i="16"/>
  <c r="AF149" i="16"/>
  <c r="AF148" i="16"/>
  <c r="AF157" i="16"/>
  <c r="H178" i="16"/>
  <c r="H185" i="16" s="1"/>
  <c r="H190" i="16"/>
  <c r="I210" i="16" s="1"/>
  <c r="I169" i="16"/>
  <c r="H169" i="16"/>
  <c r="N135" i="16"/>
  <c r="N136" i="16" s="1"/>
  <c r="M46" i="10"/>
  <c r="M25" i="10" s="1"/>
  <c r="G122" i="16"/>
  <c r="M54" i="35"/>
  <c r="M55" i="35"/>
  <c r="N53" i="35"/>
  <c r="N54" i="35" s="1"/>
  <c r="G14" i="42"/>
  <c r="H5" i="42"/>
  <c r="G5" i="42"/>
  <c r="O19" i="13"/>
  <c r="J101" i="13"/>
  <c r="J84" i="13"/>
  <c r="M68" i="14"/>
  <c r="M71" i="14" s="1"/>
  <c r="G119" i="15"/>
  <c r="G140" i="15" s="1"/>
  <c r="G144" i="15" s="1"/>
  <c r="G146" i="15" s="1"/>
  <c r="G24" i="16"/>
  <c r="G49" i="16" s="1"/>
  <c r="AK61" i="16"/>
  <c r="S62" i="16"/>
  <c r="AD66" i="16"/>
  <c r="AF66" i="16"/>
  <c r="V142" i="16"/>
  <c r="Q190" i="16"/>
  <c r="AG168" i="16"/>
  <c r="G175" i="16"/>
  <c r="AR217" i="16"/>
  <c r="AP217" i="16"/>
  <c r="N65" i="24"/>
  <c r="M49" i="9"/>
  <c r="P66" i="4" s="1"/>
  <c r="AG13" i="7"/>
  <c r="AU13" i="7"/>
  <c r="X12" i="7"/>
  <c r="AJ31" i="7"/>
  <c r="AH12" i="8"/>
  <c r="AH10" i="8" s="1"/>
  <c r="AF18" i="8"/>
  <c r="BE21" i="8"/>
  <c r="R55" i="4"/>
  <c r="J65" i="9"/>
  <c r="J69" i="9" s="1"/>
  <c r="K56" i="27" s="1"/>
  <c r="S48" i="10"/>
  <c r="T50" i="10"/>
  <c r="Q62" i="10"/>
  <c r="D26" i="27"/>
  <c r="E5" i="11"/>
  <c r="D65" i="27" s="1"/>
  <c r="L31" i="11"/>
  <c r="O108" i="4" s="1"/>
  <c r="L20" i="11"/>
  <c r="D17" i="11"/>
  <c r="N11" i="12"/>
  <c r="N12" i="12" s="1"/>
  <c r="D3" i="13"/>
  <c r="D16" i="13" s="1"/>
  <c r="K11" i="13"/>
  <c r="K9" i="11"/>
  <c r="N94" i="4" s="1"/>
  <c r="O139" i="15"/>
  <c r="H11" i="16"/>
  <c r="AH49" i="16"/>
  <c r="AH42" i="16"/>
  <c r="AH50" i="16"/>
  <c r="AM61" i="16"/>
  <c r="T62" i="16"/>
  <c r="V113" i="16"/>
  <c r="V115" i="16"/>
  <c r="T122" i="16"/>
  <c r="AN128" i="16"/>
  <c r="AR147" i="16"/>
  <c r="AR151" i="16"/>
  <c r="AR150" i="16"/>
  <c r="AR144" i="16"/>
  <c r="J58" i="17"/>
  <c r="J54" i="17"/>
  <c r="J55" i="17" s="1"/>
  <c r="Q25" i="24"/>
  <c r="O51" i="24"/>
  <c r="N34" i="9"/>
  <c r="N29" i="12" s="1"/>
  <c r="N30" i="12" s="1"/>
  <c r="J102" i="24"/>
  <c r="J53" i="24"/>
  <c r="J103" i="24" s="1"/>
  <c r="P15" i="35"/>
  <c r="O15" i="35"/>
  <c r="O34" i="35"/>
  <c r="O36" i="35" s="1"/>
  <c r="O58" i="35"/>
  <c r="E71" i="38"/>
  <c r="E65" i="38"/>
  <c r="E62" i="38"/>
  <c r="E68" i="38"/>
  <c r="AH13" i="7"/>
  <c r="AK31" i="7"/>
  <c r="BA37" i="8"/>
  <c r="S55" i="4"/>
  <c r="O50" i="4"/>
  <c r="Q67" i="12"/>
  <c r="H100" i="9"/>
  <c r="H101" i="9" s="1"/>
  <c r="W69" i="4"/>
  <c r="S80" i="10"/>
  <c r="S66" i="10"/>
  <c r="L13" i="10"/>
  <c r="G40" i="10"/>
  <c r="G41" i="10" s="1"/>
  <c r="R62" i="10"/>
  <c r="L86" i="10"/>
  <c r="H101" i="10"/>
  <c r="E17" i="11"/>
  <c r="K160" i="15"/>
  <c r="L89" i="13"/>
  <c r="L101" i="13" s="1"/>
  <c r="O23" i="16"/>
  <c r="U62" i="16"/>
  <c r="AO61" i="16"/>
  <c r="P72" i="16"/>
  <c r="O72" i="16"/>
  <c r="AQ81" i="16"/>
  <c r="AQ154" i="16" s="1"/>
  <c r="V82" i="16"/>
  <c r="S134" i="16"/>
  <c r="S143" i="16"/>
  <c r="S150" i="16" s="1"/>
  <c r="AK133" i="16"/>
  <c r="AK119" i="16" s="1"/>
  <c r="O141" i="16"/>
  <c r="O142" i="16" s="1"/>
  <c r="G20" i="20"/>
  <c r="N55" i="10"/>
  <c r="O56" i="10" s="1"/>
  <c r="F27" i="20"/>
  <c r="F28" i="20"/>
  <c r="M5" i="10"/>
  <c r="L23" i="6" s="1"/>
  <c r="N80" i="10"/>
  <c r="Q51" i="24"/>
  <c r="J11" i="35"/>
  <c r="J28" i="35"/>
  <c r="M29" i="35" s="1"/>
  <c r="J52" i="35"/>
  <c r="E72" i="35"/>
  <c r="I47" i="39"/>
  <c r="W54" i="16"/>
  <c r="W55" i="16"/>
  <c r="W56" i="16"/>
  <c r="W57" i="16"/>
  <c r="W39" i="16"/>
  <c r="N100" i="9"/>
  <c r="N101" i="9" s="1"/>
  <c r="R77" i="9"/>
  <c r="U80" i="4" s="1"/>
  <c r="C40" i="10"/>
  <c r="I22" i="10"/>
  <c r="U48" i="10"/>
  <c r="U47" i="10"/>
  <c r="D5" i="11"/>
  <c r="C65" i="27" s="1"/>
  <c r="F7" i="13"/>
  <c r="N15" i="13"/>
  <c r="J87" i="13"/>
  <c r="R71" i="14"/>
  <c r="AE22" i="16"/>
  <c r="AG23" i="16" s="1"/>
  <c r="P23" i="16"/>
  <c r="V62" i="16"/>
  <c r="E91" i="16"/>
  <c r="E109" i="16" s="1"/>
  <c r="AB158" i="16"/>
  <c r="AD159" i="16" s="1"/>
  <c r="AD86" i="16"/>
  <c r="J88" i="16"/>
  <c r="AR128" i="16"/>
  <c r="K192" i="16"/>
  <c r="K212" i="16" s="1"/>
  <c r="K173" i="16"/>
  <c r="AK175" i="16"/>
  <c r="N23" i="17"/>
  <c r="O85" i="16"/>
  <c r="N74" i="17"/>
  <c r="N17" i="13" s="1"/>
  <c r="O1" i="17"/>
  <c r="P30" i="17"/>
  <c r="O26" i="18"/>
  <c r="G27" i="20"/>
  <c r="O176" i="16"/>
  <c r="AC176" i="16" s="1"/>
  <c r="G28" i="20"/>
  <c r="P29" i="23"/>
  <c r="N92" i="15"/>
  <c r="N119" i="15" s="1"/>
  <c r="N140" i="15" s="1"/>
  <c r="N144" i="15" s="1"/>
  <c r="N25" i="24"/>
  <c r="N27" i="12"/>
  <c r="K11" i="35"/>
  <c r="K52" i="35"/>
  <c r="Q15" i="35"/>
  <c r="Q58" i="35"/>
  <c r="Q34" i="35"/>
  <c r="R35" i="35" s="1"/>
  <c r="R15" i="35"/>
  <c r="M49" i="35"/>
  <c r="M48" i="35"/>
  <c r="AJ18" i="8"/>
  <c r="BC37" i="8"/>
  <c r="W35" i="4"/>
  <c r="Z23" i="7"/>
  <c r="AD31" i="7" s="1"/>
  <c r="I28" i="7"/>
  <c r="AM31" i="7"/>
  <c r="L47" i="4"/>
  <c r="U55" i="4"/>
  <c r="M50" i="4"/>
  <c r="N99" i="9"/>
  <c r="P67" i="4"/>
  <c r="P71" i="4"/>
  <c r="H13" i="10"/>
  <c r="H31" i="10"/>
  <c r="E51" i="10"/>
  <c r="E75" i="10"/>
  <c r="D64" i="13"/>
  <c r="L49" i="15"/>
  <c r="M18" i="11" s="1"/>
  <c r="P96" i="4" s="1"/>
  <c r="AD44" i="16"/>
  <c r="AD51" i="16" s="1"/>
  <c r="AD13" i="16"/>
  <c r="AF13" i="16"/>
  <c r="AG71" i="16"/>
  <c r="AG72" i="16" s="1"/>
  <c r="Q72" i="16"/>
  <c r="G86" i="16"/>
  <c r="U143" i="16"/>
  <c r="U149" i="16" s="1"/>
  <c r="AG141" i="16"/>
  <c r="AG142" i="16" s="1"/>
  <c r="Q142" i="16"/>
  <c r="L192" i="16"/>
  <c r="L173" i="16"/>
  <c r="O23" i="17"/>
  <c r="O39" i="17"/>
  <c r="O40" i="17" s="1"/>
  <c r="P26" i="17"/>
  <c r="P85" i="16"/>
  <c r="AE85" i="16" s="1"/>
  <c r="O74" i="17"/>
  <c r="O17" i="13" s="1"/>
  <c r="O12" i="10"/>
  <c r="O13" i="10" s="1"/>
  <c r="N51" i="17"/>
  <c r="O137" i="16"/>
  <c r="AC137" i="16" s="1"/>
  <c r="N43" i="17"/>
  <c r="N44" i="17"/>
  <c r="O123" i="16" s="1"/>
  <c r="N52" i="10"/>
  <c r="P5" i="23"/>
  <c r="P21" i="23" s="1"/>
  <c r="O49" i="35"/>
  <c r="O48" i="35"/>
  <c r="P48" i="35"/>
  <c r="O65" i="37"/>
  <c r="K47" i="4"/>
  <c r="Z5" i="7"/>
  <c r="AA23" i="7"/>
  <c r="AE31" i="7" s="1"/>
  <c r="J28" i="7"/>
  <c r="AD24" i="7"/>
  <c r="P28" i="7"/>
  <c r="P36" i="7" s="1"/>
  <c r="M47" i="4"/>
  <c r="V55" i="4"/>
  <c r="O121" i="4"/>
  <c r="L125" i="10"/>
  <c r="L126" i="10" s="1"/>
  <c r="I31" i="10"/>
  <c r="I33" i="10" s="1"/>
  <c r="S50" i="10"/>
  <c r="R50" i="10"/>
  <c r="J26" i="27"/>
  <c r="I5" i="11"/>
  <c r="L87" i="4" s="1"/>
  <c r="L5" i="11"/>
  <c r="O87" i="4" s="1"/>
  <c r="P19" i="13"/>
  <c r="K23" i="13"/>
  <c r="K35" i="13" s="1"/>
  <c r="E67" i="13"/>
  <c r="E68" i="13" s="1"/>
  <c r="E84" i="13"/>
  <c r="R138" i="13"/>
  <c r="M49" i="15"/>
  <c r="N18" i="11" s="1"/>
  <c r="N20" i="11" s="1"/>
  <c r="U30" i="11"/>
  <c r="X107" i="4" s="1"/>
  <c r="U18" i="11"/>
  <c r="I11" i="16"/>
  <c r="J13" i="16"/>
  <c r="AL15" i="16"/>
  <c r="AI71" i="16"/>
  <c r="AK72" i="16" s="1"/>
  <c r="R72" i="16"/>
  <c r="AQ83" i="16"/>
  <c r="AS84" i="16" s="1"/>
  <c r="V84" i="16"/>
  <c r="J126" i="16"/>
  <c r="V178" i="16"/>
  <c r="V154" i="16"/>
  <c r="V169" i="16"/>
  <c r="H191" i="16"/>
  <c r="H211" i="16" s="1"/>
  <c r="H156" i="16"/>
  <c r="H171" i="16"/>
  <c r="N21" i="18"/>
  <c r="P133" i="16"/>
  <c r="Q134" i="16" s="1"/>
  <c r="O21" i="18"/>
  <c r="O95" i="24"/>
  <c r="O98" i="24" s="1"/>
  <c r="N75" i="9"/>
  <c r="Q78" i="4" s="1"/>
  <c r="J46" i="33"/>
  <c r="K46" i="33" s="1"/>
  <c r="L46" i="33" s="1"/>
  <c r="M46" i="33" s="1"/>
  <c r="N46" i="33" s="1"/>
  <c r="D46" i="33"/>
  <c r="E46" i="33" s="1"/>
  <c r="F46" i="33" s="1"/>
  <c r="G46" i="33" s="1"/>
  <c r="H46" i="33" s="1"/>
  <c r="M11" i="35"/>
  <c r="M52" i="35"/>
  <c r="J13" i="35"/>
  <c r="P45" i="35"/>
  <c r="P46" i="35"/>
  <c r="F47" i="35"/>
  <c r="Y17" i="37"/>
  <c r="J21" i="37"/>
  <c r="D13" i="42"/>
  <c r="D14" i="42"/>
  <c r="P60" i="4"/>
  <c r="T27" i="12"/>
  <c r="P99" i="9"/>
  <c r="O69" i="4"/>
  <c r="F5" i="10"/>
  <c r="E23" i="6" s="1"/>
  <c r="I5" i="10"/>
  <c r="H23" i="6" s="1"/>
  <c r="F17" i="10"/>
  <c r="T48" i="10"/>
  <c r="Q68" i="10"/>
  <c r="J79" i="10"/>
  <c r="L23" i="13"/>
  <c r="L32" i="13" s="1"/>
  <c r="P68" i="14"/>
  <c r="P71" i="14" s="1"/>
  <c r="I68" i="14"/>
  <c r="I71" i="14" s="1"/>
  <c r="U71" i="14"/>
  <c r="O11" i="16"/>
  <c r="AJ15" i="16"/>
  <c r="W84" i="16"/>
  <c r="H158" i="16"/>
  <c r="W120" i="16"/>
  <c r="K126" i="16"/>
  <c r="AF129" i="16"/>
  <c r="AN155" i="16"/>
  <c r="I191" i="16"/>
  <c r="J211" i="16" s="1"/>
  <c r="D28" i="29"/>
  <c r="H14" i="29"/>
  <c r="H29" i="29" s="1"/>
  <c r="G14" i="29"/>
  <c r="G29" i="29" s="1"/>
  <c r="O25" i="35"/>
  <c r="O27" i="35" s="1"/>
  <c r="O9" i="35"/>
  <c r="K13" i="35"/>
  <c r="T15" i="35"/>
  <c r="T58" i="35"/>
  <c r="U15" i="35"/>
  <c r="Q45" i="35"/>
  <c r="Q46" i="35"/>
  <c r="Q49" i="35"/>
  <c r="Q48" i="35"/>
  <c r="H16" i="6"/>
  <c r="H49" i="6" s="1"/>
  <c r="AB5" i="7"/>
  <c r="AF13" i="7" s="1"/>
  <c r="M28" i="7"/>
  <c r="AF24" i="7"/>
  <c r="AF37" i="7" s="1"/>
  <c r="AP23" i="7"/>
  <c r="AP31" i="7" s="1"/>
  <c r="R24" i="8"/>
  <c r="BB24" i="8" s="1"/>
  <c r="AO37" i="8"/>
  <c r="L15" i="12"/>
  <c r="F30" i="10"/>
  <c r="I62" i="10"/>
  <c r="R68" i="10"/>
  <c r="H75" i="10"/>
  <c r="J68" i="14"/>
  <c r="J71" i="14" s="1"/>
  <c r="J17" i="14"/>
  <c r="K68" i="14"/>
  <c r="K71" i="14" s="1"/>
  <c r="N11" i="16"/>
  <c r="AA10" i="16"/>
  <c r="AC11" i="16" s="1"/>
  <c r="AM141" i="16"/>
  <c r="AO142" i="16" s="1"/>
  <c r="T142" i="16"/>
  <c r="M31" i="13"/>
  <c r="S102" i="24"/>
  <c r="N27" i="29"/>
  <c r="P49" i="35"/>
  <c r="P9" i="35"/>
  <c r="E17" i="38"/>
  <c r="E13" i="38" s="1"/>
  <c r="H56" i="9"/>
  <c r="K64" i="4" s="1"/>
  <c r="X65" i="4"/>
  <c r="D45" i="10"/>
  <c r="T44" i="10"/>
  <c r="C62" i="10"/>
  <c r="I75" i="10"/>
  <c r="R7" i="13"/>
  <c r="J80" i="13"/>
  <c r="J68" i="13"/>
  <c r="M160" i="15"/>
  <c r="N89" i="13"/>
  <c r="N101" i="13" s="1"/>
  <c r="F24" i="16"/>
  <c r="F49" i="16" s="1"/>
  <c r="AP56" i="16"/>
  <c r="AP57" i="16"/>
  <c r="AP54" i="16"/>
  <c r="T82" i="16"/>
  <c r="E154" i="16"/>
  <c r="E190" i="16"/>
  <c r="F191" i="16"/>
  <c r="F211" i="16" s="1"/>
  <c r="F156" i="16"/>
  <c r="F171" i="16"/>
  <c r="I192" i="16"/>
  <c r="J212" i="16" s="1"/>
  <c r="J16" i="17"/>
  <c r="L17" i="18"/>
  <c r="L12" i="18"/>
  <c r="L9" i="18"/>
  <c r="L37" i="18"/>
  <c r="M9" i="13" s="1"/>
  <c r="O14" i="18"/>
  <c r="O12" i="19"/>
  <c r="N12" i="19"/>
  <c r="N9" i="19"/>
  <c r="O83" i="16"/>
  <c r="N1" i="19"/>
  <c r="J43" i="35"/>
  <c r="J81" i="35"/>
  <c r="J101" i="35" s="1"/>
  <c r="V54" i="35"/>
  <c r="V55" i="35"/>
  <c r="O67" i="12"/>
  <c r="D56" i="9"/>
  <c r="C57" i="27" s="1"/>
  <c r="D65" i="9"/>
  <c r="D69" i="9" s="1"/>
  <c r="G53" i="10"/>
  <c r="Q28" i="11"/>
  <c r="Q23" i="13"/>
  <c r="Q32" i="13" s="1"/>
  <c r="O138" i="13"/>
  <c r="O124" i="13"/>
  <c r="O123" i="13" s="1"/>
  <c r="L68" i="14"/>
  <c r="L71" i="14" s="1"/>
  <c r="P80" i="14"/>
  <c r="S23" i="16"/>
  <c r="AM71" i="16"/>
  <c r="AM72" i="16" s="1"/>
  <c r="T72" i="16"/>
  <c r="U82" i="16"/>
  <c r="AD129" i="16"/>
  <c r="AD109" i="16"/>
  <c r="AH120" i="16"/>
  <c r="AK141" i="16"/>
  <c r="S142" i="16"/>
  <c r="Z162" i="16"/>
  <c r="F178" i="16"/>
  <c r="F182" i="16" s="1"/>
  <c r="F190" i="16"/>
  <c r="H213" i="16"/>
  <c r="K16" i="17"/>
  <c r="M17" i="18"/>
  <c r="M37" i="18"/>
  <c r="N9" i="13" s="1"/>
  <c r="O81" i="16"/>
  <c r="AC81" i="16" s="1"/>
  <c r="M9" i="18"/>
  <c r="H9" i="25"/>
  <c r="N26" i="29"/>
  <c r="G81" i="35"/>
  <c r="G86" i="35" s="1"/>
  <c r="G88" i="35" s="1"/>
  <c r="G43" i="35"/>
  <c r="G19" i="36"/>
  <c r="E28" i="36"/>
  <c r="G18" i="36"/>
  <c r="G17" i="36"/>
  <c r="G16" i="36"/>
  <c r="G14" i="36"/>
  <c r="C78" i="43"/>
  <c r="V4" i="35"/>
  <c r="V68" i="35" s="1"/>
  <c r="V16" i="35"/>
  <c r="V37" i="35" s="1"/>
  <c r="V38" i="35" s="1"/>
  <c r="E61" i="43"/>
  <c r="E78" i="43"/>
  <c r="E64" i="43"/>
  <c r="E77" i="43"/>
  <c r="G11" i="10"/>
  <c r="R56" i="10"/>
  <c r="E40" i="13"/>
  <c r="D101" i="13"/>
  <c r="R119" i="15"/>
  <c r="R140" i="15" s="1"/>
  <c r="R144" i="15" s="1"/>
  <c r="AD52" i="16"/>
  <c r="I66" i="16"/>
  <c r="H70" i="16"/>
  <c r="AJ129" i="16"/>
  <c r="AJ110" i="16"/>
  <c r="U122" i="16"/>
  <c r="I178" i="16"/>
  <c r="I184" i="16" s="1"/>
  <c r="M192" i="16"/>
  <c r="M173" i="16"/>
  <c r="AN184" i="16"/>
  <c r="AN186" i="16"/>
  <c r="AN185" i="16"/>
  <c r="Q4" i="17"/>
  <c r="Q12" i="16"/>
  <c r="R13" i="16" s="1"/>
  <c r="P4" i="17"/>
  <c r="O43" i="17"/>
  <c r="V7" i="35"/>
  <c r="P31" i="35"/>
  <c r="P33" i="35" s="1"/>
  <c r="P13" i="35"/>
  <c r="F61" i="43"/>
  <c r="F64" i="43"/>
  <c r="F78" i="43"/>
  <c r="L55" i="4"/>
  <c r="M60" i="4"/>
  <c r="H65" i="9"/>
  <c r="H69" i="9" s="1"/>
  <c r="I56" i="27" s="1"/>
  <c r="V69" i="4"/>
  <c r="D17" i="10"/>
  <c r="S24" i="10"/>
  <c r="I20" i="11"/>
  <c r="F19" i="13"/>
  <c r="E87" i="13"/>
  <c r="G101" i="13"/>
  <c r="AL129" i="16"/>
  <c r="AL108" i="16"/>
  <c r="AL106" i="16"/>
  <c r="R143" i="16"/>
  <c r="R150" i="16" s="1"/>
  <c r="AR157" i="16"/>
  <c r="AH163" i="16"/>
  <c r="J190" i="16"/>
  <c r="J210" i="16" s="1"/>
  <c r="J169" i="16"/>
  <c r="L175" i="16"/>
  <c r="AP184" i="16"/>
  <c r="AP186" i="16"/>
  <c r="AR209" i="16"/>
  <c r="AP209" i="16"/>
  <c r="AP182" i="16"/>
  <c r="AN189" i="16"/>
  <c r="Q43" i="17"/>
  <c r="P43" i="17"/>
  <c r="P54" i="17"/>
  <c r="P55" i="17" s="1"/>
  <c r="P44" i="17"/>
  <c r="Q123" i="16" s="1"/>
  <c r="R124" i="16" s="1"/>
  <c r="I124" i="16"/>
  <c r="L58" i="17"/>
  <c r="L54" i="17"/>
  <c r="L55" i="17" s="1"/>
  <c r="J122" i="16"/>
  <c r="E21" i="23"/>
  <c r="E25" i="23" s="1"/>
  <c r="K53" i="24"/>
  <c r="K103" i="24" s="1"/>
  <c r="C15" i="32"/>
  <c r="C17" i="32" s="1"/>
  <c r="C18" i="32" s="1"/>
  <c r="C35" i="32" s="1"/>
  <c r="C12" i="32"/>
  <c r="J55" i="35"/>
  <c r="J54" i="35"/>
  <c r="N55" i="37"/>
  <c r="I80" i="13"/>
  <c r="H101" i="13"/>
  <c r="N80" i="14"/>
  <c r="M73" i="16"/>
  <c r="M75" i="16" s="1"/>
  <c r="N62" i="16"/>
  <c r="AN164" i="16"/>
  <c r="AN110" i="16"/>
  <c r="G124" i="16"/>
  <c r="AL217" i="16"/>
  <c r="AN217" i="16"/>
  <c r="I14" i="29"/>
  <c r="I29" i="29" s="1"/>
  <c r="J24" i="35"/>
  <c r="J23" i="35"/>
  <c r="Q27" i="12"/>
  <c r="U27" i="14"/>
  <c r="V25" i="14" s="1"/>
  <c r="H25" i="10"/>
  <c r="F82" i="10"/>
  <c r="O96" i="10"/>
  <c r="K5" i="11"/>
  <c r="N87" i="4" s="1"/>
  <c r="M37" i="13"/>
  <c r="R64" i="13"/>
  <c r="G87" i="13"/>
  <c r="J116" i="13"/>
  <c r="K113" i="13" s="1"/>
  <c r="K116" i="13" s="1"/>
  <c r="L113" i="13" s="1"/>
  <c r="L116" i="13" s="1"/>
  <c r="M113" i="13" s="1"/>
  <c r="M116" i="13" s="1"/>
  <c r="N113" i="13" s="1"/>
  <c r="N116" i="13" s="1"/>
  <c r="O113" i="13" s="1"/>
  <c r="L11" i="16"/>
  <c r="AL19" i="16"/>
  <c r="K70" i="16"/>
  <c r="AP129" i="16"/>
  <c r="AP92" i="16"/>
  <c r="AZ113" i="16"/>
  <c r="AP110" i="16"/>
  <c r="V126" i="16"/>
  <c r="U126" i="16"/>
  <c r="J3" i="17"/>
  <c r="K4" i="17" s="1"/>
  <c r="K9" i="17"/>
  <c r="J124" i="16"/>
  <c r="N59" i="17"/>
  <c r="O172" i="16"/>
  <c r="O192" i="16" s="1"/>
  <c r="N58" i="17"/>
  <c r="N54" i="17"/>
  <c r="N55" i="17" s="1"/>
  <c r="T13" i="35"/>
  <c r="S13" i="35"/>
  <c r="K24" i="35"/>
  <c r="K23" i="35"/>
  <c r="G46" i="36"/>
  <c r="G47" i="36"/>
  <c r="G45" i="36"/>
  <c r="P64" i="13"/>
  <c r="O80" i="14"/>
  <c r="L82" i="15"/>
  <c r="M28" i="11" s="1"/>
  <c r="AL25" i="16"/>
  <c r="H82" i="16"/>
  <c r="Z91" i="16"/>
  <c r="Z107" i="16" s="1"/>
  <c r="AF110" i="16"/>
  <c r="AL163" i="16"/>
  <c r="AN213" i="16"/>
  <c r="P33" i="17"/>
  <c r="Q34" i="17" s="1"/>
  <c r="P39" i="17"/>
  <c r="P40" i="17" s="1"/>
  <c r="K58" i="17"/>
  <c r="K54" i="17"/>
  <c r="K55" i="17" s="1"/>
  <c r="N17" i="18"/>
  <c r="N12" i="18"/>
  <c r="K11" i="22"/>
  <c r="K28" i="10" s="1"/>
  <c r="L29" i="10" s="1"/>
  <c r="K1" i="22"/>
  <c r="Q29" i="23"/>
  <c r="M102" i="24"/>
  <c r="I34" i="35"/>
  <c r="L35" i="35" s="1"/>
  <c r="R48" i="35"/>
  <c r="P55" i="35"/>
  <c r="C80" i="43"/>
  <c r="G61" i="43"/>
  <c r="P4" i="45"/>
  <c r="P6" i="45"/>
  <c r="P3" i="45"/>
  <c r="T75" i="13"/>
  <c r="AP39" i="16"/>
  <c r="AF107" i="16"/>
  <c r="AF122" i="16"/>
  <c r="U136" i="16"/>
  <c r="AJ159" i="16"/>
  <c r="AH159" i="16"/>
  <c r="S173" i="16"/>
  <c r="V248" i="16"/>
  <c r="K43" i="17"/>
  <c r="U17" i="18"/>
  <c r="D12" i="32"/>
  <c r="G25" i="35"/>
  <c r="U46" i="35"/>
  <c r="H5" i="36"/>
  <c r="G78" i="43"/>
  <c r="H1" i="44"/>
  <c r="I17" i="33"/>
  <c r="H17" i="33"/>
  <c r="L31" i="35"/>
  <c r="N31" i="35" s="1"/>
  <c r="O13" i="35"/>
  <c r="L13" i="35"/>
  <c r="L55" i="35"/>
  <c r="U49" i="35"/>
  <c r="L28" i="35"/>
  <c r="N28" i="35" s="1"/>
  <c r="L52" i="35"/>
  <c r="J55" i="37"/>
  <c r="G9" i="42"/>
  <c r="V4" i="12"/>
  <c r="S71" i="14"/>
  <c r="R49" i="15"/>
  <c r="R84" i="15" s="1"/>
  <c r="R87" i="15" s="1"/>
  <c r="S85" i="15" s="1"/>
  <c r="C119" i="15"/>
  <c r="C140" i="15" s="1"/>
  <c r="C144" i="15" s="1"/>
  <c r="C146" i="15" s="1"/>
  <c r="AY115" i="16"/>
  <c r="G138" i="16"/>
  <c r="U173" i="16"/>
  <c r="AO172" i="16"/>
  <c r="AQ173" i="16" s="1"/>
  <c r="AA174" i="16"/>
  <c r="N175" i="16"/>
  <c r="AL212" i="16"/>
  <c r="M16" i="17"/>
  <c r="P172" i="16"/>
  <c r="O58" i="17"/>
  <c r="N75" i="17"/>
  <c r="F21" i="23"/>
  <c r="F25" i="23" s="1"/>
  <c r="R100" i="24"/>
  <c r="R105" i="24" s="1"/>
  <c r="V11" i="35"/>
  <c r="E44" i="35"/>
  <c r="E45" i="35" s="1"/>
  <c r="V49" i="35"/>
  <c r="L71" i="35"/>
  <c r="N71" i="35" s="1"/>
  <c r="E15" i="35"/>
  <c r="P58" i="17"/>
  <c r="N37" i="18"/>
  <c r="O9" i="13" s="1"/>
  <c r="S87" i="24"/>
  <c r="S100" i="24" s="1"/>
  <c r="D21" i="32"/>
  <c r="I15" i="35"/>
  <c r="D53" i="35"/>
  <c r="D55" i="35" s="1"/>
  <c r="N22" i="37"/>
  <c r="T20" i="37" s="1"/>
  <c r="W30" i="37"/>
  <c r="W113" i="16"/>
  <c r="W114" i="16"/>
  <c r="W115" i="16"/>
  <c r="W103" i="16"/>
  <c r="G68" i="13"/>
  <c r="S123" i="13"/>
  <c r="N68" i="14"/>
  <c r="N71" i="14" s="1"/>
  <c r="F119" i="15"/>
  <c r="F140" i="15" s="1"/>
  <c r="F144" i="15" s="1"/>
  <c r="F146" i="15" s="1"/>
  <c r="G64" i="16"/>
  <c r="AP74" i="16"/>
  <c r="AZ112" i="16"/>
  <c r="U112" i="16"/>
  <c r="F120" i="16"/>
  <c r="H134" i="16"/>
  <c r="R140" i="16"/>
  <c r="AR159" i="16"/>
  <c r="AB156" i="16"/>
  <c r="AD157" i="16" s="1"/>
  <c r="R175" i="16"/>
  <c r="AP210" i="16"/>
  <c r="AM194" i="16"/>
  <c r="V260" i="16"/>
  <c r="V124" i="16"/>
  <c r="O20" i="29"/>
  <c r="L21" i="35"/>
  <c r="H10" i="36"/>
  <c r="H9" i="36"/>
  <c r="H6" i="36"/>
  <c r="W20" i="37"/>
  <c r="D56" i="35"/>
  <c r="D34" i="35" s="1"/>
  <c r="D36" i="35" s="1"/>
  <c r="O75" i="37"/>
  <c r="D5" i="42"/>
  <c r="E5" i="42"/>
  <c r="W112" i="16"/>
  <c r="AD148" i="16"/>
  <c r="AD150" i="16"/>
  <c r="G173" i="16"/>
  <c r="S175" i="16"/>
  <c r="W260" i="16"/>
  <c r="O37" i="17"/>
  <c r="V87" i="24"/>
  <c r="V100" i="24" s="1"/>
  <c r="V28" i="35"/>
  <c r="R52" i="35"/>
  <c r="S51" i="35"/>
  <c r="R51" i="35"/>
  <c r="R28" i="35"/>
  <c r="R30" i="35" s="1"/>
  <c r="H68" i="35"/>
  <c r="F69" i="35"/>
  <c r="E29" i="43"/>
  <c r="E31" i="43" s="1"/>
  <c r="E28" i="45"/>
  <c r="D21" i="23"/>
  <c r="D25" i="23" s="1"/>
  <c r="H53" i="24"/>
  <c r="H103" i="24" s="1"/>
  <c r="L98" i="24"/>
  <c r="F21" i="35"/>
  <c r="H25" i="35"/>
  <c r="R49" i="35"/>
  <c r="I52" i="35"/>
  <c r="O55" i="37"/>
  <c r="D8" i="40"/>
  <c r="E13" i="42"/>
  <c r="C64" i="43"/>
  <c r="H4" i="35"/>
  <c r="H72" i="35" s="1"/>
  <c r="N19" i="35"/>
  <c r="S48" i="35"/>
  <c r="S49" i="35"/>
  <c r="Q52" i="35"/>
  <c r="G5" i="36"/>
  <c r="E8" i="40"/>
  <c r="D64" i="43"/>
  <c r="V68" i="10"/>
  <c r="F126" i="16"/>
  <c r="I138" i="16"/>
  <c r="AL149" i="16"/>
  <c r="AB169" i="16"/>
  <c r="AL198" i="16"/>
  <c r="X248" i="16"/>
  <c r="W87" i="24"/>
  <c r="W100" i="24" s="1"/>
  <c r="O21" i="29"/>
  <c r="B28" i="29"/>
  <c r="Q16" i="35"/>
  <c r="Q37" i="35" s="1"/>
  <c r="Q38" i="35" s="1"/>
  <c r="G6" i="36"/>
  <c r="G27" i="36"/>
  <c r="H45" i="36"/>
  <c r="H13" i="42"/>
  <c r="J29" i="44"/>
  <c r="G126" i="16"/>
  <c r="R16" i="35"/>
  <c r="R37" i="35" s="1"/>
  <c r="R38" i="35" s="1"/>
  <c r="T52" i="35"/>
  <c r="Q55" i="35"/>
  <c r="Y18" i="37"/>
  <c r="E20" i="45"/>
  <c r="E25" i="45" s="1"/>
  <c r="Q25" i="45"/>
  <c r="S25" i="45" s="1"/>
  <c r="M54" i="17"/>
  <c r="M55" i="17" s="1"/>
  <c r="W3" i="18"/>
  <c r="W11" i="18" s="1"/>
  <c r="W6" i="18" s="1"/>
  <c r="P53" i="24"/>
  <c r="P103" i="24" s="1"/>
  <c r="V102" i="24"/>
  <c r="R62" i="35"/>
  <c r="S16" i="35"/>
  <c r="S37" i="35" s="1"/>
  <c r="S38" i="35" s="1"/>
  <c r="M27" i="35"/>
  <c r="M33" i="35"/>
  <c r="U52" i="35"/>
  <c r="G7" i="36"/>
  <c r="E79" i="45"/>
  <c r="AH124" i="16"/>
  <c r="F134" i="16"/>
  <c r="AB178" i="16"/>
  <c r="AB182" i="16" s="1"/>
  <c r="T173" i="16"/>
  <c r="T192" i="16"/>
  <c r="U212" i="16" s="1"/>
  <c r="AR213" i="16"/>
  <c r="N32" i="17"/>
  <c r="O5" i="23"/>
  <c r="O21" i="23" s="1"/>
  <c r="O65" i="24"/>
  <c r="N9" i="25"/>
  <c r="D14" i="29"/>
  <c r="D29" i="29" s="1"/>
  <c r="R7" i="35"/>
  <c r="R25" i="35"/>
  <c r="I31" i="35"/>
  <c r="I33" i="35" s="1"/>
  <c r="V35" i="35"/>
  <c r="J49" i="35"/>
  <c r="E77" i="35"/>
  <c r="G9" i="36"/>
  <c r="G35" i="36"/>
  <c r="G65" i="38"/>
  <c r="D6" i="40"/>
  <c r="D9" i="42"/>
  <c r="G40" i="42"/>
  <c r="H61" i="43"/>
  <c r="T23" i="45"/>
  <c r="E14" i="29"/>
  <c r="E29" i="29" s="1"/>
  <c r="D21" i="33"/>
  <c r="D23" i="33" s="1"/>
  <c r="D26" i="33" s="1"/>
  <c r="S7" i="35"/>
  <c r="J31" i="35"/>
  <c r="J33" i="35" s="1"/>
  <c r="O45" i="37"/>
  <c r="M65" i="37"/>
  <c r="G23" i="38"/>
  <c r="E6" i="40"/>
  <c r="G21" i="42"/>
  <c r="V57" i="12"/>
  <c r="L14" i="18"/>
  <c r="O29" i="23"/>
  <c r="W53" i="24"/>
  <c r="W103" i="24" s="1"/>
  <c r="I102" i="24"/>
  <c r="F14" i="29"/>
  <c r="F29" i="29" s="1"/>
  <c r="I21" i="32"/>
  <c r="E23" i="33"/>
  <c r="T25" i="35"/>
  <c r="K31" i="35"/>
  <c r="K33" i="35" s="1"/>
  <c r="N14" i="35"/>
  <c r="N34" i="35" s="1"/>
  <c r="N47" i="35"/>
  <c r="N48" i="35" s="1"/>
  <c r="F72" i="35"/>
  <c r="G52" i="36"/>
  <c r="W33" i="37"/>
  <c r="M9" i="35"/>
  <c r="N10" i="35"/>
  <c r="N11" i="35" s="1"/>
  <c r="L54" i="35"/>
  <c r="V58" i="35"/>
  <c r="H37" i="36"/>
  <c r="M45" i="37"/>
  <c r="M55" i="37"/>
  <c r="G68" i="38"/>
  <c r="G64" i="43"/>
  <c r="O24" i="45"/>
  <c r="E65" i="45"/>
  <c r="E75" i="45"/>
  <c r="W132" i="16"/>
  <c r="W41" i="16"/>
  <c r="V36" i="12"/>
  <c r="V5" i="12" s="1"/>
  <c r="H88" i="27"/>
  <c r="F16" i="6"/>
  <c r="F49" i="6" s="1"/>
  <c r="F33" i="6"/>
  <c r="I16" i="6"/>
  <c r="I49" i="6" s="1"/>
  <c r="I33" i="6"/>
  <c r="L16" i="6"/>
  <c r="L49" i="6" s="1"/>
  <c r="L33" i="6"/>
  <c r="M89" i="9"/>
  <c r="N55" i="6" s="1"/>
  <c r="L89" i="9"/>
  <c r="K89" i="9"/>
  <c r="J89" i="9"/>
  <c r="I89" i="9"/>
  <c r="H89" i="9"/>
  <c r="AC27" i="8" s="1"/>
  <c r="AD27" i="8" s="1"/>
  <c r="AE27" i="8" s="1"/>
  <c r="AF27" i="8" s="1"/>
  <c r="Z125" i="4"/>
  <c r="Z121" i="4"/>
  <c r="F88" i="27"/>
  <c r="E16" i="6"/>
  <c r="E49" i="6" s="1"/>
  <c r="E33" i="6"/>
  <c r="N58" i="4"/>
  <c r="R60" i="4"/>
  <c r="X53" i="4"/>
  <c r="O58" i="4"/>
  <c r="Q73" i="4"/>
  <c r="L56" i="9"/>
  <c r="M57" i="27" s="1"/>
  <c r="K55" i="4"/>
  <c r="P58" i="4"/>
  <c r="G112" i="9"/>
  <c r="G113" i="9" s="1"/>
  <c r="Q60" i="4"/>
  <c r="H112" i="9"/>
  <c r="H113" i="9" s="1"/>
  <c r="N56" i="9"/>
  <c r="Q64" i="4" s="1"/>
  <c r="D99" i="9"/>
  <c r="N78" i="13"/>
  <c r="O56" i="9"/>
  <c r="R64" i="4" s="1"/>
  <c r="P78" i="13"/>
  <c r="M55" i="4"/>
  <c r="X51" i="4"/>
  <c r="S58" i="4"/>
  <c r="W60" i="4"/>
  <c r="U73" i="4"/>
  <c r="K33" i="9"/>
  <c r="K41" i="9" s="1"/>
  <c r="P56" i="9"/>
  <c r="Q57" i="27" s="1"/>
  <c r="E100" i="9"/>
  <c r="R78" i="13"/>
  <c r="R58" i="4"/>
  <c r="T73" i="4"/>
  <c r="O55" i="4"/>
  <c r="T58" i="4"/>
  <c r="X60" i="4"/>
  <c r="W73" i="4"/>
  <c r="U26" i="12"/>
  <c r="U27" i="12" s="1"/>
  <c r="S57" i="4"/>
  <c r="D112" i="9"/>
  <c r="D113" i="9" s="1"/>
  <c r="D33" i="9"/>
  <c r="D3" i="12" s="1"/>
  <c r="K66" i="4"/>
  <c r="U58" i="4"/>
  <c r="K61" i="4"/>
  <c r="K49" i="4"/>
  <c r="V58" i="4"/>
  <c r="L61" i="4"/>
  <c r="J27" i="8"/>
  <c r="G33" i="9"/>
  <c r="G41" i="9" s="1"/>
  <c r="D98" i="9"/>
  <c r="X64" i="9"/>
  <c r="Y64" i="9" s="1"/>
  <c r="Z64" i="9" s="1"/>
  <c r="AA64" i="9" s="1"/>
  <c r="AB64" i="9" s="1"/>
  <c r="AC64" i="9" s="1"/>
  <c r="AD64" i="9" s="1"/>
  <c r="AE64" i="9" s="1"/>
  <c r="AF64" i="9" s="1"/>
  <c r="AG64" i="9" s="1"/>
  <c r="P55" i="4"/>
  <c r="W58" i="4"/>
  <c r="M61" i="4"/>
  <c r="L74" i="4"/>
  <c r="H33" i="9"/>
  <c r="H41" i="9" s="1"/>
  <c r="I98" i="9"/>
  <c r="O99" i="9"/>
  <c r="N61" i="4"/>
  <c r="K67" i="4"/>
  <c r="M74" i="4"/>
  <c r="L27" i="8"/>
  <c r="I33" i="9"/>
  <c r="I41" i="9" s="1"/>
  <c r="L56" i="4" s="1"/>
  <c r="F98" i="9"/>
  <c r="T65" i="9"/>
  <c r="T69" i="9" s="1"/>
  <c r="Q99" i="9"/>
  <c r="S160" i="15"/>
  <c r="T157" i="15" s="1"/>
  <c r="J33" i="9"/>
  <c r="J41" i="9" s="1"/>
  <c r="U65" i="9"/>
  <c r="U69" i="9" s="1"/>
  <c r="X68" i="4" s="1"/>
  <c r="F65" i="9"/>
  <c r="F69" i="9" s="1"/>
  <c r="F56" i="27" s="1"/>
  <c r="G65" i="9"/>
  <c r="G69" i="9" s="1"/>
  <c r="H56" i="27" s="1"/>
  <c r="V61" i="4"/>
  <c r="N24" i="9"/>
  <c r="U96" i="10"/>
  <c r="N125" i="10"/>
  <c r="N126" i="10" s="1"/>
  <c r="J98" i="9"/>
  <c r="U24" i="9"/>
  <c r="X45" i="4" s="1"/>
  <c r="O100" i="9"/>
  <c r="O101" i="9" s="1"/>
  <c r="P59" i="4"/>
  <c r="S46" i="4"/>
  <c r="S47" i="4" s="1"/>
  <c r="K65" i="4"/>
  <c r="R99" i="9"/>
  <c r="L77" i="9"/>
  <c r="O80" i="4" s="1"/>
  <c r="T67" i="4"/>
  <c r="U74" i="4"/>
  <c r="U46" i="4"/>
  <c r="U47" i="4" s="1"/>
  <c r="P50" i="4"/>
  <c r="V74" i="4"/>
  <c r="AL27" i="8"/>
  <c r="Q50" i="4"/>
  <c r="R50" i="4"/>
  <c r="K53" i="4"/>
  <c r="O57" i="4"/>
  <c r="W67" i="4"/>
  <c r="X74" i="4"/>
  <c r="S50" i="4"/>
  <c r="V65" i="9"/>
  <c r="V69" i="9" s="1"/>
  <c r="X50" i="4"/>
  <c r="N53" i="4"/>
  <c r="W59" i="4"/>
  <c r="Q65" i="4"/>
  <c r="P53" i="4"/>
  <c r="K60" i="4"/>
  <c r="W72" i="4"/>
  <c r="F77" i="9"/>
  <c r="F82" i="9" s="1"/>
  <c r="R65" i="4"/>
  <c r="R53" i="4"/>
  <c r="V57" i="4"/>
  <c r="K73" i="4"/>
  <c r="H80" i="4"/>
  <c r="D16" i="6"/>
  <c r="D49" i="6" s="1"/>
  <c r="F56" i="9"/>
  <c r="F57" i="27" s="1"/>
  <c r="E82" i="9"/>
  <c r="L60" i="4"/>
  <c r="T65" i="4"/>
  <c r="S53" i="4"/>
  <c r="W57" i="4"/>
  <c r="N60" i="4"/>
  <c r="L73" i="4"/>
  <c r="I77" i="9"/>
  <c r="J60" i="27" s="1"/>
  <c r="W65" i="4"/>
  <c r="R69" i="4"/>
  <c r="M73" i="4"/>
  <c r="Q121" i="4"/>
  <c r="L130" i="10"/>
  <c r="L132" i="10" s="1"/>
  <c r="V56" i="9"/>
  <c r="V24" i="9"/>
  <c r="O60" i="4"/>
  <c r="U53" i="4"/>
  <c r="L58" i="4"/>
  <c r="N73" i="4"/>
  <c r="I56" i="9"/>
  <c r="L64" i="4" s="1"/>
  <c r="O71" i="4"/>
  <c r="Q9" i="10"/>
  <c r="Q25" i="10"/>
  <c r="R9" i="10"/>
  <c r="Q48" i="10"/>
  <c r="H7" i="10"/>
  <c r="H45" i="10"/>
  <c r="H16" i="10"/>
  <c r="H13" i="19" s="1"/>
  <c r="I45" i="17"/>
  <c r="J10" i="27"/>
  <c r="H23" i="18"/>
  <c r="I21" i="19"/>
  <c r="I42" i="10"/>
  <c r="Q23" i="45"/>
  <c r="S23" i="45" s="1"/>
  <c r="K73" i="45"/>
  <c r="Q80" i="13"/>
  <c r="Q48" i="13"/>
  <c r="V47" i="4"/>
  <c r="K99" i="13"/>
  <c r="N49" i="4"/>
  <c r="L99" i="13"/>
  <c r="L24" i="9"/>
  <c r="O49" i="4"/>
  <c r="M99" i="13"/>
  <c r="P49" i="4"/>
  <c r="N99" i="13"/>
  <c r="Q49" i="4"/>
  <c r="U52" i="4"/>
  <c r="R24" i="9"/>
  <c r="P21" i="6"/>
  <c r="P39" i="6"/>
  <c r="S24" i="9"/>
  <c r="V52" i="4"/>
  <c r="Q21" i="6"/>
  <c r="Q39" i="6"/>
  <c r="R21" i="6"/>
  <c r="R39" i="6"/>
  <c r="P80" i="13"/>
  <c r="P48" i="13"/>
  <c r="S39" i="6"/>
  <c r="S21" i="6"/>
  <c r="AG26" i="8"/>
  <c r="AG35" i="8"/>
  <c r="AR31" i="7"/>
  <c r="T39" i="6"/>
  <c r="T21" i="6"/>
  <c r="AV8" i="8"/>
  <c r="U21" i="6"/>
  <c r="U39" i="6"/>
  <c r="AI26" i="8"/>
  <c r="AK4" i="8" s="1"/>
  <c r="AI35" i="8"/>
  <c r="V21" i="6"/>
  <c r="V39" i="6"/>
  <c r="AM4" i="8"/>
  <c r="C15" i="18"/>
  <c r="C9" i="27"/>
  <c r="D27" i="17"/>
  <c r="D13" i="19"/>
  <c r="D70" i="12"/>
  <c r="D73" i="12"/>
  <c r="D15" i="12"/>
  <c r="D76" i="12"/>
  <c r="D18" i="12"/>
  <c r="D120" i="10"/>
  <c r="D77" i="10"/>
  <c r="D24" i="12"/>
  <c r="D82" i="10"/>
  <c r="D21" i="10"/>
  <c r="D30" i="12"/>
  <c r="D91" i="10"/>
  <c r="E5" i="10"/>
  <c r="D23" i="6" s="1"/>
  <c r="D5" i="10"/>
  <c r="C23" i="6" s="1"/>
  <c r="C5" i="6"/>
  <c r="C22" i="6"/>
  <c r="D40" i="10"/>
  <c r="E41" i="10" s="1"/>
  <c r="F3" i="25"/>
  <c r="F11" i="25" s="1"/>
  <c r="AQ30" i="8"/>
  <c r="AQ32" i="8"/>
  <c r="AQ35" i="8"/>
  <c r="AS1" i="8"/>
  <c r="AQ1" i="8"/>
  <c r="AQ31" i="8"/>
  <c r="Y52" i="4"/>
  <c r="K56" i="9"/>
  <c r="N67" i="4"/>
  <c r="H44" i="27"/>
  <c r="G38" i="12"/>
  <c r="G36" i="12" s="1"/>
  <c r="I12" i="27"/>
  <c r="H82" i="10"/>
  <c r="H79" i="10"/>
  <c r="T26" i="45"/>
  <c r="O29" i="5"/>
  <c r="N40" i="5"/>
  <c r="N90" i="5" s="1"/>
  <c r="AL28" i="7"/>
  <c r="AK28" i="7"/>
  <c r="AK18" i="7"/>
  <c r="AK17" i="7"/>
  <c r="AN46" i="7"/>
  <c r="I44" i="27"/>
  <c r="H38" i="12"/>
  <c r="K71" i="4"/>
  <c r="J12" i="27"/>
  <c r="I79" i="10"/>
  <c r="I82" i="10"/>
  <c r="M40" i="5"/>
  <c r="M90" i="5" s="1"/>
  <c r="AI28" i="7"/>
  <c r="AI18" i="7"/>
  <c r="AI17" i="7"/>
  <c r="AM46" i="7"/>
  <c r="AO30" i="7"/>
  <c r="AO24" i="7"/>
  <c r="AM28" i="7"/>
  <c r="AM18" i="7"/>
  <c r="AM17" i="7"/>
  <c r="AO46" i="7"/>
  <c r="J44" i="27"/>
  <c r="I38" i="12"/>
  <c r="L71" i="4"/>
  <c r="S9" i="7"/>
  <c r="S15" i="7"/>
  <c r="AO28" i="7"/>
  <c r="AO18" i="7"/>
  <c r="AO17" i="7"/>
  <c r="AP205" i="16"/>
  <c r="R5" i="25"/>
  <c r="BC25" i="8"/>
  <c r="BC36" i="8"/>
  <c r="BC34" i="8"/>
  <c r="BP21" i="8"/>
  <c r="X55" i="4"/>
  <c r="Q56" i="9"/>
  <c r="K44" i="27"/>
  <c r="J38" i="12"/>
  <c r="M71" i="4"/>
  <c r="L12" i="27"/>
  <c r="K82" i="10"/>
  <c r="I14" i="8"/>
  <c r="K79" i="10"/>
  <c r="T15" i="7"/>
  <c r="T26" i="7"/>
  <c r="AP28" i="7"/>
  <c r="AT36" i="7" s="1"/>
  <c r="AK24" i="7"/>
  <c r="AK32" i="7" s="1"/>
  <c r="F112" i="9"/>
  <c r="F113" i="9" s="1"/>
  <c r="M12" i="27"/>
  <c r="L82" i="10"/>
  <c r="J14" i="8"/>
  <c r="L79" i="10"/>
  <c r="O22" i="4"/>
  <c r="U26" i="7"/>
  <c r="U9" i="7"/>
  <c r="U15" i="7"/>
  <c r="AT24" i="7"/>
  <c r="S11" i="7"/>
  <c r="S5" i="7"/>
  <c r="S22" i="7"/>
  <c r="W11" i="7"/>
  <c r="W9" i="7"/>
  <c r="W15" i="7"/>
  <c r="AR36" i="7"/>
  <c r="AU24" i="7"/>
  <c r="AL24" i="7"/>
  <c r="T11" i="7"/>
  <c r="T22" i="7"/>
  <c r="Y9" i="7"/>
  <c r="AC15" i="7"/>
  <c r="Y15" i="7"/>
  <c r="G198" i="16"/>
  <c r="G215" i="16" s="1"/>
  <c r="Z18" i="8"/>
  <c r="I60" i="12"/>
  <c r="I61" i="12" s="1"/>
  <c r="I112" i="9"/>
  <c r="I113" i="9" s="1"/>
  <c r="D24" i="9"/>
  <c r="U22" i="7"/>
  <c r="U11" i="7"/>
  <c r="AA9" i="7"/>
  <c r="AE15" i="7"/>
  <c r="AA15" i="7"/>
  <c r="W22" i="7"/>
  <c r="V22" i="7"/>
  <c r="V11" i="7"/>
  <c r="G204" i="16"/>
  <c r="G219" i="16" s="1"/>
  <c r="Z17" i="8"/>
  <c r="D33" i="8"/>
  <c r="I198" i="16"/>
  <c r="I215" i="16" s="1"/>
  <c r="AD18" i="8"/>
  <c r="K112" i="9"/>
  <c r="K113" i="9" s="1"/>
  <c r="K60" i="12"/>
  <c r="K65" i="12" s="1"/>
  <c r="X22" i="7"/>
  <c r="X11" i="7"/>
  <c r="O16" i="7"/>
  <c r="S16" i="7"/>
  <c r="Y22" i="7"/>
  <c r="AC11" i="7"/>
  <c r="Y11" i="7"/>
  <c r="D52" i="14"/>
  <c r="E51" i="14"/>
  <c r="E52" i="14" s="1"/>
  <c r="AW31" i="7"/>
  <c r="Z22" i="7"/>
  <c r="AD30" i="7" s="1"/>
  <c r="AD11" i="7"/>
  <c r="Z11" i="7"/>
  <c r="F21" i="8"/>
  <c r="P29" i="12"/>
  <c r="P30" i="12" s="1"/>
  <c r="S61" i="4"/>
  <c r="O77" i="9"/>
  <c r="O94" i="9" s="1"/>
  <c r="R79" i="4"/>
  <c r="I11" i="10"/>
  <c r="I51" i="10"/>
  <c r="I16" i="10"/>
  <c r="I13" i="19" s="1"/>
  <c r="AA22" i="7"/>
  <c r="AE11" i="7"/>
  <c r="AA11" i="7"/>
  <c r="Q29" i="12"/>
  <c r="Q30" i="12" s="1"/>
  <c r="T61" i="4"/>
  <c r="J11" i="10"/>
  <c r="J51" i="10"/>
  <c r="P99" i="13"/>
  <c r="S49" i="4"/>
  <c r="AM30" i="7"/>
  <c r="AM24" i="7"/>
  <c r="AQ33" i="8"/>
  <c r="S26" i="45"/>
  <c r="AC22" i="7"/>
  <c r="AB22" i="7"/>
  <c r="AF30" i="7" s="1"/>
  <c r="AF11" i="7"/>
  <c r="AB11" i="7"/>
  <c r="AN13" i="8"/>
  <c r="R29" i="12"/>
  <c r="R30" i="12" s="1"/>
  <c r="U61" i="4"/>
  <c r="N23" i="12"/>
  <c r="N24" i="12" s="1"/>
  <c r="Q77" i="9"/>
  <c r="Q94" i="9" s="1"/>
  <c r="T79" i="4"/>
  <c r="K11" i="10"/>
  <c r="K51" i="10"/>
  <c r="D10" i="27"/>
  <c r="E42" i="10"/>
  <c r="E58" i="10"/>
  <c r="E45" i="17" s="1"/>
  <c r="Q99" i="13"/>
  <c r="T49" i="4"/>
  <c r="I3" i="25"/>
  <c r="S56" i="12"/>
  <c r="S57" i="12" s="1"/>
  <c r="V73" i="4"/>
  <c r="F44" i="27"/>
  <c r="F38" i="12"/>
  <c r="F36" i="12" s="1"/>
  <c r="AP5" i="7"/>
  <c r="AP18" i="7" s="1"/>
  <c r="AT11" i="7"/>
  <c r="AP11" i="7"/>
  <c r="AP13" i="8"/>
  <c r="H53" i="14"/>
  <c r="K58" i="4"/>
  <c r="O23" i="12"/>
  <c r="O24" i="12" s="1"/>
  <c r="R61" i="4"/>
  <c r="L11" i="10"/>
  <c r="L16" i="10"/>
  <c r="F10" i="27"/>
  <c r="F58" i="10"/>
  <c r="F45" i="17" s="1"/>
  <c r="F42" i="10"/>
  <c r="F41" i="10"/>
  <c r="J56" i="9"/>
  <c r="M67" i="4"/>
  <c r="AH28" i="7"/>
  <c r="AG28" i="7"/>
  <c r="AG18" i="7"/>
  <c r="AG17" i="7"/>
  <c r="AL46" i="7"/>
  <c r="AR5" i="7"/>
  <c r="AR13" i="7" s="1"/>
  <c r="AR11" i="7"/>
  <c r="I24" i="9"/>
  <c r="T29" i="12"/>
  <c r="T30" i="12" s="1"/>
  <c r="W61" i="4"/>
  <c r="M28" i="10"/>
  <c r="M11" i="10"/>
  <c r="M51" i="10"/>
  <c r="AN30" i="7"/>
  <c r="AN24" i="7"/>
  <c r="N11" i="10"/>
  <c r="N28" i="10"/>
  <c r="N51" i="10"/>
  <c r="O51" i="12"/>
  <c r="O54" i="12"/>
  <c r="O20" i="10"/>
  <c r="O21" i="10"/>
  <c r="O27" i="12"/>
  <c r="M8" i="8"/>
  <c r="AR8" i="8" s="1"/>
  <c r="X100" i="10"/>
  <c r="Z31" i="4"/>
  <c r="Z32" i="4"/>
  <c r="P74" i="4"/>
  <c r="T25" i="4"/>
  <c r="C38" i="27"/>
  <c r="D58" i="14"/>
  <c r="D76" i="14" s="1"/>
  <c r="D36" i="11"/>
  <c r="C89" i="15"/>
  <c r="O11" i="10"/>
  <c r="O28" i="10"/>
  <c r="O51" i="10"/>
  <c r="L44" i="27"/>
  <c r="K38" i="12"/>
  <c r="K65" i="9"/>
  <c r="K69" i="9" s="1"/>
  <c r="AT13" i="8"/>
  <c r="AT31" i="8" s="1"/>
  <c r="N31" i="8"/>
  <c r="D40" i="27"/>
  <c r="E78" i="13"/>
  <c r="T56" i="9"/>
  <c r="R57" i="12"/>
  <c r="R51" i="12"/>
  <c r="R54" i="12"/>
  <c r="R21" i="10"/>
  <c r="R20" i="10"/>
  <c r="U36" i="10"/>
  <c r="H50" i="10"/>
  <c r="G50" i="10"/>
  <c r="G51" i="10"/>
  <c r="E34" i="13"/>
  <c r="T80" i="13"/>
  <c r="T48" i="13"/>
  <c r="P47" i="4"/>
  <c r="AV13" i="8"/>
  <c r="F40" i="27"/>
  <c r="F78" i="13"/>
  <c r="T24" i="9"/>
  <c r="R51" i="14"/>
  <c r="R52" i="14" s="1"/>
  <c r="U56" i="9"/>
  <c r="J77" i="9"/>
  <c r="J94" i="9" s="1"/>
  <c r="S51" i="12"/>
  <c r="S54" i="12"/>
  <c r="S21" i="10"/>
  <c r="S27" i="12"/>
  <c r="S20" i="10"/>
  <c r="F34" i="13"/>
  <c r="L73" i="16"/>
  <c r="M62" i="16"/>
  <c r="L62" i="16"/>
  <c r="W32" i="37"/>
  <c r="P20" i="10"/>
  <c r="P21" i="10"/>
  <c r="P27" i="12"/>
  <c r="AR13" i="8"/>
  <c r="F4" i="8"/>
  <c r="I40" i="27"/>
  <c r="H78" i="13"/>
  <c r="Q44" i="27"/>
  <c r="P38" i="12"/>
  <c r="P39" i="12" s="1"/>
  <c r="M45" i="27"/>
  <c r="L14" i="14"/>
  <c r="T15" i="10"/>
  <c r="T34" i="10"/>
  <c r="H34" i="13"/>
  <c r="R56" i="9"/>
  <c r="G77" i="9"/>
  <c r="H40" i="27"/>
  <c r="G78" i="13"/>
  <c r="F26" i="27"/>
  <c r="F5" i="11"/>
  <c r="F65" i="27" s="1"/>
  <c r="G34" i="13"/>
  <c r="N71" i="4"/>
  <c r="N8" i="8"/>
  <c r="G4" i="8"/>
  <c r="R44" i="27"/>
  <c r="Q38" i="12"/>
  <c r="Q36" i="12" s="1"/>
  <c r="Q65" i="9"/>
  <c r="Q69" i="9" s="1"/>
  <c r="N45" i="27"/>
  <c r="M14" i="14"/>
  <c r="M16" i="14" s="1"/>
  <c r="M100" i="9"/>
  <c r="U15" i="10"/>
  <c r="F23" i="13"/>
  <c r="F35" i="13" s="1"/>
  <c r="I34" i="13"/>
  <c r="X79" i="4"/>
  <c r="R6" i="6"/>
  <c r="K40" i="27"/>
  <c r="J78" i="13"/>
  <c r="O45" i="27"/>
  <c r="N14" i="14"/>
  <c r="N97" i="10"/>
  <c r="O112" i="9"/>
  <c r="O113" i="9" s="1"/>
  <c r="G47" i="10"/>
  <c r="G48" i="10"/>
  <c r="G25" i="10"/>
  <c r="M65" i="12"/>
  <c r="G23" i="13"/>
  <c r="G29" i="13" s="1"/>
  <c r="J34" i="13"/>
  <c r="E84" i="15"/>
  <c r="E87" i="15" s="1"/>
  <c r="E89" i="15" s="1"/>
  <c r="F18" i="11"/>
  <c r="F31" i="11" s="1"/>
  <c r="H77" i="9"/>
  <c r="H94" i="9" s="1"/>
  <c r="P8" i="8"/>
  <c r="AX8" i="8" s="1"/>
  <c r="Z22" i="8"/>
  <c r="I4" i="8"/>
  <c r="L40" i="27"/>
  <c r="K78" i="13"/>
  <c r="P16" i="11"/>
  <c r="S98" i="4" s="1"/>
  <c r="T44" i="27"/>
  <c r="S38" i="12"/>
  <c r="S65" i="9"/>
  <c r="S69" i="9" s="1"/>
  <c r="P45" i="27"/>
  <c r="O14" i="14"/>
  <c r="O97" i="10"/>
  <c r="H47" i="10"/>
  <c r="H48" i="10"/>
  <c r="K34" i="13"/>
  <c r="P71" i="27"/>
  <c r="O31" i="11"/>
  <c r="F84" i="15"/>
  <c r="F87" i="15" s="1"/>
  <c r="G18" i="11"/>
  <c r="K78" i="4"/>
  <c r="T8" i="7"/>
  <c r="T27" i="7" s="1"/>
  <c r="Q16" i="11"/>
  <c r="T98" i="4" s="1"/>
  <c r="P14" i="12"/>
  <c r="P15" i="12" s="1"/>
  <c r="P33" i="9"/>
  <c r="P41" i="9" s="1"/>
  <c r="L33" i="9"/>
  <c r="L41" i="9" s="1"/>
  <c r="S27" i="14"/>
  <c r="S29" i="14" s="1"/>
  <c r="S47" i="14" s="1"/>
  <c r="S96" i="10"/>
  <c r="Q45" i="27"/>
  <c r="P14" i="14"/>
  <c r="P97" i="10"/>
  <c r="P77" i="9"/>
  <c r="P94" i="9" s="1"/>
  <c r="N67" i="12"/>
  <c r="N61" i="12"/>
  <c r="T30" i="11"/>
  <c r="W107" i="4" s="1"/>
  <c r="S56" i="9"/>
  <c r="S15" i="10"/>
  <c r="S34" i="10"/>
  <c r="L78" i="4"/>
  <c r="P22" i="7"/>
  <c r="P30" i="7" s="1"/>
  <c r="AM30" i="8"/>
  <c r="AM21" i="8"/>
  <c r="AM3" i="8" s="1"/>
  <c r="AM2" i="8"/>
  <c r="L4" i="8"/>
  <c r="K4" i="8"/>
  <c r="AN26" i="8"/>
  <c r="N40" i="27"/>
  <c r="M78" i="13"/>
  <c r="Q14" i="12"/>
  <c r="Q15" i="12" s="1"/>
  <c r="Q33" i="9"/>
  <c r="Q41" i="9" s="1"/>
  <c r="N33" i="9"/>
  <c r="R45" i="27"/>
  <c r="Q14" i="14"/>
  <c r="Q97" i="10"/>
  <c r="F27" i="10"/>
  <c r="J47" i="10"/>
  <c r="J48" i="10"/>
  <c r="J25" i="10"/>
  <c r="H37" i="14"/>
  <c r="I32" i="14"/>
  <c r="I37" i="14" s="1"/>
  <c r="H34" i="14"/>
  <c r="G40" i="13"/>
  <c r="N22" i="6"/>
  <c r="N40" i="6" s="1"/>
  <c r="Q22" i="7"/>
  <c r="S45" i="27"/>
  <c r="R14" i="14"/>
  <c r="R97" i="10"/>
  <c r="K130" i="10"/>
  <c r="K132" i="10" s="1"/>
  <c r="AJ27" i="8"/>
  <c r="J32" i="14"/>
  <c r="J33" i="14" s="1"/>
  <c r="M80" i="14"/>
  <c r="AX13" i="8"/>
  <c r="D4" i="25"/>
  <c r="D9" i="25" s="1"/>
  <c r="AO30" i="8"/>
  <c r="AO21" i="8"/>
  <c r="AQ2" i="8"/>
  <c r="AO2" i="8"/>
  <c r="BB13" i="8"/>
  <c r="AR26" i="8"/>
  <c r="P40" i="27"/>
  <c r="O24" i="9"/>
  <c r="O78" i="13"/>
  <c r="E24" i="9"/>
  <c r="S14" i="12"/>
  <c r="S15" i="12" s="1"/>
  <c r="T45" i="27"/>
  <c r="S14" i="14"/>
  <c r="S97" i="10"/>
  <c r="M31" i="10"/>
  <c r="M13" i="10"/>
  <c r="L22" i="27"/>
  <c r="S15" i="13"/>
  <c r="K32" i="14"/>
  <c r="K33" i="14" s="1"/>
  <c r="Y30" i="8"/>
  <c r="Y21" i="8"/>
  <c r="Y25" i="8" s="1"/>
  <c r="BD13" i="8"/>
  <c r="F24" i="9"/>
  <c r="F34" i="27"/>
  <c r="F37" i="27"/>
  <c r="F11" i="12"/>
  <c r="F9" i="12" s="1"/>
  <c r="F33" i="9"/>
  <c r="F41" i="9" s="1"/>
  <c r="T14" i="14"/>
  <c r="T97" i="10"/>
  <c r="T77" i="9"/>
  <c r="T94" i="9" s="1"/>
  <c r="M22" i="27"/>
  <c r="J22" i="8"/>
  <c r="R63" i="12"/>
  <c r="R65" i="12"/>
  <c r="R67" i="12"/>
  <c r="L32" i="14"/>
  <c r="L33" i="14" s="1"/>
  <c r="C40" i="27"/>
  <c r="D78" i="13"/>
  <c r="R17" i="4"/>
  <c r="R19" i="4" s="1"/>
  <c r="G24" i="9"/>
  <c r="H34" i="27"/>
  <c r="H37" i="27"/>
  <c r="G11" i="12"/>
  <c r="G9" i="12" s="1"/>
  <c r="U14" i="14"/>
  <c r="U97" i="10"/>
  <c r="G16" i="10"/>
  <c r="F15" i="18" s="1"/>
  <c r="N48" i="10"/>
  <c r="N22" i="27"/>
  <c r="K22" i="8"/>
  <c r="S63" i="12"/>
  <c r="S65" i="12"/>
  <c r="S67" i="12"/>
  <c r="Q57" i="12"/>
  <c r="Q54" i="12"/>
  <c r="Q51" i="12"/>
  <c r="Q20" i="10"/>
  <c r="Q21" i="10"/>
  <c r="AA30" i="8"/>
  <c r="AA21" i="8"/>
  <c r="AB32" i="8"/>
  <c r="Q195" i="16"/>
  <c r="Q198" i="16" s="1"/>
  <c r="AT19" i="8"/>
  <c r="P131" i="13"/>
  <c r="H24" i="9"/>
  <c r="I34" i="27"/>
  <c r="H11" i="12"/>
  <c r="H9" i="12" s="1"/>
  <c r="M27" i="8"/>
  <c r="M44" i="27"/>
  <c r="L38" i="12"/>
  <c r="L36" i="12" s="1"/>
  <c r="L65" i="9"/>
  <c r="L69" i="9" s="1"/>
  <c r="O5" i="7"/>
  <c r="AN31" i="7"/>
  <c r="AB8" i="8"/>
  <c r="AB9" i="8" s="1"/>
  <c r="AD32" i="8"/>
  <c r="J34" i="27"/>
  <c r="I11" i="12"/>
  <c r="I9" i="12" s="1"/>
  <c r="T100" i="9"/>
  <c r="N27" i="8"/>
  <c r="AW24" i="7"/>
  <c r="BA32" i="7" s="1"/>
  <c r="I11" i="26"/>
  <c r="K9" i="7"/>
  <c r="K28" i="7" s="1"/>
  <c r="AO31" i="7"/>
  <c r="T28" i="7"/>
  <c r="AF32" i="8"/>
  <c r="S195" i="16"/>
  <c r="AX19" i="8"/>
  <c r="J24" i="9"/>
  <c r="K34" i="27"/>
  <c r="J11" i="12"/>
  <c r="J9" i="12" s="1"/>
  <c r="U100" i="9"/>
  <c r="R48" i="13"/>
  <c r="R80" i="13"/>
  <c r="D47" i="27"/>
  <c r="E8" i="14"/>
  <c r="E94" i="9"/>
  <c r="E98" i="9"/>
  <c r="E56" i="9"/>
  <c r="E92" i="9"/>
  <c r="S80" i="13"/>
  <c r="S48" i="13"/>
  <c r="T160" i="15"/>
  <c r="U157" i="15" s="1"/>
  <c r="U158" i="15" s="1"/>
  <c r="U99" i="13"/>
  <c r="V89" i="13" s="1"/>
  <c r="P9" i="27"/>
  <c r="F4" i="21"/>
  <c r="O73" i="12"/>
  <c r="O70" i="12"/>
  <c r="O76" i="12"/>
  <c r="O18" i="12"/>
  <c r="O30" i="12"/>
  <c r="O91" i="10"/>
  <c r="O120" i="10"/>
  <c r="O40" i="10"/>
  <c r="N23" i="18" s="1"/>
  <c r="O5" i="10"/>
  <c r="N23" i="6" s="1"/>
  <c r="O68" i="10"/>
  <c r="O15" i="12"/>
  <c r="O61" i="12"/>
  <c r="O66" i="10"/>
  <c r="V49" i="4"/>
  <c r="L11" i="26"/>
  <c r="M3" i="26"/>
  <c r="M11" i="26" s="1"/>
  <c r="O15" i="7"/>
  <c r="O9" i="7"/>
  <c r="L34" i="27"/>
  <c r="K11" i="12"/>
  <c r="K9" i="12" s="1"/>
  <c r="P27" i="8"/>
  <c r="U24" i="10"/>
  <c r="Q26" i="7"/>
  <c r="P26" i="7"/>
  <c r="T18" i="7"/>
  <c r="D35" i="27"/>
  <c r="E20" i="12"/>
  <c r="E4" i="12" s="1"/>
  <c r="M34" i="27"/>
  <c r="L11" i="12"/>
  <c r="L9" i="12" s="1"/>
  <c r="H11" i="10"/>
  <c r="H51" i="10"/>
  <c r="AL13" i="7"/>
  <c r="Y16" i="7"/>
  <c r="S23" i="7"/>
  <c r="R40" i="27"/>
  <c r="Q78" i="13"/>
  <c r="Q24" i="9"/>
  <c r="N34" i="27"/>
  <c r="M11" i="12"/>
  <c r="M9" i="12" s="1"/>
  <c r="M33" i="9"/>
  <c r="M41" i="9" s="1"/>
  <c r="S51" i="14"/>
  <c r="S52" i="14" s="1"/>
  <c r="D38" i="27"/>
  <c r="E58" i="14"/>
  <c r="E36" i="11"/>
  <c r="K98" i="9"/>
  <c r="K77" i="9"/>
  <c r="K94" i="9" s="1"/>
  <c r="P11" i="10"/>
  <c r="P28" i="10"/>
  <c r="T45" i="17"/>
  <c r="T103" i="10"/>
  <c r="T42" i="10"/>
  <c r="U129" i="16" s="1"/>
  <c r="O22" i="27"/>
  <c r="L22" i="8"/>
  <c r="M41" i="13"/>
  <c r="M38" i="13"/>
  <c r="X32" i="37"/>
  <c r="AA16" i="7"/>
  <c r="AW37" i="8"/>
  <c r="T51" i="14"/>
  <c r="T53" i="14" s="1"/>
  <c r="U51" i="14" s="1"/>
  <c r="F38" i="27"/>
  <c r="F58" i="14"/>
  <c r="F36" i="11"/>
  <c r="L98" i="9"/>
  <c r="P22" i="27"/>
  <c r="V3" i="16"/>
  <c r="AQ2" i="16"/>
  <c r="AS3" i="16" s="1"/>
  <c r="AN13" i="7"/>
  <c r="D32" i="8"/>
  <c r="O35" i="27"/>
  <c r="N20" i="12"/>
  <c r="N4" i="12" s="1"/>
  <c r="P34" i="27"/>
  <c r="O11" i="12"/>
  <c r="O9" i="12" s="1"/>
  <c r="O33" i="9"/>
  <c r="O41" i="9" s="1"/>
  <c r="H38" i="27"/>
  <c r="G58" i="14"/>
  <c r="G36" i="11"/>
  <c r="E43" i="14"/>
  <c r="F25" i="14"/>
  <c r="F26" i="14" s="1"/>
  <c r="E26" i="14"/>
  <c r="Q16" i="10"/>
  <c r="Q13" i="19" s="1"/>
  <c r="Q22" i="27"/>
  <c r="N22" i="8"/>
  <c r="AO13" i="7"/>
  <c r="V23" i="7"/>
  <c r="AY37" i="8"/>
  <c r="U16" i="11"/>
  <c r="X98" i="4" s="1"/>
  <c r="P35" i="27"/>
  <c r="O20" i="12"/>
  <c r="O4" i="12" s="1"/>
  <c r="Q34" i="27"/>
  <c r="P11" i="12"/>
  <c r="I38" i="27"/>
  <c r="H58" i="14"/>
  <c r="H36" i="11"/>
  <c r="N8" i="14"/>
  <c r="N94" i="10"/>
  <c r="N98" i="9"/>
  <c r="F43" i="14"/>
  <c r="G25" i="14"/>
  <c r="G26" i="14" s="1"/>
  <c r="N77" i="9"/>
  <c r="N94" i="9" s="1"/>
  <c r="S45" i="10"/>
  <c r="S7" i="10"/>
  <c r="S16" i="10"/>
  <c r="L13" i="20" s="1"/>
  <c r="D13" i="27"/>
  <c r="E84" i="10"/>
  <c r="E79" i="10"/>
  <c r="E80" i="10" s="1"/>
  <c r="Q112" i="9"/>
  <c r="Q113" i="9" s="1"/>
  <c r="R34" i="27"/>
  <c r="Q11" i="12"/>
  <c r="Q12" i="12" s="1"/>
  <c r="J38" i="27"/>
  <c r="I36" i="11"/>
  <c r="I58" i="14"/>
  <c r="O8" i="14"/>
  <c r="O94" i="10"/>
  <c r="O98" i="9"/>
  <c r="G43" i="14"/>
  <c r="H25" i="14"/>
  <c r="H26" i="14" s="1"/>
  <c r="U7" i="10"/>
  <c r="T7" i="10"/>
  <c r="V9" i="10"/>
  <c r="T28" i="10"/>
  <c r="T11" i="10"/>
  <c r="T16" i="10"/>
  <c r="M13" i="20" s="1"/>
  <c r="S22" i="27"/>
  <c r="P22" i="8"/>
  <c r="AP12" i="7"/>
  <c r="R112" i="9"/>
  <c r="R113" i="9" s="1"/>
  <c r="R35" i="27"/>
  <c r="Q20" i="12"/>
  <c r="Q4" i="12" s="1"/>
  <c r="S34" i="27"/>
  <c r="R11" i="12"/>
  <c r="R9" i="12" s="1"/>
  <c r="K38" i="27"/>
  <c r="J36" i="11"/>
  <c r="J58" i="14"/>
  <c r="P8" i="14"/>
  <c r="P94" i="10"/>
  <c r="P98" i="9"/>
  <c r="H43" i="14"/>
  <c r="I25" i="14"/>
  <c r="I26" i="14" s="1"/>
  <c r="U28" i="10"/>
  <c r="U51" i="10"/>
  <c r="U11" i="10"/>
  <c r="U16" i="10"/>
  <c r="T15" i="18" s="1"/>
  <c r="U71" i="10"/>
  <c r="U72" i="10" s="1"/>
  <c r="AK2" i="8"/>
  <c r="Z15" i="8"/>
  <c r="Z32" i="8" s="1"/>
  <c r="S112" i="9"/>
  <c r="S113" i="9" s="1"/>
  <c r="S35" i="27"/>
  <c r="R20" i="12"/>
  <c r="R4" i="12" s="1"/>
  <c r="L38" i="27"/>
  <c r="K36" i="11"/>
  <c r="K99" i="9"/>
  <c r="Q8" i="14"/>
  <c r="Q98" i="9"/>
  <c r="I43" i="14"/>
  <c r="J25" i="14"/>
  <c r="J26" i="14" s="1"/>
  <c r="P96" i="10"/>
  <c r="AP17" i="7"/>
  <c r="T35" i="27"/>
  <c r="S20" i="12"/>
  <c r="S4" i="12" s="1"/>
  <c r="M38" i="27"/>
  <c r="L36" i="11"/>
  <c r="L58" i="14"/>
  <c r="R8" i="14"/>
  <c r="R94" i="10"/>
  <c r="R98" i="9"/>
  <c r="J43" i="14"/>
  <c r="K25" i="14"/>
  <c r="K26" i="14" s="1"/>
  <c r="F29" i="10"/>
  <c r="E29" i="10"/>
  <c r="E30" i="10"/>
  <c r="AQ17" i="7"/>
  <c r="AB33" i="8"/>
  <c r="AK35" i="8"/>
  <c r="U112" i="9"/>
  <c r="U113" i="9" s="1"/>
  <c r="T4" i="12"/>
  <c r="N38" i="27"/>
  <c r="M36" i="11"/>
  <c r="M58" i="14"/>
  <c r="M99" i="9"/>
  <c r="S8" i="14"/>
  <c r="S24" i="11"/>
  <c r="S94" i="10"/>
  <c r="S98" i="9"/>
  <c r="K43" i="14"/>
  <c r="L25" i="14"/>
  <c r="L26" i="14" s="1"/>
  <c r="D94" i="9"/>
  <c r="J34" i="10"/>
  <c r="J36" i="10" s="1"/>
  <c r="F24" i="10"/>
  <c r="K58" i="14"/>
  <c r="AT12" i="7"/>
  <c r="L17" i="7"/>
  <c r="AR17" i="7"/>
  <c r="AB23" i="7"/>
  <c r="AB31" i="7" s="1"/>
  <c r="AD30" i="8"/>
  <c r="D13" i="8"/>
  <c r="D31" i="8" s="1"/>
  <c r="AD33" i="8"/>
  <c r="U4" i="12"/>
  <c r="T8" i="14"/>
  <c r="T24" i="11"/>
  <c r="T94" i="10"/>
  <c r="L43" i="14"/>
  <c r="M25" i="14"/>
  <c r="M26" i="14" s="1"/>
  <c r="M32" i="14"/>
  <c r="M33" i="14" s="1"/>
  <c r="M17" i="7"/>
  <c r="AS17" i="7"/>
  <c r="AI30" i="7"/>
  <c r="AF30" i="8"/>
  <c r="AF33" i="8"/>
  <c r="P38" i="27"/>
  <c r="O58" i="14"/>
  <c r="O36" i="11"/>
  <c r="O64" i="10" s="1"/>
  <c r="U8" i="14"/>
  <c r="U94" i="10"/>
  <c r="N32" i="14"/>
  <c r="S94" i="9"/>
  <c r="N17" i="7"/>
  <c r="AT17" i="7"/>
  <c r="AQ18" i="7"/>
  <c r="D42" i="27"/>
  <c r="E99" i="9"/>
  <c r="N35" i="14"/>
  <c r="N98" i="10"/>
  <c r="X75" i="9"/>
  <c r="Y75" i="9" s="1"/>
  <c r="T60" i="27"/>
  <c r="S82" i="9"/>
  <c r="D24" i="10"/>
  <c r="D37" i="10"/>
  <c r="D38" i="10" s="1"/>
  <c r="I29" i="10"/>
  <c r="I30" i="10"/>
  <c r="Q54" i="10"/>
  <c r="Q53" i="10"/>
  <c r="AU17" i="7"/>
  <c r="AB46" i="7"/>
  <c r="AD47" i="7" s="1"/>
  <c r="AT20" i="8"/>
  <c r="R38" i="27"/>
  <c r="Q58" i="14"/>
  <c r="Q36" i="11"/>
  <c r="Q64" i="10" s="1"/>
  <c r="O56" i="12"/>
  <c r="O57" i="12" s="1"/>
  <c r="O65" i="9"/>
  <c r="O69" i="9" s="1"/>
  <c r="P32" i="14"/>
  <c r="T98" i="9"/>
  <c r="F54" i="12"/>
  <c r="F57" i="12"/>
  <c r="F51" i="12"/>
  <c r="F42" i="12"/>
  <c r="F20" i="10"/>
  <c r="F21" i="10"/>
  <c r="E23" i="10"/>
  <c r="E44" i="10"/>
  <c r="E45" i="10"/>
  <c r="C91" i="10"/>
  <c r="AV17" i="7"/>
  <c r="AS18" i="7"/>
  <c r="BB53" i="8"/>
  <c r="S38" i="27"/>
  <c r="R58" i="14"/>
  <c r="R36" i="11"/>
  <c r="R64" i="10" s="1"/>
  <c r="S33" i="11"/>
  <c r="G56" i="9"/>
  <c r="Q25" i="14"/>
  <c r="P43" i="14"/>
  <c r="P35" i="14"/>
  <c r="P98" i="10"/>
  <c r="U77" i="9"/>
  <c r="U94" i="9" s="1"/>
  <c r="U98" i="9"/>
  <c r="E13" i="10"/>
  <c r="E31" i="10"/>
  <c r="E17" i="10"/>
  <c r="F44" i="10"/>
  <c r="F45" i="10"/>
  <c r="D86" i="10"/>
  <c r="E158" i="16"/>
  <c r="E192" i="16"/>
  <c r="F173" i="16"/>
  <c r="Q17" i="7"/>
  <c r="AS28" i="7"/>
  <c r="AX20" i="8"/>
  <c r="H98" i="9"/>
  <c r="Q27" i="14"/>
  <c r="Q96" i="10"/>
  <c r="C44" i="27"/>
  <c r="D38" i="12"/>
  <c r="D36" i="12" s="1"/>
  <c r="K45" i="27"/>
  <c r="J14" i="14"/>
  <c r="Q35" i="14"/>
  <c r="Q98" i="10"/>
  <c r="G13" i="10"/>
  <c r="F13" i="10"/>
  <c r="F31" i="10"/>
  <c r="F37" i="10" s="1"/>
  <c r="F38" i="10" s="1"/>
  <c r="G23" i="10"/>
  <c r="G24" i="10"/>
  <c r="H44" i="10"/>
  <c r="G44" i="10"/>
  <c r="S9" i="11"/>
  <c r="V94" i="4" s="1"/>
  <c r="S71" i="10"/>
  <c r="S72" i="10" s="1"/>
  <c r="P20" i="12"/>
  <c r="P4" i="12" s="1"/>
  <c r="R17" i="7"/>
  <c r="AT32" i="8"/>
  <c r="H5" i="25"/>
  <c r="H10" i="25" s="1"/>
  <c r="AS36" i="8"/>
  <c r="AS25" i="8"/>
  <c r="M133" i="13"/>
  <c r="N131" i="13"/>
  <c r="N133" i="13" s="1"/>
  <c r="T36" i="11"/>
  <c r="T64" i="10" s="1"/>
  <c r="U33" i="11"/>
  <c r="D44" i="27"/>
  <c r="E38" i="12"/>
  <c r="L45" i="27"/>
  <c r="K14" i="14"/>
  <c r="R35" i="14"/>
  <c r="R98" i="10"/>
  <c r="C120" i="10"/>
  <c r="C82" i="10"/>
  <c r="U54" i="10"/>
  <c r="U53" i="10"/>
  <c r="T9" i="11"/>
  <c r="W94" i="4" s="1"/>
  <c r="T62" i="10"/>
  <c r="T71" i="10"/>
  <c r="T72" i="10" s="1"/>
  <c r="D75" i="10"/>
  <c r="I68" i="13"/>
  <c r="I64" i="13"/>
  <c r="P138" i="13"/>
  <c r="P60" i="13"/>
  <c r="P61" i="13" s="1"/>
  <c r="P124" i="13"/>
  <c r="P123" i="13" s="1"/>
  <c r="Y32" i="37"/>
  <c r="T34" i="27"/>
  <c r="S11" i="12"/>
  <c r="S12" i="12" s="1"/>
  <c r="F42" i="27"/>
  <c r="F99" i="9"/>
  <c r="O38" i="27"/>
  <c r="N36" i="11"/>
  <c r="N58" i="14"/>
  <c r="M43" i="14"/>
  <c r="N25" i="14"/>
  <c r="N44" i="27"/>
  <c r="M38" i="12"/>
  <c r="M36" i="12" s="1"/>
  <c r="D9" i="27"/>
  <c r="D15" i="18"/>
  <c r="E27" i="17"/>
  <c r="E13" i="19"/>
  <c r="E73" i="12"/>
  <c r="E15" i="12"/>
  <c r="E70" i="12"/>
  <c r="E18" i="12"/>
  <c r="E120" i="10"/>
  <c r="E24" i="12"/>
  <c r="E77" i="10"/>
  <c r="E82" i="10"/>
  <c r="Q11" i="10"/>
  <c r="Q51" i="10"/>
  <c r="P34" i="10"/>
  <c r="G21" i="19"/>
  <c r="T22" i="27"/>
  <c r="U48" i="13"/>
  <c r="V49" i="13" s="1"/>
  <c r="T99" i="13"/>
  <c r="U89" i="13" s="1"/>
  <c r="D14" i="14"/>
  <c r="N27" i="14"/>
  <c r="N96" i="10"/>
  <c r="O44" i="27"/>
  <c r="N38" i="12"/>
  <c r="U35" i="14"/>
  <c r="U98" i="10"/>
  <c r="E15" i="18"/>
  <c r="F9" i="27"/>
  <c r="F27" i="17"/>
  <c r="F13" i="19"/>
  <c r="F15" i="12"/>
  <c r="F73" i="12"/>
  <c r="F70" i="12"/>
  <c r="F76" i="12"/>
  <c r="F18" i="12"/>
  <c r="F120" i="10"/>
  <c r="F24" i="12"/>
  <c r="R28" i="10"/>
  <c r="R51" i="10"/>
  <c r="Q34" i="10"/>
  <c r="Q57" i="10"/>
  <c r="Q15" i="10"/>
  <c r="F47" i="10"/>
  <c r="E47" i="10"/>
  <c r="J40" i="27"/>
  <c r="I78" i="13"/>
  <c r="E112" i="9"/>
  <c r="E113" i="9" s="1"/>
  <c r="Q38" i="27"/>
  <c r="P58" i="14"/>
  <c r="P36" i="11"/>
  <c r="P64" i="10" s="1"/>
  <c r="O43" i="14"/>
  <c r="P25" i="14"/>
  <c r="P26" i="14" s="1"/>
  <c r="P44" i="27"/>
  <c r="O38" i="12"/>
  <c r="O39" i="12" s="1"/>
  <c r="X68" i="9"/>
  <c r="Y68" i="9" s="1"/>
  <c r="Z68" i="9" s="1"/>
  <c r="AA68" i="9" s="1"/>
  <c r="AB68" i="9" s="1"/>
  <c r="AC68" i="9" s="1"/>
  <c r="AD68" i="9" s="1"/>
  <c r="AE68" i="9" s="1"/>
  <c r="AF68" i="9" s="1"/>
  <c r="AG68" i="9" s="1"/>
  <c r="H9" i="27"/>
  <c r="G15" i="12"/>
  <c r="G73" i="12"/>
  <c r="G70" i="12"/>
  <c r="G76" i="12"/>
  <c r="G18" i="12"/>
  <c r="G120" i="10"/>
  <c r="G24" i="12"/>
  <c r="G77" i="10"/>
  <c r="G82" i="10"/>
  <c r="S28" i="10"/>
  <c r="S51" i="10"/>
  <c r="Q24" i="10"/>
  <c r="M54" i="10"/>
  <c r="R57" i="10"/>
  <c r="O80" i="10"/>
  <c r="M32" i="13"/>
  <c r="M40" i="27"/>
  <c r="L78" i="13"/>
  <c r="T38" i="27"/>
  <c r="S58" i="14"/>
  <c r="S36" i="11"/>
  <c r="S64" i="10" s="1"/>
  <c r="T33" i="11"/>
  <c r="R43" i="14"/>
  <c r="S44" i="27"/>
  <c r="R38" i="12"/>
  <c r="R36" i="12" s="1"/>
  <c r="R65" i="9"/>
  <c r="R69" i="9" s="1"/>
  <c r="K9" i="27"/>
  <c r="J30" i="12"/>
  <c r="J73" i="12"/>
  <c r="J15" i="12"/>
  <c r="J70" i="12"/>
  <c r="J18" i="12"/>
  <c r="J120" i="10"/>
  <c r="J24" i="12"/>
  <c r="J77" i="10"/>
  <c r="J82" i="10"/>
  <c r="J21" i="10"/>
  <c r="J40" i="10"/>
  <c r="J91" i="10"/>
  <c r="S13" i="10"/>
  <c r="S31" i="10"/>
  <c r="T13" i="10"/>
  <c r="E25" i="10"/>
  <c r="I47" i="10"/>
  <c r="I48" i="10"/>
  <c r="P53" i="10"/>
  <c r="P54" i="10"/>
  <c r="M125" i="10"/>
  <c r="M126" i="10" s="1"/>
  <c r="J60" i="12"/>
  <c r="J63" i="12" s="1"/>
  <c r="J112" i="9"/>
  <c r="J113" i="9" s="1"/>
  <c r="F51" i="14"/>
  <c r="U36" i="11"/>
  <c r="U64" i="10" s="1"/>
  <c r="T27" i="14"/>
  <c r="T36" i="12"/>
  <c r="L21" i="19"/>
  <c r="L45" i="17"/>
  <c r="K23" i="18"/>
  <c r="K48" i="10"/>
  <c r="K47" i="10"/>
  <c r="R54" i="10"/>
  <c r="R53" i="10"/>
  <c r="J84" i="10"/>
  <c r="G51" i="14"/>
  <c r="G52" i="14" s="1"/>
  <c r="N9" i="27"/>
  <c r="M73" i="12"/>
  <c r="M70" i="12"/>
  <c r="M76" i="12"/>
  <c r="M120" i="10"/>
  <c r="M16" i="10"/>
  <c r="M13" i="19" s="1"/>
  <c r="M24" i="12"/>
  <c r="M91" i="10"/>
  <c r="M18" i="12"/>
  <c r="M21" i="10"/>
  <c r="M40" i="10"/>
  <c r="M30" i="12"/>
  <c r="M62" i="10"/>
  <c r="F4" i="27"/>
  <c r="F7" i="10"/>
  <c r="H9" i="10"/>
  <c r="G29" i="10"/>
  <c r="G30" i="10"/>
  <c r="S44" i="10"/>
  <c r="R44" i="10"/>
  <c r="R45" i="10"/>
  <c r="L48" i="10"/>
  <c r="S53" i="10"/>
  <c r="S54" i="10"/>
  <c r="J73" i="16"/>
  <c r="J78" i="16" s="1"/>
  <c r="J62" i="16"/>
  <c r="O131" i="13"/>
  <c r="O133" i="13" s="1"/>
  <c r="L112" i="9"/>
  <c r="L113" i="9" s="1"/>
  <c r="C35" i="27"/>
  <c r="D20" i="12"/>
  <c r="D4" i="12" s="1"/>
  <c r="H51" i="14"/>
  <c r="C47" i="27"/>
  <c r="D8" i="14"/>
  <c r="E89" i="9"/>
  <c r="D89" i="9"/>
  <c r="O9" i="27"/>
  <c r="D4" i="21"/>
  <c r="N73" i="12"/>
  <c r="N70" i="12"/>
  <c r="N76" i="12"/>
  <c r="N18" i="12"/>
  <c r="N91" i="10"/>
  <c r="N120" i="10"/>
  <c r="H4" i="27"/>
  <c r="G7" i="10"/>
  <c r="E57" i="12"/>
  <c r="E54" i="12"/>
  <c r="E51" i="12"/>
  <c r="E42" i="12"/>
  <c r="E20" i="10"/>
  <c r="E21" i="10"/>
  <c r="I25" i="10"/>
  <c r="H29" i="10"/>
  <c r="H30" i="10"/>
  <c r="T54" i="10"/>
  <c r="T53" i="10"/>
  <c r="J75" i="10"/>
  <c r="C86" i="10"/>
  <c r="G92" i="13"/>
  <c r="G94" i="13" s="1"/>
  <c r="F99" i="13"/>
  <c r="K73" i="16"/>
  <c r="K78" i="16" s="1"/>
  <c r="K62" i="16"/>
  <c r="F35" i="27"/>
  <c r="F20" i="12"/>
  <c r="F4" i="12" s="1"/>
  <c r="J51" i="14"/>
  <c r="F47" i="27"/>
  <c r="F8" i="14"/>
  <c r="P40" i="10"/>
  <c r="I7" i="10"/>
  <c r="I45" i="10"/>
  <c r="S11" i="10"/>
  <c r="G54" i="12"/>
  <c r="G57" i="12"/>
  <c r="G51" i="12"/>
  <c r="G42" i="12"/>
  <c r="H20" i="10"/>
  <c r="G21" i="10"/>
  <c r="J29" i="10"/>
  <c r="J30" i="10"/>
  <c r="U44" i="10"/>
  <c r="U45" i="10"/>
  <c r="O48" i="10"/>
  <c r="O47" i="10"/>
  <c r="E86" i="10"/>
  <c r="F91" i="10"/>
  <c r="F30" i="12"/>
  <c r="W3" i="16"/>
  <c r="BD49" i="8"/>
  <c r="T40" i="27"/>
  <c r="S78" i="13"/>
  <c r="H35" i="27"/>
  <c r="G20" i="12"/>
  <c r="G4" i="12" s="1"/>
  <c r="C41" i="27"/>
  <c r="D26" i="12"/>
  <c r="D27" i="12" s="1"/>
  <c r="G24" i="11"/>
  <c r="H77" i="27" s="1"/>
  <c r="Q40" i="10"/>
  <c r="H42" i="12"/>
  <c r="G91" i="10"/>
  <c r="G30" i="12"/>
  <c r="I35" i="27"/>
  <c r="H20" i="12"/>
  <c r="H4" i="12" s="1"/>
  <c r="D41" i="27"/>
  <c r="E26" i="12"/>
  <c r="E27" i="12" s="1"/>
  <c r="L51" i="14"/>
  <c r="M98" i="9"/>
  <c r="R40" i="10"/>
  <c r="I42" i="12"/>
  <c r="L30" i="10"/>
  <c r="Q47" i="10"/>
  <c r="G86" i="10"/>
  <c r="P101" i="10"/>
  <c r="U11" i="16"/>
  <c r="AO10" i="16"/>
  <c r="BC53" i="8"/>
  <c r="J35" i="27"/>
  <c r="I20" i="12"/>
  <c r="I4" i="12" s="1"/>
  <c r="F41" i="27"/>
  <c r="F26" i="12"/>
  <c r="F27" i="12" s="1"/>
  <c r="M51" i="14"/>
  <c r="M52" i="14" s="1"/>
  <c r="I8" i="14"/>
  <c r="I100" i="9"/>
  <c r="D45" i="27"/>
  <c r="E14" i="14"/>
  <c r="T9" i="27"/>
  <c r="S24" i="12"/>
  <c r="S76" i="12"/>
  <c r="S70" i="12"/>
  <c r="S73" i="12"/>
  <c r="S18" i="12"/>
  <c r="S30" i="12"/>
  <c r="S61" i="12"/>
  <c r="S68" i="10"/>
  <c r="S40" i="10"/>
  <c r="T41" i="10" s="1"/>
  <c r="S5" i="10"/>
  <c r="R23" i="6" s="1"/>
  <c r="L45" i="10"/>
  <c r="J42" i="12"/>
  <c r="R47" i="10"/>
  <c r="R25" i="10"/>
  <c r="S26" i="10" s="1"/>
  <c r="N62" i="10"/>
  <c r="Q101" i="10"/>
  <c r="K20" i="12"/>
  <c r="K4" i="12" s="1"/>
  <c r="AQ10" i="16"/>
  <c r="AS11" i="16" s="1"/>
  <c r="V11" i="16"/>
  <c r="K35" i="27"/>
  <c r="J20" i="12"/>
  <c r="J4" i="12" s="1"/>
  <c r="H41" i="27"/>
  <c r="G26" i="12"/>
  <c r="G27" i="12" s="1"/>
  <c r="N51" i="14"/>
  <c r="N52" i="14" s="1"/>
  <c r="J8" i="14"/>
  <c r="J100" i="9"/>
  <c r="F45" i="27"/>
  <c r="F14" i="14"/>
  <c r="T112" i="9"/>
  <c r="T113" i="9" s="1"/>
  <c r="M7" i="10"/>
  <c r="M45" i="10"/>
  <c r="R15" i="10"/>
  <c r="K57" i="12"/>
  <c r="K27" i="12"/>
  <c r="K54" i="12"/>
  <c r="K51" i="12"/>
  <c r="K42" i="12"/>
  <c r="K20" i="10"/>
  <c r="K21" i="10"/>
  <c r="Q28" i="10"/>
  <c r="M50" i="10"/>
  <c r="L50" i="10"/>
  <c r="O62" i="10"/>
  <c r="L20" i="12"/>
  <c r="L4" i="12" s="1"/>
  <c r="W11" i="16"/>
  <c r="AK89" i="16"/>
  <c r="S127" i="16"/>
  <c r="S90" i="16"/>
  <c r="O51" i="14"/>
  <c r="O52" i="14" s="1"/>
  <c r="K8" i="14"/>
  <c r="K100" i="9"/>
  <c r="H45" i="27"/>
  <c r="G14" i="14"/>
  <c r="G100" i="9"/>
  <c r="C89" i="9"/>
  <c r="N7" i="10"/>
  <c r="N45" i="10"/>
  <c r="L57" i="12"/>
  <c r="L42" i="12"/>
  <c r="L27" i="12"/>
  <c r="L54" i="12"/>
  <c r="L51" i="12"/>
  <c r="L21" i="10"/>
  <c r="T56" i="10"/>
  <c r="T57" i="10"/>
  <c r="M68" i="10"/>
  <c r="J86" i="10"/>
  <c r="M20" i="12"/>
  <c r="M4" i="12" s="1"/>
  <c r="C34" i="27"/>
  <c r="C37" i="27"/>
  <c r="D11" i="12"/>
  <c r="D9" i="12" s="1"/>
  <c r="P51" i="14"/>
  <c r="P52" i="14" s="1"/>
  <c r="L8" i="14"/>
  <c r="L100" i="9"/>
  <c r="I45" i="27"/>
  <c r="H14" i="14"/>
  <c r="F89" i="9"/>
  <c r="O7" i="10"/>
  <c r="O45" i="10"/>
  <c r="M42" i="12"/>
  <c r="N68" i="10"/>
  <c r="C79" i="27"/>
  <c r="D27" i="11"/>
  <c r="D34" i="27"/>
  <c r="D37" i="27"/>
  <c r="E11" i="12"/>
  <c r="E9" i="12" s="1"/>
  <c r="E33" i="9"/>
  <c r="Q51" i="14"/>
  <c r="N5" i="14"/>
  <c r="M41" i="14"/>
  <c r="J45" i="27"/>
  <c r="I14" i="14"/>
  <c r="G89" i="9"/>
  <c r="D100" i="9"/>
  <c r="N57" i="12"/>
  <c r="N51" i="12"/>
  <c r="N21" i="10"/>
  <c r="L51" i="10"/>
  <c r="U101" i="10"/>
  <c r="E49" i="13"/>
  <c r="R15" i="12"/>
  <c r="H30" i="12"/>
  <c r="L34" i="13"/>
  <c r="D81" i="35"/>
  <c r="D83" i="35" s="1"/>
  <c r="D43" i="35"/>
  <c r="Y20" i="37"/>
  <c r="F56" i="35"/>
  <c r="O22" i="37"/>
  <c r="U18" i="37" s="1"/>
  <c r="T57" i="12"/>
  <c r="T54" i="12"/>
  <c r="T51" i="12"/>
  <c r="T39" i="12"/>
  <c r="T20" i="10"/>
  <c r="T21" i="12"/>
  <c r="C77" i="10"/>
  <c r="C16" i="27"/>
  <c r="C20" i="27"/>
  <c r="I91" i="10"/>
  <c r="I30" i="12"/>
  <c r="M34" i="13"/>
  <c r="M35" i="13"/>
  <c r="M90" i="16"/>
  <c r="I9" i="27"/>
  <c r="H73" i="12"/>
  <c r="H15" i="12"/>
  <c r="H70" i="12"/>
  <c r="H76" i="12"/>
  <c r="H120" i="10"/>
  <c r="H24" i="12"/>
  <c r="M9" i="10"/>
  <c r="U57" i="12"/>
  <c r="U51" i="12"/>
  <c r="U54" i="12"/>
  <c r="U39" i="12"/>
  <c r="U21" i="12"/>
  <c r="U21" i="10"/>
  <c r="P57" i="10"/>
  <c r="D16" i="27"/>
  <c r="D20" i="27"/>
  <c r="G5" i="11"/>
  <c r="H65" i="27" s="1"/>
  <c r="S71" i="27"/>
  <c r="R31" i="11"/>
  <c r="T15" i="12"/>
  <c r="L30" i="12"/>
  <c r="T70" i="12"/>
  <c r="N34" i="13"/>
  <c r="J9" i="27"/>
  <c r="I73" i="12"/>
  <c r="I15" i="12"/>
  <c r="I70" i="12"/>
  <c r="I120" i="10"/>
  <c r="I24" i="12"/>
  <c r="P5" i="10"/>
  <c r="O23" i="6" s="1"/>
  <c r="H5" i="11"/>
  <c r="K87" i="4" s="1"/>
  <c r="U15" i="12"/>
  <c r="O34" i="13"/>
  <c r="S80" i="14"/>
  <c r="L9" i="27"/>
  <c r="K30" i="12"/>
  <c r="K73" i="12"/>
  <c r="K70" i="12"/>
  <c r="K76" i="12"/>
  <c r="K120" i="10"/>
  <c r="K24" i="12"/>
  <c r="K91" i="10"/>
  <c r="R5" i="10"/>
  <c r="Q23" i="6" s="1"/>
  <c r="I21" i="10"/>
  <c r="D23" i="13"/>
  <c r="D29" i="13" s="1"/>
  <c r="J75" i="13"/>
  <c r="K73" i="13"/>
  <c r="K75" i="13" s="1"/>
  <c r="D99" i="13"/>
  <c r="E92" i="13"/>
  <c r="E94" i="13" s="1"/>
  <c r="AG89" i="16"/>
  <c r="Q127" i="16"/>
  <c r="Q91" i="16"/>
  <c r="Q107" i="16" s="1"/>
  <c r="M9" i="27"/>
  <c r="L61" i="12"/>
  <c r="L73" i="12"/>
  <c r="L70" i="12"/>
  <c r="L76" i="12"/>
  <c r="L120" i="10"/>
  <c r="L24" i="12"/>
  <c r="L91" i="10"/>
  <c r="M56" i="10"/>
  <c r="F92" i="13"/>
  <c r="F94" i="13" s="1"/>
  <c r="E99" i="13"/>
  <c r="AI89" i="16"/>
  <c r="R90" i="16"/>
  <c r="R91" i="16"/>
  <c r="N13" i="10"/>
  <c r="V44" i="10"/>
  <c r="V45" i="10"/>
  <c r="D62" i="10"/>
  <c r="U68" i="10"/>
  <c r="I18" i="12"/>
  <c r="J8" i="13"/>
  <c r="H92" i="13"/>
  <c r="H94" i="13" s="1"/>
  <c r="T162" i="16"/>
  <c r="AM89" i="16"/>
  <c r="T127" i="16"/>
  <c r="T90" i="16"/>
  <c r="U62" i="10"/>
  <c r="K18" i="12"/>
  <c r="O3" i="13"/>
  <c r="O16" i="13" s="1"/>
  <c r="O15" i="13"/>
  <c r="I92" i="13"/>
  <c r="I94" i="13" s="1"/>
  <c r="AO89" i="16"/>
  <c r="U127" i="16"/>
  <c r="U162" i="16"/>
  <c r="U90" i="16"/>
  <c r="Q9" i="27"/>
  <c r="G4" i="21"/>
  <c r="P73" i="12"/>
  <c r="P76" i="12"/>
  <c r="P70" i="12"/>
  <c r="P24" i="12"/>
  <c r="P61" i="12"/>
  <c r="P120" i="10"/>
  <c r="N25" i="10"/>
  <c r="P31" i="10"/>
  <c r="Q56" i="10"/>
  <c r="L18" i="12"/>
  <c r="P3" i="13"/>
  <c r="P15" i="13"/>
  <c r="AQ89" i="16"/>
  <c r="AQ127" i="16" s="1"/>
  <c r="V127" i="16"/>
  <c r="V162" i="16"/>
  <c r="V90" i="16"/>
  <c r="R9" i="27"/>
  <c r="I4" i="21"/>
  <c r="Q73" i="12"/>
  <c r="Q76" i="12"/>
  <c r="Q70" i="12"/>
  <c r="Q18" i="12"/>
  <c r="Q24" i="12"/>
  <c r="Q61" i="12"/>
  <c r="Q91" i="10"/>
  <c r="Q31" i="10"/>
  <c r="G62" i="10"/>
  <c r="C84" i="10"/>
  <c r="Q3" i="13"/>
  <c r="Q12" i="13" s="1"/>
  <c r="Q15" i="13"/>
  <c r="K92" i="13"/>
  <c r="K94" i="13" s="1"/>
  <c r="J94" i="13"/>
  <c r="S9" i="27"/>
  <c r="J4" i="21"/>
  <c r="R24" i="12"/>
  <c r="R76" i="12"/>
  <c r="R70" i="12"/>
  <c r="R73" i="12"/>
  <c r="R18" i="12"/>
  <c r="R61" i="12"/>
  <c r="R16" i="10"/>
  <c r="R13" i="19" s="1"/>
  <c r="R91" i="10"/>
  <c r="P25" i="10"/>
  <c r="R31" i="10"/>
  <c r="S57" i="10"/>
  <c r="H77" i="10"/>
  <c r="C13" i="27"/>
  <c r="D84" i="10"/>
  <c r="R15" i="13"/>
  <c r="O57" i="13"/>
  <c r="Z119" i="16"/>
  <c r="Z143" i="16"/>
  <c r="Z149" i="16" s="1"/>
  <c r="K4" i="21"/>
  <c r="O3" i="26"/>
  <c r="T76" i="12"/>
  <c r="T73" i="12"/>
  <c r="T18" i="12"/>
  <c r="T61" i="12"/>
  <c r="T24" i="12"/>
  <c r="T31" i="10"/>
  <c r="Q45" i="10"/>
  <c r="U57" i="10"/>
  <c r="F13" i="27"/>
  <c r="F84" i="10"/>
  <c r="F77" i="27"/>
  <c r="F27" i="11"/>
  <c r="M4" i="21"/>
  <c r="U3" i="25"/>
  <c r="V3" i="25" s="1"/>
  <c r="U76" i="12"/>
  <c r="U73" i="12"/>
  <c r="U18" i="12"/>
  <c r="U30" i="12"/>
  <c r="U61" i="12"/>
  <c r="U70" i="12"/>
  <c r="U91" i="10"/>
  <c r="U40" i="10"/>
  <c r="U12" i="12"/>
  <c r="U31" i="10"/>
  <c r="L15" i="10"/>
  <c r="L34" i="10"/>
  <c r="L36" i="10" s="1"/>
  <c r="C79" i="10"/>
  <c r="C80" i="10" s="1"/>
  <c r="I22" i="27"/>
  <c r="O65" i="12"/>
  <c r="H47" i="27"/>
  <c r="G8" i="14"/>
  <c r="U36" i="12"/>
  <c r="S35" i="14"/>
  <c r="S98" i="10"/>
  <c r="T9" i="10"/>
  <c r="M34" i="10"/>
  <c r="T21" i="10"/>
  <c r="S47" i="10"/>
  <c r="L53" i="10"/>
  <c r="K53" i="10"/>
  <c r="L72" i="10"/>
  <c r="D79" i="10"/>
  <c r="D80" i="10" s="1"/>
  <c r="T16" i="27"/>
  <c r="S91" i="10"/>
  <c r="J22" i="27"/>
  <c r="P65" i="12"/>
  <c r="G64" i="13"/>
  <c r="G65" i="13"/>
  <c r="H62" i="16"/>
  <c r="H73" i="16"/>
  <c r="H8" i="14"/>
  <c r="H24" i="11"/>
  <c r="K104" i="4" s="1"/>
  <c r="T35" i="14"/>
  <c r="T98" i="10"/>
  <c r="U9" i="10"/>
  <c r="F11" i="10"/>
  <c r="D54" i="12"/>
  <c r="D57" i="12"/>
  <c r="D51" i="12"/>
  <c r="D42" i="12"/>
  <c r="T45" i="10"/>
  <c r="K68" i="10"/>
  <c r="Q80" i="10"/>
  <c r="T91" i="10"/>
  <c r="N101" i="10"/>
  <c r="M101" i="10"/>
  <c r="L86" i="13"/>
  <c r="K101" i="13"/>
  <c r="I73" i="16"/>
  <c r="I62" i="16"/>
  <c r="C71" i="27"/>
  <c r="D20" i="11"/>
  <c r="D31" i="11"/>
  <c r="K3" i="13"/>
  <c r="K16" i="13" s="1"/>
  <c r="E28" i="13"/>
  <c r="E23" i="13"/>
  <c r="E29" i="13" s="1"/>
  <c r="O31" i="13"/>
  <c r="T80" i="14"/>
  <c r="H79" i="27"/>
  <c r="E42" i="35"/>
  <c r="E81" i="35"/>
  <c r="E83" i="35" s="1"/>
  <c r="E43" i="35"/>
  <c r="F16" i="27"/>
  <c r="F20" i="27"/>
  <c r="D71" i="27"/>
  <c r="E20" i="11"/>
  <c r="E31" i="11"/>
  <c r="J27" i="11"/>
  <c r="M106" i="4" s="1"/>
  <c r="L3" i="13"/>
  <c r="L16" i="13" s="1"/>
  <c r="F28" i="13"/>
  <c r="P23" i="13"/>
  <c r="P31" i="13"/>
  <c r="J79" i="27"/>
  <c r="I27" i="11"/>
  <c r="L106" i="4" s="1"/>
  <c r="AB143" i="16"/>
  <c r="AB148" i="16" s="1"/>
  <c r="AB119" i="16"/>
  <c r="AD134" i="16"/>
  <c r="AB134" i="16"/>
  <c r="T32" i="35"/>
  <c r="T33" i="35"/>
  <c r="H16" i="27"/>
  <c r="H20" i="27"/>
  <c r="F71" i="27"/>
  <c r="K27" i="11"/>
  <c r="N106" i="4" s="1"/>
  <c r="M3" i="13"/>
  <c r="M12" i="13" s="1"/>
  <c r="G28" i="13"/>
  <c r="Q31" i="13"/>
  <c r="I107" i="13"/>
  <c r="I110" i="13" s="1"/>
  <c r="J107" i="13" s="1"/>
  <c r="AC133" i="16"/>
  <c r="H71" i="27"/>
  <c r="L27" i="11"/>
  <c r="O106" i="4" s="1"/>
  <c r="H28" i="13"/>
  <c r="J124" i="13"/>
  <c r="J123" i="13" s="1"/>
  <c r="J138" i="13"/>
  <c r="J133" i="13"/>
  <c r="J60" i="13"/>
  <c r="I71" i="27"/>
  <c r="M75" i="27"/>
  <c r="L17" i="11"/>
  <c r="O100" i="4" s="1"/>
  <c r="I31" i="11"/>
  <c r="I28" i="13"/>
  <c r="I29" i="13"/>
  <c r="K124" i="13"/>
  <c r="K123" i="13" s="1"/>
  <c r="K138" i="13"/>
  <c r="K133" i="13"/>
  <c r="K60" i="13"/>
  <c r="Q19" i="13"/>
  <c r="J28" i="13"/>
  <c r="L124" i="13"/>
  <c r="L123" i="13" s="1"/>
  <c r="L138" i="13"/>
  <c r="L60" i="13"/>
  <c r="O63" i="12"/>
  <c r="S11" i="13"/>
  <c r="K28" i="13"/>
  <c r="P26" i="27"/>
  <c r="O5" i="11"/>
  <c r="R87" i="4" s="1"/>
  <c r="P241" i="16"/>
  <c r="P242" i="16" s="1"/>
  <c r="P75" i="27"/>
  <c r="P63" i="12"/>
  <c r="L28" i="13"/>
  <c r="R56" i="13"/>
  <c r="N138" i="13"/>
  <c r="N60" i="13"/>
  <c r="N124" i="13"/>
  <c r="N123" i="13" s="1"/>
  <c r="Q26" i="27"/>
  <c r="P5" i="11"/>
  <c r="S87" i="4" s="1"/>
  <c r="M71" i="27"/>
  <c r="Q63" i="12"/>
  <c r="M28" i="13"/>
  <c r="M29" i="13"/>
  <c r="E73" i="13"/>
  <c r="E75" i="13" s="1"/>
  <c r="D75" i="13"/>
  <c r="R26" i="27"/>
  <c r="Q5" i="11"/>
  <c r="T87" i="4" s="1"/>
  <c r="N71" i="27"/>
  <c r="R241" i="16"/>
  <c r="R242" i="16" s="1"/>
  <c r="R75" i="27"/>
  <c r="N3" i="13"/>
  <c r="N12" i="13" s="1"/>
  <c r="N28" i="13"/>
  <c r="T56" i="13"/>
  <c r="F73" i="13"/>
  <c r="F75" i="13" s="1"/>
  <c r="S26" i="27"/>
  <c r="R5" i="11"/>
  <c r="U87" i="4" s="1"/>
  <c r="O71" i="27"/>
  <c r="O23" i="13"/>
  <c r="O35" i="13" s="1"/>
  <c r="P28" i="13"/>
  <c r="O28" i="13"/>
  <c r="U56" i="13"/>
  <c r="U58" i="13"/>
  <c r="G73" i="13"/>
  <c r="G75" i="13" s="1"/>
  <c r="H54" i="12"/>
  <c r="H57" i="12"/>
  <c r="H27" i="12"/>
  <c r="G84" i="10"/>
  <c r="T26" i="27"/>
  <c r="S5" i="11"/>
  <c r="V87" i="4" s="1"/>
  <c r="H73" i="13"/>
  <c r="H75" i="13" s="1"/>
  <c r="I54" i="12"/>
  <c r="I27" i="12"/>
  <c r="I57" i="12"/>
  <c r="I51" i="12"/>
  <c r="H84" i="10"/>
  <c r="Q71" i="27"/>
  <c r="M19" i="13"/>
  <c r="I73" i="13"/>
  <c r="I75" i="13" s="1"/>
  <c r="J27" i="12"/>
  <c r="J57" i="12"/>
  <c r="J54" i="12"/>
  <c r="J51" i="12"/>
  <c r="I84" i="10"/>
  <c r="R71" i="27"/>
  <c r="N19" i="13"/>
  <c r="AR164" i="16"/>
  <c r="AT165" i="16" s="1"/>
  <c r="AR106" i="16"/>
  <c r="AR108" i="16"/>
  <c r="AR109" i="16"/>
  <c r="AR92" i="16"/>
  <c r="AR107" i="16"/>
  <c r="M27" i="12"/>
  <c r="M54" i="12"/>
  <c r="M51" i="12"/>
  <c r="L84" i="10"/>
  <c r="Q65" i="12"/>
  <c r="H23" i="13"/>
  <c r="H26" i="13" s="1"/>
  <c r="L75" i="13"/>
  <c r="AQ37" i="16"/>
  <c r="P34" i="13"/>
  <c r="R23" i="13"/>
  <c r="R26" i="13" s="1"/>
  <c r="R31" i="13"/>
  <c r="S241" i="16"/>
  <c r="S242" i="16" s="1"/>
  <c r="S75" i="27"/>
  <c r="S31" i="13"/>
  <c r="D83" i="13"/>
  <c r="D51" i="13"/>
  <c r="D46" i="13" s="1"/>
  <c r="Q67" i="13"/>
  <c r="P68" i="13"/>
  <c r="E83" i="13"/>
  <c r="E51" i="13"/>
  <c r="Q34" i="13"/>
  <c r="L48" i="13"/>
  <c r="L80" i="13"/>
  <c r="F83" i="13"/>
  <c r="F51" i="13"/>
  <c r="L105" i="13"/>
  <c r="L57" i="13"/>
  <c r="S67" i="13"/>
  <c r="R68" i="13"/>
  <c r="M48" i="13"/>
  <c r="G83" i="13"/>
  <c r="G51" i="13"/>
  <c r="M105" i="13"/>
  <c r="AJ17" i="16"/>
  <c r="S7" i="13"/>
  <c r="S3" i="13"/>
  <c r="N48" i="13"/>
  <c r="N80" i="13"/>
  <c r="H83" i="13"/>
  <c r="H51" i="13"/>
  <c r="N105" i="13"/>
  <c r="L67" i="12"/>
  <c r="F15" i="13"/>
  <c r="T68" i="13"/>
  <c r="U67" i="13"/>
  <c r="I83" i="13"/>
  <c r="I51" i="13"/>
  <c r="J136" i="13"/>
  <c r="AL17" i="16"/>
  <c r="I5" i="35"/>
  <c r="I62" i="35"/>
  <c r="I77" i="35"/>
  <c r="I21" i="35"/>
  <c r="I43" i="35"/>
  <c r="E27" i="11"/>
  <c r="M67" i="12"/>
  <c r="G15" i="13"/>
  <c r="P105" i="13"/>
  <c r="K4" i="35"/>
  <c r="K77" i="35" s="1"/>
  <c r="L11" i="13"/>
  <c r="H15" i="13"/>
  <c r="Q105" i="13"/>
  <c r="V23" i="16"/>
  <c r="AQ22" i="16"/>
  <c r="AS23" i="16" s="1"/>
  <c r="K82" i="27"/>
  <c r="H3" i="13"/>
  <c r="M11" i="13"/>
  <c r="F12" i="13"/>
  <c r="I15" i="13"/>
  <c r="E19" i="13"/>
  <c r="Q126" i="13"/>
  <c r="Q127" i="13" s="1"/>
  <c r="P134" i="13"/>
  <c r="W23" i="16"/>
  <c r="O68" i="35"/>
  <c r="O5" i="35"/>
  <c r="O62" i="35"/>
  <c r="O77" i="35"/>
  <c r="O71" i="35"/>
  <c r="N11" i="13"/>
  <c r="J15" i="13"/>
  <c r="S105" i="13"/>
  <c r="Q138" i="13"/>
  <c r="R126" i="13"/>
  <c r="R127" i="13" s="1"/>
  <c r="Q134" i="13"/>
  <c r="Q3" i="16"/>
  <c r="AG2" i="16"/>
  <c r="O11" i="13"/>
  <c r="K15" i="13"/>
  <c r="S126" i="13"/>
  <c r="S127" i="13" s="1"/>
  <c r="R134" i="13"/>
  <c r="R3" i="16"/>
  <c r="R24" i="16"/>
  <c r="R44" i="16" s="1"/>
  <c r="AI2" i="16"/>
  <c r="L63" i="12"/>
  <c r="P11" i="13"/>
  <c r="L15" i="13"/>
  <c r="S61" i="13"/>
  <c r="R61" i="13"/>
  <c r="T126" i="13"/>
  <c r="T127" i="13" s="1"/>
  <c r="S134" i="13"/>
  <c r="S138" i="13"/>
  <c r="S3" i="16"/>
  <c r="S24" i="16"/>
  <c r="S44" i="16" s="1"/>
  <c r="AK2" i="16"/>
  <c r="M63" i="12"/>
  <c r="Q11" i="13"/>
  <c r="U138" i="13"/>
  <c r="T3" i="16"/>
  <c r="T24" i="16"/>
  <c r="T50" i="16" s="1"/>
  <c r="AM2" i="16"/>
  <c r="AQ133" i="16"/>
  <c r="AS134" i="16" s="1"/>
  <c r="V134" i="16"/>
  <c r="AC135" i="16"/>
  <c r="N63" i="12"/>
  <c r="R11" i="13"/>
  <c r="Q119" i="15"/>
  <c r="Q140" i="15" s="1"/>
  <c r="Q144" i="15" s="1"/>
  <c r="U3" i="16"/>
  <c r="AO2" i="16"/>
  <c r="L90" i="16"/>
  <c r="W134" i="16"/>
  <c r="AQ142" i="16"/>
  <c r="H21" i="16"/>
  <c r="O73" i="16"/>
  <c r="O78" i="16" s="1"/>
  <c r="O64" i="16"/>
  <c r="L84" i="16"/>
  <c r="R3" i="13"/>
  <c r="R8" i="13" s="1"/>
  <c r="I21" i="16"/>
  <c r="I24" i="16"/>
  <c r="I49" i="16" s="1"/>
  <c r="P64" i="16"/>
  <c r="R73" i="16"/>
  <c r="M84" i="16"/>
  <c r="N75" i="13"/>
  <c r="H80" i="13"/>
  <c r="AL155" i="16"/>
  <c r="N7" i="13"/>
  <c r="S29" i="13"/>
  <c r="AB91" i="16"/>
  <c r="AB108" i="16" s="1"/>
  <c r="AD93" i="16"/>
  <c r="AB93" i="16"/>
  <c r="AD82" i="16"/>
  <c r="AB82" i="16"/>
  <c r="K67" i="13"/>
  <c r="P75" i="13"/>
  <c r="AG11" i="16"/>
  <c r="P13" i="16"/>
  <c r="AE12" i="16"/>
  <c r="AK63" i="16"/>
  <c r="AK64" i="16" s="1"/>
  <c r="S73" i="16"/>
  <c r="N66" i="16"/>
  <c r="AA65" i="16"/>
  <c r="Q75" i="13"/>
  <c r="K80" i="13"/>
  <c r="K86" i="13"/>
  <c r="K83" i="13" s="1"/>
  <c r="AI11" i="16"/>
  <c r="AP49" i="16"/>
  <c r="AP43" i="16"/>
  <c r="AP42" i="16"/>
  <c r="AP25" i="16"/>
  <c r="AP50" i="16"/>
  <c r="AM63" i="16"/>
  <c r="T73" i="16"/>
  <c r="T78" i="16" s="1"/>
  <c r="O66" i="16"/>
  <c r="AC65" i="16"/>
  <c r="Q156" i="16"/>
  <c r="AG83" i="16"/>
  <c r="H84" i="15"/>
  <c r="R14" i="16"/>
  <c r="R18" i="16"/>
  <c r="R16" i="16"/>
  <c r="AI12" i="16"/>
  <c r="AO63" i="16"/>
  <c r="R156" i="16"/>
  <c r="AI83" i="16"/>
  <c r="AI121" i="16" s="1"/>
  <c r="R84" i="16"/>
  <c r="AP155" i="16"/>
  <c r="M162" i="16"/>
  <c r="M193" i="16"/>
  <c r="S14" i="16"/>
  <c r="S18" i="16"/>
  <c r="AK12" i="16"/>
  <c r="S16" i="16"/>
  <c r="AR42" i="16"/>
  <c r="AR50" i="16"/>
  <c r="AR25" i="16"/>
  <c r="AR49" i="16"/>
  <c r="AR43" i="16"/>
  <c r="AG65" i="16"/>
  <c r="AG66" i="16" s="1"/>
  <c r="AK83" i="16"/>
  <c r="AM84" i="16" s="1"/>
  <c r="S91" i="16"/>
  <c r="S110" i="16" s="1"/>
  <c r="T84" i="16"/>
  <c r="S84" i="16"/>
  <c r="N177" i="16"/>
  <c r="N193" i="16"/>
  <c r="AA176" i="16"/>
  <c r="T14" i="16"/>
  <c r="AM12" i="16"/>
  <c r="T16" i="16"/>
  <c r="AI65" i="16"/>
  <c r="R66" i="16"/>
  <c r="AK82" i="16"/>
  <c r="AR155" i="16"/>
  <c r="AO12" i="16"/>
  <c r="Q64" i="16"/>
  <c r="AK65" i="16"/>
  <c r="S66" i="16"/>
  <c r="K33" i="17"/>
  <c r="K59" i="17"/>
  <c r="K74" i="17"/>
  <c r="K17" i="13" s="1"/>
  <c r="K44" i="17"/>
  <c r="L123" i="16" s="1"/>
  <c r="K26" i="17"/>
  <c r="K39" i="17"/>
  <c r="K40" i="17" s="1"/>
  <c r="L85" i="16"/>
  <c r="K46" i="13"/>
  <c r="T66" i="16"/>
  <c r="AM65" i="16"/>
  <c r="Q175" i="16"/>
  <c r="L59" i="17"/>
  <c r="L74" i="17"/>
  <c r="L17" i="13" s="1"/>
  <c r="L44" i="17"/>
  <c r="M123" i="16" s="1"/>
  <c r="L26" i="17"/>
  <c r="M85" i="16"/>
  <c r="M91" i="16" s="1"/>
  <c r="L39" i="17"/>
  <c r="L40" i="17" s="1"/>
  <c r="AO65" i="16"/>
  <c r="U66" i="16"/>
  <c r="R193" i="16"/>
  <c r="AI176" i="16"/>
  <c r="R162" i="16"/>
  <c r="R177" i="16"/>
  <c r="R178" i="16"/>
  <c r="R186" i="16" s="1"/>
  <c r="H87" i="13"/>
  <c r="I105" i="13"/>
  <c r="T64" i="16"/>
  <c r="V66" i="16"/>
  <c r="AP124" i="16"/>
  <c r="AN124" i="16"/>
  <c r="S193" i="16"/>
  <c r="AK176" i="16"/>
  <c r="S162" i="16"/>
  <c r="S177" i="16"/>
  <c r="I87" i="13"/>
  <c r="AQ35" i="16"/>
  <c r="F73" i="16"/>
  <c r="F62" i="16"/>
  <c r="U64" i="16"/>
  <c r="N15" i="22"/>
  <c r="O174" i="16"/>
  <c r="K105" i="13"/>
  <c r="O68" i="14"/>
  <c r="G68" i="14"/>
  <c r="Q84" i="15"/>
  <c r="G62" i="16"/>
  <c r="G73" i="16"/>
  <c r="V64" i="16"/>
  <c r="AM174" i="16"/>
  <c r="E51" i="35"/>
  <c r="Q7" i="37"/>
  <c r="Q9" i="37" s="1"/>
  <c r="J5" i="37"/>
  <c r="G88" i="16"/>
  <c r="Z123" i="16"/>
  <c r="G158" i="16"/>
  <c r="H173" i="16"/>
  <c r="O49" i="15"/>
  <c r="AQ12" i="16"/>
  <c r="AS13" i="16" s="1"/>
  <c r="H88" i="16"/>
  <c r="M178" i="16"/>
  <c r="M183" i="16" s="1"/>
  <c r="M169" i="16"/>
  <c r="M154" i="16"/>
  <c r="M190" i="16"/>
  <c r="M210" i="16" s="1"/>
  <c r="T27" i="35"/>
  <c r="J24" i="16"/>
  <c r="J49" i="16" s="1"/>
  <c r="I88" i="16"/>
  <c r="AL219" i="16"/>
  <c r="N171" i="16"/>
  <c r="N191" i="16"/>
  <c r="N211" i="16" s="1"/>
  <c r="AA170" i="16"/>
  <c r="F91" i="16"/>
  <c r="F107" i="16" s="1"/>
  <c r="AG85" i="16"/>
  <c r="S178" i="16"/>
  <c r="S183" i="16" s="1"/>
  <c r="U3" i="22"/>
  <c r="AF44" i="16"/>
  <c r="AF43" i="16"/>
  <c r="G91" i="16"/>
  <c r="AI85" i="16"/>
  <c r="R158" i="16"/>
  <c r="R86" i="16"/>
  <c r="F65" i="13"/>
  <c r="M139" i="15"/>
  <c r="R167" i="16"/>
  <c r="R181" i="16"/>
  <c r="R153" i="16"/>
  <c r="R105" i="16"/>
  <c r="R132" i="16"/>
  <c r="R118" i="16"/>
  <c r="R245" i="16"/>
  <c r="R146" i="16"/>
  <c r="R80" i="16"/>
  <c r="R60" i="16"/>
  <c r="F64" i="16"/>
  <c r="AK85" i="16"/>
  <c r="S158" i="16"/>
  <c r="S86" i="16"/>
  <c r="S156" i="16"/>
  <c r="S171" i="16"/>
  <c r="S191" i="16"/>
  <c r="AK170" i="16"/>
  <c r="N11" i="22"/>
  <c r="O139" i="16"/>
  <c r="P140" i="16" s="1"/>
  <c r="N139" i="15"/>
  <c r="S181" i="16"/>
  <c r="S153" i="16"/>
  <c r="S245" i="16"/>
  <c r="S132" i="16"/>
  <c r="S167" i="16"/>
  <c r="S118" i="16"/>
  <c r="S146" i="16"/>
  <c r="S80" i="16"/>
  <c r="S60" i="16"/>
  <c r="AH44" i="16"/>
  <c r="AH43" i="16"/>
  <c r="AQ38" i="16"/>
  <c r="AQ56" i="16" s="1"/>
  <c r="AM85" i="16"/>
  <c r="T158" i="16"/>
  <c r="T86" i="16"/>
  <c r="F136" i="16"/>
  <c r="F143" i="16"/>
  <c r="F150" i="16" s="1"/>
  <c r="AB138" i="16"/>
  <c r="T156" i="16"/>
  <c r="T171" i="16"/>
  <c r="T191" i="16"/>
  <c r="U211" i="16" s="1"/>
  <c r="T178" i="16"/>
  <c r="T183" i="16" s="1"/>
  <c r="AM170" i="16"/>
  <c r="T134" i="13"/>
  <c r="U131" i="13" s="1"/>
  <c r="U133" i="13" s="1"/>
  <c r="J119" i="15"/>
  <c r="J140" i="15" s="1"/>
  <c r="J144" i="15" s="1"/>
  <c r="J146" i="15" s="1"/>
  <c r="T153" i="16"/>
  <c r="T245" i="16"/>
  <c r="T132" i="16"/>
  <c r="T181" i="16"/>
  <c r="T167" i="16"/>
  <c r="T118" i="16"/>
  <c r="T146" i="16"/>
  <c r="T80" i="16"/>
  <c r="T60" i="16"/>
  <c r="AO85" i="16"/>
  <c r="U158" i="16"/>
  <c r="U86" i="16"/>
  <c r="O88" i="16"/>
  <c r="G136" i="16"/>
  <c r="G143" i="16"/>
  <c r="G150" i="16" s="1"/>
  <c r="H136" i="16"/>
  <c r="J27" i="19"/>
  <c r="J28" i="19"/>
  <c r="K170" i="16"/>
  <c r="J23" i="19"/>
  <c r="J24" i="19" s="1"/>
  <c r="M138" i="13"/>
  <c r="K119" i="15"/>
  <c r="K140" i="15" s="1"/>
  <c r="K144" i="15" s="1"/>
  <c r="K146" i="15" s="1"/>
  <c r="P139" i="15"/>
  <c r="U245" i="16"/>
  <c r="U181" i="16"/>
  <c r="U167" i="16"/>
  <c r="U118" i="16"/>
  <c r="U146" i="16"/>
  <c r="U80" i="16"/>
  <c r="U60" i="16"/>
  <c r="U153" i="16"/>
  <c r="AJ50" i="16"/>
  <c r="AJ43" i="16"/>
  <c r="AJ42" i="16"/>
  <c r="AB51" i="16"/>
  <c r="AQ85" i="16"/>
  <c r="V158" i="16"/>
  <c r="V86" i="16"/>
  <c r="H126" i="16"/>
  <c r="AJ157" i="16"/>
  <c r="AH157" i="16"/>
  <c r="L27" i="19"/>
  <c r="K27" i="19"/>
  <c r="K28" i="19"/>
  <c r="L170" i="16"/>
  <c r="K23" i="19"/>
  <c r="K24" i="19" s="1"/>
  <c r="L119" i="15"/>
  <c r="L140" i="15" s="1"/>
  <c r="L144" i="15" s="1"/>
  <c r="Q139" i="15"/>
  <c r="P11" i="16"/>
  <c r="P24" i="16"/>
  <c r="P49" i="16" s="1"/>
  <c r="M27" i="19"/>
  <c r="M28" i="19"/>
  <c r="M23" i="19"/>
  <c r="M24" i="19" s="1"/>
  <c r="M119" i="15"/>
  <c r="M140" i="15" s="1"/>
  <c r="M144" i="15" s="1"/>
  <c r="R139" i="15"/>
  <c r="Q11" i="16"/>
  <c r="AL43" i="16"/>
  <c r="AL42" i="16"/>
  <c r="K64" i="16"/>
  <c r="N27" i="19"/>
  <c r="N28" i="19"/>
  <c r="N23" i="19"/>
  <c r="N24" i="19" s="1"/>
  <c r="O170" i="16"/>
  <c r="M35" i="19"/>
  <c r="M13" i="13" s="1"/>
  <c r="M36" i="19"/>
  <c r="S139" i="15"/>
  <c r="R11" i="16"/>
  <c r="L64" i="16"/>
  <c r="AL74" i="16"/>
  <c r="AJ74" i="16"/>
  <c r="Z158" i="16"/>
  <c r="AB86" i="16"/>
  <c r="H91" i="16"/>
  <c r="H107" i="16" s="1"/>
  <c r="AJ120" i="16"/>
  <c r="S124" i="16"/>
  <c r="AQ169" i="16"/>
  <c r="P27" i="19"/>
  <c r="O27" i="19"/>
  <c r="O28" i="19"/>
  <c r="O23" i="19"/>
  <c r="O24" i="19" s="1"/>
  <c r="P170" i="16"/>
  <c r="N35" i="19"/>
  <c r="N13" i="13" s="1"/>
  <c r="O36" i="19"/>
  <c r="N36" i="19"/>
  <c r="O119" i="15"/>
  <c r="O140" i="15" s="1"/>
  <c r="O144" i="15" s="1"/>
  <c r="T139" i="15"/>
  <c r="K153" i="15"/>
  <c r="AN43" i="16"/>
  <c r="AN42" i="16"/>
  <c r="AO38" i="16"/>
  <c r="AO56" i="16" s="1"/>
  <c r="R41" i="16"/>
  <c r="AF42" i="16"/>
  <c r="I91" i="16"/>
  <c r="I106" i="16" s="1"/>
  <c r="U132" i="16"/>
  <c r="AM133" i="16"/>
  <c r="T134" i="16"/>
  <c r="M136" i="16"/>
  <c r="AN157" i="16"/>
  <c r="AL157" i="16"/>
  <c r="P35" i="19"/>
  <c r="P13" i="13" s="1"/>
  <c r="Q36" i="19"/>
  <c r="P36" i="19"/>
  <c r="P119" i="15"/>
  <c r="P140" i="15" s="1"/>
  <c r="P144" i="15" s="1"/>
  <c r="S41" i="16"/>
  <c r="N64" i="16"/>
  <c r="AA63" i="16"/>
  <c r="AC64" i="16" s="1"/>
  <c r="J91" i="16"/>
  <c r="J106" i="16" s="1"/>
  <c r="U134" i="16"/>
  <c r="AO133" i="16"/>
  <c r="AJ163" i="16"/>
  <c r="V245" i="16"/>
  <c r="V181" i="16"/>
  <c r="V167" i="16"/>
  <c r="V118" i="16"/>
  <c r="V146" i="16"/>
  <c r="F3" i="16"/>
  <c r="L24" i="16"/>
  <c r="L49" i="16" s="1"/>
  <c r="P88" i="16"/>
  <c r="AR120" i="16"/>
  <c r="U171" i="16"/>
  <c r="K20" i="19"/>
  <c r="L121" i="16" s="1"/>
  <c r="K21" i="19"/>
  <c r="L19" i="19"/>
  <c r="K19" i="19"/>
  <c r="K15" i="19"/>
  <c r="K16" i="19" s="1"/>
  <c r="I12" i="32"/>
  <c r="W245" i="16"/>
  <c r="W181" i="16"/>
  <c r="W167" i="16"/>
  <c r="W118" i="16"/>
  <c r="W146" i="16"/>
  <c r="G3" i="16"/>
  <c r="F11" i="16"/>
  <c r="R23" i="16"/>
  <c r="W82" i="16"/>
  <c r="AO84" i="16"/>
  <c r="Q88" i="16"/>
  <c r="T91" i="16"/>
  <c r="T110" i="16" s="1"/>
  <c r="V171" i="16"/>
  <c r="AQ170" i="16"/>
  <c r="AS171" i="16" s="1"/>
  <c r="K29" i="18"/>
  <c r="K30" i="18"/>
  <c r="K25" i="18"/>
  <c r="K26" i="18" s="1"/>
  <c r="M4" i="19"/>
  <c r="L4" i="19"/>
  <c r="L1" i="19"/>
  <c r="M20" i="19"/>
  <c r="N121" i="16" s="1"/>
  <c r="N122" i="16" s="1"/>
  <c r="M19" i="19"/>
  <c r="M15" i="19"/>
  <c r="M16" i="19" s="1"/>
  <c r="W18" i="37"/>
  <c r="X245" i="16"/>
  <c r="X181" i="16"/>
  <c r="X167" i="16"/>
  <c r="X118" i="16"/>
  <c r="X146" i="16"/>
  <c r="H3" i="16"/>
  <c r="G11" i="16"/>
  <c r="N24" i="16"/>
  <c r="N42" i="16" s="1"/>
  <c r="T56" i="16"/>
  <c r="L72" i="16"/>
  <c r="R88" i="16"/>
  <c r="AJ198" i="16"/>
  <c r="AJ196" i="16"/>
  <c r="L29" i="18"/>
  <c r="L30" i="18"/>
  <c r="N168" i="16"/>
  <c r="L25" i="18"/>
  <c r="L26" i="18" s="1"/>
  <c r="I3" i="16"/>
  <c r="T23" i="16"/>
  <c r="O24" i="16"/>
  <c r="O50" i="16" s="1"/>
  <c r="U56" i="16"/>
  <c r="M72" i="16"/>
  <c r="M29" i="18"/>
  <c r="M30" i="18"/>
  <c r="O168" i="16"/>
  <c r="M25" i="18"/>
  <c r="M26" i="18" s="1"/>
  <c r="Z121" i="16"/>
  <c r="AB122" i="16" s="1"/>
  <c r="AD171" i="16"/>
  <c r="AB171" i="16"/>
  <c r="O29" i="18"/>
  <c r="N29" i="18"/>
  <c r="P168" i="16"/>
  <c r="N25" i="18"/>
  <c r="N26" i="18" s="1"/>
  <c r="N30" i="18"/>
  <c r="K3" i="16"/>
  <c r="AN56" i="16"/>
  <c r="G70" i="16"/>
  <c r="I120" i="16"/>
  <c r="H124" i="16"/>
  <c r="L3" i="16"/>
  <c r="F140" i="16"/>
  <c r="M127" i="16"/>
  <c r="AP198" i="16"/>
  <c r="AP196" i="16"/>
  <c r="AP216" i="16"/>
  <c r="M3" i="16"/>
  <c r="I70" i="16"/>
  <c r="I158" i="16"/>
  <c r="I86" i="16"/>
  <c r="G140" i="16"/>
  <c r="V153" i="16"/>
  <c r="AR196" i="16"/>
  <c r="N3" i="16"/>
  <c r="AQ31" i="16"/>
  <c r="V60" i="16"/>
  <c r="J70" i="16"/>
  <c r="Q154" i="16"/>
  <c r="J86" i="16"/>
  <c r="S88" i="16"/>
  <c r="W153" i="16"/>
  <c r="O3" i="16"/>
  <c r="AR56" i="16"/>
  <c r="W60" i="16"/>
  <c r="T88" i="16"/>
  <c r="X153" i="16"/>
  <c r="AI137" i="16"/>
  <c r="J158" i="16"/>
  <c r="AO170" i="16"/>
  <c r="AM82" i="16"/>
  <c r="AK137" i="16"/>
  <c r="S138" i="16"/>
  <c r="I175" i="16"/>
  <c r="H175" i="16"/>
  <c r="S260" i="16"/>
  <c r="U39" i="16"/>
  <c r="K66" i="16"/>
  <c r="N70" i="16"/>
  <c r="N73" i="16"/>
  <c r="V80" i="16"/>
  <c r="U154" i="16"/>
  <c r="AO81" i="16"/>
  <c r="AJ122" i="16"/>
  <c r="AH122" i="16"/>
  <c r="AM137" i="16"/>
  <c r="T138" i="16"/>
  <c r="T260" i="16"/>
  <c r="V39" i="16"/>
  <c r="U54" i="16"/>
  <c r="W80" i="16"/>
  <c r="AO137" i="16"/>
  <c r="U138" i="16"/>
  <c r="U156" i="16"/>
  <c r="E178" i="16"/>
  <c r="E182" i="16" s="1"/>
  <c r="U260" i="16"/>
  <c r="T73" i="17"/>
  <c r="U74" i="17"/>
  <c r="N72" i="16"/>
  <c r="X80" i="16"/>
  <c r="AP164" i="16"/>
  <c r="AP107" i="16"/>
  <c r="AP106" i="16"/>
  <c r="V138" i="16"/>
  <c r="AQ137" i="16"/>
  <c r="V156" i="16"/>
  <c r="K162" i="16"/>
  <c r="K163" i="16" s="1"/>
  <c r="K193" i="16"/>
  <c r="K213" i="16" s="1"/>
  <c r="O23" i="20"/>
  <c r="O24" i="20" s="1"/>
  <c r="W141" i="16"/>
  <c r="AS141" i="16" s="1"/>
  <c r="R9" i="25"/>
  <c r="AH144" i="16"/>
  <c r="AH129" i="16"/>
  <c r="AP163" i="16"/>
  <c r="Q193" i="16"/>
  <c r="AG176" i="16"/>
  <c r="J33" i="17"/>
  <c r="J34" i="17" s="1"/>
  <c r="J74" i="17"/>
  <c r="J17" i="13" s="1"/>
  <c r="J59" i="17"/>
  <c r="J44" i="17"/>
  <c r="K123" i="16" s="1"/>
  <c r="K124" i="16" s="1"/>
  <c r="J26" i="17"/>
  <c r="J20" i="19"/>
  <c r="K121" i="16" s="1"/>
  <c r="K122" i="16" s="1"/>
  <c r="J19" i="19"/>
  <c r="K135" i="16"/>
  <c r="L136" i="16" s="1"/>
  <c r="I19" i="20"/>
  <c r="H19" i="20"/>
  <c r="H23" i="20"/>
  <c r="H24" i="20" s="1"/>
  <c r="H15" i="20"/>
  <c r="H16" i="20" s="1"/>
  <c r="D10" i="35"/>
  <c r="D17" i="35" s="1"/>
  <c r="M9" i="37"/>
  <c r="S3" i="37" s="1"/>
  <c r="W31" i="37"/>
  <c r="AD107" i="16"/>
  <c r="V112" i="16"/>
  <c r="AG135" i="16"/>
  <c r="AI136" i="16" s="1"/>
  <c r="H140" i="16"/>
  <c r="AA141" i="16"/>
  <c r="AH148" i="16"/>
  <c r="G154" i="16"/>
  <c r="R169" i="16"/>
  <c r="R154" i="16"/>
  <c r="R190" i="16"/>
  <c r="T193" i="16"/>
  <c r="U213" i="16" s="1"/>
  <c r="AM176" i="16"/>
  <c r="M33" i="17"/>
  <c r="M52" i="17" s="1"/>
  <c r="M74" i="17"/>
  <c r="M17" i="13" s="1"/>
  <c r="N26" i="17"/>
  <c r="N20" i="19"/>
  <c r="O121" i="16" s="1"/>
  <c r="O19" i="19"/>
  <c r="N19" i="19"/>
  <c r="N15" i="19"/>
  <c r="N16" i="19" s="1"/>
  <c r="I140" i="16"/>
  <c r="AN129" i="16"/>
  <c r="AN151" i="16"/>
  <c r="AN150" i="16"/>
  <c r="H154" i="16"/>
  <c r="S169" i="16"/>
  <c r="S154" i="16"/>
  <c r="S190" i="16"/>
  <c r="AO176" i="16"/>
  <c r="AY112" i="16"/>
  <c r="AK135" i="16"/>
  <c r="J140" i="16"/>
  <c r="AN149" i="16"/>
  <c r="I154" i="16"/>
  <c r="T169" i="16"/>
  <c r="T190" i="16"/>
  <c r="AB175" i="16"/>
  <c r="AQ176" i="16"/>
  <c r="U178" i="16"/>
  <c r="M44" i="17"/>
  <c r="N123" i="16" s="1"/>
  <c r="AW102" i="16"/>
  <c r="AB123" i="16"/>
  <c r="AM135" i="16"/>
  <c r="AP151" i="16"/>
  <c r="AP150" i="16"/>
  <c r="J154" i="16"/>
  <c r="AP157" i="16"/>
  <c r="Z186" i="16"/>
  <c r="I1" i="17"/>
  <c r="I4" i="17"/>
  <c r="M7" i="19"/>
  <c r="L7" i="19"/>
  <c r="M1" i="19"/>
  <c r="L9" i="19"/>
  <c r="AH107" i="16"/>
  <c r="AO135" i="16"/>
  <c r="AP149" i="16"/>
  <c r="AI175" i="16"/>
  <c r="V7" i="19"/>
  <c r="V9" i="19"/>
  <c r="G44" i="36"/>
  <c r="G43" i="36"/>
  <c r="E57" i="36"/>
  <c r="G48" i="36"/>
  <c r="T113" i="16"/>
  <c r="AQ135" i="16"/>
  <c r="M140" i="16"/>
  <c r="AR129" i="16"/>
  <c r="AT130" i="16" s="1"/>
  <c r="AR149" i="16"/>
  <c r="Z154" i="16"/>
  <c r="S212" i="16"/>
  <c r="I82" i="16"/>
  <c r="F84" i="16"/>
  <c r="U103" i="16"/>
  <c r="AJ107" i="16"/>
  <c r="U113" i="16"/>
  <c r="R127" i="16"/>
  <c r="N140" i="16"/>
  <c r="AN148" i="16"/>
  <c r="T154" i="16"/>
  <c r="G84" i="16"/>
  <c r="V103" i="16"/>
  <c r="AD108" i="16"/>
  <c r="AB154" i="16"/>
  <c r="N4" i="17"/>
  <c r="M4" i="17"/>
  <c r="N5" i="23"/>
  <c r="N21" i="23" s="1"/>
  <c r="H84" i="16"/>
  <c r="AL107" i="16"/>
  <c r="AN122" i="16"/>
  <c r="AH147" i="16"/>
  <c r="AP148" i="16"/>
  <c r="AD164" i="16"/>
  <c r="V173" i="16"/>
  <c r="J9" i="17"/>
  <c r="I84" i="16"/>
  <c r="F86" i="16"/>
  <c r="AF92" i="16"/>
  <c r="AF108" i="16"/>
  <c r="H143" i="16"/>
  <c r="G171" i="16"/>
  <c r="T177" i="16"/>
  <c r="AF185" i="16"/>
  <c r="AF186" i="16"/>
  <c r="AF184" i="16"/>
  <c r="M26" i="17"/>
  <c r="I143" i="16"/>
  <c r="I150" i="16" s="1"/>
  <c r="AN147" i="16"/>
  <c r="Q162" i="16"/>
  <c r="U177" i="16"/>
  <c r="I219" i="16"/>
  <c r="L9" i="17"/>
  <c r="J15" i="19"/>
  <c r="J16" i="19" s="1"/>
  <c r="Q5" i="23"/>
  <c r="Q21" i="23" s="1"/>
  <c r="AH92" i="16"/>
  <c r="J143" i="16"/>
  <c r="J149" i="16" s="1"/>
  <c r="AI168" i="16"/>
  <c r="AB173" i="16"/>
  <c r="V177" i="16"/>
  <c r="AH186" i="16"/>
  <c r="AH184" i="16"/>
  <c r="AH164" i="16"/>
  <c r="AH183" i="16"/>
  <c r="AH179" i="16"/>
  <c r="M9" i="17"/>
  <c r="H20" i="20"/>
  <c r="AP147" i="16"/>
  <c r="AK168" i="16"/>
  <c r="AB177" i="16"/>
  <c r="N9" i="17"/>
  <c r="J39" i="17"/>
  <c r="J40" i="17" s="1"/>
  <c r="I29" i="18"/>
  <c r="I30" i="18"/>
  <c r="K168" i="16"/>
  <c r="L169" i="16" s="1"/>
  <c r="I21" i="23"/>
  <c r="AJ92" i="16"/>
  <c r="AJ108" i="16"/>
  <c r="J138" i="16"/>
  <c r="AM168" i="16"/>
  <c r="AO169" i="16" s="1"/>
  <c r="AL185" i="16"/>
  <c r="AL189" i="16"/>
  <c r="AL186" i="16"/>
  <c r="AL184" i="16"/>
  <c r="AL164" i="16"/>
  <c r="AL183" i="16"/>
  <c r="AL179" i="16"/>
  <c r="AL182" i="16"/>
  <c r="AL211" i="16"/>
  <c r="R260" i="16"/>
  <c r="J29" i="18"/>
  <c r="J30" i="18"/>
  <c r="J25" i="18"/>
  <c r="J26" i="18" s="1"/>
  <c r="J21" i="23"/>
  <c r="AR211" i="16"/>
  <c r="L30" i="17"/>
  <c r="L1" i="17"/>
  <c r="V12" i="19"/>
  <c r="V15" i="19"/>
  <c r="V16" i="19" s="1"/>
  <c r="J12" i="32"/>
  <c r="I30" i="35"/>
  <c r="I36" i="35"/>
  <c r="AN219" i="16"/>
  <c r="N1" i="17"/>
  <c r="N48" i="17"/>
  <c r="N25" i="22"/>
  <c r="M25" i="22"/>
  <c r="M26" i="22"/>
  <c r="M21" i="13" s="1"/>
  <c r="K12" i="32"/>
  <c r="AJ150" i="16"/>
  <c r="F192" i="16"/>
  <c r="AP219" i="16"/>
  <c r="O25" i="24"/>
  <c r="M30" i="35"/>
  <c r="L36" i="35"/>
  <c r="AL150" i="16"/>
  <c r="AJ164" i="16"/>
  <c r="H192" i="16"/>
  <c r="H212" i="16" s="1"/>
  <c r="AO238" i="16"/>
  <c r="I19" i="33"/>
  <c r="I21" i="33"/>
  <c r="I23" i="33" s="1"/>
  <c r="I26" i="33" s="1"/>
  <c r="AL151" i="16"/>
  <c r="T20" i="20"/>
  <c r="J19" i="33"/>
  <c r="J21" i="33"/>
  <c r="J23" i="33" s="1"/>
  <c r="J26" i="33" s="1"/>
  <c r="I21" i="18"/>
  <c r="I22" i="18"/>
  <c r="K119" i="16" s="1"/>
  <c r="K120" i="16" s="1"/>
  <c r="K19" i="33"/>
  <c r="K21" i="33"/>
  <c r="K23" i="33" s="1"/>
  <c r="K26" i="33" s="1"/>
  <c r="AD147" i="16"/>
  <c r="AN179" i="16"/>
  <c r="AN183" i="16"/>
  <c r="J21" i="18"/>
  <c r="J22" i="18"/>
  <c r="L119" i="16" s="1"/>
  <c r="N13" i="29"/>
  <c r="L19" i="33"/>
  <c r="L21" i="33"/>
  <c r="L23" i="33" s="1"/>
  <c r="L26" i="33" s="1"/>
  <c r="M156" i="16"/>
  <c r="AJ184" i="16"/>
  <c r="M30" i="17"/>
  <c r="K21" i="18"/>
  <c r="K22" i="18"/>
  <c r="M119" i="16" s="1"/>
  <c r="T36" i="19"/>
  <c r="T11" i="22"/>
  <c r="M19" i="33"/>
  <c r="M21" i="33"/>
  <c r="M23" i="33" s="1"/>
  <c r="M26" i="33" s="1"/>
  <c r="AF147" i="16"/>
  <c r="AP179" i="16"/>
  <c r="AP183" i="16"/>
  <c r="AL216" i="16"/>
  <c r="N30" i="17"/>
  <c r="M59" i="17"/>
  <c r="L21" i="18"/>
  <c r="L22" i="18"/>
  <c r="N119" i="16" s="1"/>
  <c r="U35" i="19"/>
  <c r="U11" i="22"/>
  <c r="F11" i="33"/>
  <c r="M29" i="33"/>
  <c r="I20" i="33"/>
  <c r="U19" i="35"/>
  <c r="U23" i="35"/>
  <c r="U24" i="35"/>
  <c r="F77" i="35"/>
  <c r="H76" i="35"/>
  <c r="D80" i="43"/>
  <c r="AL196" i="16"/>
  <c r="O30" i="17"/>
  <c r="M21" i="18"/>
  <c r="M22" i="18"/>
  <c r="O119" i="16" s="1"/>
  <c r="V9" i="22"/>
  <c r="J20" i="33"/>
  <c r="V19" i="35"/>
  <c r="V23" i="35"/>
  <c r="V24" i="35"/>
  <c r="N22" i="18"/>
  <c r="P119" i="16" s="1"/>
  <c r="K20" i="33"/>
  <c r="E9" i="42"/>
  <c r="E8" i="42"/>
  <c r="AJ186" i="16"/>
  <c r="AJ189" i="16"/>
  <c r="AN196" i="16"/>
  <c r="T248" i="16"/>
  <c r="N85" i="24"/>
  <c r="L20" i="33"/>
  <c r="C26" i="39"/>
  <c r="I19" i="39"/>
  <c r="C54" i="39"/>
  <c r="I50" i="39"/>
  <c r="AR216" i="16"/>
  <c r="L23" i="17"/>
  <c r="E19" i="20"/>
  <c r="D19" i="20"/>
  <c r="D20" i="20"/>
  <c r="D23" i="20"/>
  <c r="D24" i="20" s="1"/>
  <c r="M20" i="33"/>
  <c r="M23" i="17"/>
  <c r="F19" i="20"/>
  <c r="F23" i="20"/>
  <c r="F24" i="20" s="1"/>
  <c r="F15" i="20"/>
  <c r="F16" i="20" s="1"/>
  <c r="F102" i="24"/>
  <c r="F53" i="24"/>
  <c r="F103" i="24" s="1"/>
  <c r="Q65" i="24"/>
  <c r="E143" i="16"/>
  <c r="G19" i="20"/>
  <c r="G23" i="20"/>
  <c r="G24" i="20" s="1"/>
  <c r="G15" i="20"/>
  <c r="G16" i="20" s="1"/>
  <c r="G102" i="24"/>
  <c r="G53" i="24"/>
  <c r="G103" i="24" s="1"/>
  <c r="Q55" i="37"/>
  <c r="M24" i="35"/>
  <c r="M7" i="35"/>
  <c r="M16" i="35"/>
  <c r="M37" i="35" s="1"/>
  <c r="F9" i="42"/>
  <c r="F8" i="42"/>
  <c r="E80" i="43"/>
  <c r="L21" i="23"/>
  <c r="L25" i="23" s="1"/>
  <c r="D19" i="32"/>
  <c r="N6" i="35"/>
  <c r="O35" i="35"/>
  <c r="F83" i="43"/>
  <c r="U37" i="18"/>
  <c r="V9" i="13" s="1"/>
  <c r="D15" i="20"/>
  <c r="D16" i="20" s="1"/>
  <c r="E12" i="20"/>
  <c r="D9" i="20"/>
  <c r="D12" i="20"/>
  <c r="D35" i="20"/>
  <c r="O7" i="35"/>
  <c r="O16" i="35"/>
  <c r="O37" i="35" s="1"/>
  <c r="O38" i="35" s="1"/>
  <c r="O24" i="35"/>
  <c r="G80" i="43"/>
  <c r="G83" i="43"/>
  <c r="O13" i="45"/>
  <c r="I27" i="45"/>
  <c r="F9" i="20"/>
  <c r="F12" i="20"/>
  <c r="J1" i="22"/>
  <c r="P16" i="35"/>
  <c r="P37" i="35" s="1"/>
  <c r="P38" i="35" s="1"/>
  <c r="P4" i="35"/>
  <c r="P65" i="35" s="1"/>
  <c r="P24" i="35"/>
  <c r="G26" i="38"/>
  <c r="O59" i="17"/>
  <c r="G9" i="20"/>
  <c r="G12" i="20"/>
  <c r="N51" i="24"/>
  <c r="D13" i="32"/>
  <c r="E13" i="32" s="1"/>
  <c r="F13" i="32" s="1"/>
  <c r="G13" i="32" s="1"/>
  <c r="H13" i="32" s="1"/>
  <c r="I13" i="32" s="1"/>
  <c r="J13" i="32" s="1"/>
  <c r="K13" i="32" s="1"/>
  <c r="K15" i="32" s="1"/>
  <c r="K51" i="35"/>
  <c r="K28" i="35"/>
  <c r="W29" i="37"/>
  <c r="M35" i="37"/>
  <c r="S29" i="37" s="1"/>
  <c r="K22" i="45"/>
  <c r="Q13" i="45" s="1"/>
  <c r="P59" i="17"/>
  <c r="I12" i="20"/>
  <c r="H9" i="20"/>
  <c r="H12" i="20"/>
  <c r="O26" i="22"/>
  <c r="O21" i="13" s="1"/>
  <c r="L51" i="35"/>
  <c r="O51" i="35"/>
  <c r="N50" i="35"/>
  <c r="X29" i="37"/>
  <c r="N35" i="37"/>
  <c r="T32" i="37" s="1"/>
  <c r="O48" i="17"/>
  <c r="E9" i="35"/>
  <c r="E25" i="35"/>
  <c r="N9" i="37"/>
  <c r="T4" i="37" s="1"/>
  <c r="E14" i="45"/>
  <c r="I1" i="18"/>
  <c r="Y30" i="37"/>
  <c r="F8" i="35"/>
  <c r="O9" i="37"/>
  <c r="U6" i="37" s="1"/>
  <c r="Y42" i="37" s="1"/>
  <c r="Q35" i="37"/>
  <c r="G30" i="38"/>
  <c r="N33" i="17"/>
  <c r="S36" i="18"/>
  <c r="I45" i="35"/>
  <c r="I46" i="35"/>
  <c r="E1" i="44"/>
  <c r="R24" i="45"/>
  <c r="T22" i="45"/>
  <c r="M1" i="17"/>
  <c r="O33" i="17"/>
  <c r="K1" i="18"/>
  <c r="O15" i="20"/>
  <c r="O16" i="20" s="1"/>
  <c r="U100" i="24"/>
  <c r="C10" i="32"/>
  <c r="J45" i="35"/>
  <c r="J46" i="35"/>
  <c r="H29" i="43"/>
  <c r="H31" i="43" s="1"/>
  <c r="H32" i="43" s="1"/>
  <c r="F1" i="44"/>
  <c r="S22" i="45"/>
  <c r="L1" i="18"/>
  <c r="I17" i="18"/>
  <c r="N26" i="22"/>
  <c r="N21" i="13" s="1"/>
  <c r="P7" i="35"/>
  <c r="E13" i="35"/>
  <c r="K45" i="35"/>
  <c r="K46" i="35"/>
  <c r="D98" i="35"/>
  <c r="D100" i="35" s="1"/>
  <c r="X20" i="37"/>
  <c r="E56" i="35"/>
  <c r="K47" i="45"/>
  <c r="M1" i="18"/>
  <c r="J17" i="18"/>
  <c r="O22" i="18"/>
  <c r="Q119" i="16" s="1"/>
  <c r="Q7" i="35"/>
  <c r="L45" i="35"/>
  <c r="L46" i="35"/>
  <c r="N44" i="35"/>
  <c r="L6" i="17"/>
  <c r="N1" i="18"/>
  <c r="K17" i="18"/>
  <c r="M45" i="35"/>
  <c r="M46" i="35"/>
  <c r="F20" i="33"/>
  <c r="F19" i="33"/>
  <c r="F21" i="33"/>
  <c r="F23" i="33" s="1"/>
  <c r="F26" i="33" s="1"/>
  <c r="N65" i="37"/>
  <c r="D40" i="42"/>
  <c r="D39" i="42"/>
  <c r="D1" i="20"/>
  <c r="J16" i="22"/>
  <c r="G20" i="33"/>
  <c r="G19" i="33"/>
  <c r="E5" i="35"/>
  <c r="E66" i="35"/>
  <c r="E40" i="42"/>
  <c r="E39" i="42"/>
  <c r="D28" i="20"/>
  <c r="K16" i="22"/>
  <c r="H20" i="33"/>
  <c r="H19" i="33"/>
  <c r="F5" i="35"/>
  <c r="F66" i="35"/>
  <c r="S33" i="35"/>
  <c r="N45" i="37"/>
  <c r="E26" i="33"/>
  <c r="L5" i="35"/>
  <c r="L62" i="35"/>
  <c r="N62" i="35" s="1"/>
  <c r="L41" i="35"/>
  <c r="E28" i="35"/>
  <c r="F55" i="35"/>
  <c r="F31" i="35"/>
  <c r="U32" i="35"/>
  <c r="F42" i="35"/>
  <c r="F81" i="35"/>
  <c r="I51" i="35"/>
  <c r="E63" i="35"/>
  <c r="H44" i="36"/>
  <c r="H43" i="36"/>
  <c r="F57" i="36"/>
  <c r="N4" i="35"/>
  <c r="V32" i="35"/>
  <c r="O45" i="35"/>
  <c r="J51" i="35"/>
  <c r="I68" i="35"/>
  <c r="K68" i="35" s="1"/>
  <c r="I71" i="35"/>
  <c r="K71" i="35" s="1"/>
  <c r="F6" i="38"/>
  <c r="D10" i="32"/>
  <c r="R45" i="35"/>
  <c r="M51" i="35"/>
  <c r="D58" i="35"/>
  <c r="I65" i="35"/>
  <c r="K65" i="35" s="1"/>
  <c r="L68" i="35"/>
  <c r="N68" i="35" s="1"/>
  <c r="Y29" i="37"/>
  <c r="C32" i="44"/>
  <c r="E10" i="32"/>
  <c r="I42" i="35"/>
  <c r="S45" i="35"/>
  <c r="D32" i="44"/>
  <c r="F10" i="32"/>
  <c r="T45" i="35"/>
  <c r="T48" i="35"/>
  <c r="I14" i="39"/>
  <c r="D8" i="42"/>
  <c r="E32" i="44"/>
  <c r="G10" i="32"/>
  <c r="Q29" i="35"/>
  <c r="U45" i="35"/>
  <c r="U48" i="35"/>
  <c r="L65" i="35"/>
  <c r="N65" i="35" s="1"/>
  <c r="F9" i="38"/>
  <c r="C83" i="43"/>
  <c r="K29" i="44"/>
  <c r="F32" i="44"/>
  <c r="R5" i="45"/>
  <c r="R4" i="45"/>
  <c r="H10" i="32"/>
  <c r="V45" i="35"/>
  <c r="V46" i="35"/>
  <c r="V48" i="35"/>
  <c r="L77" i="35"/>
  <c r="X30" i="37"/>
  <c r="O35" i="37"/>
  <c r="U31" i="37" s="1"/>
  <c r="Z41" i="37" s="1"/>
  <c r="D83" i="43"/>
  <c r="L29" i="44"/>
  <c r="G32" i="44"/>
  <c r="R6" i="45"/>
  <c r="I10" i="32"/>
  <c r="J9" i="35"/>
  <c r="M22" i="37"/>
  <c r="S18" i="37" s="1"/>
  <c r="D47" i="35"/>
  <c r="E49" i="38"/>
  <c r="E46" i="38"/>
  <c r="E43" i="38"/>
  <c r="G8" i="42"/>
  <c r="E83" i="43"/>
  <c r="M29" i="44"/>
  <c r="H32" i="44"/>
  <c r="S6" i="45"/>
  <c r="D27" i="20"/>
  <c r="J10" i="32"/>
  <c r="E7" i="35"/>
  <c r="K9" i="35"/>
  <c r="K25" i="35"/>
  <c r="I25" i="35"/>
  <c r="T29" i="35"/>
  <c r="D46" i="35"/>
  <c r="O54" i="35"/>
  <c r="O65" i="35"/>
  <c r="E49" i="35"/>
  <c r="F49" i="38"/>
  <c r="F46" i="38"/>
  <c r="F43" i="38"/>
  <c r="H8" i="42"/>
  <c r="F52" i="43"/>
  <c r="N29" i="44"/>
  <c r="M14" i="29"/>
  <c r="L14" i="29"/>
  <c r="L29" i="29" s="1"/>
  <c r="K14" i="29"/>
  <c r="K29" i="29" s="1"/>
  <c r="J14" i="29"/>
  <c r="J29" i="29" s="1"/>
  <c r="K10" i="32"/>
  <c r="F7" i="35"/>
  <c r="F22" i="35"/>
  <c r="L9" i="35"/>
  <c r="L25" i="35"/>
  <c r="N8" i="35"/>
  <c r="N9" i="35" s="1"/>
  <c r="E20" i="35"/>
  <c r="J25" i="35"/>
  <c r="P54" i="35"/>
  <c r="G49" i="38"/>
  <c r="G46" i="38"/>
  <c r="G43" i="38"/>
  <c r="G16" i="35"/>
  <c r="F20" i="35"/>
  <c r="O19" i="35"/>
  <c r="O41" i="35" s="1"/>
  <c r="O23" i="35"/>
  <c r="F46" i="35"/>
  <c r="Q54" i="35"/>
  <c r="P19" i="35"/>
  <c r="P23" i="35"/>
  <c r="R31" i="35"/>
  <c r="S32" i="35" s="1"/>
  <c r="R54" i="35"/>
  <c r="F16" i="38"/>
  <c r="F13" i="38"/>
  <c r="F10" i="38"/>
  <c r="G52" i="43"/>
  <c r="H27" i="20"/>
  <c r="I7" i="35"/>
  <c r="I16" i="35"/>
  <c r="I37" i="35" s="1"/>
  <c r="H19" i="35"/>
  <c r="Q19" i="35"/>
  <c r="Q23" i="35"/>
  <c r="G16" i="38"/>
  <c r="G13" i="38"/>
  <c r="G10" i="38"/>
  <c r="I16" i="39"/>
  <c r="H52" i="43"/>
  <c r="J7" i="35"/>
  <c r="J16" i="35"/>
  <c r="T16" i="35"/>
  <c r="T37" i="35" s="1"/>
  <c r="T38" i="35" s="1"/>
  <c r="T34" i="35"/>
  <c r="L20" i="35"/>
  <c r="I20" i="35"/>
  <c r="K19" i="35"/>
  <c r="R19" i="35"/>
  <c r="R41" i="35" s="1"/>
  <c r="R23" i="35"/>
  <c r="T54" i="35"/>
  <c r="S3" i="25"/>
  <c r="K7" i="35"/>
  <c r="S19" i="35"/>
  <c r="S23" i="35"/>
  <c r="U54" i="35"/>
  <c r="W17" i="37"/>
  <c r="E20" i="33"/>
  <c r="E19" i="33"/>
  <c r="L24" i="35"/>
  <c r="L7" i="35"/>
  <c r="L16" i="35"/>
  <c r="L37" i="35" s="1"/>
  <c r="S25" i="35"/>
  <c r="F13" i="35"/>
  <c r="T19" i="35"/>
  <c r="T23" i="35"/>
  <c r="J30" i="35"/>
  <c r="U33" i="35"/>
  <c r="F43" i="35"/>
  <c r="X17" i="37"/>
  <c r="Q4" i="35"/>
  <c r="O38" i="42"/>
  <c r="S4" i="35"/>
  <c r="S9" i="41"/>
  <c r="P25" i="35"/>
  <c r="E98" i="35"/>
  <c r="E100" i="35" s="1"/>
  <c r="F39" i="42"/>
  <c r="F80" i="43"/>
  <c r="N12" i="35"/>
  <c r="H38" i="36"/>
  <c r="G39" i="42"/>
  <c r="R76" i="35"/>
  <c r="H39" i="42"/>
  <c r="L49" i="35"/>
  <c r="T76" i="35"/>
  <c r="F15" i="38"/>
  <c r="G71" i="43"/>
  <c r="G72" i="43" s="1"/>
  <c r="G77" i="43" s="1"/>
  <c r="C41" i="43"/>
  <c r="C52" i="43" s="1"/>
  <c r="D41" i="43"/>
  <c r="D52" i="43" s="1"/>
  <c r="E41" i="43"/>
  <c r="E52" i="43" s="1"/>
  <c r="K6" i="45"/>
  <c r="R13" i="45" s="1"/>
  <c r="T13" i="45" s="1"/>
  <c r="N75" i="27" l="1"/>
  <c r="V41" i="35"/>
  <c r="N16" i="10"/>
  <c r="G13" i="20" s="1"/>
  <c r="W38" i="11"/>
  <c r="W35" i="11"/>
  <c r="BE3" i="8"/>
  <c r="BG3" i="8"/>
  <c r="G6" i="6"/>
  <c r="G41" i="6" s="1"/>
  <c r="R34" i="4"/>
  <c r="L41" i="13"/>
  <c r="W5" i="14"/>
  <c r="W7" i="14" s="1"/>
  <c r="X7" i="14" s="1"/>
  <c r="Y7" i="14" s="1"/>
  <c r="Z7" i="14" s="1"/>
  <c r="AA7" i="14" s="1"/>
  <c r="AB7" i="14" s="1"/>
  <c r="AC7" i="14" s="1"/>
  <c r="AD7" i="14" s="1"/>
  <c r="AE7" i="14" s="1"/>
  <c r="AF7" i="14" s="1"/>
  <c r="AG7" i="14" s="1"/>
  <c r="L24" i="13"/>
  <c r="P31" i="8"/>
  <c r="F16" i="13"/>
  <c r="F20" i="13"/>
  <c r="K31" i="11"/>
  <c r="K34" i="11" s="1"/>
  <c r="AW30" i="7"/>
  <c r="U205" i="16"/>
  <c r="V230" i="16" s="1"/>
  <c r="W86" i="4"/>
  <c r="AS24" i="7"/>
  <c r="Q1" i="8"/>
  <c r="U71" i="35"/>
  <c r="V5" i="35"/>
  <c r="V76" i="35"/>
  <c r="I20" i="13"/>
  <c r="U65" i="35"/>
  <c r="O57" i="10"/>
  <c r="O34" i="10"/>
  <c r="K17" i="11"/>
  <c r="N100" i="4" s="1"/>
  <c r="BC3" i="8"/>
  <c r="F5" i="13"/>
  <c r="L75" i="27"/>
  <c r="K31" i="8"/>
  <c r="O16" i="11"/>
  <c r="R98" i="4" s="1"/>
  <c r="M5" i="11"/>
  <c r="P87" i="4" s="1"/>
  <c r="F100" i="24"/>
  <c r="K20" i="11"/>
  <c r="U62" i="35"/>
  <c r="N241" i="16"/>
  <c r="N242" i="16" s="1"/>
  <c r="P73" i="4"/>
  <c r="M112" i="9"/>
  <c r="M113" i="9" s="1"/>
  <c r="M65" i="9"/>
  <c r="M69" i="9" s="1"/>
  <c r="M77" i="9"/>
  <c r="P80" i="4" s="1"/>
  <c r="P128" i="4" s="1"/>
  <c r="D71" i="9"/>
  <c r="Q47" i="4"/>
  <c r="Q74" i="4"/>
  <c r="M43" i="9"/>
  <c r="T12" i="12"/>
  <c r="D92" i="9"/>
  <c r="S92" i="9"/>
  <c r="V95" i="13"/>
  <c r="V101" i="13"/>
  <c r="N50" i="4"/>
  <c r="U27" i="8"/>
  <c r="V27" i="8" s="1"/>
  <c r="BH27" i="8" s="1"/>
  <c r="X88" i="9"/>
  <c r="AA125" i="4" s="1"/>
  <c r="V82" i="9"/>
  <c r="W83" i="9" s="1"/>
  <c r="W78" i="9"/>
  <c r="BF18" i="8"/>
  <c r="BI18" i="8" s="1"/>
  <c r="BF7" i="8"/>
  <c r="W3" i="12"/>
  <c r="AM47" i="7"/>
  <c r="AU3" i="16"/>
  <c r="W196" i="16"/>
  <c r="W216" i="16"/>
  <c r="W198" i="16"/>
  <c r="X216" i="16"/>
  <c r="AA31" i="7"/>
  <c r="Z61" i="12"/>
  <c r="AA61" i="12" s="1"/>
  <c r="AB61" i="12" s="1"/>
  <c r="W217" i="16"/>
  <c r="X217" i="16"/>
  <c r="T6" i="13"/>
  <c r="U7" i="13" s="1"/>
  <c r="S38" i="18"/>
  <c r="E24" i="10"/>
  <c r="V232" i="16"/>
  <c r="AU13" i="16"/>
  <c r="AU46" i="16"/>
  <c r="AU47" i="16"/>
  <c r="AU48" i="16"/>
  <c r="L4" i="17"/>
  <c r="BB17" i="8"/>
  <c r="U204" i="16"/>
  <c r="U201" i="16" s="1"/>
  <c r="K38" i="13"/>
  <c r="M31" i="11"/>
  <c r="M34" i="11" s="1"/>
  <c r="U36" i="18"/>
  <c r="V37" i="18"/>
  <c r="K25" i="10"/>
  <c r="L26" i="10" s="1"/>
  <c r="AU11" i="16"/>
  <c r="T38" i="18"/>
  <c r="W219" i="16"/>
  <c r="M57" i="10"/>
  <c r="V210" i="16"/>
  <c r="V229" i="16" s="1"/>
  <c r="M20" i="11"/>
  <c r="O116" i="13"/>
  <c r="P113" i="13" s="1"/>
  <c r="E64" i="13"/>
  <c r="R31" i="4"/>
  <c r="N18" i="8"/>
  <c r="AT18" i="8" s="1"/>
  <c r="BD17" i="8"/>
  <c r="V204" i="16"/>
  <c r="V196" i="16"/>
  <c r="V216" i="16"/>
  <c r="V198" i="16"/>
  <c r="Y3" i="19"/>
  <c r="Z3" i="19" s="1"/>
  <c r="AA3" i="19" s="1"/>
  <c r="AB3" i="19" s="1"/>
  <c r="AC3" i="19" s="1"/>
  <c r="AD3" i="19" s="1"/>
  <c r="AE3" i="19" s="1"/>
  <c r="AF3" i="19" s="1"/>
  <c r="AG3" i="19" s="1"/>
  <c r="X11" i="19"/>
  <c r="Y3" i="17"/>
  <c r="Z3" i="17" s="1"/>
  <c r="AA3" i="17" s="1"/>
  <c r="AB3" i="17" s="1"/>
  <c r="AC3" i="17" s="1"/>
  <c r="AD3" i="17" s="1"/>
  <c r="AE3" i="17" s="1"/>
  <c r="AF3" i="17" s="1"/>
  <c r="AG3" i="17" s="1"/>
  <c r="X29" i="17"/>
  <c r="W211" i="16"/>
  <c r="X211" i="16"/>
  <c r="W212" i="16"/>
  <c r="X212" i="16"/>
  <c r="V186" i="16"/>
  <c r="V209" i="16"/>
  <c r="V189" i="16"/>
  <c r="AS178" i="16"/>
  <c r="AU179" i="16" s="1"/>
  <c r="W209" i="16"/>
  <c r="W189" i="16"/>
  <c r="X179" i="16"/>
  <c r="X209" i="16"/>
  <c r="U183" i="16"/>
  <c r="U209" i="16"/>
  <c r="U189" i="16"/>
  <c r="AS119" i="16"/>
  <c r="AM204" i="16"/>
  <c r="W213" i="16"/>
  <c r="X213" i="16"/>
  <c r="T217" i="16"/>
  <c r="U217" i="16"/>
  <c r="W210" i="16"/>
  <c r="X210" i="16"/>
  <c r="U210" i="16"/>
  <c r="U1" i="8"/>
  <c r="F3" i="8"/>
  <c r="Q71" i="4"/>
  <c r="L100" i="24"/>
  <c r="L105" i="24" s="1"/>
  <c r="Z8" i="9"/>
  <c r="AA8" i="9" s="1"/>
  <c r="AB8" i="9" s="1"/>
  <c r="AC8" i="9" s="1"/>
  <c r="AD8" i="9" s="1"/>
  <c r="AE8" i="9" s="1"/>
  <c r="AF8" i="9" s="1"/>
  <c r="AG8" i="9" s="1"/>
  <c r="AB52" i="4"/>
  <c r="G80" i="4"/>
  <c r="E105" i="24"/>
  <c r="P65" i="9"/>
  <c r="P69" i="9" s="1"/>
  <c r="P71" i="9" s="1"/>
  <c r="P107" i="9" s="1"/>
  <c r="S74" i="4"/>
  <c r="F6" i="6"/>
  <c r="F41" i="6" s="1"/>
  <c r="N6" i="6"/>
  <c r="Q61" i="13"/>
  <c r="T31" i="37"/>
  <c r="N24" i="13"/>
  <c r="Z75" i="9"/>
  <c r="AA75" i="9" s="1"/>
  <c r="AB75" i="9" s="1"/>
  <c r="AC75" i="9" s="1"/>
  <c r="AD75" i="9" s="1"/>
  <c r="AE75" i="9" s="1"/>
  <c r="AF75" i="9" s="1"/>
  <c r="AG75" i="9" s="1"/>
  <c r="AB78" i="4"/>
  <c r="Z22" i="9"/>
  <c r="AA22" i="9" s="1"/>
  <c r="AB22" i="9" s="1"/>
  <c r="AC22" i="9" s="1"/>
  <c r="AD22" i="9" s="1"/>
  <c r="AE22" i="9" s="1"/>
  <c r="AF22" i="9" s="1"/>
  <c r="AG22" i="9" s="1"/>
  <c r="AB51" i="4"/>
  <c r="M64" i="13"/>
  <c r="E7" i="38"/>
  <c r="P32" i="4"/>
  <c r="Y33" i="17"/>
  <c r="Z33" i="17" s="1"/>
  <c r="AA33" i="17" s="1"/>
  <c r="AB33" i="17" s="1"/>
  <c r="AC33" i="17" s="1"/>
  <c r="AD33" i="17" s="1"/>
  <c r="AE33" i="17" s="1"/>
  <c r="AF33" i="17" s="1"/>
  <c r="AG33" i="17" s="1"/>
  <c r="N41" i="9"/>
  <c r="N43" i="9" s="1"/>
  <c r="I6" i="6"/>
  <c r="Z49" i="9"/>
  <c r="AA49" i="9" s="1"/>
  <c r="AB49" i="9" s="1"/>
  <c r="AC49" i="9" s="1"/>
  <c r="AD49" i="9" s="1"/>
  <c r="AE49" i="9" s="1"/>
  <c r="AF49" i="9" s="1"/>
  <c r="AG49" i="9" s="1"/>
  <c r="AB66" i="4"/>
  <c r="T30" i="37"/>
  <c r="AL215" i="16"/>
  <c r="AL224" i="16" s="1"/>
  <c r="U5" i="35"/>
  <c r="T105" i="24"/>
  <c r="BR16" i="8"/>
  <c r="BS16" i="8" s="1"/>
  <c r="Z184" i="16"/>
  <c r="N162" i="16"/>
  <c r="G157" i="16"/>
  <c r="N192" i="16"/>
  <c r="N212" i="16" s="1"/>
  <c r="Q136" i="16"/>
  <c r="AE135" i="16"/>
  <c r="AE136" i="16" s="1"/>
  <c r="N158" i="16"/>
  <c r="N173" i="16"/>
  <c r="Q138" i="16"/>
  <c r="AG137" i="16"/>
  <c r="AG123" i="16" s="1"/>
  <c r="N134" i="16"/>
  <c r="AA133" i="16"/>
  <c r="AA119" i="16" s="1"/>
  <c r="G211" i="16"/>
  <c r="J183" i="16"/>
  <c r="AK173" i="16"/>
  <c r="M177" i="16"/>
  <c r="H43" i="16"/>
  <c r="U91" i="16"/>
  <c r="U109" i="16" s="1"/>
  <c r="S148" i="16"/>
  <c r="H44" i="16"/>
  <c r="AG172" i="16"/>
  <c r="AG158" i="16" s="1"/>
  <c r="AG159" i="16" s="1"/>
  <c r="BR103" i="16"/>
  <c r="M138" i="16"/>
  <c r="S149" i="16"/>
  <c r="AE176" i="16"/>
  <c r="H49" i="16"/>
  <c r="S151" i="16"/>
  <c r="N90" i="16"/>
  <c r="AR231" i="16"/>
  <c r="P193" i="16"/>
  <c r="N127" i="16"/>
  <c r="N128" i="16" s="1"/>
  <c r="AI158" i="16"/>
  <c r="P90" i="16"/>
  <c r="AI142" i="16"/>
  <c r="H183" i="16"/>
  <c r="H42" i="16"/>
  <c r="F157" i="16"/>
  <c r="L143" i="16"/>
  <c r="L150" i="16" s="1"/>
  <c r="H182" i="16"/>
  <c r="R210" i="16"/>
  <c r="X3" i="16"/>
  <c r="J182" i="16"/>
  <c r="L88" i="16"/>
  <c r="G155" i="16"/>
  <c r="L178" i="16"/>
  <c r="L182" i="16" s="1"/>
  <c r="AE83" i="16"/>
  <c r="AG93" i="16" s="1"/>
  <c r="F155" i="16"/>
  <c r="S147" i="16"/>
  <c r="X11" i="16"/>
  <c r="N138" i="16"/>
  <c r="L193" i="16"/>
  <c r="L213" i="16" s="1"/>
  <c r="AB163" i="16"/>
  <c r="X13" i="16"/>
  <c r="L162" i="16"/>
  <c r="M163" i="16" s="1"/>
  <c r="M143" i="16"/>
  <c r="M151" i="16" s="1"/>
  <c r="AB128" i="16"/>
  <c r="AQ84" i="16"/>
  <c r="O193" i="16"/>
  <c r="O213" i="16" s="1"/>
  <c r="J184" i="16"/>
  <c r="O177" i="16"/>
  <c r="R138" i="16"/>
  <c r="J189" i="16"/>
  <c r="T58" i="16"/>
  <c r="AK158" i="16"/>
  <c r="K88" i="16"/>
  <c r="S42" i="16"/>
  <c r="AH165" i="16"/>
  <c r="X3" i="18"/>
  <c r="Y3" i="18" s="1"/>
  <c r="Z3" i="18" s="1"/>
  <c r="AA3" i="18" s="1"/>
  <c r="AB3" i="18" s="1"/>
  <c r="AC3" i="18" s="1"/>
  <c r="AD3" i="18" s="1"/>
  <c r="AE3" i="18" s="1"/>
  <c r="AF3" i="18" s="1"/>
  <c r="BE34" i="8"/>
  <c r="T1" i="8"/>
  <c r="BF27" i="8"/>
  <c r="AA25" i="8"/>
  <c r="AA35" i="8" s="1"/>
  <c r="AC3" i="8"/>
  <c r="AA3" i="8"/>
  <c r="AR5" i="8"/>
  <c r="AS5" i="8"/>
  <c r="D21" i="8"/>
  <c r="D36" i="8" s="1"/>
  <c r="AQ3" i="8"/>
  <c r="AO3" i="8"/>
  <c r="D30" i="8"/>
  <c r="E36" i="8"/>
  <c r="G36" i="8"/>
  <c r="G3" i="8"/>
  <c r="BF17" i="8"/>
  <c r="BF24" i="8"/>
  <c r="BF23" i="8"/>
  <c r="BI23" i="8" s="1"/>
  <c r="BD7" i="8"/>
  <c r="S1" i="8"/>
  <c r="AX17" i="8"/>
  <c r="AL205" i="16"/>
  <c r="AN226" i="16" s="1"/>
  <c r="AY36" i="8"/>
  <c r="AL17" i="8"/>
  <c r="BB7" i="8"/>
  <c r="L215" i="16"/>
  <c r="O31" i="8"/>
  <c r="K1" i="8"/>
  <c r="AN7" i="8"/>
  <c r="AN32" i="8" s="1"/>
  <c r="AH18" i="8"/>
  <c r="H13" i="8"/>
  <c r="H31" i="8" s="1"/>
  <c r="S31" i="8"/>
  <c r="I32" i="8"/>
  <c r="P33" i="8"/>
  <c r="R33" i="8"/>
  <c r="O9" i="8"/>
  <c r="O21" i="8" s="1"/>
  <c r="AL18" i="8"/>
  <c r="BB36" i="7"/>
  <c r="AX36" i="7"/>
  <c r="Z13" i="7"/>
  <c r="V18" i="7"/>
  <c r="AX37" i="7"/>
  <c r="BB32" i="7"/>
  <c r="V30" i="7"/>
  <c r="N198" i="16"/>
  <c r="N215" i="16" s="1"/>
  <c r="AN18" i="8"/>
  <c r="N204" i="16"/>
  <c r="N219" i="16" s="1"/>
  <c r="G40" i="6"/>
  <c r="H41" i="6" s="1"/>
  <c r="O101" i="10"/>
  <c r="H189" i="16"/>
  <c r="N32" i="13"/>
  <c r="H23" i="10"/>
  <c r="F159" i="16"/>
  <c r="T21" i="19"/>
  <c r="I23" i="10"/>
  <c r="O26" i="27"/>
  <c r="V26" i="35"/>
  <c r="AI32" i="7"/>
  <c r="I144" i="10"/>
  <c r="N72" i="35"/>
  <c r="L29" i="35"/>
  <c r="S23" i="18"/>
  <c r="E69" i="9"/>
  <c r="E71" i="9" s="1"/>
  <c r="M83" i="35"/>
  <c r="O102" i="24"/>
  <c r="D82" i="9"/>
  <c r="D84" i="9" s="1"/>
  <c r="D95" i="9" s="1"/>
  <c r="T68" i="35"/>
  <c r="P1" i="8"/>
  <c r="S105" i="24"/>
  <c r="H157" i="16"/>
  <c r="C60" i="27"/>
  <c r="T62" i="35"/>
  <c r="V88" i="16"/>
  <c r="M32" i="35"/>
  <c r="J1" i="17"/>
  <c r="J32" i="35"/>
  <c r="R35" i="10"/>
  <c r="S33" i="8"/>
  <c r="T74" i="5"/>
  <c r="N53" i="10"/>
  <c r="T65" i="35"/>
  <c r="I10" i="27"/>
  <c r="G143" i="10"/>
  <c r="S35" i="35"/>
  <c r="E104" i="9"/>
  <c r="AE82" i="16"/>
  <c r="J29" i="35"/>
  <c r="M105" i="24"/>
  <c r="N26" i="27"/>
  <c r="P35" i="4"/>
  <c r="H33" i="8"/>
  <c r="T71" i="35"/>
  <c r="L18" i="8"/>
  <c r="R16" i="11"/>
  <c r="U98" i="4" s="1"/>
  <c r="G43" i="9"/>
  <c r="G96" i="9" s="1"/>
  <c r="H18" i="11"/>
  <c r="H20" i="11" s="1"/>
  <c r="Q31" i="4"/>
  <c r="AL47" i="7"/>
  <c r="O48" i="13"/>
  <c r="W46" i="4"/>
  <c r="W47" i="4" s="1"/>
  <c r="AB157" i="16"/>
  <c r="R41" i="6"/>
  <c r="V50" i="10"/>
  <c r="P31" i="4"/>
  <c r="V105" i="24"/>
  <c r="L91" i="16"/>
  <c r="L106" i="16" s="1"/>
  <c r="P35" i="35"/>
  <c r="O79" i="27"/>
  <c r="E11" i="35"/>
  <c r="O21" i="19"/>
  <c r="M21" i="20"/>
  <c r="P29" i="35"/>
  <c r="U76" i="35"/>
  <c r="O53" i="24"/>
  <c r="O103" i="24" s="1"/>
  <c r="AC172" i="16"/>
  <c r="AC173" i="16" s="1"/>
  <c r="H184" i="16"/>
  <c r="K29" i="13"/>
  <c r="I41" i="13"/>
  <c r="M16" i="11"/>
  <c r="P98" i="4" s="1"/>
  <c r="L24" i="8"/>
  <c r="AP24" i="8" s="1"/>
  <c r="Y31" i="7"/>
  <c r="M18" i="8"/>
  <c r="AR18" i="8" s="1"/>
  <c r="AV7" i="8"/>
  <c r="K3" i="25" s="1"/>
  <c r="E32" i="43"/>
  <c r="D32" i="43"/>
  <c r="O25" i="10"/>
  <c r="P127" i="16"/>
  <c r="Q128" i="16" s="1"/>
  <c r="U17" i="37"/>
  <c r="J83" i="35"/>
  <c r="AB185" i="16"/>
  <c r="N143" i="16"/>
  <c r="N149" i="16" s="1"/>
  <c r="N84" i="16"/>
  <c r="AE89" i="16"/>
  <c r="AG90" i="16" s="1"/>
  <c r="Q9" i="8"/>
  <c r="Q30" i="8" s="1"/>
  <c r="AA51" i="4"/>
  <c r="R29" i="35"/>
  <c r="J86" i="35"/>
  <c r="J88" i="35" s="1"/>
  <c r="O173" i="16"/>
  <c r="AP215" i="16"/>
  <c r="AP224" i="16" s="1"/>
  <c r="N156" i="16"/>
  <c r="N157" i="16" s="1"/>
  <c r="G20" i="13"/>
  <c r="J31" i="11"/>
  <c r="J34" i="11" s="1"/>
  <c r="J35" i="11" s="1"/>
  <c r="R92" i="9"/>
  <c r="R26" i="4"/>
  <c r="AZ7" i="8"/>
  <c r="O3" i="25" s="1"/>
  <c r="U35" i="10"/>
  <c r="V71" i="9"/>
  <c r="K143" i="10"/>
  <c r="N28" i="29"/>
  <c r="O84" i="16"/>
  <c r="AH14" i="8"/>
  <c r="AH13" i="8" s="1"/>
  <c r="AH31" i="8" s="1"/>
  <c r="S73" i="4"/>
  <c r="K57" i="10"/>
  <c r="I22" i="8"/>
  <c r="AJ22" i="8" s="1"/>
  <c r="N34" i="4"/>
  <c r="K17" i="38"/>
  <c r="I26" i="13"/>
  <c r="Q31" i="8"/>
  <c r="O29" i="35"/>
  <c r="T116" i="16"/>
  <c r="L154" i="16"/>
  <c r="M155" i="16" s="1"/>
  <c r="Z182" i="16"/>
  <c r="Q17" i="11"/>
  <c r="T100" i="4" s="1"/>
  <c r="S60" i="27"/>
  <c r="S87" i="15"/>
  <c r="T85" i="15" s="1"/>
  <c r="T87" i="15" s="1"/>
  <c r="U85" i="15" s="1"/>
  <c r="U87" i="15" s="1"/>
  <c r="AC82" i="16"/>
  <c r="Q178" i="16"/>
  <c r="Q164" i="16" s="1"/>
  <c r="P9" i="10"/>
  <c r="H45" i="17"/>
  <c r="AI134" i="16"/>
  <c r="O162" i="16"/>
  <c r="O163" i="16" s="1"/>
  <c r="T16" i="37"/>
  <c r="U26" i="10"/>
  <c r="N91" i="16"/>
  <c r="N110" i="16" s="1"/>
  <c r="K29" i="10"/>
  <c r="Q33" i="8"/>
  <c r="K45" i="17"/>
  <c r="F94" i="9"/>
  <c r="K68" i="4"/>
  <c r="Q61" i="4"/>
  <c r="L82" i="9"/>
  <c r="L103" i="9" s="1"/>
  <c r="I41" i="10"/>
  <c r="V29" i="35"/>
  <c r="L44" i="4"/>
  <c r="N36" i="12"/>
  <c r="N5" i="12" s="1"/>
  <c r="D21" i="20"/>
  <c r="C24" i="32"/>
  <c r="C27" i="32" s="1"/>
  <c r="T17" i="37"/>
  <c r="U26" i="35"/>
  <c r="T19" i="37"/>
  <c r="I84" i="15"/>
  <c r="I87" i="15" s="1"/>
  <c r="I89" i="15" s="1"/>
  <c r="L10" i="27"/>
  <c r="N112" i="9"/>
  <c r="N113" i="9" s="1"/>
  <c r="F60" i="27"/>
  <c r="Z51" i="4"/>
  <c r="P27" i="11"/>
  <c r="S106" i="4" s="1"/>
  <c r="S60" i="4"/>
  <c r="AU31" i="7"/>
  <c r="N49" i="35"/>
  <c r="AN51" i="16"/>
  <c r="AF21" i="8"/>
  <c r="AI143" i="16"/>
  <c r="AI148" i="16" s="1"/>
  <c r="U27" i="35"/>
  <c r="N61" i="13"/>
  <c r="G12" i="12"/>
  <c r="I11" i="35"/>
  <c r="Q173" i="16"/>
  <c r="P32" i="35"/>
  <c r="P13" i="10"/>
  <c r="L94" i="9"/>
  <c r="T44" i="4"/>
  <c r="H66" i="35"/>
  <c r="AH32" i="7"/>
  <c r="J17" i="11"/>
  <c r="M100" i="4" s="1"/>
  <c r="J45" i="10"/>
  <c r="P16" i="10"/>
  <c r="I13" i="20" s="1"/>
  <c r="T18" i="37"/>
  <c r="AR229" i="16"/>
  <c r="Q87" i="24"/>
  <c r="Q100" i="24" s="1"/>
  <c r="N53" i="24"/>
  <c r="N103" i="24" s="1"/>
  <c r="E4" i="13"/>
  <c r="S30" i="37"/>
  <c r="U29" i="35"/>
  <c r="F11" i="35"/>
  <c r="I32" i="35"/>
  <c r="O87" i="24"/>
  <c r="O100" i="24" s="1"/>
  <c r="L30" i="35"/>
  <c r="Z183" i="16"/>
  <c r="Q158" i="16"/>
  <c r="R159" i="16" s="1"/>
  <c r="P162" i="16"/>
  <c r="Q163" i="16" s="1"/>
  <c r="O75" i="13"/>
  <c r="O90" i="16"/>
  <c r="K34" i="10"/>
  <c r="K36" i="10" s="1"/>
  <c r="F23" i="18"/>
  <c r="N65" i="9"/>
  <c r="N69" i="9" s="1"/>
  <c r="N71" i="9" s="1"/>
  <c r="O58" i="27" s="1"/>
  <c r="K33" i="8"/>
  <c r="Q82" i="16"/>
  <c r="H209" i="16"/>
  <c r="K19" i="4"/>
  <c r="W139" i="16"/>
  <c r="AJ32" i="8"/>
  <c r="E22" i="35"/>
  <c r="E24" i="35" s="1"/>
  <c r="H103" i="10"/>
  <c r="K86" i="4" s="1"/>
  <c r="E46" i="35"/>
  <c r="E10" i="38"/>
  <c r="F28" i="35"/>
  <c r="I29" i="35" s="1"/>
  <c r="U105" i="24"/>
  <c r="P82" i="16"/>
  <c r="M61" i="13"/>
  <c r="H10" i="27"/>
  <c r="Q7" i="10"/>
  <c r="P112" i="9"/>
  <c r="P113" i="9" s="1"/>
  <c r="P144" i="10"/>
  <c r="T18" i="11"/>
  <c r="T20" i="11" s="1"/>
  <c r="N27" i="11"/>
  <c r="Q106" i="4" s="1"/>
  <c r="R173" i="16"/>
  <c r="W13" i="22"/>
  <c r="W49" i="10" s="1"/>
  <c r="R1" i="8"/>
  <c r="L42" i="10"/>
  <c r="O33" i="8"/>
  <c r="P7" i="10"/>
  <c r="M10" i="27"/>
  <c r="M53" i="10"/>
  <c r="AV17" i="8"/>
  <c r="S219" i="16"/>
  <c r="AK204" i="16"/>
  <c r="K103" i="10"/>
  <c r="H42" i="10"/>
  <c r="I129" i="16" s="1"/>
  <c r="K6" i="6"/>
  <c r="V93" i="10"/>
  <c r="E6" i="6"/>
  <c r="E41" i="6" s="1"/>
  <c r="N16" i="11"/>
  <c r="Q98" i="4" s="1"/>
  <c r="AP17" i="8"/>
  <c r="I102" i="10"/>
  <c r="G23" i="18"/>
  <c r="N47" i="10"/>
  <c r="R9" i="8"/>
  <c r="S2" i="8" s="1"/>
  <c r="J54" i="10"/>
  <c r="T23" i="10"/>
  <c r="T19" i="4"/>
  <c r="T26" i="4" s="1"/>
  <c r="T33" i="4" s="1"/>
  <c r="K41" i="10"/>
  <c r="M81" i="27"/>
  <c r="P204" i="16"/>
  <c r="P219" i="16" s="1"/>
  <c r="AR17" i="8"/>
  <c r="U33" i="37"/>
  <c r="Z43" i="37" s="1"/>
  <c r="M74" i="16"/>
  <c r="AJ1" i="8"/>
  <c r="J5" i="5"/>
  <c r="J55" i="5" s="1"/>
  <c r="W19" i="4"/>
  <c r="W26" i="4" s="1"/>
  <c r="W33" i="4" s="1"/>
  <c r="L80" i="4"/>
  <c r="L128" i="4" s="1"/>
  <c r="S144" i="10"/>
  <c r="AU36" i="7"/>
  <c r="U26" i="4"/>
  <c r="U33" i="4" s="1"/>
  <c r="I94" i="9"/>
  <c r="G45" i="17"/>
  <c r="R82" i="9"/>
  <c r="S83" i="9" s="1"/>
  <c r="AR24" i="7"/>
  <c r="AV32" i="7" s="1"/>
  <c r="AV31" i="7"/>
  <c r="K32" i="35"/>
  <c r="G15" i="32"/>
  <c r="V116" i="16"/>
  <c r="O31" i="10"/>
  <c r="O33" i="10" s="1"/>
  <c r="S18" i="11"/>
  <c r="T75" i="27" s="1"/>
  <c r="Q96" i="4"/>
  <c r="H41" i="10"/>
  <c r="V128" i="4"/>
  <c r="D30" i="33"/>
  <c r="D31" i="33" s="1"/>
  <c r="S108" i="16"/>
  <c r="U43" i="14"/>
  <c r="O54" i="10"/>
  <c r="S36" i="12"/>
  <c r="S5" i="12" s="1"/>
  <c r="O241" i="16"/>
  <c r="O242" i="16" s="1"/>
  <c r="G65" i="43"/>
  <c r="S29" i="35"/>
  <c r="AI171" i="16"/>
  <c r="K45" i="10"/>
  <c r="T6" i="6"/>
  <c r="N144" i="10"/>
  <c r="L143" i="10"/>
  <c r="F32" i="43"/>
  <c r="Q16" i="27"/>
  <c r="N17" i="8"/>
  <c r="S28" i="4"/>
  <c r="S27" i="4" s="1"/>
  <c r="N87" i="24"/>
  <c r="N100" i="24" s="1"/>
  <c r="N34" i="17"/>
  <c r="AJ52" i="16"/>
  <c r="G103" i="10"/>
  <c r="G106" i="10" s="1"/>
  <c r="H23" i="27" s="1"/>
  <c r="S158" i="15"/>
  <c r="T95" i="13" s="1"/>
  <c r="N9" i="12"/>
  <c r="N3" i="12" s="1"/>
  <c r="M144" i="10"/>
  <c r="G109" i="9"/>
  <c r="D31" i="35"/>
  <c r="D33" i="35" s="1"/>
  <c r="G42" i="10"/>
  <c r="C16" i="32"/>
  <c r="H6" i="6"/>
  <c r="AY34" i="8"/>
  <c r="S78" i="9"/>
  <c r="R94" i="9"/>
  <c r="Q30" i="7"/>
  <c r="P16" i="27"/>
  <c r="R28" i="4"/>
  <c r="R27" i="4" s="1"/>
  <c r="L35" i="13"/>
  <c r="O15" i="10"/>
  <c r="N57" i="10"/>
  <c r="L38" i="13"/>
  <c r="N34" i="10"/>
  <c r="K41" i="13"/>
  <c r="K26" i="13"/>
  <c r="M24" i="13"/>
  <c r="K32" i="13"/>
  <c r="L29" i="13"/>
  <c r="AM142" i="16"/>
  <c r="P177" i="16"/>
  <c r="AK142" i="16"/>
  <c r="V34" i="10"/>
  <c r="W35" i="10" s="1"/>
  <c r="V15" i="10"/>
  <c r="N23" i="16"/>
  <c r="M24" i="16"/>
  <c r="M43" i="16" s="1"/>
  <c r="V164" i="16"/>
  <c r="U24" i="22"/>
  <c r="U18" i="13" s="1"/>
  <c r="U19" i="13" s="1"/>
  <c r="AO23" i="16"/>
  <c r="F4" i="13"/>
  <c r="J29" i="13"/>
  <c r="D12" i="13"/>
  <c r="AO62" i="16"/>
  <c r="J4" i="13"/>
  <c r="L44" i="10"/>
  <c r="D5" i="13"/>
  <c r="K7" i="10"/>
  <c r="K24" i="13"/>
  <c r="E20" i="13"/>
  <c r="D20" i="13"/>
  <c r="E5" i="13"/>
  <c r="J41" i="13"/>
  <c r="I12" i="13"/>
  <c r="I5" i="13"/>
  <c r="I16" i="13"/>
  <c r="E12" i="13"/>
  <c r="L7" i="10"/>
  <c r="J26" i="13"/>
  <c r="J24" i="13"/>
  <c r="I155" i="16"/>
  <c r="E16" i="13"/>
  <c r="J32" i="13"/>
  <c r="L82" i="16"/>
  <c r="K82" i="16"/>
  <c r="G12" i="13"/>
  <c r="D8" i="13"/>
  <c r="T27" i="17"/>
  <c r="I35" i="13"/>
  <c r="K16" i="10"/>
  <c r="K27" i="17" s="1"/>
  <c r="AI62" i="16"/>
  <c r="J20" i="13"/>
  <c r="F32" i="13"/>
  <c r="F210" i="16"/>
  <c r="O82" i="16"/>
  <c r="G5" i="13"/>
  <c r="G4" i="13"/>
  <c r="G16" i="13"/>
  <c r="H27" i="17"/>
  <c r="L120" i="16"/>
  <c r="U148" i="16"/>
  <c r="AG154" i="16"/>
  <c r="AG155" i="16" s="1"/>
  <c r="T24" i="10"/>
  <c r="O49" i="16"/>
  <c r="Q27" i="17"/>
  <c r="S144" i="16"/>
  <c r="R151" i="16"/>
  <c r="T144" i="16"/>
  <c r="R148" i="16"/>
  <c r="R149" i="16"/>
  <c r="J52" i="14"/>
  <c r="I33" i="14"/>
  <c r="M33" i="8"/>
  <c r="K41" i="6"/>
  <c r="K30" i="10"/>
  <c r="P26" i="4"/>
  <c r="I10" i="8"/>
  <c r="V26" i="4"/>
  <c r="V33" i="4" s="1"/>
  <c r="R23" i="10"/>
  <c r="J6" i="6"/>
  <c r="L34" i="11"/>
  <c r="O110" i="4" s="1"/>
  <c r="S23" i="10"/>
  <c r="I24" i="10"/>
  <c r="K84" i="15"/>
  <c r="K87" i="15" s="1"/>
  <c r="K89" i="15" s="1"/>
  <c r="Y72" i="10"/>
  <c r="Z72" i="10" s="1"/>
  <c r="AA72" i="10" s="1"/>
  <c r="AB72" i="10" s="1"/>
  <c r="AC72" i="10" s="1"/>
  <c r="AD72" i="10" s="1"/>
  <c r="AE72" i="10" s="1"/>
  <c r="AF72" i="10" s="1"/>
  <c r="AG72" i="10" s="1"/>
  <c r="V6" i="12"/>
  <c r="X19" i="4"/>
  <c r="X26" i="4" s="1"/>
  <c r="X33" i="4" s="1"/>
  <c r="G13" i="19"/>
  <c r="P6" i="6"/>
  <c r="N56" i="10"/>
  <c r="U23" i="10"/>
  <c r="O16" i="10"/>
  <c r="O13" i="19" s="1"/>
  <c r="C11" i="26"/>
  <c r="G15" i="18"/>
  <c r="H1" i="8"/>
  <c r="K5" i="5"/>
  <c r="K55" i="5" s="1"/>
  <c r="T23" i="6"/>
  <c r="E21" i="19"/>
  <c r="T16" i="11"/>
  <c r="W98" i="4" s="1"/>
  <c r="F103" i="10"/>
  <c r="F110" i="10" s="1"/>
  <c r="S16" i="11"/>
  <c r="V98" i="4" s="1"/>
  <c r="Z8" i="8"/>
  <c r="Z9" i="8" s="1"/>
  <c r="Z30" i="8" s="1"/>
  <c r="I1" i="8"/>
  <c r="AH32" i="8"/>
  <c r="H32" i="8"/>
  <c r="T26" i="10"/>
  <c r="Z79" i="9"/>
  <c r="V150" i="16"/>
  <c r="V151" i="16"/>
  <c r="AA135" i="16"/>
  <c r="AP165" i="16"/>
  <c r="G183" i="16"/>
  <c r="G182" i="16"/>
  <c r="E106" i="16"/>
  <c r="Z108" i="16"/>
  <c r="Q24" i="16"/>
  <c r="Q49" i="16" s="1"/>
  <c r="AZ116" i="16"/>
  <c r="AK62" i="16"/>
  <c r="BQ39" i="16"/>
  <c r="P138" i="16"/>
  <c r="O138" i="16"/>
  <c r="Z164" i="16"/>
  <c r="V140" i="16"/>
  <c r="R147" i="16"/>
  <c r="U73" i="16"/>
  <c r="AG12" i="16"/>
  <c r="AG13" i="16" s="1"/>
  <c r="F43" i="16"/>
  <c r="G185" i="16"/>
  <c r="E42" i="16"/>
  <c r="Q108" i="16"/>
  <c r="G184" i="16"/>
  <c r="Q13" i="16"/>
  <c r="M78" i="16"/>
  <c r="G189" i="16"/>
  <c r="H210" i="16"/>
  <c r="Z110" i="16"/>
  <c r="AH130" i="16"/>
  <c r="O136" i="16"/>
  <c r="E49" i="16"/>
  <c r="AL130" i="16"/>
  <c r="E43" i="16"/>
  <c r="AI82" i="16"/>
  <c r="Q76" i="16"/>
  <c r="AB151" i="16"/>
  <c r="E44" i="16"/>
  <c r="AN215" i="16"/>
  <c r="H179" i="16"/>
  <c r="W261" i="16"/>
  <c r="G164" i="16"/>
  <c r="Q66" i="16"/>
  <c r="G50" i="16"/>
  <c r="AY116" i="16"/>
  <c r="AM93" i="16"/>
  <c r="S163" i="16"/>
  <c r="AX32" i="7"/>
  <c r="AE13" i="7"/>
  <c r="AL32" i="7"/>
  <c r="X13" i="7"/>
  <c r="AR30" i="7"/>
  <c r="AQ36" i="7"/>
  <c r="R32" i="7"/>
  <c r="R37" i="7"/>
  <c r="F64" i="13"/>
  <c r="AP51" i="16"/>
  <c r="P84" i="16"/>
  <c r="AC83" i="16"/>
  <c r="S38" i="13"/>
  <c r="N13" i="20"/>
  <c r="J12" i="13"/>
  <c r="I27" i="17"/>
  <c r="M48" i="10"/>
  <c r="N5" i="25"/>
  <c r="N10" i="25" s="1"/>
  <c r="AD37" i="7"/>
  <c r="AA24" i="7"/>
  <c r="AA32" i="7" s="1"/>
  <c r="Q35" i="13"/>
  <c r="V127" i="4"/>
  <c r="AG73" i="16"/>
  <c r="BO103" i="16"/>
  <c r="V26" i="14"/>
  <c r="V29" i="14"/>
  <c r="T5" i="37"/>
  <c r="T24" i="45"/>
  <c r="M23" i="18"/>
  <c r="F25" i="16"/>
  <c r="M47" i="10"/>
  <c r="H71" i="9"/>
  <c r="H107" i="9" s="1"/>
  <c r="L39" i="27"/>
  <c r="V65" i="35"/>
  <c r="M212" i="16"/>
  <c r="AF130" i="16"/>
  <c r="AY32" i="7"/>
  <c r="T9" i="8"/>
  <c r="AS142" i="16"/>
  <c r="AA91" i="16"/>
  <c r="AA110" i="16" s="1"/>
  <c r="S33" i="37"/>
  <c r="H41" i="35"/>
  <c r="H43" i="35" s="1"/>
  <c r="O32" i="35"/>
  <c r="J5" i="13"/>
  <c r="H15" i="18"/>
  <c r="V62" i="35"/>
  <c r="F183" i="16"/>
  <c r="AR130" i="16"/>
  <c r="AB186" i="16"/>
  <c r="T149" i="16"/>
  <c r="AC138" i="16"/>
  <c r="AG119" i="16"/>
  <c r="AI120" i="16" s="1"/>
  <c r="H25" i="16"/>
  <c r="J16" i="13"/>
  <c r="F44" i="16"/>
  <c r="O15" i="18"/>
  <c r="N42" i="10"/>
  <c r="O85" i="27" s="1"/>
  <c r="AM197" i="16"/>
  <c r="AM217" i="16" s="1"/>
  <c r="I57" i="27"/>
  <c r="K110" i="9"/>
  <c r="O64" i="4"/>
  <c r="Z18" i="7"/>
  <c r="AS177" i="16"/>
  <c r="AS186" i="16"/>
  <c r="F212" i="16"/>
  <c r="K14" i="45"/>
  <c r="AB179" i="16"/>
  <c r="F15" i="32"/>
  <c r="F17" i="32" s="1"/>
  <c r="F18" i="32" s="1"/>
  <c r="H63" i="35"/>
  <c r="F50" i="16"/>
  <c r="Q110" i="16"/>
  <c r="N45" i="17"/>
  <c r="AW32" i="7"/>
  <c r="S32" i="37"/>
  <c r="O6" i="6"/>
  <c r="P57" i="27"/>
  <c r="AD13" i="7"/>
  <c r="W162" i="16"/>
  <c r="W163" i="16" s="1"/>
  <c r="AS89" i="16"/>
  <c r="AS169" i="16"/>
  <c r="AS154" i="16"/>
  <c r="AY36" i="7"/>
  <c r="BP39" i="16"/>
  <c r="T148" i="16"/>
  <c r="F189" i="16"/>
  <c r="K72" i="35"/>
  <c r="AK134" i="16"/>
  <c r="T147" i="16"/>
  <c r="AG82" i="16"/>
  <c r="AB184" i="16"/>
  <c r="O124" i="16"/>
  <c r="F42" i="16"/>
  <c r="U150" i="16"/>
  <c r="G44" i="16"/>
  <c r="Q38" i="13"/>
  <c r="D5" i="21"/>
  <c r="D23" i="18"/>
  <c r="AP24" i="7"/>
  <c r="AP32" i="7" s="1"/>
  <c r="R44" i="4"/>
  <c r="E65" i="43"/>
  <c r="Q53" i="24"/>
  <c r="Q103" i="24" s="1"/>
  <c r="E54" i="35"/>
  <c r="T6" i="37"/>
  <c r="O10" i="27"/>
  <c r="H26" i="10"/>
  <c r="AS39" i="16"/>
  <c r="AS58" i="16"/>
  <c r="AS54" i="16"/>
  <c r="AS55" i="16"/>
  <c r="AS56" i="16"/>
  <c r="AS57" i="16"/>
  <c r="G35" i="38"/>
  <c r="G34" i="38"/>
  <c r="AJ32" i="7"/>
  <c r="W155" i="16"/>
  <c r="AY37" i="7"/>
  <c r="AZ38" i="7" s="1"/>
  <c r="AH52" i="16"/>
  <c r="T150" i="16"/>
  <c r="L33" i="35"/>
  <c r="H69" i="35"/>
  <c r="AB159" i="16"/>
  <c r="O91" i="16"/>
  <c r="O109" i="16" s="1"/>
  <c r="I105" i="24"/>
  <c r="AS82" i="16"/>
  <c r="M171" i="16"/>
  <c r="P36" i="12"/>
  <c r="P5" i="12" s="1"/>
  <c r="G83" i="35"/>
  <c r="E16" i="38"/>
  <c r="P14" i="45"/>
  <c r="P16" i="45" s="1"/>
  <c r="L32" i="35"/>
  <c r="G21" i="20"/>
  <c r="H77" i="35"/>
  <c r="U184" i="16"/>
  <c r="R182" i="16"/>
  <c r="G210" i="16"/>
  <c r="AD179" i="16"/>
  <c r="U151" i="16"/>
  <c r="AB120" i="16"/>
  <c r="L83" i="13"/>
  <c r="U13" i="19"/>
  <c r="I12" i="12"/>
  <c r="N103" i="10"/>
  <c r="N44" i="4"/>
  <c r="AC13" i="16"/>
  <c r="W157" i="16"/>
  <c r="T31" i="8"/>
  <c r="V31" i="8" s="1"/>
  <c r="T33" i="8"/>
  <c r="L31" i="10"/>
  <c r="K66" i="35"/>
  <c r="H16" i="35"/>
  <c r="U27" i="17"/>
  <c r="I157" i="16"/>
  <c r="Q106" i="16"/>
  <c r="L128" i="16"/>
  <c r="U147" i="16"/>
  <c r="AB183" i="16"/>
  <c r="AR51" i="16"/>
  <c r="K87" i="13"/>
  <c r="F21" i="12"/>
  <c r="J13" i="10"/>
  <c r="P34" i="17"/>
  <c r="K105" i="24"/>
  <c r="M36" i="7"/>
  <c r="AS185" i="16"/>
  <c r="K75" i="27"/>
  <c r="M96" i="4"/>
  <c r="V16" i="14"/>
  <c r="M79" i="5"/>
  <c r="L29" i="5"/>
  <c r="AQ103" i="16"/>
  <c r="AS103" i="16"/>
  <c r="V183" i="16"/>
  <c r="N49" i="16"/>
  <c r="S106" i="16"/>
  <c r="V148" i="16"/>
  <c r="AM91" i="16"/>
  <c r="AM106" i="16" s="1"/>
  <c r="U144" i="16"/>
  <c r="O127" i="16"/>
  <c r="V144" i="16"/>
  <c r="F179" i="16"/>
  <c r="Q120" i="16"/>
  <c r="V185" i="16"/>
  <c r="G148" i="16"/>
  <c r="AO158" i="16"/>
  <c r="AM11" i="16"/>
  <c r="P91" i="16"/>
  <c r="AE91" i="16" s="1"/>
  <c r="G179" i="16"/>
  <c r="V182" i="16"/>
  <c r="V147" i="16"/>
  <c r="T219" i="16"/>
  <c r="V108" i="16"/>
  <c r="J107" i="16"/>
  <c r="V184" i="16"/>
  <c r="AG64" i="16"/>
  <c r="P143" i="16"/>
  <c r="AE143" i="16" s="1"/>
  <c r="AE149" i="16" s="1"/>
  <c r="F184" i="16"/>
  <c r="P173" i="16"/>
  <c r="AO178" i="16"/>
  <c r="AO184" i="16" s="1"/>
  <c r="J164" i="16"/>
  <c r="V109" i="16"/>
  <c r="AQ178" i="16"/>
  <c r="AQ185" i="16" s="1"/>
  <c r="AO173" i="16"/>
  <c r="AI64" i="16"/>
  <c r="G209" i="16"/>
  <c r="L212" i="16"/>
  <c r="Q74" i="16"/>
  <c r="V149" i="16"/>
  <c r="J179" i="16"/>
  <c r="T108" i="16"/>
  <c r="Q86" i="16"/>
  <c r="R198" i="16"/>
  <c r="R215" i="16" s="1"/>
  <c r="AW25" i="8"/>
  <c r="BM25" i="8" s="1"/>
  <c r="AW34" i="8"/>
  <c r="H219" i="16"/>
  <c r="L5" i="25"/>
  <c r="L10" i="25" s="1"/>
  <c r="I33" i="8"/>
  <c r="AW36" i="8"/>
  <c r="AJ17" i="8"/>
  <c r="AJ33" i="8" s="1"/>
  <c r="BD53" i="8"/>
  <c r="T198" i="16"/>
  <c r="BA34" i="8"/>
  <c r="AL214" i="16"/>
  <c r="AL223" i="16"/>
  <c r="AL229" i="16"/>
  <c r="AL232" i="16"/>
  <c r="AP223" i="16"/>
  <c r="AP230" i="16"/>
  <c r="AH17" i="8"/>
  <c r="AH33" i="8" s="1"/>
  <c r="R196" i="16"/>
  <c r="K204" i="16"/>
  <c r="K219" i="16" s="1"/>
  <c r="Q215" i="16"/>
  <c r="AL226" i="16"/>
  <c r="J10" i="8"/>
  <c r="BA25" i="8"/>
  <c r="BA35" i="8" s="1"/>
  <c r="M219" i="16"/>
  <c r="P5" i="25"/>
  <c r="P10" i="25" s="1"/>
  <c r="BE25" i="8"/>
  <c r="BE26" i="8" s="1"/>
  <c r="J32" i="8"/>
  <c r="BE36" i="8"/>
  <c r="AR205" i="16"/>
  <c r="BQ21" i="8"/>
  <c r="AL230" i="16"/>
  <c r="J33" i="8"/>
  <c r="AL231" i="16"/>
  <c r="R13" i="7"/>
  <c r="AM32" i="7"/>
  <c r="N37" i="7"/>
  <c r="R36" i="7"/>
  <c r="AC31" i="7"/>
  <c r="AB36" i="7"/>
  <c r="AB18" i="7"/>
  <c r="AB13" i="7"/>
  <c r="N36" i="7"/>
  <c r="AP30" i="7"/>
  <c r="AT13" i="7"/>
  <c r="V24" i="7"/>
  <c r="V32" i="7" s="1"/>
  <c r="AW37" i="7"/>
  <c r="AW38" i="7" s="1"/>
  <c r="O24" i="7"/>
  <c r="AJ37" i="7"/>
  <c r="S143" i="10"/>
  <c r="U143" i="10"/>
  <c r="W186" i="16"/>
  <c r="W182" i="16"/>
  <c r="W185" i="16"/>
  <c r="W179" i="16"/>
  <c r="W183" i="16"/>
  <c r="W184" i="16"/>
  <c r="M76" i="16"/>
  <c r="M110" i="16"/>
  <c r="M106" i="16"/>
  <c r="M107" i="16"/>
  <c r="M27" i="10"/>
  <c r="M26" i="10"/>
  <c r="U186" i="16"/>
  <c r="H31" i="11"/>
  <c r="I81" i="27" s="1"/>
  <c r="G107" i="16"/>
  <c r="R155" i="16"/>
  <c r="I179" i="16"/>
  <c r="G106" i="16"/>
  <c r="AN130" i="16"/>
  <c r="F209" i="16"/>
  <c r="I159" i="16"/>
  <c r="N39" i="12"/>
  <c r="W25" i="14"/>
  <c r="V43" i="14"/>
  <c r="D5" i="12"/>
  <c r="D6" i="12" s="1"/>
  <c r="D7" i="12" s="1"/>
  <c r="D7" i="11" s="1"/>
  <c r="C67" i="27" s="1"/>
  <c r="I103" i="10"/>
  <c r="I133" i="10" s="1"/>
  <c r="R27" i="35"/>
  <c r="R26" i="35"/>
  <c r="X261" i="16"/>
  <c r="G28" i="36"/>
  <c r="AI72" i="16"/>
  <c r="E76" i="16"/>
  <c r="J105" i="24"/>
  <c r="S26" i="4"/>
  <c r="Q41" i="13"/>
  <c r="H106" i="16"/>
  <c r="I107" i="16"/>
  <c r="AC141" i="16"/>
  <c r="AC142" i="16" s="1"/>
  <c r="O26" i="35"/>
  <c r="E31" i="35"/>
  <c r="F32" i="35" s="1"/>
  <c r="T29" i="37"/>
  <c r="I164" i="16"/>
  <c r="AP232" i="16"/>
  <c r="V157" i="16"/>
  <c r="AM62" i="16"/>
  <c r="O42" i="16"/>
  <c r="M186" i="16"/>
  <c r="M21" i="12"/>
  <c r="J21" i="12"/>
  <c r="U128" i="16"/>
  <c r="V143" i="10"/>
  <c r="Q45" i="4"/>
  <c r="Q124" i="16"/>
  <c r="H32" i="10"/>
  <c r="H33" i="10"/>
  <c r="V71" i="35"/>
  <c r="S41" i="13"/>
  <c r="S32" i="13"/>
  <c r="N18" i="18"/>
  <c r="O22" i="10"/>
  <c r="AJ48" i="7"/>
  <c r="AJ49" i="7" s="1"/>
  <c r="BL21" i="8"/>
  <c r="AD92" i="16"/>
  <c r="V163" i="16"/>
  <c r="K35" i="11"/>
  <c r="K13" i="10"/>
  <c r="AO32" i="7"/>
  <c r="R79" i="27"/>
  <c r="Q27" i="11"/>
  <c r="T106" i="4" s="1"/>
  <c r="T101" i="4"/>
  <c r="BM21" i="8"/>
  <c r="AL48" i="7"/>
  <c r="AW3" i="8"/>
  <c r="AB164" i="16"/>
  <c r="P50" i="16"/>
  <c r="N124" i="16"/>
  <c r="T15" i="16"/>
  <c r="G42" i="16"/>
  <c r="AP229" i="16"/>
  <c r="G25" i="16"/>
  <c r="O61" i="13"/>
  <c r="E37" i="10"/>
  <c r="E38" i="10" s="1"/>
  <c r="J31" i="10"/>
  <c r="K32" i="10" s="1"/>
  <c r="J16" i="10"/>
  <c r="J13" i="19" s="1"/>
  <c r="M68" i="4"/>
  <c r="V78" i="9"/>
  <c r="F54" i="35"/>
  <c r="F65" i="43"/>
  <c r="P134" i="16"/>
  <c r="AE133" i="16"/>
  <c r="O18" i="18"/>
  <c r="P22" i="10"/>
  <c r="AU30" i="7"/>
  <c r="K158" i="16"/>
  <c r="K159" i="16" s="1"/>
  <c r="K86" i="16"/>
  <c r="AU37" i="7"/>
  <c r="AV38" i="7" s="1"/>
  <c r="K44" i="4"/>
  <c r="P192" i="16"/>
  <c r="AE172" i="16"/>
  <c r="Q35" i="35"/>
  <c r="Q36" i="35"/>
  <c r="L18" i="18"/>
  <c r="M22" i="10"/>
  <c r="M24" i="10" s="1"/>
  <c r="AC85" i="16"/>
  <c r="O86" i="16"/>
  <c r="P124" i="16"/>
  <c r="L1" i="8"/>
  <c r="L9" i="8"/>
  <c r="AP7" i="8"/>
  <c r="AP31" i="8" s="1"/>
  <c r="AT31" i="7"/>
  <c r="J209" i="16"/>
  <c r="Y13" i="7"/>
  <c r="AE23" i="16"/>
  <c r="G144" i="10"/>
  <c r="L33" i="8"/>
  <c r="L37" i="8" s="1"/>
  <c r="H27" i="10"/>
  <c r="O57" i="27"/>
  <c r="O75" i="27"/>
  <c r="M56" i="9"/>
  <c r="V37" i="12"/>
  <c r="AM192" i="16"/>
  <c r="AM212" i="16" s="1"/>
  <c r="T212" i="16"/>
  <c r="I182" i="16"/>
  <c r="AO72" i="16"/>
  <c r="AL7" i="8"/>
  <c r="J1" i="8"/>
  <c r="F185" i="16"/>
  <c r="F3" i="26"/>
  <c r="Q6" i="6"/>
  <c r="K42" i="10"/>
  <c r="I9" i="8"/>
  <c r="O158" i="16"/>
  <c r="V159" i="16"/>
  <c r="U185" i="16"/>
  <c r="Q29" i="13"/>
  <c r="L12" i="12"/>
  <c r="Q93" i="10"/>
  <c r="O53" i="10"/>
  <c r="AU25" i="8"/>
  <c r="J6" i="25" s="1"/>
  <c r="J11" i="25" s="1"/>
  <c r="AM195" i="16"/>
  <c r="AM196" i="16" s="1"/>
  <c r="I110" i="9"/>
  <c r="AW36" i="7"/>
  <c r="F45" i="35"/>
  <c r="F48" i="35"/>
  <c r="I48" i="35"/>
  <c r="J51" i="13"/>
  <c r="J83" i="13"/>
  <c r="H105" i="24"/>
  <c r="AN48" i="7"/>
  <c r="BN21" i="8"/>
  <c r="AY3" i="8"/>
  <c r="M68" i="13"/>
  <c r="N67" i="13"/>
  <c r="N64" i="13" s="1"/>
  <c r="I185" i="16"/>
  <c r="I189" i="16"/>
  <c r="W58" i="16"/>
  <c r="U58" i="16"/>
  <c r="S157" i="16"/>
  <c r="T33" i="37"/>
  <c r="E55" i="35"/>
  <c r="W105" i="24"/>
  <c r="Q32" i="35"/>
  <c r="J155" i="16"/>
  <c r="T157" i="16"/>
  <c r="E108" i="16"/>
  <c r="G43" i="16"/>
  <c r="J58" i="13"/>
  <c r="N163" i="16"/>
  <c r="N35" i="13"/>
  <c r="M29" i="14"/>
  <c r="M47" i="14" s="1"/>
  <c r="AU36" i="8"/>
  <c r="T196" i="16"/>
  <c r="K144" i="10"/>
  <c r="T143" i="10"/>
  <c r="I109" i="9"/>
  <c r="I71" i="9"/>
  <c r="I107" i="9" s="1"/>
  <c r="J56" i="27"/>
  <c r="V155" i="16"/>
  <c r="K91" i="16"/>
  <c r="P100" i="24"/>
  <c r="P105" i="24" s="1"/>
  <c r="P44" i="4"/>
  <c r="U18" i="18"/>
  <c r="V22" i="10"/>
  <c r="W23" i="10" s="1"/>
  <c r="Q79" i="27"/>
  <c r="S101" i="4"/>
  <c r="O120" i="16"/>
  <c r="T184" i="16"/>
  <c r="N213" i="16"/>
  <c r="AD120" i="16"/>
  <c r="AL165" i="16"/>
  <c r="E107" i="16"/>
  <c r="T261" i="16"/>
  <c r="M128" i="16"/>
  <c r="H15" i="32"/>
  <c r="H24" i="32" s="1"/>
  <c r="H27" i="32" s="1"/>
  <c r="V30" i="35"/>
  <c r="U5" i="37"/>
  <c r="Y41" i="37" s="1"/>
  <c r="E183" i="16"/>
  <c r="AP226" i="16"/>
  <c r="AJ130" i="16"/>
  <c r="U116" i="16"/>
  <c r="J159" i="16"/>
  <c r="Q109" i="16"/>
  <c r="AL52" i="16"/>
  <c r="P66" i="16"/>
  <c r="J13" i="20"/>
  <c r="S27" i="17"/>
  <c r="N38" i="13"/>
  <c r="J5" i="25"/>
  <c r="J10" i="25" s="1"/>
  <c r="T216" i="16"/>
  <c r="F26" i="10"/>
  <c r="J39" i="27"/>
  <c r="I80" i="4"/>
  <c r="J57" i="27"/>
  <c r="S64" i="4"/>
  <c r="O44" i="4"/>
  <c r="H65" i="43"/>
  <c r="Z109" i="16"/>
  <c r="Z106" i="16"/>
  <c r="J80" i="10"/>
  <c r="M21" i="4"/>
  <c r="N29" i="13"/>
  <c r="Q26" i="4"/>
  <c r="Q33" i="4" s="1"/>
  <c r="Q36" i="7"/>
  <c r="N52" i="17"/>
  <c r="Q143" i="10"/>
  <c r="I82" i="9"/>
  <c r="I103" i="9" s="1"/>
  <c r="F92" i="9"/>
  <c r="P142" i="16"/>
  <c r="M18" i="18"/>
  <c r="N22" i="10"/>
  <c r="I183" i="16"/>
  <c r="Q31" i="11"/>
  <c r="V144" i="10"/>
  <c r="N30" i="7"/>
  <c r="L41" i="10"/>
  <c r="J9" i="8"/>
  <c r="BO21" i="8"/>
  <c r="BA3" i="8"/>
  <c r="BA36" i="8"/>
  <c r="V58" i="16"/>
  <c r="L41" i="6"/>
  <c r="U4" i="37"/>
  <c r="Y40" i="37" s="1"/>
  <c r="S13" i="19"/>
  <c r="K69" i="35"/>
  <c r="P158" i="16"/>
  <c r="I209" i="16"/>
  <c r="P86" i="16"/>
  <c r="F148" i="16"/>
  <c r="AM66" i="16"/>
  <c r="AJ51" i="16"/>
  <c r="T13" i="19"/>
  <c r="P15" i="18"/>
  <c r="R15" i="18"/>
  <c r="N54" i="10"/>
  <c r="I92" i="9"/>
  <c r="F78" i="9"/>
  <c r="E103" i="9"/>
  <c r="H92" i="27" s="1"/>
  <c r="AQ24" i="7"/>
  <c r="AQ32" i="7" s="1"/>
  <c r="W116" i="16"/>
  <c r="I211" i="16"/>
  <c r="O67" i="13"/>
  <c r="O34" i="17"/>
  <c r="M120" i="16"/>
  <c r="T128" i="16"/>
  <c r="N31" i="11"/>
  <c r="N34" i="11" s="1"/>
  <c r="N35" i="11" s="1"/>
  <c r="N31" i="10"/>
  <c r="N33" i="10" s="1"/>
  <c r="E15" i="32"/>
  <c r="E24" i="32" s="1"/>
  <c r="E27" i="32" s="1"/>
  <c r="S159" i="16"/>
  <c r="I21" i="12"/>
  <c r="S15" i="18"/>
  <c r="E101" i="9"/>
  <c r="E137" i="10" s="1"/>
  <c r="S44" i="4"/>
  <c r="M44" i="4"/>
  <c r="D65" i="43"/>
  <c r="N79" i="27"/>
  <c r="P101" i="4"/>
  <c r="J4" i="17"/>
  <c r="K12" i="16"/>
  <c r="I32" i="10"/>
  <c r="Q102" i="24"/>
  <c r="J49" i="13"/>
  <c r="V13" i="7"/>
  <c r="M27" i="11"/>
  <c r="P106" i="4" s="1"/>
  <c r="M13" i="16"/>
  <c r="N13" i="16"/>
  <c r="R30" i="7"/>
  <c r="Y27" i="8"/>
  <c r="AA27" i="8"/>
  <c r="V43" i="9"/>
  <c r="W44" i="9" s="1"/>
  <c r="F83" i="9"/>
  <c r="F104" i="9"/>
  <c r="F103" i="9"/>
  <c r="I92" i="27" s="1"/>
  <c r="H143" i="10"/>
  <c r="I143" i="10"/>
  <c r="P29" i="14"/>
  <c r="P47" i="14" s="1"/>
  <c r="P9" i="12"/>
  <c r="P3" i="12" s="1"/>
  <c r="J144" i="10"/>
  <c r="U44" i="4"/>
  <c r="O93" i="10"/>
  <c r="Q44" i="4"/>
  <c r="Q29" i="14"/>
  <c r="Q47" i="14" s="1"/>
  <c r="K16" i="6"/>
  <c r="K49" i="6" s="1"/>
  <c r="K33" i="6"/>
  <c r="V44" i="4"/>
  <c r="D41" i="9"/>
  <c r="D143" i="10" s="1"/>
  <c r="J143" i="10"/>
  <c r="M60" i="27"/>
  <c r="K21" i="12"/>
  <c r="R143" i="10"/>
  <c r="Q9" i="12"/>
  <c r="Q3" i="12" s="1"/>
  <c r="G110" i="9"/>
  <c r="H39" i="27"/>
  <c r="O144" i="10"/>
  <c r="P21" i="12"/>
  <c r="O128" i="4"/>
  <c r="O17" i="11"/>
  <c r="R100" i="4" s="1"/>
  <c r="K109" i="9"/>
  <c r="F144" i="10"/>
  <c r="N56" i="4"/>
  <c r="M78" i="9"/>
  <c r="AB27" i="8"/>
  <c r="Z27" i="8"/>
  <c r="H137" i="10"/>
  <c r="X44" i="4"/>
  <c r="U128" i="4"/>
  <c r="V129" i="4" s="1"/>
  <c r="U43" i="9"/>
  <c r="U106" i="9" s="1"/>
  <c r="Q21" i="12"/>
  <c r="L92" i="9"/>
  <c r="S55" i="6"/>
  <c r="R55" i="6"/>
  <c r="Q55" i="6"/>
  <c r="P55" i="6"/>
  <c r="O55" i="6"/>
  <c r="M55" i="6"/>
  <c r="L55" i="6"/>
  <c r="K55" i="6"/>
  <c r="G37" i="6"/>
  <c r="J55" i="6"/>
  <c r="F37" i="6"/>
  <c r="I55" i="6"/>
  <c r="H55" i="6"/>
  <c r="G55" i="6"/>
  <c r="F55" i="6"/>
  <c r="N93" i="10"/>
  <c r="F71" i="9"/>
  <c r="F107" i="9" s="1"/>
  <c r="P143" i="10"/>
  <c r="Q39" i="12"/>
  <c r="G21" i="12"/>
  <c r="E21" i="12"/>
  <c r="L29" i="14"/>
  <c r="L47" i="14" s="1"/>
  <c r="S39" i="12"/>
  <c r="D12" i="12"/>
  <c r="O43" i="35"/>
  <c r="O42" i="35"/>
  <c r="O81" i="35"/>
  <c r="AB30" i="8"/>
  <c r="AB21" i="8"/>
  <c r="AD2" i="8"/>
  <c r="N62" i="27"/>
  <c r="P62" i="4"/>
  <c r="H133" i="10"/>
  <c r="H112" i="10"/>
  <c r="G7" i="6"/>
  <c r="N43" i="14"/>
  <c r="O25" i="14"/>
  <c r="N29" i="14"/>
  <c r="N47" i="14" s="1"/>
  <c r="N26" i="14"/>
  <c r="R57" i="27"/>
  <c r="Q71" i="9"/>
  <c r="T64" i="4"/>
  <c r="F33" i="10"/>
  <c r="F32" i="10"/>
  <c r="D49" i="35"/>
  <c r="E48" i="35"/>
  <c r="D59" i="35"/>
  <c r="F52" i="13"/>
  <c r="E41" i="14"/>
  <c r="F5" i="14"/>
  <c r="F7" i="14" s="1"/>
  <c r="E16" i="14"/>
  <c r="E40" i="14"/>
  <c r="K156" i="16"/>
  <c r="K157" i="16" s="1"/>
  <c r="K171" i="16"/>
  <c r="K191" i="16"/>
  <c r="K211" i="16" s="1"/>
  <c r="E23" i="18"/>
  <c r="Y100" i="10"/>
  <c r="AA31" i="4"/>
  <c r="AA32" i="4"/>
  <c r="Y26" i="22"/>
  <c r="V21" i="13" s="1"/>
  <c r="U21" i="13"/>
  <c r="N10" i="27"/>
  <c r="M45" i="17"/>
  <c r="M42" i="10"/>
  <c r="M41" i="10"/>
  <c r="M103" i="10"/>
  <c r="P86" i="4" s="1"/>
  <c r="K9" i="8"/>
  <c r="S24" i="7"/>
  <c r="S30" i="7"/>
  <c r="S27" i="35"/>
  <c r="S26" i="35"/>
  <c r="H37" i="11"/>
  <c r="H35" i="13"/>
  <c r="AE66" i="16"/>
  <c r="AC66" i="16"/>
  <c r="D86" i="43"/>
  <c r="D84" i="43"/>
  <c r="M110" i="4"/>
  <c r="T159" i="16"/>
  <c r="C28" i="39"/>
  <c r="C37" i="39" s="1"/>
  <c r="I37" i="39" s="1"/>
  <c r="I26" i="39"/>
  <c r="I28" i="39" s="1"/>
  <c r="T49" i="16"/>
  <c r="T76" i="16"/>
  <c r="T74" i="16"/>
  <c r="T43" i="14"/>
  <c r="U25" i="14"/>
  <c r="J3" i="12"/>
  <c r="J10" i="12"/>
  <c r="S210" i="16"/>
  <c r="AK190" i="16"/>
  <c r="L101" i="9"/>
  <c r="L137" i="10" s="1"/>
  <c r="O43" i="9"/>
  <c r="O96" i="9" s="1"/>
  <c r="R45" i="4"/>
  <c r="M96" i="9"/>
  <c r="L5" i="12"/>
  <c r="U34" i="7"/>
  <c r="T155" i="16"/>
  <c r="R120" i="16"/>
  <c r="L124" i="16"/>
  <c r="AI93" i="16"/>
  <c r="S131" i="13"/>
  <c r="S133" i="13" s="1"/>
  <c r="S20" i="13"/>
  <c r="S5" i="13"/>
  <c r="S4" i="13"/>
  <c r="S15" i="11"/>
  <c r="V97" i="4" s="1"/>
  <c r="Q64" i="13"/>
  <c r="Q68" i="13"/>
  <c r="N8" i="13"/>
  <c r="N5" i="13"/>
  <c r="N4" i="13"/>
  <c r="F40" i="14"/>
  <c r="G5" i="14"/>
  <c r="G7" i="14" s="1"/>
  <c r="F16" i="14"/>
  <c r="F41" i="14"/>
  <c r="H215" i="16"/>
  <c r="X109" i="4"/>
  <c r="K3" i="12"/>
  <c r="K10" i="12"/>
  <c r="H32" i="13"/>
  <c r="K36" i="12"/>
  <c r="L37" i="12" s="1"/>
  <c r="K39" i="12"/>
  <c r="R43" i="35"/>
  <c r="R81" i="35"/>
  <c r="F86" i="35"/>
  <c r="F83" i="35"/>
  <c r="F101" i="35"/>
  <c r="U21" i="35"/>
  <c r="U20" i="35"/>
  <c r="J144" i="16"/>
  <c r="J148" i="16"/>
  <c r="J147" i="16"/>
  <c r="AD124" i="16"/>
  <c r="AB124" i="16"/>
  <c r="H155" i="16"/>
  <c r="T109" i="16"/>
  <c r="AQ86" i="16"/>
  <c r="AQ91" i="16"/>
  <c r="U159" i="16"/>
  <c r="AG86" i="16"/>
  <c r="M182" i="16"/>
  <c r="R163" i="16"/>
  <c r="AI91" i="16"/>
  <c r="AI107" i="16" s="1"/>
  <c r="P78" i="16"/>
  <c r="AP52" i="16"/>
  <c r="AO3" i="16"/>
  <c r="AQ23" i="16"/>
  <c r="S8" i="13"/>
  <c r="U21" i="19"/>
  <c r="U4" i="25"/>
  <c r="T23" i="18"/>
  <c r="M5" i="21"/>
  <c r="N21" i="20"/>
  <c r="U45" i="17"/>
  <c r="U103" i="10"/>
  <c r="U41" i="10"/>
  <c r="U42" i="10"/>
  <c r="V129" i="16" s="1"/>
  <c r="V130" i="16" s="1"/>
  <c r="S128" i="16"/>
  <c r="G27" i="17"/>
  <c r="H57" i="27"/>
  <c r="G71" i="9"/>
  <c r="P56" i="27"/>
  <c r="R68" i="4"/>
  <c r="S198" i="16"/>
  <c r="S196" i="16"/>
  <c r="AK195" i="16"/>
  <c r="AK196" i="16" s="1"/>
  <c r="T42" i="14"/>
  <c r="U11" i="14"/>
  <c r="U13" i="14" s="1"/>
  <c r="AT4" i="8"/>
  <c r="AR4" i="8"/>
  <c r="R56" i="27"/>
  <c r="T68" i="4"/>
  <c r="Q56" i="27"/>
  <c r="S68" i="4"/>
  <c r="E35" i="13"/>
  <c r="O21" i="12"/>
  <c r="AA30" i="7"/>
  <c r="L80" i="10"/>
  <c r="L103" i="10"/>
  <c r="O86" i="4" s="1"/>
  <c r="O21" i="4"/>
  <c r="I80" i="10"/>
  <c r="L21" i="4"/>
  <c r="F9" i="35"/>
  <c r="F25" i="35"/>
  <c r="I26" i="35" s="1"/>
  <c r="F17" i="35"/>
  <c r="E32" i="10"/>
  <c r="E33" i="10"/>
  <c r="C81" i="27"/>
  <c r="D34" i="11"/>
  <c r="C83" i="27" s="1"/>
  <c r="AO90" i="16"/>
  <c r="AO127" i="16"/>
  <c r="J110" i="13"/>
  <c r="J104" i="13" s="1"/>
  <c r="R92" i="16"/>
  <c r="R77" i="16"/>
  <c r="F56" i="14"/>
  <c r="F57" i="14" s="1"/>
  <c r="Q33" i="10"/>
  <c r="Q32" i="10"/>
  <c r="G85" i="15"/>
  <c r="H33" i="11" s="1"/>
  <c r="F89" i="15"/>
  <c r="Q5" i="14"/>
  <c r="Q7" i="14" s="1"/>
  <c r="P40" i="14"/>
  <c r="P16" i="14"/>
  <c r="P41" i="14"/>
  <c r="H5" i="13"/>
  <c r="H12" i="13"/>
  <c r="H8" i="13"/>
  <c r="I4" i="13"/>
  <c r="H4" i="13"/>
  <c r="I76" i="16"/>
  <c r="I74" i="16"/>
  <c r="I75" i="16"/>
  <c r="T106" i="16"/>
  <c r="K50" i="13"/>
  <c r="K25" i="13"/>
  <c r="K53" i="13"/>
  <c r="R43" i="16"/>
  <c r="R42" i="16"/>
  <c r="I11" i="14"/>
  <c r="I13" i="14" s="1"/>
  <c r="H42" i="14"/>
  <c r="O40" i="14"/>
  <c r="P5" i="14"/>
  <c r="P7" i="14" s="1"/>
  <c r="O16" i="14"/>
  <c r="O41" i="14"/>
  <c r="AK84" i="16"/>
  <c r="D26" i="13"/>
  <c r="D41" i="13"/>
  <c r="J56" i="14"/>
  <c r="J76" i="14" s="1"/>
  <c r="M101" i="9"/>
  <c r="M137" i="10" s="1"/>
  <c r="I50" i="16"/>
  <c r="I25" i="16"/>
  <c r="I44" i="16"/>
  <c r="L40" i="14"/>
  <c r="M5" i="14"/>
  <c r="M7" i="14" s="1"/>
  <c r="L41" i="14"/>
  <c r="L16" i="14"/>
  <c r="M18" i="14" s="1"/>
  <c r="M46" i="14" s="1"/>
  <c r="T82" i="9"/>
  <c r="T83" i="9" s="1"/>
  <c r="T78" i="9"/>
  <c r="T92" i="9"/>
  <c r="W80" i="4"/>
  <c r="R39" i="27"/>
  <c r="Q109" i="9"/>
  <c r="Q110" i="9"/>
  <c r="T56" i="4"/>
  <c r="F75" i="27"/>
  <c r="F17" i="11"/>
  <c r="L56" i="27"/>
  <c r="N68" i="4"/>
  <c r="X83" i="16"/>
  <c r="AO82" i="16"/>
  <c r="AO91" i="16"/>
  <c r="AO110" i="16" s="1"/>
  <c r="AO154" i="16"/>
  <c r="L50" i="16"/>
  <c r="L44" i="16"/>
  <c r="L43" i="16"/>
  <c r="AK177" i="16"/>
  <c r="AK162" i="16"/>
  <c r="AI177" i="16"/>
  <c r="AI162" i="16"/>
  <c r="AK120" i="16"/>
  <c r="K62" i="35"/>
  <c r="K63" i="35" s="1"/>
  <c r="I81" i="35"/>
  <c r="L83" i="27"/>
  <c r="K38" i="11"/>
  <c r="N110" i="4"/>
  <c r="R12" i="12"/>
  <c r="N21" i="12"/>
  <c r="AK90" i="16"/>
  <c r="AK127" i="16"/>
  <c r="M143" i="10"/>
  <c r="S9" i="12"/>
  <c r="T10" i="12" s="1"/>
  <c r="T82" i="27"/>
  <c r="V109" i="4"/>
  <c r="K43" i="9"/>
  <c r="K96" i="9" s="1"/>
  <c r="N45" i="4"/>
  <c r="Q5" i="12"/>
  <c r="L74" i="16"/>
  <c r="L75" i="16"/>
  <c r="C103" i="10"/>
  <c r="W30" i="7"/>
  <c r="AH46" i="7"/>
  <c r="Y17" i="7"/>
  <c r="Z28" i="7"/>
  <c r="Y28" i="7"/>
  <c r="Y18" i="7"/>
  <c r="J13" i="8"/>
  <c r="J31" i="8" s="1"/>
  <c r="AL14" i="8"/>
  <c r="AL13" i="8" s="1"/>
  <c r="L57" i="27"/>
  <c r="K71" i="9"/>
  <c r="K107" i="9" s="1"/>
  <c r="N64" i="4"/>
  <c r="J15" i="32"/>
  <c r="AN165" i="16"/>
  <c r="U73" i="17"/>
  <c r="V74" i="17"/>
  <c r="V17" i="13" s="1"/>
  <c r="U17" i="13"/>
  <c r="U155" i="16"/>
  <c r="I78" i="16"/>
  <c r="AA123" i="16"/>
  <c r="S213" i="16"/>
  <c r="AK193" i="16"/>
  <c r="R213" i="16"/>
  <c r="K34" i="17"/>
  <c r="AO64" i="16"/>
  <c r="U50" i="16"/>
  <c r="U25" i="16"/>
  <c r="V28" i="16"/>
  <c r="AO24" i="16"/>
  <c r="AO43" i="16" s="1"/>
  <c r="U49" i="16"/>
  <c r="U42" i="16"/>
  <c r="K67" i="12"/>
  <c r="O11" i="26"/>
  <c r="P3" i="26"/>
  <c r="P11" i="26" s="1"/>
  <c r="F39" i="27"/>
  <c r="F110" i="9"/>
  <c r="F109" i="9"/>
  <c r="AP4" i="8"/>
  <c r="AN5" i="8"/>
  <c r="AM5" i="8"/>
  <c r="I24" i="13"/>
  <c r="G26" i="13"/>
  <c r="G24" i="13"/>
  <c r="G32" i="13"/>
  <c r="O30" i="10"/>
  <c r="O29" i="10"/>
  <c r="I17" i="10"/>
  <c r="I37" i="10"/>
  <c r="I38" i="10" s="1"/>
  <c r="F39" i="12"/>
  <c r="T213" i="16"/>
  <c r="AM193" i="16"/>
  <c r="S76" i="16"/>
  <c r="S74" i="16"/>
  <c r="X101" i="4"/>
  <c r="X104" i="4"/>
  <c r="D53" i="43"/>
  <c r="D66" i="43"/>
  <c r="D81" i="43" s="1"/>
  <c r="V16" i="17"/>
  <c r="V23" i="17"/>
  <c r="W65" i="16"/>
  <c r="AS65" i="16" s="1"/>
  <c r="E53" i="43"/>
  <c r="E66" i="43"/>
  <c r="E81" i="43" s="1"/>
  <c r="H11" i="14"/>
  <c r="H13" i="14" s="1"/>
  <c r="G42" i="14"/>
  <c r="W109" i="4"/>
  <c r="S57" i="27"/>
  <c r="R71" i="9"/>
  <c r="R107" i="9" s="1"/>
  <c r="U64" i="4"/>
  <c r="J42" i="16"/>
  <c r="AE123" i="16"/>
  <c r="AE138" i="16"/>
  <c r="AC177" i="16"/>
  <c r="AC162" i="16"/>
  <c r="E27" i="35"/>
  <c r="S92" i="16"/>
  <c r="S77" i="16"/>
  <c r="U28" i="7"/>
  <c r="U18" i="7"/>
  <c r="AF46" i="7"/>
  <c r="AF47" i="7" s="1"/>
  <c r="U17" i="7"/>
  <c r="Q21" i="35"/>
  <c r="Q20" i="35"/>
  <c r="M41" i="33"/>
  <c r="C50" i="33"/>
  <c r="D29" i="33"/>
  <c r="D32" i="33" s="1"/>
  <c r="D35" i="33" s="1"/>
  <c r="D37" i="33" s="1"/>
  <c r="D4" i="33"/>
  <c r="T75" i="17"/>
  <c r="T14" i="13"/>
  <c r="O169" i="16"/>
  <c r="O154" i="16"/>
  <c r="AC168" i="16"/>
  <c r="O190" i="16"/>
  <c r="O178" i="16"/>
  <c r="O185" i="16" s="1"/>
  <c r="G74" i="16"/>
  <c r="G76" i="16"/>
  <c r="G78" i="16"/>
  <c r="AK93" i="16"/>
  <c r="S12" i="13"/>
  <c r="R27" i="17"/>
  <c r="P12" i="12"/>
  <c r="AM90" i="16"/>
  <c r="AM127" i="16"/>
  <c r="K27" i="10"/>
  <c r="K26" i="10"/>
  <c r="F11" i="14"/>
  <c r="F13" i="14" s="1"/>
  <c r="E42" i="14"/>
  <c r="J76" i="16"/>
  <c r="J74" i="16"/>
  <c r="J75" i="16"/>
  <c r="J67" i="12"/>
  <c r="J65" i="12"/>
  <c r="K112" i="10"/>
  <c r="P36" i="10"/>
  <c r="P35" i="10"/>
  <c r="U32" i="37"/>
  <c r="Z42" i="37" s="1"/>
  <c r="S56" i="14"/>
  <c r="S76" i="14" s="1"/>
  <c r="R56" i="14"/>
  <c r="R57" i="14" s="1"/>
  <c r="N6" i="25"/>
  <c r="N11" i="25" s="1"/>
  <c r="AN50" i="7"/>
  <c r="AY35" i="8"/>
  <c r="AY26" i="8"/>
  <c r="BN25" i="8"/>
  <c r="AQ3" i="16"/>
  <c r="O12" i="12"/>
  <c r="T36" i="7"/>
  <c r="H3" i="12"/>
  <c r="H10" i="12"/>
  <c r="G37" i="10"/>
  <c r="G17" i="10"/>
  <c r="F10" i="12"/>
  <c r="F3" i="12"/>
  <c r="Q60" i="27"/>
  <c r="P82" i="9"/>
  <c r="P78" i="9"/>
  <c r="P92" i="9"/>
  <c r="S80" i="4"/>
  <c r="AP13" i="7"/>
  <c r="T24" i="7"/>
  <c r="T37" i="7" s="1"/>
  <c r="T30" i="7"/>
  <c r="H36" i="12"/>
  <c r="H39" i="12"/>
  <c r="G53" i="43"/>
  <c r="G66" i="43"/>
  <c r="F33" i="35"/>
  <c r="V26" i="17"/>
  <c r="W85" i="16"/>
  <c r="V12" i="10"/>
  <c r="U261" i="16"/>
  <c r="N74" i="16"/>
  <c r="AA73" i="16"/>
  <c r="AC74" i="16" s="1"/>
  <c r="H77" i="16"/>
  <c r="H108" i="16"/>
  <c r="H92" i="16"/>
  <c r="H109" i="16"/>
  <c r="AA156" i="16"/>
  <c r="G212" i="16"/>
  <c r="AK91" i="16"/>
  <c r="R47" i="16"/>
  <c r="AI16" i="16"/>
  <c r="AI47" i="16" s="1"/>
  <c r="AK24" i="16"/>
  <c r="AK3" i="16"/>
  <c r="Q57" i="13"/>
  <c r="R50" i="16"/>
  <c r="Q15" i="18"/>
  <c r="T163" i="16"/>
  <c r="D101" i="9"/>
  <c r="D137" i="10" s="1"/>
  <c r="AH51" i="16"/>
  <c r="M12" i="12"/>
  <c r="AN201" i="16"/>
  <c r="AP214" i="16"/>
  <c r="AJ201" i="16"/>
  <c r="AP22" i="8"/>
  <c r="P9" i="8"/>
  <c r="G26" i="10"/>
  <c r="G27" i="10"/>
  <c r="I39" i="27"/>
  <c r="H110" i="9"/>
  <c r="H109" i="9"/>
  <c r="K56" i="4"/>
  <c r="N30" i="10"/>
  <c r="N29" i="10"/>
  <c r="F5" i="12"/>
  <c r="AB24" i="7"/>
  <c r="AB30" i="7"/>
  <c r="AO36" i="7"/>
  <c r="AO37" i="7"/>
  <c r="Z52" i="4"/>
  <c r="AG4" i="8"/>
  <c r="V28" i="7"/>
  <c r="AC90" i="16"/>
  <c r="U53" i="14"/>
  <c r="V51" i="14" s="1"/>
  <c r="V53" i="14" s="1"/>
  <c r="W51" i="14" s="1"/>
  <c r="W53" i="14" s="1"/>
  <c r="H60" i="27"/>
  <c r="G82" i="9"/>
  <c r="G83" i="9" s="1"/>
  <c r="G78" i="9"/>
  <c r="G92" i="9"/>
  <c r="J80" i="4"/>
  <c r="C66" i="43"/>
  <c r="C81" i="43" s="1"/>
  <c r="D81" i="27"/>
  <c r="E34" i="11"/>
  <c r="D83" i="27" s="1"/>
  <c r="W28" i="7"/>
  <c r="AG46" i="7"/>
  <c r="W18" i="7"/>
  <c r="W17" i="7"/>
  <c r="F24" i="32"/>
  <c r="T241" i="16"/>
  <c r="S20" i="11"/>
  <c r="V96" i="4"/>
  <c r="AQ138" i="16"/>
  <c r="AQ123" i="16"/>
  <c r="T26" i="35"/>
  <c r="E5" i="14"/>
  <c r="E7" i="14" s="1"/>
  <c r="D16" i="14"/>
  <c r="D69" i="14"/>
  <c r="D7" i="14"/>
  <c r="K40" i="14"/>
  <c r="L5" i="14"/>
  <c r="L7" i="14" s="1"/>
  <c r="K16" i="14"/>
  <c r="K41" i="14"/>
  <c r="J33" i="6"/>
  <c r="J16" i="6"/>
  <c r="J49" i="6" s="1"/>
  <c r="I104" i="13"/>
  <c r="G48" i="13"/>
  <c r="G80" i="13"/>
  <c r="H205" i="16"/>
  <c r="I224" i="16" s="1"/>
  <c r="R60" i="27"/>
  <c r="Q82" i="9"/>
  <c r="Q78" i="9"/>
  <c r="Q92" i="9"/>
  <c r="T80" i="4"/>
  <c r="R76" i="16"/>
  <c r="R74" i="16"/>
  <c r="S43" i="9"/>
  <c r="S96" i="9" s="1"/>
  <c r="V45" i="4"/>
  <c r="T144" i="10"/>
  <c r="Y109" i="4"/>
  <c r="C58" i="27"/>
  <c r="I9" i="35"/>
  <c r="AQ11" i="16"/>
  <c r="R100" i="9"/>
  <c r="J26" i="35"/>
  <c r="J27" i="35"/>
  <c r="M26" i="35"/>
  <c r="U34" i="19"/>
  <c r="V35" i="19"/>
  <c r="U13" i="13"/>
  <c r="U182" i="16"/>
  <c r="V179" i="16"/>
  <c r="U179" i="16"/>
  <c r="M11" i="37"/>
  <c r="S7" i="37"/>
  <c r="S4" i="37"/>
  <c r="I77" i="16"/>
  <c r="I108" i="16"/>
  <c r="I92" i="16"/>
  <c r="I109" i="16"/>
  <c r="R49" i="16"/>
  <c r="AO66" i="16"/>
  <c r="AI66" i="16"/>
  <c r="AI14" i="16"/>
  <c r="AI46" i="16" s="1"/>
  <c r="R46" i="16"/>
  <c r="L81" i="27"/>
  <c r="J84" i="15"/>
  <c r="J87" i="15" s="1"/>
  <c r="J89" i="15" s="1"/>
  <c r="N108" i="4"/>
  <c r="L87" i="13"/>
  <c r="K13" i="20"/>
  <c r="J11" i="14"/>
  <c r="J13" i="14" s="1"/>
  <c r="I42" i="14"/>
  <c r="I41" i="14"/>
  <c r="I40" i="14"/>
  <c r="J5" i="14"/>
  <c r="J7" i="14" s="1"/>
  <c r="I16" i="14"/>
  <c r="N37" i="10"/>
  <c r="N17" i="10"/>
  <c r="L15" i="18"/>
  <c r="J215" i="16"/>
  <c r="F12" i="12"/>
  <c r="H6" i="25"/>
  <c r="H11" i="25" s="1"/>
  <c r="AH50" i="7"/>
  <c r="AH51" i="7" s="1"/>
  <c r="AS35" i="8"/>
  <c r="N81" i="27"/>
  <c r="L84" i="15"/>
  <c r="L87" i="15" s="1"/>
  <c r="L89" i="15" s="1"/>
  <c r="P108" i="4"/>
  <c r="O27" i="17"/>
  <c r="F43" i="9"/>
  <c r="F106" i="9" s="1"/>
  <c r="O41" i="6"/>
  <c r="N41" i="6"/>
  <c r="D37" i="11"/>
  <c r="D38" i="11"/>
  <c r="AH36" i="7"/>
  <c r="AH37" i="7"/>
  <c r="P60" i="27"/>
  <c r="O82" i="9"/>
  <c r="O78" i="9"/>
  <c r="O92" i="9"/>
  <c r="R80" i="4"/>
  <c r="AE46" i="7"/>
  <c r="S18" i="7"/>
  <c r="S28" i="7"/>
  <c r="S17" i="7"/>
  <c r="R43" i="9"/>
  <c r="R96" i="9" s="1"/>
  <c r="U45" i="4"/>
  <c r="S57" i="13"/>
  <c r="E37" i="11"/>
  <c r="E38" i="11"/>
  <c r="T31" i="11"/>
  <c r="T34" i="11" s="1"/>
  <c r="O41" i="13"/>
  <c r="O38" i="13"/>
  <c r="O24" i="13"/>
  <c r="O29" i="13"/>
  <c r="P100" i="9"/>
  <c r="U32" i="14"/>
  <c r="U33" i="14" s="1"/>
  <c r="D43" i="13"/>
  <c r="D25" i="13"/>
  <c r="T3" i="37"/>
  <c r="N11" i="37"/>
  <c r="T7" i="37"/>
  <c r="G37" i="12"/>
  <c r="G5" i="12"/>
  <c r="R6" i="25"/>
  <c r="BC35" i="8"/>
  <c r="BC26" i="8"/>
  <c r="BP25" i="8"/>
  <c r="T5" i="12"/>
  <c r="Z78" i="4"/>
  <c r="I60" i="27"/>
  <c r="H92" i="9"/>
  <c r="H82" i="9"/>
  <c r="K80" i="4"/>
  <c r="H78" i="9"/>
  <c r="J18" i="18"/>
  <c r="K22" i="10"/>
  <c r="AM138" i="16"/>
  <c r="AM123" i="16"/>
  <c r="O56" i="14"/>
  <c r="O57" i="14" s="1"/>
  <c r="AM64" i="16"/>
  <c r="M56" i="27"/>
  <c r="O68" i="4"/>
  <c r="S186" i="16"/>
  <c r="I27" i="35"/>
  <c r="AA24" i="16"/>
  <c r="N50" i="16"/>
  <c r="N44" i="16"/>
  <c r="N43" i="16"/>
  <c r="K27" i="35"/>
  <c r="K26" i="35"/>
  <c r="N13" i="35"/>
  <c r="N55" i="35"/>
  <c r="E149" i="16"/>
  <c r="E148" i="16"/>
  <c r="K178" i="16"/>
  <c r="K183" i="16" s="1"/>
  <c r="K169" i="16"/>
  <c r="K154" i="16"/>
  <c r="K155" i="16" s="1"/>
  <c r="K190" i="16"/>
  <c r="I101" i="9"/>
  <c r="I137" i="10" s="1"/>
  <c r="H43" i="9"/>
  <c r="H106" i="9" s="1"/>
  <c r="K45" i="4"/>
  <c r="AG36" i="7"/>
  <c r="AG37" i="7"/>
  <c r="I85" i="27"/>
  <c r="E30" i="35"/>
  <c r="N77" i="35"/>
  <c r="L23" i="18"/>
  <c r="W135" i="16"/>
  <c r="AS135" i="16" s="1"/>
  <c r="V46" i="10"/>
  <c r="W47" i="10" s="1"/>
  <c r="D28" i="35"/>
  <c r="D30" i="35" s="1"/>
  <c r="D52" i="35"/>
  <c r="E164" i="16"/>
  <c r="E189" i="16"/>
  <c r="E185" i="16"/>
  <c r="G71" i="14"/>
  <c r="AE177" i="16"/>
  <c r="R78" i="16"/>
  <c r="AI73" i="16"/>
  <c r="N16" i="13"/>
  <c r="O12" i="13"/>
  <c r="M57" i="13"/>
  <c r="F20" i="11"/>
  <c r="J61" i="13"/>
  <c r="J56" i="13"/>
  <c r="AB144" i="16"/>
  <c r="AB129" i="16"/>
  <c r="AD144" i="16"/>
  <c r="AB149" i="16"/>
  <c r="AB150" i="16"/>
  <c r="L144" i="10"/>
  <c r="H144" i="10"/>
  <c r="K74" i="16"/>
  <c r="K75" i="16"/>
  <c r="F13" i="20"/>
  <c r="R93" i="10"/>
  <c r="AX22" i="8"/>
  <c r="N15" i="18"/>
  <c r="G41" i="13"/>
  <c r="O42" i="14"/>
  <c r="P11" i="14"/>
  <c r="P13" i="14" s="1"/>
  <c r="V36" i="10"/>
  <c r="S21" i="12"/>
  <c r="D60" i="14"/>
  <c r="E56" i="14"/>
  <c r="E57" i="14" s="1"/>
  <c r="D57" i="14"/>
  <c r="AS32" i="7"/>
  <c r="O71" i="9"/>
  <c r="O107" i="9" s="1"/>
  <c r="P8" i="13"/>
  <c r="P5" i="13"/>
  <c r="P4" i="13"/>
  <c r="S21" i="19"/>
  <c r="R23" i="18"/>
  <c r="T10" i="27"/>
  <c r="L21" i="20"/>
  <c r="S45" i="17"/>
  <c r="S103" i="10"/>
  <c r="S42" i="10"/>
  <c r="S41" i="10"/>
  <c r="M32" i="10"/>
  <c r="M33" i="10"/>
  <c r="AN32" i="7"/>
  <c r="AN37" i="7"/>
  <c r="AK138" i="16"/>
  <c r="AK123" i="16"/>
  <c r="P16" i="13"/>
  <c r="G32" i="10"/>
  <c r="E11" i="14"/>
  <c r="E13" i="14" s="1"/>
  <c r="D13" i="14"/>
  <c r="N45" i="35"/>
  <c r="N46" i="35"/>
  <c r="U95" i="13"/>
  <c r="U101" i="13"/>
  <c r="Q147" i="16"/>
  <c r="Q151" i="16"/>
  <c r="AG143" i="16"/>
  <c r="I120" i="13"/>
  <c r="M8" i="13"/>
  <c r="M5" i="13"/>
  <c r="M4" i="13"/>
  <c r="S33" i="10"/>
  <c r="S32" i="10"/>
  <c r="R49" i="13"/>
  <c r="R46" i="13"/>
  <c r="R50" i="13" s="1"/>
  <c r="M29" i="10"/>
  <c r="M30" i="10"/>
  <c r="C56" i="39"/>
  <c r="I54" i="39"/>
  <c r="AL22" i="8"/>
  <c r="S107" i="16"/>
  <c r="Q100" i="9"/>
  <c r="V24" i="22"/>
  <c r="V18" i="13" s="1"/>
  <c r="M3" i="25"/>
  <c r="S155" i="16"/>
  <c r="J85" i="27"/>
  <c r="J129" i="16"/>
  <c r="M109" i="16"/>
  <c r="R20" i="13"/>
  <c r="R5" i="13"/>
  <c r="R4" i="13"/>
  <c r="D53" i="13"/>
  <c r="R106" i="16"/>
  <c r="AS36" i="7"/>
  <c r="AS37" i="7"/>
  <c r="W31" i="7"/>
  <c r="S31" i="7"/>
  <c r="D5" i="25"/>
  <c r="D10" i="25" s="1"/>
  <c r="AO36" i="8"/>
  <c r="AD48" i="7"/>
  <c r="AO25" i="8"/>
  <c r="P42" i="14"/>
  <c r="Q11" i="14"/>
  <c r="Q13" i="14" s="1"/>
  <c r="AC24" i="7"/>
  <c r="AC30" i="7"/>
  <c r="AA66" i="4"/>
  <c r="S17" i="37"/>
  <c r="N69" i="35"/>
  <c r="L43" i="35"/>
  <c r="L42" i="35"/>
  <c r="L81" i="35"/>
  <c r="S31" i="37"/>
  <c r="N120" i="16"/>
  <c r="AQ162" i="16"/>
  <c r="AQ177" i="16"/>
  <c r="S6" i="37"/>
  <c r="S5" i="37"/>
  <c r="U157" i="16"/>
  <c r="V107" i="16"/>
  <c r="V106" i="16"/>
  <c r="AO73" i="16"/>
  <c r="AQ13" i="16"/>
  <c r="AQ46" i="16"/>
  <c r="AQ47" i="16"/>
  <c r="AQ48" i="16"/>
  <c r="O71" i="14"/>
  <c r="AR52" i="16"/>
  <c r="R12" i="13"/>
  <c r="T131" i="13"/>
  <c r="T133" i="13" s="1"/>
  <c r="H16" i="13"/>
  <c r="I52" i="13"/>
  <c r="I46" i="13"/>
  <c r="I53" i="13" s="1"/>
  <c r="G52" i="13"/>
  <c r="AR165" i="16"/>
  <c r="AL51" i="16"/>
  <c r="AB147" i="16"/>
  <c r="U16" i="37"/>
  <c r="U21" i="37" s="1"/>
  <c r="U19" i="37"/>
  <c r="J12" i="12"/>
  <c r="O36" i="12"/>
  <c r="R40" i="14"/>
  <c r="R16" i="14"/>
  <c r="S5" i="14"/>
  <c r="S7" i="14" s="1"/>
  <c r="R41" i="14"/>
  <c r="AE30" i="7"/>
  <c r="V31" i="7"/>
  <c r="Z31" i="7"/>
  <c r="AG30" i="7"/>
  <c r="U42" i="14"/>
  <c r="V11" i="14"/>
  <c r="V42" i="14" s="1"/>
  <c r="BD31" i="8"/>
  <c r="S26" i="14"/>
  <c r="S43" i="14"/>
  <c r="T25" i="14"/>
  <c r="T26" i="14" s="1"/>
  <c r="L71" i="9"/>
  <c r="I36" i="12"/>
  <c r="I39" i="12"/>
  <c r="K17" i="32"/>
  <c r="K18" i="32" s="1"/>
  <c r="K16" i="32"/>
  <c r="P169" i="16"/>
  <c r="P154" i="16"/>
  <c r="Q155" i="16" s="1"/>
  <c r="AE168" i="16"/>
  <c r="P178" i="16"/>
  <c r="P190" i="16"/>
  <c r="Q169" i="16"/>
  <c r="J50" i="16"/>
  <c r="J25" i="16"/>
  <c r="J44" i="16"/>
  <c r="J43" i="16"/>
  <c r="T25" i="16"/>
  <c r="T43" i="16"/>
  <c r="AP36" i="7"/>
  <c r="N14" i="29"/>
  <c r="M29" i="29"/>
  <c r="N29" i="29" s="1"/>
  <c r="T43" i="9"/>
  <c r="T96" i="9" s="1"/>
  <c r="W45" i="4"/>
  <c r="U144" i="10"/>
  <c r="U24" i="7"/>
  <c r="U30" i="7"/>
  <c r="H56" i="14"/>
  <c r="H57" i="14" s="1"/>
  <c r="L43" i="9"/>
  <c r="M44" i="9" s="1"/>
  <c r="O45" i="4"/>
  <c r="I27" i="10"/>
  <c r="I26" i="10"/>
  <c r="AK143" i="16"/>
  <c r="AK149" i="16" s="1"/>
  <c r="K101" i="9"/>
  <c r="K137" i="10" s="1"/>
  <c r="R32" i="14"/>
  <c r="R33" i="14" s="1"/>
  <c r="L37" i="10"/>
  <c r="L17" i="10"/>
  <c r="O7" i="20"/>
  <c r="W71" i="16"/>
  <c r="O9" i="20"/>
  <c r="R109" i="16"/>
  <c r="AK86" i="16"/>
  <c r="M3" i="12"/>
  <c r="M10" i="12"/>
  <c r="AM175" i="16"/>
  <c r="I21" i="20"/>
  <c r="P21" i="19"/>
  <c r="O23" i="18"/>
  <c r="G5" i="21"/>
  <c r="G11" i="21" s="1"/>
  <c r="Q10" i="27"/>
  <c r="P45" i="17"/>
  <c r="P103" i="10"/>
  <c r="S86" i="4" s="1"/>
  <c r="P42" i="10"/>
  <c r="P41" i="10"/>
  <c r="J81" i="27"/>
  <c r="L108" i="4"/>
  <c r="AI123" i="16"/>
  <c r="G16" i="32"/>
  <c r="G17" i="32"/>
  <c r="G18" i="32" s="1"/>
  <c r="AB109" i="16"/>
  <c r="AB107" i="16"/>
  <c r="AB106" i="16"/>
  <c r="S109" i="16"/>
  <c r="AD21" i="8"/>
  <c r="F36" i="8"/>
  <c r="P27" i="35"/>
  <c r="Q26" i="35"/>
  <c r="P26" i="35"/>
  <c r="R33" i="35"/>
  <c r="R32" i="35"/>
  <c r="N25" i="35"/>
  <c r="L27" i="35"/>
  <c r="L26" i="35"/>
  <c r="C86" i="43"/>
  <c r="C84" i="43"/>
  <c r="U41" i="35"/>
  <c r="V42" i="35" s="1"/>
  <c r="P120" i="16"/>
  <c r="N29" i="35"/>
  <c r="N30" i="35"/>
  <c r="AF165" i="16"/>
  <c r="S9" i="25"/>
  <c r="G105" i="24"/>
  <c r="AF51" i="16"/>
  <c r="AF52" i="16"/>
  <c r="P25" i="16"/>
  <c r="AE24" i="16"/>
  <c r="P44" i="16"/>
  <c r="P43" i="16"/>
  <c r="F48" i="13"/>
  <c r="F80" i="13"/>
  <c r="O84" i="15"/>
  <c r="P18" i="11"/>
  <c r="R144" i="16"/>
  <c r="T17" i="16"/>
  <c r="AK13" i="16"/>
  <c r="O32" i="13"/>
  <c r="M36" i="10"/>
  <c r="M35" i="10"/>
  <c r="Z147" i="16"/>
  <c r="K12" i="12"/>
  <c r="U20" i="37"/>
  <c r="Q30" i="10"/>
  <c r="Q29" i="10"/>
  <c r="D11" i="21"/>
  <c r="E184" i="16"/>
  <c r="S93" i="10"/>
  <c r="S37" i="10"/>
  <c r="S38" i="10" s="1"/>
  <c r="S17" i="10"/>
  <c r="P37" i="10"/>
  <c r="P38" i="10" s="1"/>
  <c r="P17" i="10"/>
  <c r="AX33" i="8"/>
  <c r="Q39" i="27"/>
  <c r="P109" i="9"/>
  <c r="P110" i="9"/>
  <c r="S56" i="4"/>
  <c r="AT8" i="8"/>
  <c r="N9" i="8"/>
  <c r="R21" i="12"/>
  <c r="AQ37" i="8"/>
  <c r="T34" i="7"/>
  <c r="O79" i="5"/>
  <c r="O40" i="5"/>
  <c r="O90" i="5" s="1"/>
  <c r="P29" i="5"/>
  <c r="AQ156" i="16"/>
  <c r="AS157" i="16" s="1"/>
  <c r="AQ171" i="16"/>
  <c r="H75" i="27"/>
  <c r="G17" i="11"/>
  <c r="L49" i="13"/>
  <c r="L46" i="13"/>
  <c r="R33" i="10"/>
  <c r="R32" i="10"/>
  <c r="H24" i="13"/>
  <c r="H41" i="13"/>
  <c r="F21" i="19"/>
  <c r="AI90" i="16"/>
  <c r="AI127" i="16"/>
  <c r="I56" i="14"/>
  <c r="I57" i="14" s="1"/>
  <c r="V43" i="35"/>
  <c r="AO156" i="16"/>
  <c r="AO171" i="16"/>
  <c r="M20" i="13"/>
  <c r="D25" i="35"/>
  <c r="H52" i="13"/>
  <c r="H46" i="13"/>
  <c r="H53" i="13" s="1"/>
  <c r="AR215" i="16"/>
  <c r="AR224" i="16" s="1"/>
  <c r="L158" i="16"/>
  <c r="L86" i="16"/>
  <c r="O20" i="13"/>
  <c r="P33" i="14"/>
  <c r="Q32" i="14"/>
  <c r="Q33" i="14" s="1"/>
  <c r="W68" i="4"/>
  <c r="I43" i="9"/>
  <c r="L45" i="4"/>
  <c r="E36" i="12"/>
  <c r="E37" i="12" s="1"/>
  <c r="E39" i="12"/>
  <c r="O37" i="10"/>
  <c r="O38" i="10" s="1"/>
  <c r="O17" i="10"/>
  <c r="W61" i="16"/>
  <c r="AS61" i="16" s="1"/>
  <c r="AM136" i="16"/>
  <c r="AM121" i="16"/>
  <c r="R30" i="10"/>
  <c r="R29" i="10"/>
  <c r="H52" i="14"/>
  <c r="I51" i="14"/>
  <c r="AG136" i="16"/>
  <c r="AG121" i="16"/>
  <c r="S50" i="16"/>
  <c r="S25" i="16"/>
  <c r="S43" i="16"/>
  <c r="S47" i="16"/>
  <c r="S17" i="16"/>
  <c r="AK16" i="16"/>
  <c r="S13" i="45"/>
  <c r="AR230" i="16"/>
  <c r="AR232" i="16"/>
  <c r="W127" i="16"/>
  <c r="W128" i="16" s="1"/>
  <c r="W142" i="16"/>
  <c r="S261" i="16"/>
  <c r="Q149" i="16"/>
  <c r="AR226" i="16"/>
  <c r="O175" i="16"/>
  <c r="AC174" i="16"/>
  <c r="P175" i="16"/>
  <c r="T44" i="16"/>
  <c r="T19" i="16"/>
  <c r="S19" i="16"/>
  <c r="AK18" i="16"/>
  <c r="S48" i="16"/>
  <c r="L12" i="13"/>
  <c r="M46" i="13"/>
  <c r="M50" i="13" s="1"/>
  <c r="M49" i="13"/>
  <c r="R29" i="13"/>
  <c r="R41" i="13"/>
  <c r="R38" i="13"/>
  <c r="R35" i="13"/>
  <c r="S24" i="13"/>
  <c r="R24" i="13"/>
  <c r="R32" i="13"/>
  <c r="H21" i="12"/>
  <c r="L61" i="13"/>
  <c r="H29" i="13"/>
  <c r="D39" i="12"/>
  <c r="H12" i="12"/>
  <c r="R27" i="10"/>
  <c r="R26" i="10"/>
  <c r="H164" i="16"/>
  <c r="E144" i="10"/>
  <c r="AR18" i="7"/>
  <c r="R78" i="9"/>
  <c r="V104" i="4"/>
  <c r="L3" i="12"/>
  <c r="L10" i="12"/>
  <c r="G10" i="12"/>
  <c r="G3" i="12"/>
  <c r="D32" i="13"/>
  <c r="O11" i="14"/>
  <c r="O13" i="14" s="1"/>
  <c r="N42" i="14"/>
  <c r="R39" i="12"/>
  <c r="AC17" i="7"/>
  <c r="X36" i="7"/>
  <c r="H17" i="10"/>
  <c r="H37" i="10"/>
  <c r="AG156" i="16"/>
  <c r="AG157" i="16" s="1"/>
  <c r="AG127" i="16"/>
  <c r="G101" i="9"/>
  <c r="G137" i="10" s="1"/>
  <c r="P56" i="14"/>
  <c r="P76" i="14" s="1"/>
  <c r="G37" i="11"/>
  <c r="AO47" i="16"/>
  <c r="AO13" i="16"/>
  <c r="AO46" i="16"/>
  <c r="AO48" i="16"/>
  <c r="K61" i="13"/>
  <c r="K56" i="13"/>
  <c r="K43" i="13" s="1"/>
  <c r="U20" i="20"/>
  <c r="R110" i="16"/>
  <c r="H41" i="14"/>
  <c r="H40" i="14"/>
  <c r="I5" i="14"/>
  <c r="I7" i="14" s="1"/>
  <c r="H16" i="14"/>
  <c r="AI84" i="16"/>
  <c r="AI156" i="16"/>
  <c r="J42" i="14"/>
  <c r="K11" i="14"/>
  <c r="K13" i="14" s="1"/>
  <c r="N39" i="27"/>
  <c r="M106" i="9"/>
  <c r="M109" i="9"/>
  <c r="M110" i="9"/>
  <c r="P56" i="4"/>
  <c r="P5" i="35"/>
  <c r="P62" i="35"/>
  <c r="P41" i="35"/>
  <c r="P76" i="35"/>
  <c r="P68" i="35"/>
  <c r="P71" i="35"/>
  <c r="T92" i="16"/>
  <c r="T77" i="16"/>
  <c r="AI24" i="16"/>
  <c r="AI42" i="16" s="1"/>
  <c r="AI3" i="16"/>
  <c r="F137" i="10"/>
  <c r="F26" i="13"/>
  <c r="F24" i="13"/>
  <c r="F41" i="13"/>
  <c r="AM73" i="16"/>
  <c r="K68" i="13"/>
  <c r="K64" i="13"/>
  <c r="M39" i="12"/>
  <c r="U33" i="10"/>
  <c r="U32" i="10"/>
  <c r="H144" i="16"/>
  <c r="H148" i="16"/>
  <c r="H149" i="16"/>
  <c r="H147" i="16"/>
  <c r="S20" i="37"/>
  <c r="H150" i="16"/>
  <c r="N49" i="13"/>
  <c r="N46" i="13"/>
  <c r="N50" i="13" s="1"/>
  <c r="E58" i="35"/>
  <c r="E57" i="35"/>
  <c r="E34" i="35"/>
  <c r="E37" i="35" s="1"/>
  <c r="E38" i="35" s="1"/>
  <c r="E59" i="35"/>
  <c r="E23" i="35"/>
  <c r="R21" i="35"/>
  <c r="R20" i="35"/>
  <c r="P21" i="35"/>
  <c r="P20" i="35"/>
  <c r="F24" i="35"/>
  <c r="I23" i="35"/>
  <c r="N66" i="35"/>
  <c r="F21" i="20"/>
  <c r="F105" i="24"/>
  <c r="AE173" i="16"/>
  <c r="AM190" i="16"/>
  <c r="T210" i="16"/>
  <c r="T107" i="16"/>
  <c r="AC24" i="16"/>
  <c r="O25" i="16"/>
  <c r="O44" i="16"/>
  <c r="O43" i="16"/>
  <c r="AO55" i="16"/>
  <c r="AO58" i="16"/>
  <c r="AO54" i="16"/>
  <c r="AO57" i="16"/>
  <c r="R108" i="16"/>
  <c r="M158" i="16"/>
  <c r="M108" i="16"/>
  <c r="N86" i="16"/>
  <c r="M86" i="16"/>
  <c r="AM47" i="16"/>
  <c r="AM13" i="16"/>
  <c r="AM46" i="16"/>
  <c r="AM48" i="16"/>
  <c r="S15" i="16"/>
  <c r="AK14" i="16"/>
  <c r="S46" i="16"/>
  <c r="P42" i="16"/>
  <c r="E26" i="13"/>
  <c r="E24" i="13"/>
  <c r="E32" i="13"/>
  <c r="E41" i="13"/>
  <c r="O56" i="13"/>
  <c r="O26" i="13"/>
  <c r="M40" i="14"/>
  <c r="J61" i="12"/>
  <c r="T93" i="10"/>
  <c r="S40" i="14"/>
  <c r="S16" i="14"/>
  <c r="T5" i="14"/>
  <c r="T7" i="14" s="1"/>
  <c r="S41" i="14"/>
  <c r="T110" i="9"/>
  <c r="T109" i="9"/>
  <c r="W56" i="4"/>
  <c r="U17" i="10"/>
  <c r="U37" i="10"/>
  <c r="U38" i="10" s="1"/>
  <c r="T17" i="10"/>
  <c r="T37" i="10"/>
  <c r="T38" i="10" s="1"/>
  <c r="K11" i="21"/>
  <c r="T158" i="15"/>
  <c r="K80" i="10"/>
  <c r="N21" i="4"/>
  <c r="F10" i="25"/>
  <c r="F9" i="25"/>
  <c r="P49" i="13"/>
  <c r="P46" i="13"/>
  <c r="P50" i="13" s="1"/>
  <c r="H53" i="43"/>
  <c r="H66" i="43"/>
  <c r="O21" i="35"/>
  <c r="O20" i="35"/>
  <c r="M122" i="16"/>
  <c r="L122" i="16"/>
  <c r="E26" i="10"/>
  <c r="E27" i="10"/>
  <c r="T71" i="9"/>
  <c r="T107" i="9" s="1"/>
  <c r="W64" i="4"/>
  <c r="F29" i="35"/>
  <c r="F30" i="35"/>
  <c r="O27" i="10"/>
  <c r="O26" i="10"/>
  <c r="T32" i="10"/>
  <c r="T33" i="10"/>
  <c r="T56" i="14"/>
  <c r="N27" i="10"/>
  <c r="N26" i="10"/>
  <c r="AA127" i="16"/>
  <c r="K42" i="14"/>
  <c r="L11" i="14"/>
  <c r="L13" i="14" s="1"/>
  <c r="G20" i="11"/>
  <c r="R21" i="19"/>
  <c r="Q23" i="18"/>
  <c r="J5" i="21"/>
  <c r="J11" i="21" s="1"/>
  <c r="S10" i="27"/>
  <c r="K21" i="20"/>
  <c r="R45" i="17"/>
  <c r="R103" i="10"/>
  <c r="U86" i="4" s="1"/>
  <c r="R42" i="10"/>
  <c r="R41" i="10"/>
  <c r="I78" i="9"/>
  <c r="T34" i="37"/>
  <c r="AO86" i="16"/>
  <c r="N51" i="35"/>
  <c r="N52" i="35"/>
  <c r="I43" i="16"/>
  <c r="S62" i="35"/>
  <c r="S41" i="35"/>
  <c r="S76" i="35"/>
  <c r="T5" i="35"/>
  <c r="S5" i="35"/>
  <c r="S68" i="35"/>
  <c r="S71" i="35"/>
  <c r="S65" i="35"/>
  <c r="D15" i="32"/>
  <c r="E86" i="43"/>
  <c r="E84" i="43"/>
  <c r="F86" i="43"/>
  <c r="F84" i="43"/>
  <c r="K24" i="32"/>
  <c r="G24" i="32"/>
  <c r="AK178" i="16"/>
  <c r="AK182" i="16" s="1"/>
  <c r="AK169" i="16"/>
  <c r="AK154" i="16"/>
  <c r="AO136" i="16"/>
  <c r="AO121" i="16"/>
  <c r="P122" i="16"/>
  <c r="O122" i="16"/>
  <c r="H21" i="20"/>
  <c r="AO138" i="16"/>
  <c r="AO123" i="16"/>
  <c r="E147" i="16"/>
  <c r="M21" i="19"/>
  <c r="AN52" i="16"/>
  <c r="O140" i="16"/>
  <c r="AC139" i="16"/>
  <c r="H159" i="16"/>
  <c r="G159" i="16"/>
  <c r="AB110" i="16"/>
  <c r="O74" i="16"/>
  <c r="O143" i="16"/>
  <c r="H20" i="13"/>
  <c r="AG3" i="16"/>
  <c r="S64" i="13"/>
  <c r="S68" i="13"/>
  <c r="N20" i="13"/>
  <c r="P41" i="13"/>
  <c r="P38" i="13"/>
  <c r="P35" i="13"/>
  <c r="Q24" i="13"/>
  <c r="P24" i="13"/>
  <c r="P29" i="13"/>
  <c r="P32" i="13"/>
  <c r="D21" i="12"/>
  <c r="G94" i="9"/>
  <c r="Q150" i="16"/>
  <c r="K15" i="18"/>
  <c r="K61" i="12"/>
  <c r="D86" i="35"/>
  <c r="D101" i="35"/>
  <c r="L21" i="12"/>
  <c r="F52" i="14"/>
  <c r="Q56" i="14"/>
  <c r="Q76" i="14" s="1"/>
  <c r="AP231" i="16"/>
  <c r="W104" i="4"/>
  <c r="AA1" i="10"/>
  <c r="AT22" i="8"/>
  <c r="S49" i="13"/>
  <c r="S46" i="13"/>
  <c r="S50" i="13" s="1"/>
  <c r="K39" i="27"/>
  <c r="J109" i="9"/>
  <c r="J110" i="9"/>
  <c r="M56" i="4"/>
  <c r="G35" i="13"/>
  <c r="K57" i="27"/>
  <c r="J71" i="9"/>
  <c r="M64" i="4"/>
  <c r="U27" i="7"/>
  <c r="X24" i="7"/>
  <c r="X30" i="7"/>
  <c r="AJ14" i="8"/>
  <c r="AJ13" i="8" s="1"/>
  <c r="AJ31" i="8" s="1"/>
  <c r="I13" i="8"/>
  <c r="I31" i="8" s="1"/>
  <c r="C10" i="27"/>
  <c r="D42" i="10"/>
  <c r="D58" i="10"/>
  <c r="C23" i="18" s="1"/>
  <c r="D103" i="10"/>
  <c r="Q171" i="16"/>
  <c r="P171" i="16"/>
  <c r="P191" i="16"/>
  <c r="P156" i="16"/>
  <c r="Q157" i="16" s="1"/>
  <c r="AE170" i="16"/>
  <c r="F74" i="16"/>
  <c r="F76" i="16"/>
  <c r="F78" i="16"/>
  <c r="P27" i="10"/>
  <c r="P26" i="10"/>
  <c r="P39" i="27"/>
  <c r="O109" i="9"/>
  <c r="O110" i="9"/>
  <c r="R56" i="4"/>
  <c r="AO162" i="16"/>
  <c r="AO177" i="16"/>
  <c r="N57" i="13"/>
  <c r="J101" i="9"/>
  <c r="J137" i="10" s="1"/>
  <c r="S32" i="14"/>
  <c r="S33" i="14" s="1"/>
  <c r="T36" i="10"/>
  <c r="T35" i="10"/>
  <c r="N33" i="35"/>
  <c r="N32" i="35"/>
  <c r="R42" i="14"/>
  <c r="S11" i="14"/>
  <c r="S13" i="14" s="1"/>
  <c r="D144" i="10"/>
  <c r="AG162" i="16"/>
  <c r="AG163" i="16" s="1"/>
  <c r="AG177" i="16"/>
  <c r="AM86" i="16"/>
  <c r="AM158" i="16"/>
  <c r="M16" i="13"/>
  <c r="Q35" i="10"/>
  <c r="Q36" i="10"/>
  <c r="AP206" i="16"/>
  <c r="AP227" i="16" s="1"/>
  <c r="AP201" i="16"/>
  <c r="AR214" i="16"/>
  <c r="AP220" i="16"/>
  <c r="R144" i="10"/>
  <c r="Q43" i="9"/>
  <c r="Q96" i="9" s="1"/>
  <c r="T45" i="4"/>
  <c r="AN22" i="8"/>
  <c r="L42" i="14"/>
  <c r="M11" i="14"/>
  <c r="M13" i="14" s="1"/>
  <c r="T49" i="13"/>
  <c r="T46" i="13"/>
  <c r="R128" i="16"/>
  <c r="U29" i="37"/>
  <c r="K63" i="12"/>
  <c r="M56" i="14"/>
  <c r="M76" i="14" s="1"/>
  <c r="V21" i="35"/>
  <c r="V20" i="35"/>
  <c r="AA158" i="16"/>
  <c r="K136" i="16"/>
  <c r="K143" i="16"/>
  <c r="K148" i="16" s="1"/>
  <c r="AP130" i="16"/>
  <c r="AO134" i="16"/>
  <c r="AO143" i="16"/>
  <c r="AO148" i="16" s="1"/>
  <c r="AO119" i="16"/>
  <c r="I212" i="16"/>
  <c r="AQ158" i="16"/>
  <c r="M124" i="16"/>
  <c r="I42" i="16"/>
  <c r="AC136" i="16"/>
  <c r="P133" i="13"/>
  <c r="Q131" i="13"/>
  <c r="Q133" i="13" s="1"/>
  <c r="N83" i="27"/>
  <c r="M38" i="11"/>
  <c r="P110" i="4"/>
  <c r="F29" i="13"/>
  <c r="K5" i="13"/>
  <c r="K12" i="13"/>
  <c r="K8" i="13"/>
  <c r="K4" i="13"/>
  <c r="E13" i="20"/>
  <c r="N27" i="17"/>
  <c r="N41" i="10"/>
  <c r="U109" i="9"/>
  <c r="U110" i="9"/>
  <c r="X56" i="4"/>
  <c r="E12" i="12"/>
  <c r="T40" i="14"/>
  <c r="T16" i="14"/>
  <c r="U5" i="14"/>
  <c r="U7" i="14" s="1"/>
  <c r="T41" i="14"/>
  <c r="N56" i="14"/>
  <c r="N76" i="14" s="1"/>
  <c r="T30" i="10"/>
  <c r="T29" i="10"/>
  <c r="H62" i="27"/>
  <c r="AX31" i="8"/>
  <c r="S36" i="10"/>
  <c r="S35" i="10"/>
  <c r="K60" i="27"/>
  <c r="J82" i="9"/>
  <c r="J83" i="9" s="1"/>
  <c r="J78" i="9"/>
  <c r="J92" i="9"/>
  <c r="M80" i="4"/>
  <c r="E103" i="10"/>
  <c r="AN47" i="7"/>
  <c r="M85" i="27"/>
  <c r="M129" i="16"/>
  <c r="T21" i="35"/>
  <c r="T20" i="35"/>
  <c r="J21" i="20"/>
  <c r="Q21" i="19"/>
  <c r="P23" i="18"/>
  <c r="I5" i="21"/>
  <c r="I11" i="21" s="1"/>
  <c r="R10" i="27"/>
  <c r="Q45" i="17"/>
  <c r="Q103" i="10"/>
  <c r="T86" i="4" s="1"/>
  <c r="Q42" i="10"/>
  <c r="Q41" i="10"/>
  <c r="H80" i="10"/>
  <c r="K21" i="4"/>
  <c r="V20" i="16"/>
  <c r="V3" i="22"/>
  <c r="O212" i="16"/>
  <c r="R107" i="16"/>
  <c r="U49" i="13"/>
  <c r="U46" i="13"/>
  <c r="L56" i="14"/>
  <c r="L76" i="14" s="1"/>
  <c r="P81" i="27"/>
  <c r="N84" i="15"/>
  <c r="N87" i="15" s="1"/>
  <c r="R108" i="4"/>
  <c r="C21" i="20"/>
  <c r="K10" i="27"/>
  <c r="J45" i="17"/>
  <c r="I23" i="18"/>
  <c r="J42" i="10"/>
  <c r="J103" i="10"/>
  <c r="M86" i="4" s="1"/>
  <c r="J41" i="10"/>
  <c r="H9" i="8"/>
  <c r="M37" i="10"/>
  <c r="M17" i="10"/>
  <c r="G57" i="36"/>
  <c r="AQ55" i="16"/>
  <c r="AQ39" i="16"/>
  <c r="AQ58" i="16"/>
  <c r="AQ54" i="16"/>
  <c r="AQ57" i="16"/>
  <c r="J43" i="9"/>
  <c r="M45" i="4"/>
  <c r="M42" i="14"/>
  <c r="N11" i="14"/>
  <c r="N13" i="14" s="1"/>
  <c r="U6" i="22"/>
  <c r="AI18" i="16"/>
  <c r="AI48" i="16" s="1"/>
  <c r="R48" i="16"/>
  <c r="AK73" i="16"/>
  <c r="L52" i="14"/>
  <c r="R5" i="35"/>
  <c r="Q5" i="35"/>
  <c r="Q62" i="35"/>
  <c r="Q41" i="35"/>
  <c r="R42" i="35" s="1"/>
  <c r="Q76" i="35"/>
  <c r="Q68" i="35"/>
  <c r="Q71" i="35"/>
  <c r="Q65" i="35"/>
  <c r="Q3" i="20"/>
  <c r="R3" i="20" s="1"/>
  <c r="S3" i="20" s="1"/>
  <c r="T3" i="20" s="1"/>
  <c r="U3" i="20" s="1"/>
  <c r="V3" i="20" s="1"/>
  <c r="W3" i="20" s="1"/>
  <c r="X3" i="20" s="1"/>
  <c r="Y3" i="20" s="1"/>
  <c r="Z3" i="20" s="1"/>
  <c r="X22" i="16"/>
  <c r="AU22" i="16" s="1"/>
  <c r="Q24" i="45"/>
  <c r="S24" i="45" s="1"/>
  <c r="K29" i="35"/>
  <c r="K30" i="35"/>
  <c r="V261" i="16"/>
  <c r="AM156" i="16"/>
  <c r="AM171" i="16"/>
  <c r="AI86" i="16"/>
  <c r="K20" i="13"/>
  <c r="T32" i="14"/>
  <c r="T33" i="14" s="1"/>
  <c r="O4" i="21"/>
  <c r="N4" i="21"/>
  <c r="R16" i="13"/>
  <c r="V110" i="16"/>
  <c r="L13" i="19"/>
  <c r="E41" i="9"/>
  <c r="E43" i="9" s="1"/>
  <c r="E96" i="9" s="1"/>
  <c r="E3" i="12"/>
  <c r="E6" i="12" s="1"/>
  <c r="M15" i="18"/>
  <c r="U3" i="12"/>
  <c r="U10" i="12"/>
  <c r="V32" i="14"/>
  <c r="W32" i="14" s="1"/>
  <c r="X32" i="14" s="1"/>
  <c r="X35" i="14" s="1"/>
  <c r="Y32" i="14" s="1"/>
  <c r="Y35" i="14" s="1"/>
  <c r="Z32" i="14" s="1"/>
  <c r="Z35" i="14" s="1"/>
  <c r="AA32" i="14" s="1"/>
  <c r="AA35" i="14" s="1"/>
  <c r="AB32" i="14" s="1"/>
  <c r="AB35" i="14" s="1"/>
  <c r="AC32" i="14" s="1"/>
  <c r="AC35" i="14" s="1"/>
  <c r="AD32" i="14" s="1"/>
  <c r="AD35" i="14" s="1"/>
  <c r="AE32" i="14" s="1"/>
  <c r="AE35" i="14" s="1"/>
  <c r="AF32" i="14" s="1"/>
  <c r="AF35" i="14" s="1"/>
  <c r="AG32" i="14" s="1"/>
  <c r="AG35" i="14" s="1"/>
  <c r="M35" i="11"/>
  <c r="U30" i="10"/>
  <c r="U29" i="10"/>
  <c r="O60" i="27"/>
  <c r="N82" i="9"/>
  <c r="N78" i="9"/>
  <c r="N92" i="9"/>
  <c r="Q80" i="4"/>
  <c r="P30" i="10"/>
  <c r="P29" i="10"/>
  <c r="T101" i="9"/>
  <c r="S16" i="13"/>
  <c r="U71" i="9"/>
  <c r="X64" i="4"/>
  <c r="D85" i="27"/>
  <c r="F129" i="16"/>
  <c r="AO47" i="7"/>
  <c r="D6" i="6"/>
  <c r="D41" i="6" s="1"/>
  <c r="C6" i="6"/>
  <c r="C41" i="6" s="1"/>
  <c r="C40" i="6"/>
  <c r="N40" i="14"/>
  <c r="O5" i="14"/>
  <c r="O7" i="14" s="1"/>
  <c r="N7" i="14"/>
  <c r="N16" i="14"/>
  <c r="N41" i="14"/>
  <c r="S42" i="14"/>
  <c r="T11" i="14"/>
  <c r="T13" i="14" s="1"/>
  <c r="S189" i="16"/>
  <c r="AK189" i="16" s="1"/>
  <c r="S184" i="16"/>
  <c r="S185" i="16"/>
  <c r="S164" i="16"/>
  <c r="S209" i="16"/>
  <c r="S179" i="16"/>
  <c r="S182" i="16"/>
  <c r="Q42" i="14"/>
  <c r="R11" i="14"/>
  <c r="R13" i="14" s="1"/>
  <c r="G149" i="16"/>
  <c r="G144" i="16"/>
  <c r="G147" i="16"/>
  <c r="T39" i="27"/>
  <c r="S109" i="9"/>
  <c r="S110" i="9"/>
  <c r="V56" i="4"/>
  <c r="R157" i="16"/>
  <c r="U101" i="9"/>
  <c r="E52" i="13"/>
  <c r="E46" i="13"/>
  <c r="E53" i="13" s="1"/>
  <c r="Q40" i="14"/>
  <c r="R5" i="14"/>
  <c r="R7" i="14" s="1"/>
  <c r="Q16" i="14"/>
  <c r="Q41" i="14"/>
  <c r="R189" i="16"/>
  <c r="R184" i="16"/>
  <c r="R185" i="16"/>
  <c r="R164" i="16"/>
  <c r="R183" i="16"/>
  <c r="I30" i="45"/>
  <c r="K27" i="45"/>
  <c r="AE142" i="16"/>
  <c r="F77" i="16"/>
  <c r="F106" i="16"/>
  <c r="F164" i="16"/>
  <c r="F108" i="16"/>
  <c r="F92" i="16"/>
  <c r="F109" i="16"/>
  <c r="I57" i="35"/>
  <c r="F57" i="35"/>
  <c r="H56" i="35"/>
  <c r="H34" i="35" s="1"/>
  <c r="F58" i="35"/>
  <c r="F34" i="35"/>
  <c r="F59" i="35"/>
  <c r="AC46" i="7"/>
  <c r="O17" i="7"/>
  <c r="O18" i="7"/>
  <c r="O28" i="7"/>
  <c r="AM36" i="8"/>
  <c r="AB48" i="7"/>
  <c r="AM25" i="8"/>
  <c r="T36" i="35"/>
  <c r="U35" i="35"/>
  <c r="T35" i="35"/>
  <c r="K18" i="18"/>
  <c r="L22" i="10"/>
  <c r="I18" i="18"/>
  <c r="J22" i="10"/>
  <c r="N7" i="35"/>
  <c r="N24" i="35"/>
  <c r="V11" i="22"/>
  <c r="W9" i="22"/>
  <c r="W10" i="10" s="1"/>
  <c r="W28" i="10" s="1"/>
  <c r="W87" i="16"/>
  <c r="AS87" i="16" s="1"/>
  <c r="AU88" i="16" s="1"/>
  <c r="V10" i="10"/>
  <c r="V16" i="10" s="1"/>
  <c r="J21" i="19"/>
  <c r="N178" i="16"/>
  <c r="N169" i="16"/>
  <c r="N154" i="16"/>
  <c r="N155" i="16" s="1"/>
  <c r="AA168" i="16"/>
  <c r="N190" i="16"/>
  <c r="N210" i="16" s="1"/>
  <c r="I15" i="32"/>
  <c r="O171" i="16"/>
  <c r="O191" i="16"/>
  <c r="O211" i="16" s="1"/>
  <c r="O156" i="16"/>
  <c r="AC170" i="16"/>
  <c r="T185" i="16"/>
  <c r="T189" i="16"/>
  <c r="AM189" i="16" s="1"/>
  <c r="T164" i="16"/>
  <c r="T209" i="16"/>
  <c r="T179" i="16"/>
  <c r="T182" i="16"/>
  <c r="T186" i="16"/>
  <c r="AK156" i="16"/>
  <c r="AK171" i="16"/>
  <c r="G77" i="16"/>
  <c r="G108" i="16"/>
  <c r="G92" i="16"/>
  <c r="G109" i="16"/>
  <c r="K16" i="35"/>
  <c r="K41" i="35"/>
  <c r="L58" i="13"/>
  <c r="L26" i="13"/>
  <c r="L56" i="13"/>
  <c r="L5" i="13"/>
  <c r="L8" i="13"/>
  <c r="L4" i="13"/>
  <c r="N36" i="10"/>
  <c r="N35" i="10"/>
  <c r="U37" i="12"/>
  <c r="U5" i="12"/>
  <c r="Q20" i="13"/>
  <c r="Q8" i="13"/>
  <c r="Q5" i="13"/>
  <c r="Q4" i="13"/>
  <c r="V128" i="16"/>
  <c r="E10" i="12"/>
  <c r="U43" i="16"/>
  <c r="G39" i="12"/>
  <c r="O21" i="27"/>
  <c r="O205" i="16"/>
  <c r="N133" i="10"/>
  <c r="N110" i="10"/>
  <c r="L21" i="8"/>
  <c r="M7" i="6"/>
  <c r="S30" i="10"/>
  <c r="S29" i="10"/>
  <c r="Q17" i="10"/>
  <c r="Q37" i="10"/>
  <c r="Q38" i="10" s="1"/>
  <c r="F38" i="11"/>
  <c r="F37" i="11"/>
  <c r="N1" i="8"/>
  <c r="M1" i="8"/>
  <c r="M9" i="8"/>
  <c r="AR7" i="8"/>
  <c r="D57" i="27"/>
  <c r="I3" i="12"/>
  <c r="I10" i="12"/>
  <c r="AV13" i="7"/>
  <c r="T57" i="27"/>
  <c r="S71" i="9"/>
  <c r="S107" i="9" s="1"/>
  <c r="V64" i="4"/>
  <c r="Q52" i="14"/>
  <c r="Z24" i="7"/>
  <c r="Z30" i="7"/>
  <c r="Q26" i="10"/>
  <c r="Q27" i="10"/>
  <c r="F53" i="43"/>
  <c r="F66" i="43"/>
  <c r="F81" i="43" s="1"/>
  <c r="F149" i="16"/>
  <c r="F144" i="16"/>
  <c r="F147" i="16"/>
  <c r="N16" i="35"/>
  <c r="N37" i="35" s="1"/>
  <c r="N41" i="35"/>
  <c r="AB155" i="16"/>
  <c r="AD155" i="16"/>
  <c r="D50" i="13"/>
  <c r="K56" i="14"/>
  <c r="K57" i="14" s="1"/>
  <c r="AI36" i="7"/>
  <c r="AI37" i="7"/>
  <c r="H74" i="16"/>
  <c r="H76" i="16"/>
  <c r="H78" i="16"/>
  <c r="O3" i="12"/>
  <c r="O8" i="13"/>
  <c r="O5" i="13"/>
  <c r="O4" i="13"/>
  <c r="J40" i="14"/>
  <c r="K5" i="14"/>
  <c r="K7" i="14" s="1"/>
  <c r="J16" i="14"/>
  <c r="J41" i="14"/>
  <c r="R10" i="25"/>
  <c r="F81" i="27"/>
  <c r="F34" i="11"/>
  <c r="F83" i="27" s="1"/>
  <c r="O49" i="13"/>
  <c r="O46" i="13"/>
  <c r="O50" i="13" s="1"/>
  <c r="N33" i="14"/>
  <c r="O32" i="14"/>
  <c r="O33" i="14" s="1"/>
  <c r="C56" i="27"/>
  <c r="D107" i="9"/>
  <c r="AJ165" i="16"/>
  <c r="M189" i="16"/>
  <c r="M184" i="16"/>
  <c r="M164" i="16"/>
  <c r="M185" i="16"/>
  <c r="S49" i="16"/>
  <c r="L39" i="12"/>
  <c r="Y35" i="8"/>
  <c r="Y26" i="8"/>
  <c r="E19" i="32"/>
  <c r="D22" i="32"/>
  <c r="D32" i="32" s="1"/>
  <c r="I144" i="16"/>
  <c r="I148" i="16"/>
  <c r="I147" i="16"/>
  <c r="I149" i="16"/>
  <c r="J150" i="16"/>
  <c r="M27" i="17"/>
  <c r="AQ82" i="16"/>
  <c r="AR223" i="16"/>
  <c r="J77" i="16"/>
  <c r="J108" i="16"/>
  <c r="J92" i="16"/>
  <c r="J109" i="16"/>
  <c r="L156" i="16"/>
  <c r="L171" i="16"/>
  <c r="L191" i="16"/>
  <c r="T211" i="16"/>
  <c r="AM191" i="16"/>
  <c r="AK191" i="16"/>
  <c r="S211" i="16"/>
  <c r="AK68" i="16"/>
  <c r="AK66" i="16"/>
  <c r="N78" i="16"/>
  <c r="T21" i="37"/>
  <c r="AQ134" i="16"/>
  <c r="AQ143" i="16"/>
  <c r="AQ148" i="16" s="1"/>
  <c r="AQ119" i="16"/>
  <c r="AS120" i="16" s="1"/>
  <c r="P12" i="13"/>
  <c r="R131" i="13"/>
  <c r="R133" i="13" s="1"/>
  <c r="O34" i="11"/>
  <c r="P20" i="13"/>
  <c r="G31" i="11"/>
  <c r="L20" i="13"/>
  <c r="G40" i="14"/>
  <c r="H5" i="14"/>
  <c r="H7" i="14" s="1"/>
  <c r="G16" i="14"/>
  <c r="G41" i="14"/>
  <c r="Q16" i="13"/>
  <c r="AQ90" i="16"/>
  <c r="U163" i="16"/>
  <c r="AG91" i="16"/>
  <c r="S81" i="27"/>
  <c r="U108" i="4"/>
  <c r="AO11" i="16"/>
  <c r="N13" i="19"/>
  <c r="S56" i="27"/>
  <c r="U68" i="4"/>
  <c r="O36" i="10"/>
  <c r="O35" i="10"/>
  <c r="U93" i="10"/>
  <c r="N56" i="27"/>
  <c r="P68" i="4"/>
  <c r="G56" i="14"/>
  <c r="G57" i="14" s="1"/>
  <c r="L60" i="27"/>
  <c r="K82" i="9"/>
  <c r="K103" i="9" s="1"/>
  <c r="K78" i="9"/>
  <c r="K92" i="9"/>
  <c r="N80" i="4"/>
  <c r="T3" i="12"/>
  <c r="S30" i="8"/>
  <c r="S21" i="8"/>
  <c r="BD9" i="8"/>
  <c r="M31" i="8"/>
  <c r="F133" i="10"/>
  <c r="I83" i="5"/>
  <c r="I32" i="5"/>
  <c r="I44" i="5"/>
  <c r="I94" i="5" s="1"/>
  <c r="I34" i="5"/>
  <c r="L78" i="9"/>
  <c r="AA17" i="7"/>
  <c r="AE17" i="7"/>
  <c r="AI46" i="7"/>
  <c r="AA28" i="7"/>
  <c r="AA18" i="7"/>
  <c r="J39" i="12"/>
  <c r="J36" i="12"/>
  <c r="AK37" i="7"/>
  <c r="AK36" i="7"/>
  <c r="AI4" i="8"/>
  <c r="P43" i="9"/>
  <c r="P96" i="9" s="1"/>
  <c r="Q49" i="13"/>
  <c r="Q46" i="13"/>
  <c r="Q50" i="13" s="1"/>
  <c r="P74" i="16"/>
  <c r="AE73" i="16"/>
  <c r="AE74" i="16" s="1"/>
  <c r="AM24" i="16"/>
  <c r="AM44" i="16" s="1"/>
  <c r="AM3" i="16"/>
  <c r="S16" i="37"/>
  <c r="S19" i="37"/>
  <c r="AC134" i="16"/>
  <c r="AC119" i="16"/>
  <c r="M5" i="12"/>
  <c r="M37" i="12"/>
  <c r="P93" i="10"/>
  <c r="AE13" i="16"/>
  <c r="P32" i="10"/>
  <c r="P33" i="10"/>
  <c r="AF31" i="7"/>
  <c r="AQ121" i="16"/>
  <c r="AQ136" i="16"/>
  <c r="G11" i="14"/>
  <c r="G13" i="14" s="1"/>
  <c r="F42" i="14"/>
  <c r="F5" i="21"/>
  <c r="F11" i="21" s="1"/>
  <c r="P10" i="27"/>
  <c r="O45" i="17"/>
  <c r="O103" i="10"/>
  <c r="R86" i="4" s="1"/>
  <c r="O41" i="10"/>
  <c r="O42" i="10"/>
  <c r="S13" i="7"/>
  <c r="W13" i="7"/>
  <c r="T41" i="35"/>
  <c r="AI147" i="16"/>
  <c r="R17" i="10"/>
  <c r="R37" i="10"/>
  <c r="R38" i="10" s="1"/>
  <c r="U82" i="9"/>
  <c r="U78" i="9"/>
  <c r="U92" i="9"/>
  <c r="X80" i="4"/>
  <c r="AM178" i="16"/>
  <c r="AM185" i="16" s="1"/>
  <c r="AM169" i="16"/>
  <c r="AM154" i="16"/>
  <c r="E86" i="35"/>
  <c r="E101" i="35"/>
  <c r="S39" i="27"/>
  <c r="R109" i="9"/>
  <c r="R110" i="9"/>
  <c r="U56" i="4"/>
  <c r="AT37" i="7"/>
  <c r="H85" i="27"/>
  <c r="H129" i="16"/>
  <c r="R3" i="12"/>
  <c r="Y24" i="7"/>
  <c r="Y30" i="7"/>
  <c r="N105" i="24"/>
  <c r="Q43" i="14"/>
  <c r="Q26" i="14"/>
  <c r="R25" i="14"/>
  <c r="F49" i="35"/>
  <c r="AI178" i="16"/>
  <c r="AI186" i="16" s="1"/>
  <c r="AI154" i="16"/>
  <c r="AI169" i="16"/>
  <c r="G86" i="43"/>
  <c r="G84" i="43"/>
  <c r="S21" i="35"/>
  <c r="S20" i="35"/>
  <c r="AM143" i="16"/>
  <c r="AM147" i="16" s="1"/>
  <c r="AM134" i="16"/>
  <c r="AM119" i="16"/>
  <c r="AM120" i="16" s="1"/>
  <c r="K16" i="45"/>
  <c r="R14" i="45"/>
  <c r="N63" i="35"/>
  <c r="E150" i="16"/>
  <c r="L42" i="16"/>
  <c r="Z129" i="16"/>
  <c r="Z151" i="16"/>
  <c r="Z148" i="16"/>
  <c r="Z150" i="16"/>
  <c r="S100" i="9"/>
  <c r="O4" i="26"/>
  <c r="K6" i="21"/>
  <c r="K12" i="21" s="1"/>
  <c r="T110" i="10"/>
  <c r="T112" i="10"/>
  <c r="T133" i="10"/>
  <c r="T108" i="10"/>
  <c r="S7" i="6"/>
  <c r="S24" i="6"/>
  <c r="D35" i="13"/>
  <c r="M39" i="27"/>
  <c r="L110" i="9"/>
  <c r="L109" i="9"/>
  <c r="O56" i="4"/>
  <c r="T56" i="27"/>
  <c r="V68" i="4"/>
  <c r="U30" i="37"/>
  <c r="Z40" i="37" s="1"/>
  <c r="U3" i="37"/>
  <c r="O11" i="37"/>
  <c r="U7" i="37"/>
  <c r="Y43" i="37" s="1"/>
  <c r="N102" i="24"/>
  <c r="AK136" i="16"/>
  <c r="AK121" i="16"/>
  <c r="AK122" i="16" s="1"/>
  <c r="AM162" i="16"/>
  <c r="AM177" i="16"/>
  <c r="L27" i="17"/>
  <c r="S78" i="16"/>
  <c r="AA162" i="16"/>
  <c r="L78" i="16"/>
  <c r="T42" i="16"/>
  <c r="P57" i="13"/>
  <c r="K81" i="27"/>
  <c r="M108" i="4"/>
  <c r="R5" i="12"/>
  <c r="R37" i="12"/>
  <c r="U40" i="14"/>
  <c r="U16" i="14"/>
  <c r="U41" i="14"/>
  <c r="V5" i="14"/>
  <c r="V7" i="14" s="1"/>
  <c r="T106" i="10"/>
  <c r="J27" i="10"/>
  <c r="J26" i="10"/>
  <c r="I75" i="27"/>
  <c r="H17" i="11"/>
  <c r="K100" i="4" s="1"/>
  <c r="K96" i="4"/>
  <c r="BD32" i="8"/>
  <c r="F85" i="27"/>
  <c r="G129" i="16"/>
  <c r="AM36" i="7"/>
  <c r="AM37" i="7"/>
  <c r="AL36" i="7"/>
  <c r="AL37" i="7"/>
  <c r="Q144" i="10"/>
  <c r="T3" i="13" l="1"/>
  <c r="N159" i="16"/>
  <c r="W37" i="18"/>
  <c r="X37" i="18" s="1"/>
  <c r="Y37" i="18" s="1"/>
  <c r="Z37" i="18" s="1"/>
  <c r="AA37" i="18" s="1"/>
  <c r="AB37" i="18" s="1"/>
  <c r="AC37" i="18" s="1"/>
  <c r="AD37" i="18" s="1"/>
  <c r="AE37" i="18" s="1"/>
  <c r="AF37" i="18" s="1"/>
  <c r="W9" i="13"/>
  <c r="U38" i="18"/>
  <c r="V6" i="13"/>
  <c r="T7" i="13"/>
  <c r="M82" i="9"/>
  <c r="M104" i="9" s="1"/>
  <c r="V205" i="16"/>
  <c r="V201" i="16" s="1"/>
  <c r="V218" i="16" s="1"/>
  <c r="V225" i="16" s="1"/>
  <c r="X86" i="4"/>
  <c r="H24" i="6"/>
  <c r="T104" i="10"/>
  <c r="V86" i="4"/>
  <c r="N106" i="10"/>
  <c r="Q86" i="4"/>
  <c r="F23" i="35"/>
  <c r="U50" i="13"/>
  <c r="V47" i="13"/>
  <c r="W96" i="4"/>
  <c r="X25" i="14"/>
  <c r="W26" i="14"/>
  <c r="X26" i="14" s="1"/>
  <c r="Y26" i="14" s="1"/>
  <c r="Z26" i="14" s="1"/>
  <c r="AA26" i="14" s="1"/>
  <c r="AB26" i="14" s="1"/>
  <c r="AC26" i="14" s="1"/>
  <c r="AD26" i="14" s="1"/>
  <c r="AE26" i="14" s="1"/>
  <c r="AF26" i="14" s="1"/>
  <c r="AG26" i="14" s="1"/>
  <c r="AC61" i="12"/>
  <c r="AD61" i="12" s="1"/>
  <c r="AE61" i="12" s="1"/>
  <c r="AF61" i="12" s="1"/>
  <c r="AG61" i="12" s="1"/>
  <c r="H110" i="10"/>
  <c r="AA121" i="4"/>
  <c r="D6" i="21"/>
  <c r="D12" i="21" s="1"/>
  <c r="S31" i="11"/>
  <c r="H106" i="10"/>
  <c r="P37" i="8"/>
  <c r="V231" i="16"/>
  <c r="V19" i="13"/>
  <c r="I205" i="16"/>
  <c r="J231" i="16" s="1"/>
  <c r="AS182" i="16"/>
  <c r="BE4" i="8"/>
  <c r="BG4" i="8"/>
  <c r="V35" i="10"/>
  <c r="J38" i="11"/>
  <c r="I21" i="27"/>
  <c r="P129" i="4"/>
  <c r="K83" i="27"/>
  <c r="H26" i="32"/>
  <c r="M92" i="9"/>
  <c r="Q37" i="8"/>
  <c r="BF1" i="8"/>
  <c r="BH1" i="8"/>
  <c r="BI7" i="8"/>
  <c r="H81" i="35"/>
  <c r="BB1" i="8"/>
  <c r="I106" i="10"/>
  <c r="L86" i="4"/>
  <c r="W35" i="19"/>
  <c r="V13" i="13"/>
  <c r="AP37" i="7"/>
  <c r="AP38" i="7" s="1"/>
  <c r="F106" i="10"/>
  <c r="F23" i="27" s="1"/>
  <c r="H13" i="20"/>
  <c r="AS184" i="16"/>
  <c r="P127" i="4"/>
  <c r="J7" i="6"/>
  <c r="N86" i="4"/>
  <c r="M94" i="9"/>
  <c r="BD33" i="8"/>
  <c r="BD1" i="8"/>
  <c r="N60" i="27"/>
  <c r="O39" i="27"/>
  <c r="N143" i="10"/>
  <c r="O143" i="10"/>
  <c r="D104" i="9"/>
  <c r="V83" i="9"/>
  <c r="W10" i="12"/>
  <c r="N37" i="12"/>
  <c r="D103" i="9"/>
  <c r="F92" i="27" s="1"/>
  <c r="BJ27" i="8"/>
  <c r="BI27" i="8"/>
  <c r="H84" i="9"/>
  <c r="H93" i="9" s="1"/>
  <c r="K75" i="4"/>
  <c r="H72" i="9"/>
  <c r="O10" i="12"/>
  <c r="N10" i="12"/>
  <c r="I58" i="27"/>
  <c r="U96" i="9"/>
  <c r="W89" i="9"/>
  <c r="Y88" i="9"/>
  <c r="T89" i="9"/>
  <c r="H122" i="10" s="1"/>
  <c r="R89" i="9"/>
  <c r="U89" i="9"/>
  <c r="U137" i="10" s="1"/>
  <c r="V89" i="9"/>
  <c r="X89" i="9"/>
  <c r="Y89" i="9"/>
  <c r="Q89" i="9"/>
  <c r="Z89" i="9"/>
  <c r="AA89" i="9"/>
  <c r="AB89" i="9"/>
  <c r="AC89" i="9"/>
  <c r="AD89" i="9"/>
  <c r="AE89" i="9"/>
  <c r="N89" i="9"/>
  <c r="O89" i="9"/>
  <c r="AF89" i="9"/>
  <c r="P89" i="9"/>
  <c r="P125" i="10" s="1"/>
  <c r="P126" i="10" s="1"/>
  <c r="AG89" i="9"/>
  <c r="S89" i="9"/>
  <c r="L104" i="9"/>
  <c r="V84" i="9"/>
  <c r="W85" i="9" s="1"/>
  <c r="W72" i="9"/>
  <c r="M127" i="4"/>
  <c r="V72" i="9"/>
  <c r="AT32" i="7"/>
  <c r="W30" i="10"/>
  <c r="AU23" i="16"/>
  <c r="P116" i="13"/>
  <c r="Q113" i="13" s="1"/>
  <c r="V73" i="17"/>
  <c r="V14" i="13" s="1"/>
  <c r="W74" i="17"/>
  <c r="W44" i="4"/>
  <c r="X156" i="16"/>
  <c r="X157" i="16" s="1"/>
  <c r="AU83" i="16"/>
  <c r="M103" i="9"/>
  <c r="M83" i="9"/>
  <c r="AS183" i="16"/>
  <c r="Q56" i="4"/>
  <c r="W50" i="10"/>
  <c r="W51" i="10"/>
  <c r="W229" i="16"/>
  <c r="W231" i="16"/>
  <c r="W226" i="16"/>
  <c r="W230" i="16"/>
  <c r="W232" i="16"/>
  <c r="U219" i="16"/>
  <c r="V36" i="18"/>
  <c r="W6" i="13" s="1"/>
  <c r="M24" i="6"/>
  <c r="N17" i="11"/>
  <c r="Q100" i="4" s="1"/>
  <c r="V206" i="16"/>
  <c r="V227" i="16" s="1"/>
  <c r="V220" i="16"/>
  <c r="AQ159" i="16"/>
  <c r="W140" i="10"/>
  <c r="W215" i="16"/>
  <c r="W224" i="16" s="1"/>
  <c r="W199" i="16"/>
  <c r="X199" i="16"/>
  <c r="X215" i="16"/>
  <c r="O129" i="16"/>
  <c r="V199" i="16"/>
  <c r="V215" i="16"/>
  <c r="V224" i="16" s="1"/>
  <c r="P13" i="19"/>
  <c r="AM219" i="16"/>
  <c r="V219" i="16"/>
  <c r="V226" i="16" s="1"/>
  <c r="W37" i="12"/>
  <c r="W5" i="12"/>
  <c r="C26" i="32"/>
  <c r="W6" i="12"/>
  <c r="W7" i="12" s="1"/>
  <c r="W7" i="11" s="1"/>
  <c r="W10" i="11" s="1"/>
  <c r="BB33" i="8"/>
  <c r="AS155" i="16"/>
  <c r="AS66" i="16"/>
  <c r="AM198" i="16"/>
  <c r="U215" i="16"/>
  <c r="U199" i="16"/>
  <c r="W223" i="16"/>
  <c r="W214" i="16"/>
  <c r="AS162" i="16"/>
  <c r="V223" i="16"/>
  <c r="V214" i="16"/>
  <c r="AS62" i="16"/>
  <c r="AV9" i="8"/>
  <c r="I72" i="9"/>
  <c r="L75" i="4"/>
  <c r="F58" i="27"/>
  <c r="D56" i="27"/>
  <c r="N110" i="9"/>
  <c r="N107" i="9"/>
  <c r="Q68" i="4"/>
  <c r="T37" i="12"/>
  <c r="O56" i="27"/>
  <c r="N84" i="9"/>
  <c r="Q81" i="4" s="1"/>
  <c r="S37" i="12"/>
  <c r="R17" i="11"/>
  <c r="U100" i="4" s="1"/>
  <c r="G106" i="9"/>
  <c r="D110" i="9"/>
  <c r="C39" i="27"/>
  <c r="E83" i="9"/>
  <c r="N96" i="9"/>
  <c r="N142" i="10"/>
  <c r="O62" i="27"/>
  <c r="N44" i="9"/>
  <c r="Q62" i="4"/>
  <c r="Q126" i="4" s="1"/>
  <c r="N106" i="9"/>
  <c r="O105" i="24"/>
  <c r="F16" i="32"/>
  <c r="M17" i="11"/>
  <c r="P100" i="4" s="1"/>
  <c r="H17" i="32"/>
  <c r="H18" i="32" s="1"/>
  <c r="Q75" i="4"/>
  <c r="M83" i="27"/>
  <c r="H16" i="32"/>
  <c r="N109" i="9"/>
  <c r="O159" i="16"/>
  <c r="Z100" i="10"/>
  <c r="AA100" i="10" s="1"/>
  <c r="AB100" i="10" s="1"/>
  <c r="AC100" i="10" s="1"/>
  <c r="AD100" i="10" s="1"/>
  <c r="AE100" i="10" s="1"/>
  <c r="AF100" i="10" s="1"/>
  <c r="AG100" i="10" s="1"/>
  <c r="AB31" i="4"/>
  <c r="AB32" i="4"/>
  <c r="O106" i="9"/>
  <c r="P33" i="4"/>
  <c r="E26" i="32"/>
  <c r="Q37" i="12"/>
  <c r="AA26" i="8"/>
  <c r="Q3" i="25"/>
  <c r="T3" i="25" s="1"/>
  <c r="BR27" i="8"/>
  <c r="E3" i="8"/>
  <c r="AG138" i="16"/>
  <c r="R209" i="16"/>
  <c r="R179" i="16"/>
  <c r="AN206" i="16"/>
  <c r="AN227" i="16" s="1"/>
  <c r="AI138" i="16"/>
  <c r="L148" i="16"/>
  <c r="AI149" i="16"/>
  <c r="L147" i="16"/>
  <c r="AG24" i="16"/>
  <c r="AG44" i="16" s="1"/>
  <c r="AC127" i="16"/>
  <c r="AI155" i="16"/>
  <c r="M179" i="16"/>
  <c r="L185" i="16"/>
  <c r="AG173" i="16"/>
  <c r="P147" i="16"/>
  <c r="E52" i="16"/>
  <c r="L184" i="16"/>
  <c r="AI173" i="16"/>
  <c r="AN231" i="16"/>
  <c r="AI150" i="16"/>
  <c r="L183" i="16"/>
  <c r="AI13" i="16"/>
  <c r="L189" i="16"/>
  <c r="L186" i="16"/>
  <c r="AL206" i="16"/>
  <c r="AL227" i="16" s="1"/>
  <c r="AG149" i="16"/>
  <c r="AN220" i="16"/>
  <c r="L149" i="16"/>
  <c r="M209" i="16"/>
  <c r="M92" i="16"/>
  <c r="L151" i="16"/>
  <c r="AA143" i="16"/>
  <c r="AA151" i="16" s="1"/>
  <c r="AE121" i="16"/>
  <c r="AG122" i="16" s="1"/>
  <c r="U77" i="16"/>
  <c r="O157" i="16"/>
  <c r="U164" i="16"/>
  <c r="V165" i="16" s="1"/>
  <c r="AE107" i="16"/>
  <c r="U107" i="16"/>
  <c r="O76" i="16"/>
  <c r="O110" i="16"/>
  <c r="U106" i="16"/>
  <c r="AT220" i="16"/>
  <c r="AT206" i="16"/>
  <c r="AT227" i="16" s="1"/>
  <c r="AT232" i="16"/>
  <c r="AT229" i="16"/>
  <c r="AT230" i="16"/>
  <c r="AT226" i="16"/>
  <c r="AT231" i="16"/>
  <c r="AA121" i="16"/>
  <c r="O77" i="16"/>
  <c r="AG84" i="16"/>
  <c r="U110" i="16"/>
  <c r="U76" i="16"/>
  <c r="AT214" i="16"/>
  <c r="V92" i="16"/>
  <c r="AT223" i="16"/>
  <c r="AE93" i="16"/>
  <c r="AT224" i="16"/>
  <c r="U92" i="16"/>
  <c r="O108" i="16"/>
  <c r="Q159" i="16"/>
  <c r="U108" i="16"/>
  <c r="P213" i="16"/>
  <c r="P232" i="16" s="1"/>
  <c r="Q213" i="16"/>
  <c r="AM159" i="16"/>
  <c r="M150" i="16"/>
  <c r="Q50" i="16"/>
  <c r="M148" i="16"/>
  <c r="M147" i="16"/>
  <c r="H165" i="16"/>
  <c r="M144" i="16"/>
  <c r="F165" i="16"/>
  <c r="M149" i="16"/>
  <c r="F52" i="16"/>
  <c r="H52" i="16"/>
  <c r="AK159" i="16"/>
  <c r="M213" i="16"/>
  <c r="H51" i="16"/>
  <c r="L164" i="16"/>
  <c r="M165" i="16" s="1"/>
  <c r="AC84" i="16"/>
  <c r="AR201" i="16"/>
  <c r="O128" i="16"/>
  <c r="AM210" i="16"/>
  <c r="AI151" i="16"/>
  <c r="N150" i="16"/>
  <c r="N108" i="16"/>
  <c r="AC121" i="16"/>
  <c r="N109" i="16"/>
  <c r="N77" i="16"/>
  <c r="AC93" i="16"/>
  <c r="L163" i="16"/>
  <c r="N92" i="16"/>
  <c r="AC158" i="16"/>
  <c r="AC159" i="16" s="1"/>
  <c r="N148" i="16"/>
  <c r="L108" i="16"/>
  <c r="N106" i="16"/>
  <c r="AE84" i="16"/>
  <c r="N144" i="16"/>
  <c r="N25" i="16"/>
  <c r="L76" i="16"/>
  <c r="N147" i="16"/>
  <c r="P76" i="16"/>
  <c r="L109" i="16"/>
  <c r="L110" i="16"/>
  <c r="L77" i="16"/>
  <c r="N151" i="16"/>
  <c r="N107" i="16"/>
  <c r="L107" i="16"/>
  <c r="P163" i="16"/>
  <c r="O92" i="16"/>
  <c r="N76" i="16"/>
  <c r="L92" i="16"/>
  <c r="AB165" i="16"/>
  <c r="BR24" i="8"/>
  <c r="BS24" i="8" s="1"/>
  <c r="BR17" i="8"/>
  <c r="BS17" i="8" s="1"/>
  <c r="BR23" i="8"/>
  <c r="BS23" i="8" s="1"/>
  <c r="BR19" i="8"/>
  <c r="BS19" i="8" s="1"/>
  <c r="BR10" i="8"/>
  <c r="BS10" i="8" s="1"/>
  <c r="BR7" i="8"/>
  <c r="BS7" i="8" s="1"/>
  <c r="BR22" i="8"/>
  <c r="BS22" i="8" s="1"/>
  <c r="BR13" i="8"/>
  <c r="BS13" i="8" s="1"/>
  <c r="BR20" i="8"/>
  <c r="BS20" i="8" s="1"/>
  <c r="BR8" i="8"/>
  <c r="BS8" i="8" s="1"/>
  <c r="BR18" i="8"/>
  <c r="BS18" i="8" s="1"/>
  <c r="BB32" i="8"/>
  <c r="AP21" i="8"/>
  <c r="AP36" i="8" s="1"/>
  <c r="AD3" i="8"/>
  <c r="BB31" i="8"/>
  <c r="AF36" i="8"/>
  <c r="AF3" i="8"/>
  <c r="AB25" i="8"/>
  <c r="T2" i="8"/>
  <c r="O30" i="8"/>
  <c r="AN1" i="8"/>
  <c r="S37" i="8"/>
  <c r="BQ25" i="8"/>
  <c r="AN33" i="8"/>
  <c r="AN214" i="16"/>
  <c r="AV33" i="8"/>
  <c r="BE35" i="8"/>
  <c r="AN229" i="16"/>
  <c r="AN230" i="16"/>
  <c r="S5" i="25"/>
  <c r="AN224" i="16"/>
  <c r="AN232" i="16"/>
  <c r="AN223" i="16"/>
  <c r="O37" i="8"/>
  <c r="AL220" i="16"/>
  <c r="AL201" i="16"/>
  <c r="AN218" i="16" s="1"/>
  <c r="AN225" i="16" s="1"/>
  <c r="AN31" i="8"/>
  <c r="Q21" i="8"/>
  <c r="Q25" i="8" s="1"/>
  <c r="Q35" i="8" s="1"/>
  <c r="AZ9" i="8"/>
  <c r="AZ30" i="8" s="1"/>
  <c r="O2" i="8"/>
  <c r="R37" i="8"/>
  <c r="Q2" i="8"/>
  <c r="AV32" i="8"/>
  <c r="AR33" i="8"/>
  <c r="AX1" i="8"/>
  <c r="AV31" i="8"/>
  <c r="AV1" i="8"/>
  <c r="M37" i="8"/>
  <c r="R2" i="8"/>
  <c r="BB9" i="8"/>
  <c r="BB2" i="8" s="1"/>
  <c r="R21" i="8"/>
  <c r="S3" i="8" s="1"/>
  <c r="R30" i="8"/>
  <c r="O219" i="16"/>
  <c r="L6" i="25"/>
  <c r="L11" i="25" s="1"/>
  <c r="BO25" i="8"/>
  <c r="BA26" i="8"/>
  <c r="BA4" i="8" s="1"/>
  <c r="S32" i="7"/>
  <c r="O198" i="16"/>
  <c r="O201" i="16" s="1"/>
  <c r="AP18" i="8"/>
  <c r="E51" i="16"/>
  <c r="D43" i="9"/>
  <c r="D1" i="9" s="1"/>
  <c r="P27" i="17"/>
  <c r="AZ31" i="8"/>
  <c r="I104" i="10"/>
  <c r="J24" i="6"/>
  <c r="Q184" i="16"/>
  <c r="I110" i="10"/>
  <c r="AZ33" i="8"/>
  <c r="K133" i="10"/>
  <c r="K134" i="10" s="1"/>
  <c r="J205" i="16"/>
  <c r="K230" i="16" s="1"/>
  <c r="K110" i="10"/>
  <c r="Q185" i="16"/>
  <c r="Q189" i="16"/>
  <c r="G44" i="9"/>
  <c r="J21" i="27"/>
  <c r="L205" i="16"/>
  <c r="L201" i="16" s="1"/>
  <c r="E16" i="32"/>
  <c r="AI159" i="16"/>
  <c r="AE32" i="7"/>
  <c r="AG178" i="16"/>
  <c r="AG164" i="16" s="1"/>
  <c r="AG165" i="16" s="1"/>
  <c r="V17" i="10"/>
  <c r="V37" i="10"/>
  <c r="U15" i="18"/>
  <c r="L21" i="27"/>
  <c r="E17" i="32"/>
  <c r="E18" i="32" s="1"/>
  <c r="AU35" i="8"/>
  <c r="Q183" i="16"/>
  <c r="X13" i="22"/>
  <c r="X139" i="16"/>
  <c r="AE127" i="16"/>
  <c r="AG128" i="16" s="1"/>
  <c r="AR37" i="7"/>
  <c r="AS38" i="7" s="1"/>
  <c r="AZ1" i="8"/>
  <c r="Q186" i="16"/>
  <c r="AZ32" i="8"/>
  <c r="AE90" i="16"/>
  <c r="AR32" i="7"/>
  <c r="Q182" i="16"/>
  <c r="H7" i="6"/>
  <c r="H8" i="6" s="1"/>
  <c r="K106" i="10"/>
  <c r="J58" i="27"/>
  <c r="I15" i="18"/>
  <c r="I112" i="10"/>
  <c r="I139" i="10" s="1"/>
  <c r="AS139" i="16"/>
  <c r="W140" i="16"/>
  <c r="P37" i="12"/>
  <c r="R33" i="4"/>
  <c r="N32" i="10"/>
  <c r="O32" i="10"/>
  <c r="K37" i="10"/>
  <c r="G133" i="10"/>
  <c r="G145" i="10" s="1"/>
  <c r="H21" i="27"/>
  <c r="G205" i="16"/>
  <c r="H231" i="16" s="1"/>
  <c r="K13" i="19"/>
  <c r="F7" i="6"/>
  <c r="F24" i="6" s="1"/>
  <c r="H104" i="10"/>
  <c r="F21" i="27"/>
  <c r="F104" i="10"/>
  <c r="G110" i="10"/>
  <c r="J15" i="18"/>
  <c r="G112" i="10"/>
  <c r="G139" i="10" s="1"/>
  <c r="F17" i="6" s="1"/>
  <c r="D13" i="20"/>
  <c r="K17" i="10"/>
  <c r="S33" i="4"/>
  <c r="R10" i="12"/>
  <c r="E29" i="35"/>
  <c r="O142" i="10"/>
  <c r="V81" i="35"/>
  <c r="V82" i="35" s="1"/>
  <c r="V86" i="35" s="1"/>
  <c r="O107" i="16"/>
  <c r="AU26" i="8"/>
  <c r="AB2" i="8"/>
  <c r="L106" i="9"/>
  <c r="X27" i="11"/>
  <c r="AA106" i="4" s="1"/>
  <c r="L96" i="9"/>
  <c r="AM110" i="16"/>
  <c r="Q204" i="16"/>
  <c r="AT17" i="8"/>
  <c r="AT33" i="8" s="1"/>
  <c r="AT37" i="8" s="1"/>
  <c r="N33" i="8"/>
  <c r="N37" i="8" s="1"/>
  <c r="J37" i="10"/>
  <c r="AO186" i="16"/>
  <c r="Q42" i="16"/>
  <c r="Q43" i="16"/>
  <c r="R25" i="16"/>
  <c r="M44" i="16"/>
  <c r="U74" i="16"/>
  <c r="M42" i="16"/>
  <c r="M52" i="16" s="1"/>
  <c r="M25" i="16"/>
  <c r="J27" i="17"/>
  <c r="J17" i="10"/>
  <c r="M49" i="16"/>
  <c r="M50" i="16"/>
  <c r="Q77" i="16"/>
  <c r="Q25" i="16"/>
  <c r="U78" i="16"/>
  <c r="Q92" i="16"/>
  <c r="R165" i="16"/>
  <c r="AM109" i="16"/>
  <c r="AM107" i="16"/>
  <c r="AS163" i="16"/>
  <c r="C13" i="20"/>
  <c r="P110" i="16"/>
  <c r="AB92" i="16"/>
  <c r="P77" i="16"/>
  <c r="M77" i="16"/>
  <c r="P92" i="16"/>
  <c r="P108" i="16"/>
  <c r="AM108" i="16"/>
  <c r="AK183" i="16"/>
  <c r="AO183" i="16"/>
  <c r="AO185" i="16"/>
  <c r="AQ186" i="16"/>
  <c r="AI74" i="16"/>
  <c r="F51" i="16"/>
  <c r="AI144" i="16"/>
  <c r="AA106" i="16"/>
  <c r="O106" i="16"/>
  <c r="AC120" i="16"/>
  <c r="P150" i="16"/>
  <c r="J165" i="16"/>
  <c r="P144" i="16"/>
  <c r="Q144" i="16"/>
  <c r="K76" i="16"/>
  <c r="P151" i="16"/>
  <c r="Q44" i="16"/>
  <c r="G69" i="14"/>
  <c r="G45" i="14" s="1"/>
  <c r="T29" i="14"/>
  <c r="T47" i="14" s="1"/>
  <c r="E18" i="14"/>
  <c r="V13" i="14"/>
  <c r="L35" i="11"/>
  <c r="L38" i="11"/>
  <c r="E7" i="6"/>
  <c r="E24" i="6" s="1"/>
  <c r="F112" i="10"/>
  <c r="F139" i="10" s="1"/>
  <c r="E17" i="6" s="1"/>
  <c r="N112" i="10"/>
  <c r="L25" i="8" s="1"/>
  <c r="T37" i="8"/>
  <c r="G104" i="10"/>
  <c r="Z21" i="8"/>
  <c r="Z25" i="8" s="1"/>
  <c r="Z35" i="8" s="1"/>
  <c r="E35" i="11"/>
  <c r="N104" i="10"/>
  <c r="AP33" i="8"/>
  <c r="AR31" i="8"/>
  <c r="G6" i="12"/>
  <c r="D35" i="11"/>
  <c r="AA79" i="9"/>
  <c r="G52" i="16"/>
  <c r="AQ179" i="16"/>
  <c r="AG124" i="16"/>
  <c r="O183" i="16"/>
  <c r="R199" i="16"/>
  <c r="AO164" i="16"/>
  <c r="AS179" i="16"/>
  <c r="AK148" i="16"/>
  <c r="AD165" i="16"/>
  <c r="AO108" i="16"/>
  <c r="L219" i="16"/>
  <c r="L157" i="16"/>
  <c r="AG148" i="16"/>
  <c r="AY38" i="7"/>
  <c r="BF9" i="8"/>
  <c r="BF2" i="8" s="1"/>
  <c r="T30" i="8"/>
  <c r="T21" i="8"/>
  <c r="AA108" i="16"/>
  <c r="AS88" i="16"/>
  <c r="Q108" i="4"/>
  <c r="J104" i="9"/>
  <c r="O51" i="16"/>
  <c r="L159" i="16"/>
  <c r="K182" i="16"/>
  <c r="P6" i="25"/>
  <c r="P11" i="25" s="1"/>
  <c r="Q10" i="12"/>
  <c r="AA109" i="16"/>
  <c r="D109" i="9"/>
  <c r="M84" i="15"/>
  <c r="M87" i="15" s="1"/>
  <c r="M89" i="15" s="1"/>
  <c r="E32" i="35"/>
  <c r="AQ183" i="16"/>
  <c r="G51" i="16"/>
  <c r="N38" i="10"/>
  <c r="AQ182" i="16"/>
  <c r="AX38" i="7"/>
  <c r="K18" i="14"/>
  <c r="K46" i="14" s="1"/>
  <c r="AA107" i="16"/>
  <c r="O81" i="27"/>
  <c r="E33" i="35"/>
  <c r="P128" i="16"/>
  <c r="AQ184" i="16"/>
  <c r="N68" i="13"/>
  <c r="M6" i="12"/>
  <c r="W158" i="16"/>
  <c r="W159" i="16" s="1"/>
  <c r="AS85" i="16"/>
  <c r="S165" i="16"/>
  <c r="P155" i="16"/>
  <c r="AS121" i="16"/>
  <c r="AS136" i="16"/>
  <c r="I104" i="9"/>
  <c r="Q110" i="4"/>
  <c r="AL31" i="8"/>
  <c r="V18" i="14"/>
  <c r="W72" i="16"/>
  <c r="AS71" i="16"/>
  <c r="N38" i="11"/>
  <c r="L33" i="10"/>
  <c r="L32" i="10"/>
  <c r="AS90" i="16"/>
  <c r="AS127" i="16"/>
  <c r="S106" i="9"/>
  <c r="I84" i="9"/>
  <c r="I95" i="9" s="1"/>
  <c r="J91" i="27" s="1"/>
  <c r="O83" i="27"/>
  <c r="J33" i="10"/>
  <c r="K108" i="4"/>
  <c r="AO182" i="16"/>
  <c r="L79" i="5"/>
  <c r="K29" i="5"/>
  <c r="L40" i="5"/>
  <c r="L90" i="5" s="1"/>
  <c r="AT38" i="7"/>
  <c r="AQ122" i="16"/>
  <c r="S34" i="37"/>
  <c r="K127" i="4"/>
  <c r="J32" i="10"/>
  <c r="Q105" i="24"/>
  <c r="BF32" i="8"/>
  <c r="BI32" i="8" s="1"/>
  <c r="BF31" i="8"/>
  <c r="BI31" i="8" s="1"/>
  <c r="BF33" i="8"/>
  <c r="AM128" i="16"/>
  <c r="P149" i="16"/>
  <c r="P148" i="16"/>
  <c r="K92" i="16"/>
  <c r="AO179" i="16"/>
  <c r="N51" i="16"/>
  <c r="AM157" i="16"/>
  <c r="AI157" i="16"/>
  <c r="P109" i="16"/>
  <c r="P106" i="16"/>
  <c r="P107" i="16"/>
  <c r="AM155" i="16"/>
  <c r="AQ120" i="16"/>
  <c r="AM183" i="16"/>
  <c r="AO163" i="16"/>
  <c r="AO44" i="16"/>
  <c r="AM124" i="16"/>
  <c r="AM182" i="16"/>
  <c r="I231" i="16"/>
  <c r="T215" i="16"/>
  <c r="J130" i="16"/>
  <c r="AX37" i="8"/>
  <c r="L36" i="8"/>
  <c r="AW26" i="8"/>
  <c r="AW35" i="8"/>
  <c r="T199" i="16"/>
  <c r="AL50" i="7"/>
  <c r="AN51" i="7" s="1"/>
  <c r="AR220" i="16"/>
  <c r="AR206" i="16"/>
  <c r="AR227" i="16" s="1"/>
  <c r="AJ50" i="7"/>
  <c r="AJ51" i="7" s="1"/>
  <c r="BL25" i="8"/>
  <c r="AP218" i="16"/>
  <c r="AP225" i="16" s="1"/>
  <c r="R106" i="9"/>
  <c r="V44" i="9"/>
  <c r="X62" i="4"/>
  <c r="V41" i="14"/>
  <c r="V40" i="14"/>
  <c r="AM211" i="16"/>
  <c r="AI108" i="16"/>
  <c r="AE110" i="16"/>
  <c r="L18" i="14"/>
  <c r="L46" i="14" s="1"/>
  <c r="AN49" i="7"/>
  <c r="AI182" i="16"/>
  <c r="AK157" i="16"/>
  <c r="AK155" i="16"/>
  <c r="M157" i="16"/>
  <c r="S8" i="37"/>
  <c r="O68" i="13"/>
  <c r="O64" i="13"/>
  <c r="P159" i="16"/>
  <c r="N24" i="10"/>
  <c r="N23" i="10"/>
  <c r="AE119" i="16"/>
  <c r="AG134" i="16"/>
  <c r="K52" i="13"/>
  <c r="J52" i="13"/>
  <c r="AE148" i="16"/>
  <c r="AG110" i="16"/>
  <c r="N57" i="14"/>
  <c r="AG108" i="16"/>
  <c r="O24" i="10"/>
  <c r="O23" i="10"/>
  <c r="I21" i="8"/>
  <c r="I30" i="8"/>
  <c r="AJ9" i="8"/>
  <c r="AJ30" i="8" s="1"/>
  <c r="M71" i="9"/>
  <c r="M72" i="9" s="1"/>
  <c r="N57" i="27"/>
  <c r="P106" i="9"/>
  <c r="AM149" i="16"/>
  <c r="AI163" i="16"/>
  <c r="J46" i="13"/>
  <c r="J43" i="13" s="1"/>
  <c r="L85" i="27"/>
  <c r="L129" i="16"/>
  <c r="M130" i="16" s="1"/>
  <c r="AL49" i="7"/>
  <c r="AU32" i="7"/>
  <c r="AE134" i="16"/>
  <c r="AQ37" i="7"/>
  <c r="AG107" i="16"/>
  <c r="AM122" i="16"/>
  <c r="V24" i="10"/>
  <c r="V23" i="10"/>
  <c r="P212" i="16"/>
  <c r="P231" i="16" s="1"/>
  <c r="Q212" i="16"/>
  <c r="G3" i="26"/>
  <c r="G11" i="26" s="1"/>
  <c r="F11" i="26"/>
  <c r="AC86" i="16"/>
  <c r="AC123" i="16"/>
  <c r="AC124" i="16" s="1"/>
  <c r="AE86" i="16"/>
  <c r="AK124" i="16"/>
  <c r="AQ124" i="16"/>
  <c r="J30" i="8"/>
  <c r="J2" i="8"/>
  <c r="AC91" i="16"/>
  <c r="AC92" i="16" s="1"/>
  <c r="N52" i="16"/>
  <c r="K13" i="16"/>
  <c r="K24" i="16"/>
  <c r="L13" i="16"/>
  <c r="M38" i="10"/>
  <c r="Y32" i="7"/>
  <c r="J103" i="9"/>
  <c r="AE47" i="7"/>
  <c r="I165" i="16"/>
  <c r="K107" i="16"/>
  <c r="K109" i="16"/>
  <c r="K110" i="16"/>
  <c r="K108" i="16"/>
  <c r="K106" i="16"/>
  <c r="AL1" i="8"/>
  <c r="AL9" i="8"/>
  <c r="AL32" i="8"/>
  <c r="E7" i="12"/>
  <c r="E7" i="11" s="1"/>
  <c r="D67" i="27" s="1"/>
  <c r="J57" i="14"/>
  <c r="M57" i="14"/>
  <c r="Q106" i="9"/>
  <c r="E3" i="25"/>
  <c r="AP1" i="8"/>
  <c r="AP32" i="8"/>
  <c r="S51" i="16"/>
  <c r="Q18" i="14"/>
  <c r="Q46" i="14" s="1"/>
  <c r="V142" i="10"/>
  <c r="P64" i="4"/>
  <c r="R81" i="27"/>
  <c r="T108" i="4"/>
  <c r="M25" i="4"/>
  <c r="M26" i="4"/>
  <c r="M33" i="4" s="1"/>
  <c r="AP9" i="8"/>
  <c r="L30" i="8"/>
  <c r="P23" i="10"/>
  <c r="Q23" i="10"/>
  <c r="P24" i="10"/>
  <c r="AL33" i="8"/>
  <c r="I83" i="9"/>
  <c r="J18" i="14"/>
  <c r="J46" i="14" s="1"/>
  <c r="P10" i="12"/>
  <c r="L6" i="12"/>
  <c r="O18" i="14"/>
  <c r="O46" i="14" s="1"/>
  <c r="P57" i="14"/>
  <c r="H76" i="14"/>
  <c r="U104" i="9"/>
  <c r="U6" i="12"/>
  <c r="V7" i="12" s="1"/>
  <c r="U103" i="9"/>
  <c r="S18" i="14"/>
  <c r="S46" i="14" s="1"/>
  <c r="F18" i="14"/>
  <c r="F46" i="14" s="1"/>
  <c r="L83" i="9"/>
  <c r="T6" i="12"/>
  <c r="H18" i="14"/>
  <c r="H46" i="14" s="1"/>
  <c r="F84" i="9"/>
  <c r="F95" i="9" s="1"/>
  <c r="F91" i="27" s="1"/>
  <c r="F72" i="9"/>
  <c r="K104" i="9"/>
  <c r="Q83" i="9"/>
  <c r="C91" i="27"/>
  <c r="C19" i="6"/>
  <c r="H95" i="9"/>
  <c r="AA154" i="16"/>
  <c r="AA178" i="16"/>
  <c r="AA182" i="16" s="1"/>
  <c r="G67" i="43"/>
  <c r="G1" i="43"/>
  <c r="G79" i="43"/>
  <c r="I31" i="5"/>
  <c r="I82" i="5"/>
  <c r="I43" i="5"/>
  <c r="I93" i="5" s="1"/>
  <c r="Z37" i="7"/>
  <c r="AD38" i="7" s="1"/>
  <c r="Z36" i="7"/>
  <c r="AD36" i="7"/>
  <c r="L82" i="35"/>
  <c r="N82" i="35" s="1"/>
  <c r="L101" i="35"/>
  <c r="R85" i="27"/>
  <c r="R129" i="16"/>
  <c r="X107" i="10"/>
  <c r="Z32" i="7"/>
  <c r="AD32" i="7"/>
  <c r="AC140" i="16"/>
  <c r="W11" i="22"/>
  <c r="X9" i="22"/>
  <c r="X87" i="16"/>
  <c r="AE25" i="16"/>
  <c r="AE50" i="16"/>
  <c r="AE43" i="16"/>
  <c r="AE42" i="16"/>
  <c r="Z26" i="22"/>
  <c r="W21" i="13" s="1"/>
  <c r="X32" i="7"/>
  <c r="X37" i="7"/>
  <c r="C60" i="39"/>
  <c r="I60" i="39" s="1"/>
  <c r="I56" i="39"/>
  <c r="M42" i="6"/>
  <c r="AM164" i="16"/>
  <c r="AM179" i="16"/>
  <c r="AM209" i="16"/>
  <c r="AM184" i="16"/>
  <c r="D27" i="35"/>
  <c r="D37" i="35"/>
  <c r="D38" i="35" s="1"/>
  <c r="R44" i="14"/>
  <c r="R60" i="14"/>
  <c r="S69" i="14"/>
  <c r="S45" i="14" s="1"/>
  <c r="I229" i="16"/>
  <c r="H201" i="16"/>
  <c r="I230" i="16"/>
  <c r="I232" i="16"/>
  <c r="T242" i="16"/>
  <c r="V37" i="7"/>
  <c r="V36" i="7"/>
  <c r="G130" i="16"/>
  <c r="X128" i="4"/>
  <c r="J5" i="12"/>
  <c r="J6" i="12" s="1"/>
  <c r="J37" i="12"/>
  <c r="R76" i="14"/>
  <c r="I32" i="45"/>
  <c r="K30" i="45"/>
  <c r="O14" i="45"/>
  <c r="O16" i="45" s="1"/>
  <c r="X23" i="16"/>
  <c r="K58" i="27"/>
  <c r="J84" i="9"/>
  <c r="J95" i="9" s="1"/>
  <c r="M75" i="4"/>
  <c r="J72" i="9"/>
  <c r="J107" i="9"/>
  <c r="P51" i="16"/>
  <c r="P52" i="16"/>
  <c r="AQ157" i="16"/>
  <c r="AI124" i="16"/>
  <c r="L38" i="10"/>
  <c r="AF49" i="7"/>
  <c r="AD49" i="7"/>
  <c r="AN38" i="7"/>
  <c r="O25" i="8"/>
  <c r="O35" i="8" s="1"/>
  <c r="O34" i="8"/>
  <c r="O36" i="8"/>
  <c r="P83" i="9"/>
  <c r="AI44" i="16"/>
  <c r="AM216" i="16"/>
  <c r="AK186" i="16"/>
  <c r="N18" i="14"/>
  <c r="N46" i="14" s="1"/>
  <c r="C21" i="27"/>
  <c r="D133" i="10"/>
  <c r="D106" i="10"/>
  <c r="C23" i="27" s="1"/>
  <c r="D110" i="10"/>
  <c r="D112" i="10"/>
  <c r="C7" i="6"/>
  <c r="F103" i="35"/>
  <c r="F102" i="35"/>
  <c r="T20" i="13"/>
  <c r="T5" i="13"/>
  <c r="T4" i="13"/>
  <c r="T15" i="11"/>
  <c r="J12" i="5"/>
  <c r="J62" i="5" s="1"/>
  <c r="T12" i="13"/>
  <c r="T44" i="9"/>
  <c r="W62" i="4"/>
  <c r="U142" i="10"/>
  <c r="P25" i="13"/>
  <c r="P47" i="13"/>
  <c r="J27" i="27"/>
  <c r="J24" i="27" s="1"/>
  <c r="I4" i="11"/>
  <c r="L37" i="4"/>
  <c r="Q101" i="9"/>
  <c r="Q103" i="9"/>
  <c r="Q104" i="9"/>
  <c r="F134" i="10"/>
  <c r="F145" i="10"/>
  <c r="N56" i="13"/>
  <c r="N43" i="13" s="1"/>
  <c r="N135" i="10" s="1"/>
  <c r="N26" i="13"/>
  <c r="N58" i="13"/>
  <c r="AO120" i="16"/>
  <c r="P43" i="35"/>
  <c r="P42" i="35"/>
  <c r="P81" i="35"/>
  <c r="T81" i="27"/>
  <c r="V108" i="4"/>
  <c r="V34" i="19"/>
  <c r="V10" i="13" s="1"/>
  <c r="D45" i="17"/>
  <c r="AK92" i="16"/>
  <c r="AK109" i="16"/>
  <c r="AK106" i="16"/>
  <c r="AO49" i="16"/>
  <c r="AO50" i="16"/>
  <c r="AO25" i="16"/>
  <c r="H37" i="12"/>
  <c r="H5" i="12"/>
  <c r="H6" i="12" s="1"/>
  <c r="N85" i="27"/>
  <c r="N129" i="16"/>
  <c r="N130" i="16" s="1"/>
  <c r="Q47" i="13"/>
  <c r="Q25" i="13"/>
  <c r="O150" i="16"/>
  <c r="BQ26" i="8"/>
  <c r="S52" i="16"/>
  <c r="AM148" i="16"/>
  <c r="R101" i="9"/>
  <c r="R137" i="10" s="1"/>
  <c r="R103" i="9"/>
  <c r="R104" i="9"/>
  <c r="W62" i="16"/>
  <c r="K21" i="27"/>
  <c r="K205" i="16"/>
  <c r="J106" i="10"/>
  <c r="J133" i="10"/>
  <c r="J104" i="10"/>
  <c r="J112" i="10"/>
  <c r="J110" i="10"/>
  <c r="I24" i="6"/>
  <c r="I7" i="6"/>
  <c r="X61" i="16"/>
  <c r="AU61" i="16" s="1"/>
  <c r="AU62" i="16" s="1"/>
  <c r="O37" i="12"/>
  <c r="O5" i="12"/>
  <c r="O6" i="12" s="1"/>
  <c r="R47" i="13"/>
  <c r="R43" i="13"/>
  <c r="R25" i="13"/>
  <c r="K4" i="25"/>
  <c r="K9" i="25" s="1"/>
  <c r="AV21" i="8"/>
  <c r="AV30" i="8"/>
  <c r="L27" i="27"/>
  <c r="L24" i="27" s="1"/>
  <c r="K4" i="11"/>
  <c r="K116" i="10"/>
  <c r="K139" i="10"/>
  <c r="K114" i="10"/>
  <c r="L87" i="27" s="1"/>
  <c r="K140" i="10"/>
  <c r="K131" i="10"/>
  <c r="K12" i="11"/>
  <c r="I25" i="8"/>
  <c r="N37" i="4"/>
  <c r="J26" i="6"/>
  <c r="J9" i="6"/>
  <c r="E26" i="35"/>
  <c r="AO128" i="16"/>
  <c r="AQ109" i="16"/>
  <c r="AQ92" i="16"/>
  <c r="AQ106" i="16"/>
  <c r="AQ107" i="16"/>
  <c r="P56" i="13"/>
  <c r="P43" i="13" s="1"/>
  <c r="P26" i="13"/>
  <c r="P58" i="13"/>
  <c r="AG92" i="16"/>
  <c r="AG109" i="16"/>
  <c r="AG106" i="16"/>
  <c r="K85" i="27"/>
  <c r="K129" i="16"/>
  <c r="AO124" i="16"/>
  <c r="AK15" i="16"/>
  <c r="AK46" i="16"/>
  <c r="X81" i="16"/>
  <c r="W7" i="10"/>
  <c r="P79" i="5"/>
  <c r="P40" i="5"/>
  <c r="P90" i="5" s="1"/>
  <c r="Q29" i="5"/>
  <c r="R29" i="5" s="1"/>
  <c r="P210" i="16"/>
  <c r="P229" i="16" s="1"/>
  <c r="Q210" i="16"/>
  <c r="F62" i="27"/>
  <c r="F44" i="9"/>
  <c r="F96" i="9"/>
  <c r="G142" i="10"/>
  <c r="H49" i="13"/>
  <c r="G49" i="13"/>
  <c r="G46" i="13"/>
  <c r="L179" i="16"/>
  <c r="K104" i="10"/>
  <c r="K76" i="14"/>
  <c r="AQ108" i="16"/>
  <c r="G42" i="6"/>
  <c r="G24" i="6"/>
  <c r="H25" i="6" s="1"/>
  <c r="AM42" i="16"/>
  <c r="K62" i="27"/>
  <c r="J44" i="9"/>
  <c r="M62" i="4"/>
  <c r="J96" i="9"/>
  <c r="K142" i="10"/>
  <c r="R58" i="27"/>
  <c r="Q84" i="9"/>
  <c r="Q95" i="9" s="1"/>
  <c r="T75" i="4"/>
  <c r="Q72" i="9"/>
  <c r="C112" i="10"/>
  <c r="B7" i="6"/>
  <c r="L47" i="13"/>
  <c r="L43" i="13"/>
  <c r="L25" i="13"/>
  <c r="L53" i="13"/>
  <c r="AK19" i="16"/>
  <c r="AK48" i="16"/>
  <c r="E5" i="25"/>
  <c r="S215" i="16"/>
  <c r="S199" i="16"/>
  <c r="AK198" i="16"/>
  <c r="K144" i="16"/>
  <c r="K147" i="16"/>
  <c r="K149" i="16"/>
  <c r="K151" i="16"/>
  <c r="K150" i="16"/>
  <c r="P180" i="16"/>
  <c r="P189" i="16"/>
  <c r="AE178" i="16"/>
  <c r="AE182" i="16" s="1"/>
  <c r="P184" i="16"/>
  <c r="P164" i="16"/>
  <c r="Q209" i="16"/>
  <c r="P209" i="16"/>
  <c r="Q179" i="16"/>
  <c r="P179" i="16"/>
  <c r="P185" i="16"/>
  <c r="P186" i="16"/>
  <c r="F27" i="32"/>
  <c r="F25" i="32"/>
  <c r="F26" i="32"/>
  <c r="L209" i="16"/>
  <c r="AC163" i="16"/>
  <c r="Q6" i="12"/>
  <c r="T52" i="16"/>
  <c r="T51" i="16"/>
  <c r="S42" i="6"/>
  <c r="U83" i="9"/>
  <c r="AI47" i="7"/>
  <c r="AK47" i="7"/>
  <c r="S34" i="8"/>
  <c r="S36" i="8"/>
  <c r="S25" i="8"/>
  <c r="BD21" i="8"/>
  <c r="AQ110" i="16"/>
  <c r="D58" i="27"/>
  <c r="E84" i="9"/>
  <c r="E72" i="9"/>
  <c r="U84" i="9"/>
  <c r="X75" i="4"/>
  <c r="U72" i="9"/>
  <c r="U107" i="9"/>
  <c r="K38" i="10"/>
  <c r="AO149" i="16"/>
  <c r="AG169" i="16"/>
  <c r="AE169" i="16"/>
  <c r="AA78" i="4"/>
  <c r="BD37" i="8"/>
  <c r="O52" i="16"/>
  <c r="AA52" i="4"/>
  <c r="O189" i="16"/>
  <c r="O164" i="16"/>
  <c r="O209" i="16"/>
  <c r="O179" i="16"/>
  <c r="O184" i="16"/>
  <c r="O186" i="16"/>
  <c r="H58" i="27"/>
  <c r="G72" i="9"/>
  <c r="G84" i="9"/>
  <c r="G95" i="9" s="1"/>
  <c r="G107" i="9"/>
  <c r="H96" i="9"/>
  <c r="H145" i="10"/>
  <c r="H134" i="10"/>
  <c r="K115" i="4"/>
  <c r="AO157" i="16"/>
  <c r="I27" i="27"/>
  <c r="I24" i="27" s="1"/>
  <c r="H114" i="10"/>
  <c r="I87" i="27" s="1"/>
  <c r="H4" i="11"/>
  <c r="H116" i="10"/>
  <c r="H139" i="10"/>
  <c r="G17" i="6" s="1"/>
  <c r="H140" i="10"/>
  <c r="H131" i="10"/>
  <c r="H23" i="11" s="1"/>
  <c r="F25" i="8"/>
  <c r="G9" i="6"/>
  <c r="G26" i="6"/>
  <c r="H113" i="10"/>
  <c r="G27" i="6" s="1"/>
  <c r="K37" i="4"/>
  <c r="H12" i="11"/>
  <c r="AI164" i="16"/>
  <c r="AI184" i="16"/>
  <c r="AI183" i="16"/>
  <c r="AI185" i="16"/>
  <c r="E76" i="14"/>
  <c r="AM92" i="16"/>
  <c r="AO74" i="16"/>
  <c r="T85" i="27"/>
  <c r="T129" i="16"/>
  <c r="V48" i="10"/>
  <c r="V47" i="10"/>
  <c r="V25" i="10"/>
  <c r="W26" i="10" s="1"/>
  <c r="T57" i="14"/>
  <c r="T58" i="14" s="1"/>
  <c r="W108" i="4"/>
  <c r="AO38" i="7"/>
  <c r="O210" i="16"/>
  <c r="E107" i="9"/>
  <c r="S34" i="11"/>
  <c r="AO155" i="16"/>
  <c r="AQ155" i="16"/>
  <c r="E60" i="14"/>
  <c r="F69" i="14"/>
  <c r="F45" i="14" s="1"/>
  <c r="E69" i="14"/>
  <c r="I220" i="16"/>
  <c r="I206" i="16"/>
  <c r="I227" i="16" s="1"/>
  <c r="I201" i="16"/>
  <c r="J229" i="16"/>
  <c r="J230" i="16"/>
  <c r="J226" i="16"/>
  <c r="J223" i="16"/>
  <c r="J214" i="16"/>
  <c r="J232" i="16"/>
  <c r="AI49" i="16"/>
  <c r="AI50" i="16"/>
  <c r="AI43" i="16"/>
  <c r="AI52" i="16" s="1"/>
  <c r="S127" i="4"/>
  <c r="R128" i="4"/>
  <c r="W97" i="10"/>
  <c r="Y69" i="4"/>
  <c r="E67" i="43"/>
  <c r="E1" i="43"/>
  <c r="E79" i="43"/>
  <c r="AH47" i="7"/>
  <c r="AJ47" i="7"/>
  <c r="I82" i="27"/>
  <c r="H34" i="11"/>
  <c r="K109" i="4"/>
  <c r="E35" i="35"/>
  <c r="E36" i="35"/>
  <c r="AQ149" i="16"/>
  <c r="U37" i="7"/>
  <c r="U36" i="7"/>
  <c r="L50" i="13"/>
  <c r="O26" i="14"/>
  <c r="O29" i="14"/>
  <c r="O47" i="14" s="1"/>
  <c r="AC32" i="7"/>
  <c r="AC37" i="7"/>
  <c r="AG32" i="7"/>
  <c r="J24" i="10"/>
  <c r="J23" i="10"/>
  <c r="S43" i="35"/>
  <c r="S42" i="35"/>
  <c r="S81" i="35"/>
  <c r="D6" i="25"/>
  <c r="D11" i="25" s="1"/>
  <c r="AO35" i="8"/>
  <c r="AD50" i="7"/>
  <c r="O76" i="14"/>
  <c r="F6" i="12"/>
  <c r="F7" i="12" s="1"/>
  <c r="F7" i="11" s="1"/>
  <c r="F67" i="27" s="1"/>
  <c r="AM213" i="16"/>
  <c r="G3" i="25"/>
  <c r="AR1" i="8"/>
  <c r="AR32" i="8"/>
  <c r="AT1" i="8"/>
  <c r="T165" i="16"/>
  <c r="AM35" i="8"/>
  <c r="AB50" i="7"/>
  <c r="Q43" i="35"/>
  <c r="Q42" i="35"/>
  <c r="Q81" i="35"/>
  <c r="J106" i="9"/>
  <c r="AK129" i="16"/>
  <c r="AK144" i="16"/>
  <c r="AK150" i="16"/>
  <c r="AK147" i="16"/>
  <c r="AK151" i="16"/>
  <c r="T21" i="27"/>
  <c r="T205" i="16"/>
  <c r="S110" i="10"/>
  <c r="S112" i="10"/>
  <c r="S133" i="10"/>
  <c r="S104" i="10"/>
  <c r="R7" i="6"/>
  <c r="R24" i="6"/>
  <c r="S25" i="6" s="1"/>
  <c r="S108" i="10"/>
  <c r="S106" i="10"/>
  <c r="W136" i="16"/>
  <c r="AG47" i="7"/>
  <c r="AC154" i="16"/>
  <c r="AC178" i="16"/>
  <c r="AC169" i="16"/>
  <c r="U75" i="17"/>
  <c r="U14" i="13"/>
  <c r="AO109" i="16"/>
  <c r="AO92" i="16"/>
  <c r="AO107" i="16"/>
  <c r="L144" i="16"/>
  <c r="AK49" i="16"/>
  <c r="AK50" i="16"/>
  <c r="AK25" i="16"/>
  <c r="AK43" i="16"/>
  <c r="U127" i="4"/>
  <c r="T128" i="4"/>
  <c r="U129" i="4" s="1"/>
  <c r="I52" i="16"/>
  <c r="I51" i="16"/>
  <c r="K25" i="4"/>
  <c r="K26" i="4"/>
  <c r="K33" i="4" s="1"/>
  <c r="D21" i="19"/>
  <c r="V25" i="22"/>
  <c r="I82" i="35"/>
  <c r="K82" i="35" s="1"/>
  <c r="I101" i="35"/>
  <c r="K24" i="10"/>
  <c r="K23" i="10"/>
  <c r="R16" i="45"/>
  <c r="T16" i="45" s="1"/>
  <c r="T14" i="45"/>
  <c r="AC25" i="16"/>
  <c r="AC43" i="16"/>
  <c r="AC42" i="16"/>
  <c r="AC44" i="16"/>
  <c r="AC50" i="16"/>
  <c r="K210" i="16"/>
  <c r="L210" i="16"/>
  <c r="E109" i="35"/>
  <c r="E93" i="35"/>
  <c r="E108" i="35"/>
  <c r="E87" i="35"/>
  <c r="E107" i="35"/>
  <c r="E88" i="35"/>
  <c r="E99" i="35"/>
  <c r="W24" i="22"/>
  <c r="W18" i="13" s="1"/>
  <c r="X89" i="16"/>
  <c r="T127" i="4"/>
  <c r="S128" i="4"/>
  <c r="N145" i="10"/>
  <c r="N134" i="10"/>
  <c r="Q115" i="4"/>
  <c r="AA37" i="7"/>
  <c r="AA36" i="7"/>
  <c r="AE36" i="7"/>
  <c r="R26" i="14"/>
  <c r="R29" i="14"/>
  <c r="R47" i="14" s="1"/>
  <c r="AI129" i="16"/>
  <c r="M30" i="8"/>
  <c r="AR9" i="8"/>
  <c r="M21" i="8"/>
  <c r="M3" i="8" s="1"/>
  <c r="M2" i="8"/>
  <c r="T104" i="9"/>
  <c r="I226" i="16"/>
  <c r="P182" i="16"/>
  <c r="W37" i="7"/>
  <c r="W36" i="7"/>
  <c r="O155" i="16"/>
  <c r="W32" i="7"/>
  <c r="H86" i="35"/>
  <c r="H88" i="35" s="1"/>
  <c r="H83" i="35"/>
  <c r="G76" i="14"/>
  <c r="P44" i="14"/>
  <c r="P60" i="14"/>
  <c r="Q69" i="14"/>
  <c r="Q45" i="14" s="1"/>
  <c r="E22" i="32"/>
  <c r="F19" i="32"/>
  <c r="U36" i="19"/>
  <c r="U10" i="13"/>
  <c r="U26" i="14"/>
  <c r="U29" i="14"/>
  <c r="Q241" i="16"/>
  <c r="Q242" i="16" s="1"/>
  <c r="Q75" i="27"/>
  <c r="P17" i="11"/>
  <c r="S100" i="4" s="1"/>
  <c r="P20" i="11"/>
  <c r="S96" i="4"/>
  <c r="P31" i="11"/>
  <c r="Y49" i="4"/>
  <c r="AQ147" i="16"/>
  <c r="F49" i="13"/>
  <c r="F46" i="13"/>
  <c r="H83" i="9"/>
  <c r="H104" i="9"/>
  <c r="H103" i="9"/>
  <c r="G104" i="9"/>
  <c r="T58" i="27"/>
  <c r="S72" i="9"/>
  <c r="S84" i="9"/>
  <c r="V75" i="4"/>
  <c r="AK163" i="16"/>
  <c r="AC175" i="16"/>
  <c r="BD30" i="8"/>
  <c r="T134" i="10"/>
  <c r="J8" i="5" s="1"/>
  <c r="J58" i="5" s="1"/>
  <c r="T145" i="10"/>
  <c r="W115" i="4"/>
  <c r="J6" i="5"/>
  <c r="AC143" i="16"/>
  <c r="AE144" i="16" s="1"/>
  <c r="I35" i="5"/>
  <c r="I45" i="5"/>
  <c r="I95" i="5" s="1"/>
  <c r="I84" i="5"/>
  <c r="T103" i="9"/>
  <c r="N89" i="15"/>
  <c r="O85" i="15"/>
  <c r="P33" i="11" s="1"/>
  <c r="AO122" i="16"/>
  <c r="AA50" i="16"/>
  <c r="AA44" i="16"/>
  <c r="AA42" i="16"/>
  <c r="AA43" i="16"/>
  <c r="V13" i="10"/>
  <c r="J17" i="32"/>
  <c r="J18" i="32" s="1"/>
  <c r="J16" i="32"/>
  <c r="J24" i="32"/>
  <c r="K25" i="32" s="1"/>
  <c r="AO106" i="16"/>
  <c r="L44" i="14"/>
  <c r="L60" i="14"/>
  <c r="M69" i="14"/>
  <c r="M45" i="14" s="1"/>
  <c r="F26" i="35"/>
  <c r="F27" i="35"/>
  <c r="F37" i="35"/>
  <c r="F38" i="35" s="1"/>
  <c r="F76" i="14"/>
  <c r="AI122" i="16"/>
  <c r="AO159" i="16"/>
  <c r="I43" i="13"/>
  <c r="I135" i="10" s="1"/>
  <c r="I50" i="13"/>
  <c r="I47" i="13"/>
  <c r="I25" i="13"/>
  <c r="L52" i="16"/>
  <c r="L51" i="16"/>
  <c r="J60" i="14"/>
  <c r="J44" i="14"/>
  <c r="K69" i="14"/>
  <c r="K45" i="14" s="1"/>
  <c r="I145" i="10"/>
  <c r="I134" i="10"/>
  <c r="L115" i="4"/>
  <c r="K5" i="12"/>
  <c r="K6" i="12" s="1"/>
  <c r="K37" i="12"/>
  <c r="L62" i="27"/>
  <c r="K44" i="9"/>
  <c r="N62" i="4"/>
  <c r="L142" i="10"/>
  <c r="K106" i="9"/>
  <c r="L211" i="16"/>
  <c r="M211" i="16"/>
  <c r="K7" i="21"/>
  <c r="O5" i="26"/>
  <c r="T139" i="10"/>
  <c r="T4" i="11"/>
  <c r="T140" i="10"/>
  <c r="T114" i="10"/>
  <c r="S26" i="6"/>
  <c r="S44" i="6" s="1"/>
  <c r="T12" i="11"/>
  <c r="W37" i="4"/>
  <c r="S9" i="6"/>
  <c r="O127" i="4"/>
  <c r="N128" i="4"/>
  <c r="O129" i="4" s="1"/>
  <c r="R18" i="14"/>
  <c r="R46" i="14" s="1"/>
  <c r="T106" i="9"/>
  <c r="I18" i="14"/>
  <c r="I46" i="14" s="1"/>
  <c r="AE109" i="16"/>
  <c r="AE106" i="16"/>
  <c r="AE108" i="16"/>
  <c r="AG144" i="16"/>
  <c r="AG129" i="16"/>
  <c r="AG150" i="16"/>
  <c r="AG147" i="16"/>
  <c r="AG151" i="16"/>
  <c r="C61" i="27"/>
  <c r="D93" i="9"/>
  <c r="W86" i="16"/>
  <c r="W91" i="16"/>
  <c r="O182" i="16"/>
  <c r="J52" i="16"/>
  <c r="J51" i="16"/>
  <c r="S3" i="12"/>
  <c r="S6" i="12" s="1"/>
  <c r="S10" i="12"/>
  <c r="L155" i="16"/>
  <c r="G87" i="15"/>
  <c r="P83" i="27"/>
  <c r="O38" i="11"/>
  <c r="R110" i="4"/>
  <c r="AK42" i="16"/>
  <c r="N44" i="14"/>
  <c r="N60" i="14"/>
  <c r="K30" i="8"/>
  <c r="AN9" i="8"/>
  <c r="L2" i="8"/>
  <c r="K2" i="8"/>
  <c r="N127" i="4"/>
  <c r="M128" i="4"/>
  <c r="AK108" i="16"/>
  <c r="AU38" i="7"/>
  <c r="R62" i="27"/>
  <c r="R142" i="10"/>
  <c r="Q44" i="9"/>
  <c r="T62" i="4"/>
  <c r="AO129" i="16"/>
  <c r="AO150" i="16"/>
  <c r="AO144" i="16"/>
  <c r="AO151" i="16"/>
  <c r="AI92" i="16"/>
  <c r="AI109" i="16"/>
  <c r="AI106" i="16"/>
  <c r="S17" i="11"/>
  <c r="V100" i="4" s="1"/>
  <c r="D39" i="27"/>
  <c r="E110" i="9"/>
  <c r="E106" i="9"/>
  <c r="E109" i="9"/>
  <c r="F143" i="10"/>
  <c r="E143" i="10"/>
  <c r="S57" i="14"/>
  <c r="AG74" i="16"/>
  <c r="O43" i="13"/>
  <c r="O47" i="13"/>
  <c r="O25" i="13"/>
  <c r="F35" i="11"/>
  <c r="AC171" i="16"/>
  <c r="AC156" i="16"/>
  <c r="AC157" i="16" s="1"/>
  <c r="O37" i="7"/>
  <c r="O36" i="7"/>
  <c r="L57" i="14"/>
  <c r="AM74" i="16"/>
  <c r="J62" i="27"/>
  <c r="I44" i="9"/>
  <c r="L62" i="4"/>
  <c r="I106" i="9"/>
  <c r="J142" i="10"/>
  <c r="I96" i="9"/>
  <c r="Q85" i="27"/>
  <c r="Q129" i="16"/>
  <c r="AQ128" i="16"/>
  <c r="BP26" i="8"/>
  <c r="O35" i="11"/>
  <c r="T16" i="13"/>
  <c r="T15" i="13"/>
  <c r="L25" i="4"/>
  <c r="L26" i="4"/>
  <c r="L33" i="4" s="1"/>
  <c r="AM25" i="16"/>
  <c r="AM50" i="16"/>
  <c r="AM49" i="16"/>
  <c r="AM43" i="16"/>
  <c r="V24" i="16"/>
  <c r="V49" i="16" s="1"/>
  <c r="H67" i="43"/>
  <c r="M47" i="13"/>
  <c r="M25" i="13"/>
  <c r="U44" i="9"/>
  <c r="I76" i="14"/>
  <c r="I52" i="14"/>
  <c r="V28" i="10"/>
  <c r="W29" i="10" s="1"/>
  <c r="V51" i="10"/>
  <c r="V11" i="10"/>
  <c r="E103" i="35"/>
  <c r="E102" i="35"/>
  <c r="G103" i="9"/>
  <c r="U44" i="14"/>
  <c r="L24" i="10"/>
  <c r="L23" i="10"/>
  <c r="M23" i="10"/>
  <c r="AM163" i="16"/>
  <c r="I223" i="16"/>
  <c r="N43" i="35"/>
  <c r="N81" i="35"/>
  <c r="AK74" i="16"/>
  <c r="D21" i="27"/>
  <c r="F205" i="16"/>
  <c r="G231" i="16" s="1"/>
  <c r="E104" i="10"/>
  <c r="E133" i="10"/>
  <c r="E106" i="10"/>
  <c r="D23" i="27" s="1"/>
  <c r="E112" i="10"/>
  <c r="E110" i="10"/>
  <c r="D7" i="6"/>
  <c r="P183" i="16"/>
  <c r="S85" i="27"/>
  <c r="S129" i="16"/>
  <c r="H44" i="14"/>
  <c r="H60" i="14"/>
  <c r="I69" i="14"/>
  <c r="I45" i="14" s="1"/>
  <c r="U43" i="35"/>
  <c r="U42" i="35"/>
  <c r="U81" i="35"/>
  <c r="Q21" i="27"/>
  <c r="G6" i="21"/>
  <c r="G12" i="21" s="1"/>
  <c r="Q205" i="16"/>
  <c r="R232" i="16" s="1"/>
  <c r="P110" i="10"/>
  <c r="P104" i="10"/>
  <c r="P133" i="10"/>
  <c r="O7" i="6"/>
  <c r="P112" i="10"/>
  <c r="P116" i="10" s="1"/>
  <c r="O24" i="6"/>
  <c r="P106" i="10"/>
  <c r="P108" i="10"/>
  <c r="S58" i="13"/>
  <c r="S56" i="13"/>
  <c r="S43" i="13" s="1"/>
  <c r="S26" i="13"/>
  <c r="T58" i="13"/>
  <c r="K60" i="14"/>
  <c r="K44" i="14"/>
  <c r="L69" i="14"/>
  <c r="L45" i="14" s="1"/>
  <c r="J38" i="10"/>
  <c r="X84" i="16"/>
  <c r="M6" i="21"/>
  <c r="U5" i="25"/>
  <c r="U110" i="10"/>
  <c r="U112" i="10"/>
  <c r="U118" i="10" s="1"/>
  <c r="U133" i="10"/>
  <c r="U104" i="10"/>
  <c r="U108" i="10"/>
  <c r="T7" i="6"/>
  <c r="T8" i="6" s="1"/>
  <c r="T24" i="6"/>
  <c r="U106" i="10"/>
  <c r="G18" i="14"/>
  <c r="G46" i="14" s="1"/>
  <c r="P62" i="27"/>
  <c r="O44" i="9"/>
  <c r="R62" i="4"/>
  <c r="P142" i="10"/>
  <c r="AB35" i="8"/>
  <c r="AB26" i="8"/>
  <c r="AB5" i="8" s="1"/>
  <c r="I62" i="27"/>
  <c r="H44" i="9"/>
  <c r="H1" i="9"/>
  <c r="K62" i="4"/>
  <c r="H142" i="10"/>
  <c r="I142" i="10"/>
  <c r="M58" i="13"/>
  <c r="M26" i="13"/>
  <c r="M56" i="13"/>
  <c r="M43" i="13" s="1"/>
  <c r="Q107" i="9"/>
  <c r="M44" i="14"/>
  <c r="M60" i="14"/>
  <c r="N69" i="14"/>
  <c r="N45" i="14" s="1"/>
  <c r="W66" i="16"/>
  <c r="P18" i="14"/>
  <c r="P46" i="14" s="1"/>
  <c r="AO42" i="16"/>
  <c r="AO52" i="16" s="1"/>
  <c r="N47" i="13"/>
  <c r="N25" i="13"/>
  <c r="O60" i="14"/>
  <c r="O44" i="14"/>
  <c r="P69" i="14"/>
  <c r="P45" i="14" s="1"/>
  <c r="AO147" i="16"/>
  <c r="H43" i="13"/>
  <c r="H135" i="10" s="1"/>
  <c r="H50" i="13"/>
  <c r="H25" i="13"/>
  <c r="N6" i="12"/>
  <c r="AE44" i="16"/>
  <c r="AM186" i="16"/>
  <c r="O12" i="26"/>
  <c r="P4" i="26"/>
  <c r="P12" i="26" s="1"/>
  <c r="T43" i="35"/>
  <c r="T42" i="35"/>
  <c r="T81" i="35"/>
  <c r="I214" i="16"/>
  <c r="K83" i="9"/>
  <c r="Q44" i="14"/>
  <c r="Q60" i="14"/>
  <c r="R69" i="14"/>
  <c r="R45" i="14" s="1"/>
  <c r="AE171" i="16"/>
  <c r="AG171" i="16"/>
  <c r="S47" i="13"/>
  <c r="S25" i="13"/>
  <c r="S6" i="11"/>
  <c r="V89" i="4" s="1"/>
  <c r="S21" i="27"/>
  <c r="J6" i="21"/>
  <c r="J12" i="21" s="1"/>
  <c r="S205" i="16"/>
  <c r="T223" i="16" s="1"/>
  <c r="R110" i="10"/>
  <c r="R133" i="10"/>
  <c r="J7" i="5" s="1"/>
  <c r="J57" i="5" s="1"/>
  <c r="R104" i="10"/>
  <c r="R108" i="10"/>
  <c r="R112" i="10"/>
  <c r="Q7" i="6"/>
  <c r="Q24" i="6"/>
  <c r="R106" i="10"/>
  <c r="R116" i="10" s="1"/>
  <c r="T72" i="9"/>
  <c r="T84" i="9"/>
  <c r="T1" i="9" s="1"/>
  <c r="W75" i="4"/>
  <c r="T18" i="14"/>
  <c r="T46" i="14" s="1"/>
  <c r="M159" i="16"/>
  <c r="AI110" i="16"/>
  <c r="M62" i="27"/>
  <c r="L44" i="9"/>
  <c r="O62" i="4"/>
  <c r="P126" i="4" s="1"/>
  <c r="M142" i="10"/>
  <c r="I5" i="12"/>
  <c r="I6" i="12" s="1"/>
  <c r="I37" i="12"/>
  <c r="R11" i="25"/>
  <c r="P226" i="16"/>
  <c r="L58" i="27"/>
  <c r="K72" i="9"/>
  <c r="N75" i="4"/>
  <c r="K84" i="9"/>
  <c r="K1" i="9" s="1"/>
  <c r="O25" i="4"/>
  <c r="O26" i="4"/>
  <c r="O33" i="4" s="1"/>
  <c r="AQ164" i="16"/>
  <c r="P21" i="27"/>
  <c r="F6" i="21"/>
  <c r="F12" i="21" s="1"/>
  <c r="P205" i="16"/>
  <c r="O110" i="10"/>
  <c r="O133" i="10"/>
  <c r="O104" i="10"/>
  <c r="N7" i="6"/>
  <c r="N8" i="6" s="1"/>
  <c r="O112" i="10"/>
  <c r="N24" i="6"/>
  <c r="O106" i="10"/>
  <c r="C85" i="27"/>
  <c r="E129" i="16"/>
  <c r="F130" i="16" s="1"/>
  <c r="Y39" i="37"/>
  <c r="U8" i="37"/>
  <c r="T8" i="13"/>
  <c r="N21" i="27"/>
  <c r="N205" i="16"/>
  <c r="O220" i="16" s="1"/>
  <c r="M133" i="10"/>
  <c r="M104" i="10"/>
  <c r="K21" i="8"/>
  <c r="M110" i="10"/>
  <c r="L24" i="6"/>
  <c r="L7" i="6"/>
  <c r="M112" i="10"/>
  <c r="M106" i="10"/>
  <c r="P101" i="9"/>
  <c r="P104" i="9"/>
  <c r="P103" i="9"/>
  <c r="W88" i="16"/>
  <c r="L127" i="4"/>
  <c r="K128" i="4"/>
  <c r="D109" i="35"/>
  <c r="D108" i="35"/>
  <c r="D107" i="35"/>
  <c r="D88" i="35"/>
  <c r="D99" i="35"/>
  <c r="K179" i="16"/>
  <c r="K164" i="16"/>
  <c r="K165" i="16" s="1"/>
  <c r="K189" i="16"/>
  <c r="K184" i="16"/>
  <c r="K185" i="16"/>
  <c r="K209" i="16"/>
  <c r="K186" i="16"/>
  <c r="O69" i="14"/>
  <c r="O45" i="14" s="1"/>
  <c r="H21" i="8"/>
  <c r="H3" i="8" s="1"/>
  <c r="AH9" i="8"/>
  <c r="H2" i="8"/>
  <c r="H30" i="8"/>
  <c r="I2" i="8"/>
  <c r="S103" i="9"/>
  <c r="S101" i="9"/>
  <c r="S104" i="9"/>
  <c r="G44" i="14"/>
  <c r="G60" i="14"/>
  <c r="H69" i="14"/>
  <c r="H45" i="14" s="1"/>
  <c r="R127" i="4"/>
  <c r="Q128" i="4"/>
  <c r="Q127" i="4"/>
  <c r="U43" i="13"/>
  <c r="K10" i="5" s="1"/>
  <c r="K60" i="5" s="1"/>
  <c r="U47" i="13"/>
  <c r="U6" i="11"/>
  <c r="X89" i="4" s="1"/>
  <c r="U18" i="14"/>
  <c r="Z39" i="37"/>
  <c r="U34" i="37"/>
  <c r="P157" i="16"/>
  <c r="Q58" i="27"/>
  <c r="P72" i="9"/>
  <c r="S75" i="4"/>
  <c r="P84" i="9"/>
  <c r="P1" i="9" s="1"/>
  <c r="AI128" i="16"/>
  <c r="M58" i="27"/>
  <c r="L72" i="9"/>
  <c r="L84" i="9"/>
  <c r="L95" i="9" s="1"/>
  <c r="O75" i="4"/>
  <c r="I130" i="16"/>
  <c r="L107" i="9"/>
  <c r="AB32" i="7"/>
  <c r="AB37" i="7"/>
  <c r="AF32" i="7"/>
  <c r="D42" i="33"/>
  <c r="D41" i="33"/>
  <c r="D38" i="33"/>
  <c r="S58" i="27"/>
  <c r="R72" i="9"/>
  <c r="R84" i="9"/>
  <c r="R95" i="9" s="1"/>
  <c r="U75" i="4"/>
  <c r="M21" i="27"/>
  <c r="M205" i="16"/>
  <c r="N229" i="16" s="1"/>
  <c r="L133" i="10"/>
  <c r="L110" i="10"/>
  <c r="L104" i="10"/>
  <c r="J21" i="8"/>
  <c r="K24" i="6"/>
  <c r="K7" i="6"/>
  <c r="K8" i="6" s="1"/>
  <c r="L112" i="10"/>
  <c r="L106" i="10"/>
  <c r="F60" i="14"/>
  <c r="F44" i="14"/>
  <c r="O82" i="35"/>
  <c r="O86" i="35" s="1"/>
  <c r="O101" i="35"/>
  <c r="S10" i="25"/>
  <c r="O147" i="16"/>
  <c r="O144" i="16"/>
  <c r="O149" i="16"/>
  <c r="O148" i="16"/>
  <c r="O151" i="16"/>
  <c r="C79" i="43"/>
  <c r="C1" i="43"/>
  <c r="W20" i="16"/>
  <c r="W24" i="16" s="1"/>
  <c r="X28" i="16" s="1"/>
  <c r="W3" i="22"/>
  <c r="G81" i="43"/>
  <c r="N189" i="16"/>
  <c r="N184" i="16"/>
  <c r="N164" i="16"/>
  <c r="N165" i="16" s="1"/>
  <c r="N185" i="16"/>
  <c r="N209" i="16"/>
  <c r="N179" i="16"/>
  <c r="N186" i="16"/>
  <c r="N183" i="16"/>
  <c r="R82" i="35"/>
  <c r="R86" i="35" s="1"/>
  <c r="R101" i="35"/>
  <c r="D17" i="32"/>
  <c r="D18" i="32" s="1"/>
  <c r="D35" i="32" s="1"/>
  <c r="D36" i="32" s="1"/>
  <c r="D16" i="32"/>
  <c r="D24" i="32"/>
  <c r="D7" i="21"/>
  <c r="O27" i="27"/>
  <c r="O24" i="27" s="1"/>
  <c r="N4" i="11"/>
  <c r="N116" i="10"/>
  <c r="N139" i="10"/>
  <c r="N122" i="10"/>
  <c r="N25" i="4"/>
  <c r="N26" i="4"/>
  <c r="N33" i="4" s="1"/>
  <c r="D67" i="43"/>
  <c r="D79" i="43"/>
  <c r="D1" i="43"/>
  <c r="X27" i="14"/>
  <c r="Y25" i="14" s="1"/>
  <c r="J120" i="13"/>
  <c r="K107" i="13"/>
  <c r="J42" i="6"/>
  <c r="P211" i="16"/>
  <c r="P230" i="16" s="1"/>
  <c r="Q211" i="16"/>
  <c r="AK164" i="16"/>
  <c r="AK179" i="16"/>
  <c r="AK185" i="16"/>
  <c r="AK184" i="16"/>
  <c r="S60" i="14"/>
  <c r="S44" i="14"/>
  <c r="T69" i="14"/>
  <c r="T45" i="14" s="1"/>
  <c r="AK47" i="16"/>
  <c r="AK17" i="16"/>
  <c r="Q58" i="13"/>
  <c r="Q26" i="13"/>
  <c r="Q56" i="13"/>
  <c r="Q43" i="13" s="1"/>
  <c r="R58" i="13"/>
  <c r="V75" i="17"/>
  <c r="M50" i="33"/>
  <c r="L50" i="33"/>
  <c r="K50" i="33"/>
  <c r="J50" i="33"/>
  <c r="I50" i="33"/>
  <c r="H50" i="33"/>
  <c r="G50" i="33"/>
  <c r="F50" i="33"/>
  <c r="E50" i="33"/>
  <c r="D50" i="33"/>
  <c r="B50" i="33"/>
  <c r="N50" i="33"/>
  <c r="C51" i="33"/>
  <c r="C49" i="33"/>
  <c r="AK110" i="16"/>
  <c r="M11" i="21"/>
  <c r="O5" i="21"/>
  <c r="N5" i="21"/>
  <c r="T47" i="13"/>
  <c r="T43" i="13"/>
  <c r="J10" i="5" s="1"/>
  <c r="J60" i="5" s="1"/>
  <c r="T6" i="11"/>
  <c r="W89" i="4" s="1"/>
  <c r="Y37" i="7"/>
  <c r="Y36" i="7"/>
  <c r="AC36" i="7"/>
  <c r="T8" i="37"/>
  <c r="H42" i="6"/>
  <c r="U52" i="16"/>
  <c r="U51" i="16"/>
  <c r="AQ150" i="16"/>
  <c r="AQ144" i="16"/>
  <c r="AQ129" i="16"/>
  <c r="AQ151" i="16"/>
  <c r="O83" i="9"/>
  <c r="O103" i="9"/>
  <c r="O104" i="9"/>
  <c r="K43" i="35"/>
  <c r="K81" i="35"/>
  <c r="P30" i="8"/>
  <c r="AX9" i="8"/>
  <c r="P21" i="8"/>
  <c r="P2" i="8"/>
  <c r="X63" i="16"/>
  <c r="AU63" i="16" s="1"/>
  <c r="AU64" i="16" s="1"/>
  <c r="AM129" i="16"/>
  <c r="AM150" i="16"/>
  <c r="AM144" i="16"/>
  <c r="AM151" i="16"/>
  <c r="AC128" i="16"/>
  <c r="D103" i="35"/>
  <c r="D102" i="35"/>
  <c r="AC4" i="8"/>
  <c r="AA4" i="8"/>
  <c r="E43" i="13"/>
  <c r="E47" i="13"/>
  <c r="E25" i="13"/>
  <c r="E50" i="13"/>
  <c r="S62" i="27"/>
  <c r="R44" i="9"/>
  <c r="U62" i="4"/>
  <c r="S142" i="10"/>
  <c r="H130" i="16"/>
  <c r="P85" i="27"/>
  <c r="P129" i="16"/>
  <c r="P130" i="16" s="1"/>
  <c r="H81" i="27"/>
  <c r="G34" i="11"/>
  <c r="N182" i="16"/>
  <c r="F35" i="35"/>
  <c r="F36" i="35"/>
  <c r="I35" i="35"/>
  <c r="T44" i="14"/>
  <c r="U69" i="14"/>
  <c r="U45" i="14" s="1"/>
  <c r="G27" i="32"/>
  <c r="G25" i="32"/>
  <c r="G26" i="32"/>
  <c r="P6" i="12"/>
  <c r="V20" i="20"/>
  <c r="W20" i="20" s="1"/>
  <c r="N30" i="8"/>
  <c r="AT9" i="8"/>
  <c r="AV2" i="8" s="1"/>
  <c r="N21" i="8"/>
  <c r="N2" i="8"/>
  <c r="AQ163" i="16"/>
  <c r="P58" i="27"/>
  <c r="R75" i="4"/>
  <c r="O84" i="9"/>
  <c r="O95" i="9" s="1"/>
  <c r="O72" i="9"/>
  <c r="T62" i="27"/>
  <c r="S44" i="9"/>
  <c r="V62" i="4"/>
  <c r="T142" i="10"/>
  <c r="AE129" i="16"/>
  <c r="AE150" i="16"/>
  <c r="AE147" i="16"/>
  <c r="AE151" i="16"/>
  <c r="F37" i="12"/>
  <c r="AK128" i="16"/>
  <c r="X135" i="16"/>
  <c r="AU135" i="16" s="1"/>
  <c r="H25" i="32"/>
  <c r="I60" i="14"/>
  <c r="I44" i="14"/>
  <c r="J69" i="14"/>
  <c r="J45" i="14" s="1"/>
  <c r="F109" i="35"/>
  <c r="F99" i="35"/>
  <c r="F93" i="35"/>
  <c r="F108" i="35"/>
  <c r="F87" i="35"/>
  <c r="W86" i="35"/>
  <c r="F107" i="35"/>
  <c r="F88" i="35"/>
  <c r="D62" i="27"/>
  <c r="F142" i="10"/>
  <c r="AK107" i="16"/>
  <c r="F27" i="27"/>
  <c r="F24" i="27" s="1"/>
  <c r="F114" i="10"/>
  <c r="F87" i="27" s="1"/>
  <c r="F4" i="11"/>
  <c r="F116" i="10"/>
  <c r="E9" i="6"/>
  <c r="E26" i="6"/>
  <c r="F12" i="11"/>
  <c r="Q57" i="14"/>
  <c r="R21" i="27"/>
  <c r="I6" i="21"/>
  <c r="I12" i="21" s="1"/>
  <c r="R205" i="16"/>
  <c r="S232" i="16" s="1"/>
  <c r="Q110" i="10"/>
  <c r="Q133" i="10"/>
  <c r="Q104" i="10"/>
  <c r="Q112" i="10"/>
  <c r="P7" i="6"/>
  <c r="P24" i="6"/>
  <c r="Q108" i="10"/>
  <c r="Q106" i="10"/>
  <c r="O58" i="13"/>
  <c r="Q62" i="27"/>
  <c r="P44" i="9"/>
  <c r="S62" i="4"/>
  <c r="Q142" i="10"/>
  <c r="X127" i="4"/>
  <c r="W128" i="4"/>
  <c r="W127" i="4"/>
  <c r="H27" i="27"/>
  <c r="H24" i="27" s="1"/>
  <c r="G116" i="10"/>
  <c r="G165" i="16"/>
  <c r="R52" i="16"/>
  <c r="R51" i="16"/>
  <c r="R6" i="12"/>
  <c r="I17" i="32"/>
  <c r="I18" i="32" s="1"/>
  <c r="I16" i="32"/>
  <c r="I24" i="32"/>
  <c r="V6" i="22"/>
  <c r="V69" i="16"/>
  <c r="S21" i="37"/>
  <c r="F67" i="43"/>
  <c r="F79" i="43"/>
  <c r="F1" i="43"/>
  <c r="N83" i="9"/>
  <c r="N103" i="9"/>
  <c r="N104" i="9"/>
  <c r="T50" i="13"/>
  <c r="AB1" i="10"/>
  <c r="K27" i="32"/>
  <c r="K26" i="32"/>
  <c r="R83" i="9"/>
  <c r="AK44" i="16"/>
  <c r="N27" i="35"/>
  <c r="N26" i="35"/>
  <c r="AB130" i="16"/>
  <c r="AD130" i="16"/>
  <c r="S37" i="7"/>
  <c r="S36" i="7"/>
  <c r="BN26" i="8"/>
  <c r="U9" i="25"/>
  <c r="V4" i="25"/>
  <c r="W19" i="13" l="1"/>
  <c r="W69" i="14"/>
  <c r="W44" i="14"/>
  <c r="AM215" i="16"/>
  <c r="W7" i="13"/>
  <c r="AQ38" i="7"/>
  <c r="V11" i="13"/>
  <c r="X74" i="17"/>
  <c r="Y74" i="17" s="1"/>
  <c r="Z74" i="17" s="1"/>
  <c r="AA74" i="17" s="1"/>
  <c r="AB74" i="17" s="1"/>
  <c r="AC74" i="17" s="1"/>
  <c r="AD74" i="17" s="1"/>
  <c r="AE74" i="17" s="1"/>
  <c r="AF74" i="17" s="1"/>
  <c r="AG74" i="17" s="1"/>
  <c r="W17" i="13"/>
  <c r="V15" i="13"/>
  <c r="V16" i="13"/>
  <c r="T137" i="10"/>
  <c r="V3" i="13"/>
  <c r="V8" i="13" s="1"/>
  <c r="V7" i="13"/>
  <c r="G12" i="11"/>
  <c r="X35" i="19"/>
  <c r="Y35" i="19" s="1"/>
  <c r="Z35" i="19" s="1"/>
  <c r="AA35" i="19" s="1"/>
  <c r="AB35" i="19" s="1"/>
  <c r="AC35" i="19" s="1"/>
  <c r="AD35" i="19" s="1"/>
  <c r="AE35" i="19" s="1"/>
  <c r="AF35" i="19" s="1"/>
  <c r="AG35" i="19" s="1"/>
  <c r="W13" i="13"/>
  <c r="F26" i="6"/>
  <c r="H141" i="10"/>
  <c r="W34" i="19"/>
  <c r="W10" i="13" s="1"/>
  <c r="BC4" i="8"/>
  <c r="E25" i="8"/>
  <c r="E35" i="8" s="1"/>
  <c r="BD2" i="8"/>
  <c r="F9" i="6"/>
  <c r="G131" i="10"/>
  <c r="G23" i="11" s="1"/>
  <c r="J224" i="16"/>
  <c r="K122" i="10"/>
  <c r="K81" i="4"/>
  <c r="N93" i="9"/>
  <c r="V85" i="9"/>
  <c r="Q137" i="10"/>
  <c r="R126" i="4"/>
  <c r="C90" i="9"/>
  <c r="T6" i="26"/>
  <c r="T14" i="26" s="1"/>
  <c r="N6" i="26"/>
  <c r="N14" i="26" s="1"/>
  <c r="S90" i="9"/>
  <c r="S128" i="10" s="1"/>
  <c r="J90" i="9"/>
  <c r="J128" i="10" s="1"/>
  <c r="T91" i="9"/>
  <c r="J91" i="9"/>
  <c r="U91" i="9"/>
  <c r="O91" i="9"/>
  <c r="T90" i="9"/>
  <c r="T128" i="10" s="1"/>
  <c r="O90" i="9"/>
  <c r="O128" i="10" s="1"/>
  <c r="U90" i="9"/>
  <c r="U128" i="10" s="1"/>
  <c r="S91" i="9"/>
  <c r="P90" i="9"/>
  <c r="P128" i="10" s="1"/>
  <c r="L90" i="9"/>
  <c r="L128" i="10" s="1"/>
  <c r="H91" i="9"/>
  <c r="Q90" i="9"/>
  <c r="Q128" i="10" s="1"/>
  <c r="K90" i="9"/>
  <c r="K128" i="10" s="1"/>
  <c r="K91" i="9"/>
  <c r="R91" i="9"/>
  <c r="L91" i="9"/>
  <c r="W122" i="10"/>
  <c r="W123" i="10" s="1"/>
  <c r="W90" i="9"/>
  <c r="W128" i="10" s="1"/>
  <c r="W91" i="9"/>
  <c r="R90" i="9"/>
  <c r="R128" i="10" s="1"/>
  <c r="H90" i="9"/>
  <c r="N91" i="9"/>
  <c r="E90" i="9"/>
  <c r="I90" i="9"/>
  <c r="I128" i="10" s="1"/>
  <c r="M91" i="9"/>
  <c r="M90" i="9"/>
  <c r="M128" i="10" s="1"/>
  <c r="C91" i="9"/>
  <c r="I91" i="9"/>
  <c r="F90" i="9"/>
  <c r="P91" i="9"/>
  <c r="E91" i="9"/>
  <c r="D90" i="9"/>
  <c r="Q91" i="9"/>
  <c r="N90" i="9"/>
  <c r="N128" i="10" s="1"/>
  <c r="F91" i="9"/>
  <c r="G90" i="9"/>
  <c r="D91" i="9"/>
  <c r="G91" i="9"/>
  <c r="Q6" i="26"/>
  <c r="Q14" i="26" s="1"/>
  <c r="E9" i="21"/>
  <c r="W125" i="10"/>
  <c r="W126" i="10" s="1"/>
  <c r="H9" i="21"/>
  <c r="O125" i="10"/>
  <c r="O126" i="10" s="1"/>
  <c r="B6" i="26"/>
  <c r="B14" i="26" s="1"/>
  <c r="O137" i="10"/>
  <c r="E6" i="26"/>
  <c r="E14" i="26" s="1"/>
  <c r="H6" i="26"/>
  <c r="H14" i="26" s="1"/>
  <c r="K6" i="26"/>
  <c r="K14" i="26" s="1"/>
  <c r="U125" i="10"/>
  <c r="AB122" i="4"/>
  <c r="B39" i="8"/>
  <c r="V122" i="4"/>
  <c r="Z122" i="4"/>
  <c r="S37" i="6"/>
  <c r="U122" i="4"/>
  <c r="R37" i="6"/>
  <c r="T122" i="4"/>
  <c r="Q37" i="6"/>
  <c r="N122" i="4"/>
  <c r="S122" i="4"/>
  <c r="R122" i="4"/>
  <c r="N37" i="6"/>
  <c r="P122" i="4"/>
  <c r="M37" i="6"/>
  <c r="O122" i="4"/>
  <c r="L37" i="6"/>
  <c r="X122" i="4"/>
  <c r="K37" i="6"/>
  <c r="N137" i="10"/>
  <c r="N138" i="10" s="1"/>
  <c r="M122" i="4"/>
  <c r="J37" i="6"/>
  <c r="L122" i="4"/>
  <c r="I37" i="6"/>
  <c r="K122" i="4"/>
  <c r="H37" i="6"/>
  <c r="O37" i="6"/>
  <c r="AA122" i="4"/>
  <c r="Q122" i="4"/>
  <c r="Y122" i="4"/>
  <c r="W122" i="4"/>
  <c r="P37" i="6"/>
  <c r="P137" i="10"/>
  <c r="S137" i="10"/>
  <c r="Z88" i="9"/>
  <c r="AA88" i="9" s="1"/>
  <c r="AB88" i="9" s="1"/>
  <c r="AC88" i="9" s="1"/>
  <c r="AD88" i="9" s="1"/>
  <c r="AE88" i="9" s="1"/>
  <c r="AF88" i="9" s="1"/>
  <c r="AG88" i="9" s="1"/>
  <c r="AB125" i="4"/>
  <c r="AB121" i="4"/>
  <c r="G122" i="10"/>
  <c r="G123" i="10" s="1"/>
  <c r="T122" i="10"/>
  <c r="S11" i="6" s="1"/>
  <c r="Q116" i="13"/>
  <c r="R113" i="13" s="1"/>
  <c r="R116" i="13" s="1"/>
  <c r="S113" i="13" s="1"/>
  <c r="S116" i="13" s="1"/>
  <c r="T113" i="13" s="1"/>
  <c r="T116" i="13" s="1"/>
  <c r="U113" i="13" s="1"/>
  <c r="U116" i="13" s="1"/>
  <c r="V113" i="13" s="1"/>
  <c r="V116" i="13" s="1"/>
  <c r="W113" i="13" s="1"/>
  <c r="W116" i="13" s="1"/>
  <c r="AU136" i="16"/>
  <c r="AU121" i="16"/>
  <c r="AU122" i="16" s="1"/>
  <c r="F85" i="9"/>
  <c r="AS140" i="16"/>
  <c r="AU140" i="16"/>
  <c r="AU84" i="16"/>
  <c r="AU156" i="16"/>
  <c r="AU157" i="16" s="1"/>
  <c r="W36" i="19"/>
  <c r="V38" i="18"/>
  <c r="W73" i="17"/>
  <c r="AG17" i="13"/>
  <c r="G134" i="10"/>
  <c r="N1" i="9"/>
  <c r="N1" i="12" s="1"/>
  <c r="R40" i="5"/>
  <c r="R90" i="5" s="1"/>
  <c r="R79" i="5"/>
  <c r="N95" i="9"/>
  <c r="O91" i="27" s="1"/>
  <c r="BB37" i="8"/>
  <c r="J25" i="6"/>
  <c r="N114" i="10"/>
  <c r="O87" i="27" s="1"/>
  <c r="X162" i="16"/>
  <c r="X163" i="16" s="1"/>
  <c r="AU89" i="16"/>
  <c r="H26" i="6"/>
  <c r="J47" i="13"/>
  <c r="Q37" i="4"/>
  <c r="N140" i="10"/>
  <c r="N113" i="10"/>
  <c r="M27" i="6" s="1"/>
  <c r="X154" i="16"/>
  <c r="X155" i="16" s="1"/>
  <c r="AU81" i="16"/>
  <c r="I113" i="10"/>
  <c r="H27" i="6" s="1"/>
  <c r="X6" i="19"/>
  <c r="X23" i="19"/>
  <c r="W12" i="18"/>
  <c r="W25" i="18"/>
  <c r="AS122" i="16"/>
  <c r="U206" i="16"/>
  <c r="U227" i="16" s="1"/>
  <c r="U220" i="16"/>
  <c r="U232" i="16"/>
  <c r="U230" i="16"/>
  <c r="U231" i="16"/>
  <c r="AS128" i="16"/>
  <c r="U224" i="16"/>
  <c r="U214" i="16"/>
  <c r="U223" i="16"/>
  <c r="AS72" i="16"/>
  <c r="U226" i="16"/>
  <c r="U229" i="16"/>
  <c r="E142" i="10"/>
  <c r="E44" i="9"/>
  <c r="D1" i="14"/>
  <c r="D1" i="12"/>
  <c r="D2" i="10"/>
  <c r="D1" i="11"/>
  <c r="D106" i="9"/>
  <c r="D142" i="10"/>
  <c r="M226" i="16"/>
  <c r="F140" i="10"/>
  <c r="AG43" i="16"/>
  <c r="AI25" i="16"/>
  <c r="X11" i="18"/>
  <c r="D25" i="8"/>
  <c r="D35" i="8" s="1"/>
  <c r="F122" i="10"/>
  <c r="F123" i="10" s="1"/>
  <c r="I8" i="6"/>
  <c r="F131" i="10"/>
  <c r="AG50" i="16"/>
  <c r="N12" i="11"/>
  <c r="E42" i="6"/>
  <c r="G113" i="10"/>
  <c r="F27" i="6" s="1"/>
  <c r="AB3" i="8"/>
  <c r="D1" i="13"/>
  <c r="H7" i="12"/>
  <c r="H7" i="11" s="1"/>
  <c r="K92" i="4" s="1"/>
  <c r="L1" i="9"/>
  <c r="L1" i="12" s="1"/>
  <c r="BO26" i="8"/>
  <c r="J3" i="8"/>
  <c r="AV37" i="8"/>
  <c r="BR9" i="8"/>
  <c r="BS9" i="8" s="1"/>
  <c r="K3" i="8"/>
  <c r="AG25" i="16"/>
  <c r="U165" i="16"/>
  <c r="AG42" i="16"/>
  <c r="M223" i="16"/>
  <c r="AA149" i="16"/>
  <c r="Q52" i="16"/>
  <c r="M230" i="16"/>
  <c r="AA147" i="16"/>
  <c r="M229" i="16"/>
  <c r="AA150" i="16"/>
  <c r="AA148" i="16"/>
  <c r="L206" i="16"/>
  <c r="L227" i="16" s="1"/>
  <c r="AI179" i="16"/>
  <c r="AA129" i="16"/>
  <c r="AE128" i="16"/>
  <c r="AC122" i="16"/>
  <c r="AR218" i="16"/>
  <c r="AR225" i="16" s="1"/>
  <c r="AT218" i="16"/>
  <c r="AT225" i="16" s="1"/>
  <c r="M232" i="16"/>
  <c r="AG185" i="16"/>
  <c r="AE122" i="16"/>
  <c r="AG184" i="16"/>
  <c r="AG182" i="16"/>
  <c r="M231" i="16"/>
  <c r="M224" i="16"/>
  <c r="G201" i="16"/>
  <c r="H218" i="16" s="1"/>
  <c r="H225" i="16" s="1"/>
  <c r="X140" i="16"/>
  <c r="X64" i="16"/>
  <c r="AC109" i="16"/>
  <c r="AA5" i="8"/>
  <c r="AZ21" i="8"/>
  <c r="AZ25" i="8" s="1"/>
  <c r="O3" i="8"/>
  <c r="N3" i="8"/>
  <c r="AU5" i="8"/>
  <c r="I3" i="8"/>
  <c r="BM26" i="8"/>
  <c r="L3" i="8"/>
  <c r="O4" i="25"/>
  <c r="O9" i="25" s="1"/>
  <c r="T3" i="8"/>
  <c r="AE48" i="7"/>
  <c r="AL218" i="16"/>
  <c r="AL225" i="16" s="1"/>
  <c r="S6" i="25"/>
  <c r="AU4" i="8"/>
  <c r="Q3" i="8"/>
  <c r="BB30" i="8"/>
  <c r="BA28" i="8"/>
  <c r="P7" i="25" s="1"/>
  <c r="AR37" i="8"/>
  <c r="Q36" i="8"/>
  <c r="Q34" i="8"/>
  <c r="Q4" i="25"/>
  <c r="Q9" i="25" s="1"/>
  <c r="T9" i="25" s="1"/>
  <c r="E10" i="25"/>
  <c r="R34" i="8"/>
  <c r="R25" i="8"/>
  <c r="BB25" i="8" s="1"/>
  <c r="BL26" i="8"/>
  <c r="BF30" i="8"/>
  <c r="BB21" i="8"/>
  <c r="BD3" i="8" s="1"/>
  <c r="R36" i="8"/>
  <c r="AZ37" i="8"/>
  <c r="R3" i="8"/>
  <c r="H223" i="16"/>
  <c r="E1" i="9"/>
  <c r="E1" i="14" s="1"/>
  <c r="K229" i="16"/>
  <c r="G140" i="10"/>
  <c r="H90" i="27" s="1"/>
  <c r="F1" i="9"/>
  <c r="F1" i="14" s="1"/>
  <c r="M214" i="16"/>
  <c r="E8" i="6"/>
  <c r="E25" i="6" s="1"/>
  <c r="G4" i="11"/>
  <c r="M9" i="6"/>
  <c r="G114" i="10"/>
  <c r="H87" i="27" s="1"/>
  <c r="N141" i="10"/>
  <c r="M35" i="6" s="1"/>
  <c r="M51" i="6" s="1"/>
  <c r="H214" i="16"/>
  <c r="D96" i="9"/>
  <c r="C62" i="27"/>
  <c r="M26" i="6"/>
  <c r="M44" i="6" s="1"/>
  <c r="F113" i="10"/>
  <c r="E27" i="6" s="1"/>
  <c r="V101" i="35"/>
  <c r="T7" i="12"/>
  <c r="T7" i="11" s="1"/>
  <c r="W92" i="4" s="1"/>
  <c r="F93" i="9"/>
  <c r="F61" i="27"/>
  <c r="K145" i="10"/>
  <c r="O215" i="16"/>
  <c r="O224" i="16" s="1"/>
  <c r="P215" i="16"/>
  <c r="P224" i="16" s="1"/>
  <c r="I93" i="9"/>
  <c r="H232" i="16"/>
  <c r="I116" i="10"/>
  <c r="S130" i="16"/>
  <c r="H230" i="16"/>
  <c r="H224" i="16"/>
  <c r="AW28" i="8"/>
  <c r="L7" i="25" s="1"/>
  <c r="H9" i="6"/>
  <c r="H44" i="6" s="1"/>
  <c r="I114" i="10"/>
  <c r="J87" i="27" s="1"/>
  <c r="I1" i="9"/>
  <c r="I1" i="13" s="1"/>
  <c r="I86" i="35"/>
  <c r="G8" i="6"/>
  <c r="G25" i="6" s="1"/>
  <c r="I12" i="11"/>
  <c r="N115" i="4"/>
  <c r="AG183" i="16"/>
  <c r="AG186" i="16"/>
  <c r="H19" i="6"/>
  <c r="H52" i="6" s="1"/>
  <c r="H36" i="6"/>
  <c r="J8" i="6"/>
  <c r="I141" i="10"/>
  <c r="J89" i="27" s="1"/>
  <c r="K135" i="10"/>
  <c r="H206" i="16"/>
  <c r="H227" i="16" s="1"/>
  <c r="K231" i="16"/>
  <c r="K232" i="16"/>
  <c r="G25" i="8"/>
  <c r="AF25" i="8" s="1"/>
  <c r="H220" i="16"/>
  <c r="AY4" i="8"/>
  <c r="L81" i="4"/>
  <c r="K224" i="16"/>
  <c r="I131" i="10"/>
  <c r="Y13" i="22"/>
  <c r="X49" i="10"/>
  <c r="X50" i="10" s="1"/>
  <c r="H226" i="16"/>
  <c r="I85" i="9"/>
  <c r="J201" i="16"/>
  <c r="J218" i="16" s="1"/>
  <c r="J225" i="16" s="1"/>
  <c r="I140" i="10"/>
  <c r="J90" i="27" s="1"/>
  <c r="F42" i="6"/>
  <c r="K226" i="16"/>
  <c r="J206" i="16"/>
  <c r="J227" i="16" s="1"/>
  <c r="I122" i="10"/>
  <c r="H28" i="6" s="1"/>
  <c r="F8" i="6"/>
  <c r="J220" i="16"/>
  <c r="H229" i="16"/>
  <c r="Z26" i="8"/>
  <c r="X20" i="20"/>
  <c r="M51" i="16"/>
  <c r="Q219" i="16"/>
  <c r="Q226" i="16" s="1"/>
  <c r="R219" i="16"/>
  <c r="R226" i="16" s="1"/>
  <c r="S129" i="4"/>
  <c r="Q51" i="16"/>
  <c r="AW4" i="8"/>
  <c r="Y38" i="9"/>
  <c r="Y27" i="11" s="1"/>
  <c r="AB106" i="4" s="1"/>
  <c r="AI165" i="16"/>
  <c r="AC108" i="16"/>
  <c r="AE92" i="16"/>
  <c r="AC106" i="16"/>
  <c r="AK165" i="16"/>
  <c r="H43" i="6"/>
  <c r="O231" i="16"/>
  <c r="P8" i="6"/>
  <c r="M7" i="12"/>
  <c r="M7" i="11" s="1"/>
  <c r="P92" i="4" s="1"/>
  <c r="R7" i="12"/>
  <c r="R7" i="11" s="1"/>
  <c r="U92" i="4" s="1"/>
  <c r="L7" i="12"/>
  <c r="L7" i="11" s="1"/>
  <c r="O92" i="4" s="1"/>
  <c r="AB79" i="9"/>
  <c r="AQ130" i="16"/>
  <c r="AO165" i="16"/>
  <c r="AQ165" i="16"/>
  <c r="W42" i="16"/>
  <c r="AS24" i="16"/>
  <c r="AS91" i="16"/>
  <c r="W106" i="16"/>
  <c r="N7" i="12"/>
  <c r="N7" i="11" s="1"/>
  <c r="Q92" i="4" s="1"/>
  <c r="AR38" i="7"/>
  <c r="T230" i="16"/>
  <c r="P95" i="9"/>
  <c r="O36" i="6" s="1"/>
  <c r="O52" i="6" s="1"/>
  <c r="BF21" i="8"/>
  <c r="BF3" i="8" s="1"/>
  <c r="T36" i="8"/>
  <c r="T34" i="8"/>
  <c r="T25" i="8"/>
  <c r="O87" i="15"/>
  <c r="P85" i="15" s="1"/>
  <c r="J29" i="5"/>
  <c r="K79" i="5"/>
  <c r="K40" i="5"/>
  <c r="K90" i="5" s="1"/>
  <c r="U7" i="12"/>
  <c r="K11" i="5" s="1"/>
  <c r="K61" i="5" s="1"/>
  <c r="V7" i="11"/>
  <c r="AC155" i="16"/>
  <c r="BF37" i="8"/>
  <c r="AS86" i="16"/>
  <c r="AS158" i="16"/>
  <c r="AM130" i="16"/>
  <c r="AE183" i="16"/>
  <c r="T229" i="16"/>
  <c r="S230" i="16"/>
  <c r="S229" i="16"/>
  <c r="T214" i="16"/>
  <c r="S223" i="16"/>
  <c r="T224" i="16"/>
  <c r="O230" i="16"/>
  <c r="AL51" i="7"/>
  <c r="X126" i="4"/>
  <c r="W109" i="16"/>
  <c r="W164" i="16"/>
  <c r="W165" i="16" s="1"/>
  <c r="W30" i="19"/>
  <c r="E95" i="9"/>
  <c r="D19" i="6" s="1"/>
  <c r="Q8" i="6"/>
  <c r="S214" i="16"/>
  <c r="R8" i="6"/>
  <c r="O206" i="16"/>
  <c r="O227" i="16" s="1"/>
  <c r="AP30" i="8"/>
  <c r="E4" i="25"/>
  <c r="E9" i="25" s="1"/>
  <c r="L8" i="6"/>
  <c r="AL30" i="8"/>
  <c r="AL2" i="8"/>
  <c r="L232" i="16"/>
  <c r="O232" i="16"/>
  <c r="K43" i="16"/>
  <c r="K49" i="16"/>
  <c r="K50" i="16"/>
  <c r="K42" i="16"/>
  <c r="L25" i="16"/>
  <c r="K77" i="16"/>
  <c r="K25" i="16"/>
  <c r="O165" i="16"/>
  <c r="M107" i="9"/>
  <c r="N58" i="27"/>
  <c r="P75" i="4"/>
  <c r="N72" i="9"/>
  <c r="M84" i="9"/>
  <c r="M141" i="10" s="1"/>
  <c r="N226" i="16"/>
  <c r="M8" i="6"/>
  <c r="AE124" i="16"/>
  <c r="AE120" i="16"/>
  <c r="AG120" i="16"/>
  <c r="AC110" i="16"/>
  <c r="AC107" i="16"/>
  <c r="G141" i="10"/>
  <c r="H89" i="27" s="1"/>
  <c r="AM51" i="16"/>
  <c r="L230" i="16"/>
  <c r="L226" i="16"/>
  <c r="N83" i="35"/>
  <c r="AJ21" i="8"/>
  <c r="I36" i="8"/>
  <c r="AK52" i="16"/>
  <c r="L229" i="16"/>
  <c r="K83" i="35"/>
  <c r="L220" i="16"/>
  <c r="J50" i="13"/>
  <c r="J25" i="13"/>
  <c r="K47" i="13"/>
  <c r="J53" i="13"/>
  <c r="O130" i="16"/>
  <c r="V44" i="14"/>
  <c r="K44" i="16"/>
  <c r="U126" i="4"/>
  <c r="Q229" i="16"/>
  <c r="U95" i="9"/>
  <c r="T36" i="6" s="1"/>
  <c r="T52" i="6" s="1"/>
  <c r="W126" i="4"/>
  <c r="R1" i="9"/>
  <c r="R1" i="13" s="1"/>
  <c r="Q7" i="12"/>
  <c r="Q7" i="11" s="1"/>
  <c r="T92" i="4" s="1"/>
  <c r="Q1" i="9"/>
  <c r="Q1" i="13" s="1"/>
  <c r="J7" i="12"/>
  <c r="J7" i="11" s="1"/>
  <c r="M92" i="4" s="1"/>
  <c r="M126" i="4"/>
  <c r="I7" i="12"/>
  <c r="I7" i="11" s="1"/>
  <c r="L92" i="4" s="1"/>
  <c r="S126" i="4"/>
  <c r="F141" i="10"/>
  <c r="E18" i="6" s="1"/>
  <c r="E19" i="6"/>
  <c r="E36" i="6" s="1"/>
  <c r="O7" i="12"/>
  <c r="O7" i="11" s="1"/>
  <c r="R92" i="4" s="1"/>
  <c r="K91" i="27"/>
  <c r="I36" i="6"/>
  <c r="I19" i="6"/>
  <c r="I52" i="6" s="1"/>
  <c r="P91" i="27"/>
  <c r="N36" i="6"/>
  <c r="N52" i="6" s="1"/>
  <c r="N19" i="6"/>
  <c r="H27" i="11"/>
  <c r="K106" i="4" s="1"/>
  <c r="K102" i="4"/>
  <c r="R88" i="35"/>
  <c r="M91" i="27"/>
  <c r="K36" i="6"/>
  <c r="K19" i="6"/>
  <c r="K52" i="6" s="1"/>
  <c r="I136" i="10"/>
  <c r="L116" i="4"/>
  <c r="I138" i="10"/>
  <c r="N136" i="10"/>
  <c r="Q116" i="4"/>
  <c r="U56" i="14"/>
  <c r="T76" i="14"/>
  <c r="T60" i="14"/>
  <c r="T1" i="14"/>
  <c r="T1" i="12"/>
  <c r="T1" i="11"/>
  <c r="T1" i="13"/>
  <c r="T2" i="10"/>
  <c r="R91" i="27"/>
  <c r="P36" i="6"/>
  <c r="P52" i="6" s="1"/>
  <c r="P19" i="6"/>
  <c r="G43" i="13"/>
  <c r="G135" i="10" s="1"/>
  <c r="G47" i="13"/>
  <c r="G25" i="13"/>
  <c r="G53" i="13"/>
  <c r="X141" i="16"/>
  <c r="AU141" i="16" s="1"/>
  <c r="AD51" i="7"/>
  <c r="AF51" i="7"/>
  <c r="G50" i="6"/>
  <c r="G34" i="6"/>
  <c r="L35" i="8"/>
  <c r="AP25" i="8"/>
  <c r="F43" i="13"/>
  <c r="F135" i="10" s="1"/>
  <c r="F47" i="13"/>
  <c r="F25" i="13"/>
  <c r="F53" i="13"/>
  <c r="X12" i="19"/>
  <c r="X18" i="19"/>
  <c r="X15" i="19" s="1"/>
  <c r="X16" i="19" s="1"/>
  <c r="X8" i="10"/>
  <c r="T95" i="9"/>
  <c r="S134" i="10"/>
  <c r="S135" i="10"/>
  <c r="S145" i="10"/>
  <c r="V115" i="4"/>
  <c r="N123" i="10"/>
  <c r="M11" i="6"/>
  <c r="M28" i="6"/>
  <c r="M46" i="6" s="1"/>
  <c r="P206" i="16"/>
  <c r="P227" i="16" s="1"/>
  <c r="P201" i="16"/>
  <c r="P218" i="16" s="1"/>
  <c r="P225" i="16" s="1"/>
  <c r="P220" i="16"/>
  <c r="Q231" i="16"/>
  <c r="Q232" i="16"/>
  <c r="Q224" i="16"/>
  <c r="P4" i="21"/>
  <c r="Q4" i="21" s="1"/>
  <c r="Y53" i="4"/>
  <c r="Y61" i="4"/>
  <c r="Y21" i="4"/>
  <c r="Y25" i="4" s="1"/>
  <c r="U22" i="6"/>
  <c r="U40" i="6" s="1"/>
  <c r="U41" i="6" s="1"/>
  <c r="V5" i="10"/>
  <c r="L4" i="5"/>
  <c r="L54" i="5" s="1"/>
  <c r="U5" i="6"/>
  <c r="U6" i="6" s="1"/>
  <c r="Y17" i="4"/>
  <c r="O13" i="20"/>
  <c r="V13" i="19"/>
  <c r="V27" i="17"/>
  <c r="T27" i="27"/>
  <c r="T24" i="27" s="1"/>
  <c r="S139" i="10"/>
  <c r="S4" i="11"/>
  <c r="S140" i="10"/>
  <c r="S12" i="11"/>
  <c r="S118" i="10"/>
  <c r="S113" i="10"/>
  <c r="R27" i="6" s="1"/>
  <c r="S114" i="10"/>
  <c r="T87" i="27" s="1"/>
  <c r="S141" i="10"/>
  <c r="S122" i="10"/>
  <c r="R9" i="6"/>
  <c r="S10" i="6" s="1"/>
  <c r="R26" i="6"/>
  <c r="R44" i="6" s="1"/>
  <c r="V37" i="4"/>
  <c r="V88" i="35"/>
  <c r="X62" i="16"/>
  <c r="X11" i="22"/>
  <c r="Y9" i="22"/>
  <c r="X10" i="10"/>
  <c r="F10" i="6"/>
  <c r="F45" i="6" s="1"/>
  <c r="F44" i="6"/>
  <c r="I7" i="21"/>
  <c r="R27" i="27"/>
  <c r="R24" i="27" s="1"/>
  <c r="Q4" i="11"/>
  <c r="Q139" i="10"/>
  <c r="Q122" i="10"/>
  <c r="Q140" i="10"/>
  <c r="Q118" i="10"/>
  <c r="Q125" i="10" s="1"/>
  <c r="Q141" i="10"/>
  <c r="T37" i="4"/>
  <c r="P9" i="6"/>
  <c r="P26" i="6"/>
  <c r="P44" i="6" s="1"/>
  <c r="Q113" i="10"/>
  <c r="P27" i="6" s="1"/>
  <c r="Q114" i="10"/>
  <c r="R87" i="27" s="1"/>
  <c r="Q12" i="11"/>
  <c r="M17" i="6"/>
  <c r="M34" i="6"/>
  <c r="M50" i="6" s="1"/>
  <c r="Q42" i="6"/>
  <c r="Q25" i="6"/>
  <c r="AN30" i="8"/>
  <c r="AN2" i="8"/>
  <c r="AP2" i="8"/>
  <c r="Q79" i="5"/>
  <c r="Q40" i="5"/>
  <c r="Q90" i="5" s="1"/>
  <c r="R129" i="4"/>
  <c r="Q129" i="4"/>
  <c r="S85" i="9"/>
  <c r="S93" i="9"/>
  <c r="V81" i="4"/>
  <c r="I89" i="27"/>
  <c r="G18" i="6"/>
  <c r="I90" i="27"/>
  <c r="G15" i="6"/>
  <c r="G48" i="6" s="1"/>
  <c r="G32" i="6"/>
  <c r="U82" i="35"/>
  <c r="U86" i="35" s="1"/>
  <c r="V87" i="35" s="1"/>
  <c r="U101" i="35"/>
  <c r="H76" i="27"/>
  <c r="G27" i="11"/>
  <c r="V126" i="4"/>
  <c r="Q135" i="10"/>
  <c r="Q138" i="10" s="1"/>
  <c r="Q134" i="10"/>
  <c r="T115" i="4"/>
  <c r="Q145" i="10"/>
  <c r="AC129" i="16"/>
  <c r="AC144" i="16"/>
  <c r="AC149" i="16"/>
  <c r="AC148" i="16"/>
  <c r="AC147" i="16"/>
  <c r="AC151" i="16"/>
  <c r="R206" i="16"/>
  <c r="R227" i="16" s="1"/>
  <c r="R201" i="16"/>
  <c r="R220" i="16"/>
  <c r="S231" i="16"/>
  <c r="S226" i="16"/>
  <c r="N25" i="8"/>
  <c r="N35" i="8" s="1"/>
  <c r="N36" i="8"/>
  <c r="C48" i="33"/>
  <c r="N49" i="33"/>
  <c r="M49" i="33"/>
  <c r="L49" i="33"/>
  <c r="K49" i="33"/>
  <c r="J49" i="33"/>
  <c r="P35" i="33" s="1"/>
  <c r="P38" i="33" s="1"/>
  <c r="I49" i="33"/>
  <c r="H49" i="33"/>
  <c r="G49" i="33"/>
  <c r="F49" i="33"/>
  <c r="E49" i="33"/>
  <c r="D49" i="33"/>
  <c r="B49" i="33"/>
  <c r="D13" i="21"/>
  <c r="D9" i="21"/>
  <c r="AH21" i="8"/>
  <c r="H36" i="8"/>
  <c r="D42" i="6"/>
  <c r="D8" i="6"/>
  <c r="D24" i="6"/>
  <c r="J9" i="5"/>
  <c r="J56" i="5"/>
  <c r="M25" i="8"/>
  <c r="AR21" i="8"/>
  <c r="AR3" i="8" s="1"/>
  <c r="M36" i="8"/>
  <c r="Q223" i="16"/>
  <c r="Q214" i="16"/>
  <c r="X82" i="16"/>
  <c r="AC150" i="16"/>
  <c r="I91" i="27"/>
  <c r="G19" i="6"/>
  <c r="AC164" i="16"/>
  <c r="AC179" i="16"/>
  <c r="AC186" i="16"/>
  <c r="AC184" i="16"/>
  <c r="S1" i="9"/>
  <c r="S82" i="35"/>
  <c r="S86" i="35" s="1"/>
  <c r="S101" i="35"/>
  <c r="P82" i="35"/>
  <c r="P86" i="35" s="1"/>
  <c r="P101" i="35"/>
  <c r="X7" i="19"/>
  <c r="X9" i="19"/>
  <c r="Y11" i="19"/>
  <c r="Y23" i="19" s="1"/>
  <c r="B42" i="6"/>
  <c r="B24" i="6"/>
  <c r="O93" i="35"/>
  <c r="O108" i="35"/>
  <c r="O107" i="35"/>
  <c r="X86" i="35"/>
  <c r="O97" i="35"/>
  <c r="O98" i="35" s="1"/>
  <c r="O100" i="35" s="1"/>
  <c r="O88" i="35"/>
  <c r="O109" i="35"/>
  <c r="V30" i="10"/>
  <c r="V29" i="10"/>
  <c r="Q81" i="27"/>
  <c r="S108" i="4"/>
  <c r="C52" i="33"/>
  <c r="N51" i="33"/>
  <c r="M51" i="33"/>
  <c r="L51" i="33"/>
  <c r="K51" i="33"/>
  <c r="J51" i="33"/>
  <c r="I51" i="33"/>
  <c r="H51" i="33"/>
  <c r="O35" i="33" s="1"/>
  <c r="O38" i="33" s="1"/>
  <c r="G51" i="33"/>
  <c r="F51" i="33"/>
  <c r="E51" i="33"/>
  <c r="D51" i="33"/>
  <c r="B51" i="33"/>
  <c r="D28" i="32"/>
  <c r="D27" i="32"/>
  <c r="D33" i="32" s="1"/>
  <c r="D26" i="32"/>
  <c r="D25" i="32"/>
  <c r="E25" i="32"/>
  <c r="AN21" i="8"/>
  <c r="K36" i="8"/>
  <c r="K85" i="9"/>
  <c r="N81" i="4"/>
  <c r="K93" i="9"/>
  <c r="R135" i="10"/>
  <c r="R145" i="10"/>
  <c r="R134" i="10"/>
  <c r="U115" i="4"/>
  <c r="G4" i="25"/>
  <c r="G9" i="25" s="1"/>
  <c r="AR2" i="8"/>
  <c r="AR30" i="8"/>
  <c r="I218" i="16"/>
  <c r="I225" i="16" s="1"/>
  <c r="P165" i="16"/>
  <c r="Q165" i="16"/>
  <c r="I42" i="6"/>
  <c r="I43" i="6" s="1"/>
  <c r="I25" i="6"/>
  <c r="S15" i="6"/>
  <c r="S32" i="6"/>
  <c r="S48" i="6" s="1"/>
  <c r="T82" i="35"/>
  <c r="T86" i="35" s="1"/>
  <c r="T101" i="35"/>
  <c r="F7" i="21"/>
  <c r="P27" i="27"/>
  <c r="P24" i="27" s="1"/>
  <c r="O4" i="11"/>
  <c r="O139" i="10"/>
  <c r="O122" i="10"/>
  <c r="O140" i="10"/>
  <c r="O113" i="10"/>
  <c r="N27" i="6" s="1"/>
  <c r="O116" i="10"/>
  <c r="O114" i="10"/>
  <c r="P87" i="27" s="1"/>
  <c r="O141" i="10"/>
  <c r="N9" i="6"/>
  <c r="O12" i="11"/>
  <c r="N26" i="6"/>
  <c r="N44" i="6" s="1"/>
  <c r="R37" i="4"/>
  <c r="O103" i="35"/>
  <c r="O102" i="35"/>
  <c r="G7" i="12"/>
  <c r="G7" i="11" s="1"/>
  <c r="H67" i="27" s="1"/>
  <c r="J27" i="32"/>
  <c r="J25" i="32"/>
  <c r="J26" i="32"/>
  <c r="F34" i="6"/>
  <c r="F50" i="6"/>
  <c r="K101" i="35"/>
  <c r="K86" i="35"/>
  <c r="K88" i="35" s="1"/>
  <c r="P85" i="9"/>
  <c r="P93" i="9"/>
  <c r="S81" i="4"/>
  <c r="L126" i="4"/>
  <c r="K126" i="4"/>
  <c r="D27" i="27"/>
  <c r="D24" i="27" s="1"/>
  <c r="E141" i="10"/>
  <c r="E114" i="10"/>
  <c r="D87" i="27" s="1"/>
  <c r="E4" i="11"/>
  <c r="E116" i="10"/>
  <c r="E140" i="10"/>
  <c r="E131" i="10"/>
  <c r="E113" i="10"/>
  <c r="D27" i="6" s="1"/>
  <c r="E139" i="10"/>
  <c r="D17" i="6" s="1"/>
  <c r="E122" i="10"/>
  <c r="D9" i="6"/>
  <c r="E10" i="6" s="1"/>
  <c r="E45" i="6" s="1"/>
  <c r="D26" i="6"/>
  <c r="E12" i="11"/>
  <c r="Q130" i="16"/>
  <c r="H61" i="27"/>
  <c r="G93" i="9"/>
  <c r="G85" i="9"/>
  <c r="G1" i="9"/>
  <c r="U85" i="9"/>
  <c r="U93" i="9"/>
  <c r="X81" i="4"/>
  <c r="U1" i="9"/>
  <c r="N126" i="4"/>
  <c r="J44" i="6"/>
  <c r="W97" i="4"/>
  <c r="T17" i="11"/>
  <c r="W100" i="4" s="1"/>
  <c r="H85" i="9"/>
  <c r="P1" i="14"/>
  <c r="P1" i="12"/>
  <c r="P2" i="10"/>
  <c r="P1" i="13"/>
  <c r="P1" i="11"/>
  <c r="W15" i="10"/>
  <c r="V138" i="13"/>
  <c r="V124" i="13"/>
  <c r="V123" i="13" s="1"/>
  <c r="E104" i="35"/>
  <c r="E106" i="35"/>
  <c r="O11" i="21"/>
  <c r="N11" i="21"/>
  <c r="P25" i="8"/>
  <c r="P35" i="8" s="1"/>
  <c r="P34" i="8"/>
  <c r="P3" i="8"/>
  <c r="P36" i="8"/>
  <c r="E94" i="35"/>
  <c r="E95" i="35"/>
  <c r="M4" i="25"/>
  <c r="M9" i="25" s="1"/>
  <c r="AX21" i="8"/>
  <c r="AX2" i="8"/>
  <c r="AX30" i="8"/>
  <c r="AH30" i="8"/>
  <c r="AH2" i="8"/>
  <c r="AJ2" i="8"/>
  <c r="P223" i="16"/>
  <c r="P214" i="16"/>
  <c r="I4" i="25"/>
  <c r="I9" i="25" s="1"/>
  <c r="AT21" i="8"/>
  <c r="AT2" i="8"/>
  <c r="AT30" i="8"/>
  <c r="N231" i="16"/>
  <c r="M27" i="27"/>
  <c r="M24" i="27" s="1"/>
  <c r="L4" i="11"/>
  <c r="L114" i="10"/>
  <c r="M87" i="27" s="1"/>
  <c r="L116" i="10"/>
  <c r="L139" i="10"/>
  <c r="L122" i="10"/>
  <c r="L12" i="11"/>
  <c r="L113" i="10"/>
  <c r="K27" i="6" s="1"/>
  <c r="L141" i="10"/>
  <c r="L140" i="10"/>
  <c r="L131" i="10"/>
  <c r="K9" i="6"/>
  <c r="J25" i="8"/>
  <c r="J35" i="8" s="1"/>
  <c r="O37" i="4"/>
  <c r="K26" i="6"/>
  <c r="K223" i="16"/>
  <c r="K214" i="16"/>
  <c r="M145" i="10"/>
  <c r="M134" i="10"/>
  <c r="M135" i="10"/>
  <c r="P115" i="4"/>
  <c r="K95" i="9"/>
  <c r="S206" i="16"/>
  <c r="S227" i="16" s="1"/>
  <c r="S201" i="16"/>
  <c r="AK205" i="16"/>
  <c r="AM232" i="16" s="1"/>
  <c r="S220" i="16"/>
  <c r="T231" i="16"/>
  <c r="T226" i="16"/>
  <c r="H1" i="13"/>
  <c r="H1" i="11"/>
  <c r="H1" i="12"/>
  <c r="H1" i="14"/>
  <c r="H2" i="10"/>
  <c r="T135" i="10"/>
  <c r="AI130" i="16"/>
  <c r="AK130" i="16"/>
  <c r="H91" i="27"/>
  <c r="F19" i="6"/>
  <c r="AE185" i="16"/>
  <c r="AE179" i="16"/>
  <c r="AE184" i="16"/>
  <c r="AE186" i="16"/>
  <c r="AG179" i="16"/>
  <c r="J1" i="9"/>
  <c r="X133" i="16"/>
  <c r="AU133" i="16" s="1"/>
  <c r="K27" i="27"/>
  <c r="K24" i="27" s="1"/>
  <c r="J4" i="11"/>
  <c r="J116" i="10"/>
  <c r="J139" i="10"/>
  <c r="J122" i="10"/>
  <c r="J114" i="10"/>
  <c r="K87" i="27" s="1"/>
  <c r="J140" i="10"/>
  <c r="J131" i="10"/>
  <c r="J12" i="11"/>
  <c r="J113" i="10"/>
  <c r="I27" i="6" s="1"/>
  <c r="J141" i="10"/>
  <c r="H25" i="8"/>
  <c r="M37" i="4"/>
  <c r="I26" i="6"/>
  <c r="I9" i="6"/>
  <c r="J10" i="6" s="1"/>
  <c r="D104" i="35"/>
  <c r="D106" i="35"/>
  <c r="V26" i="10"/>
  <c r="V27" i="10"/>
  <c r="L223" i="16"/>
  <c r="L214" i="16"/>
  <c r="U10" i="25"/>
  <c r="V5" i="25"/>
  <c r="N27" i="27"/>
  <c r="N24" i="27" s="1"/>
  <c r="M4" i="11"/>
  <c r="M116" i="10"/>
  <c r="M139" i="10"/>
  <c r="M122" i="10"/>
  <c r="M114" i="10"/>
  <c r="N87" i="27" s="1"/>
  <c r="M140" i="10"/>
  <c r="M131" i="10"/>
  <c r="M12" i="11"/>
  <c r="M113" i="10"/>
  <c r="L27" i="6" s="1"/>
  <c r="K25" i="8"/>
  <c r="L9" i="6"/>
  <c r="P37" i="4"/>
  <c r="L26" i="6"/>
  <c r="F25" i="6"/>
  <c r="F43" i="6"/>
  <c r="W36" i="18"/>
  <c r="W20" i="18"/>
  <c r="W17" i="18" s="1"/>
  <c r="X6" i="10"/>
  <c r="H64" i="27"/>
  <c r="K110" i="13"/>
  <c r="K104" i="13" s="1"/>
  <c r="N206" i="16"/>
  <c r="N227" i="16" s="1"/>
  <c r="N220" i="16"/>
  <c r="N201" i="16"/>
  <c r="O226" i="16"/>
  <c r="H47" i="13"/>
  <c r="E134" i="10"/>
  <c r="E135" i="10"/>
  <c r="E145" i="10"/>
  <c r="H85" i="15"/>
  <c r="G89" i="15"/>
  <c r="V47" i="14"/>
  <c r="U47" i="14"/>
  <c r="N119" i="4"/>
  <c r="N118" i="4" s="1"/>
  <c r="N117" i="4"/>
  <c r="T206" i="16"/>
  <c r="T227" i="16" s="1"/>
  <c r="T201" i="16"/>
  <c r="U218" i="16" s="1"/>
  <c r="U225" i="16" s="1"/>
  <c r="AM205" i="16"/>
  <c r="T220" i="16"/>
  <c r="AC1" i="10"/>
  <c r="AD1" i="10" s="1"/>
  <c r="AE1" i="10" s="1"/>
  <c r="AF1" i="10" s="1"/>
  <c r="AG1" i="10" s="1"/>
  <c r="P7" i="12"/>
  <c r="P7" i="11" s="1"/>
  <c r="S92" i="4" s="1"/>
  <c r="V98" i="9"/>
  <c r="Y65" i="4"/>
  <c r="K42" i="6"/>
  <c r="K43" i="6" s="1"/>
  <c r="K25" i="6"/>
  <c r="K141" i="10"/>
  <c r="J134" i="10"/>
  <c r="J135" i="10"/>
  <c r="M115" i="4"/>
  <c r="J145" i="10"/>
  <c r="Y107" i="10"/>
  <c r="N1" i="14"/>
  <c r="P145" i="10"/>
  <c r="P134" i="10"/>
  <c r="P135" i="10"/>
  <c r="S115" i="4"/>
  <c r="K7" i="12"/>
  <c r="K7" i="11" s="1"/>
  <c r="N92" i="4" s="1"/>
  <c r="X11" i="14"/>
  <c r="X14" i="14" s="1"/>
  <c r="X66" i="9" s="1"/>
  <c r="Z69" i="4"/>
  <c r="K13" i="21"/>
  <c r="K9" i="21"/>
  <c r="H83" i="27"/>
  <c r="G38" i="11"/>
  <c r="G35" i="11"/>
  <c r="AG130" i="16"/>
  <c r="T85" i="9"/>
  <c r="T93" i="9"/>
  <c r="W81" i="4"/>
  <c r="F50" i="13"/>
  <c r="O85" i="9"/>
  <c r="R81" i="4"/>
  <c r="O93" i="9"/>
  <c r="Q230" i="16"/>
  <c r="E44" i="6"/>
  <c r="AL21" i="8"/>
  <c r="J36" i="8"/>
  <c r="F220" i="16"/>
  <c r="F201" i="16"/>
  <c r="F218" i="16" s="1"/>
  <c r="G232" i="16"/>
  <c r="G214" i="16"/>
  <c r="G223" i="16"/>
  <c r="G224" i="16"/>
  <c r="G229" i="16"/>
  <c r="G226" i="16"/>
  <c r="G230" i="16"/>
  <c r="Q11" i="20"/>
  <c r="X71" i="16"/>
  <c r="AU71" i="16" s="1"/>
  <c r="AU72" i="16" s="1"/>
  <c r="X9" i="13"/>
  <c r="U11" i="13"/>
  <c r="U3" i="13"/>
  <c r="U12" i="13" s="1"/>
  <c r="Q82" i="35"/>
  <c r="Q86" i="35" s="1"/>
  <c r="Q101" i="35"/>
  <c r="T232" i="16"/>
  <c r="D61" i="27"/>
  <c r="E93" i="9"/>
  <c r="E85" i="9"/>
  <c r="AM52" i="16"/>
  <c r="AK51" i="16"/>
  <c r="AJ25" i="8"/>
  <c r="I35" i="8"/>
  <c r="R130" i="16"/>
  <c r="I27" i="32"/>
  <c r="I25" i="32"/>
  <c r="I26" i="32"/>
  <c r="Q206" i="16"/>
  <c r="Q227" i="16" s="1"/>
  <c r="Q201" i="16"/>
  <c r="Q220" i="16"/>
  <c r="R230" i="16"/>
  <c r="R231" i="16"/>
  <c r="R229" i="16"/>
  <c r="O6" i="26"/>
  <c r="P5" i="26"/>
  <c r="P13" i="26" s="1"/>
  <c r="O13" i="26"/>
  <c r="I93" i="27"/>
  <c r="H123" i="10"/>
  <c r="G11" i="6"/>
  <c r="G46" i="6" s="1"/>
  <c r="G28" i="6"/>
  <c r="R42" i="6"/>
  <c r="S43" i="6" s="1"/>
  <c r="R25" i="6"/>
  <c r="K136" i="10"/>
  <c r="N116" i="4"/>
  <c r="Y27" i="14"/>
  <c r="Z25" i="14" s="1"/>
  <c r="S7" i="12"/>
  <c r="S7" i="11" s="1"/>
  <c r="V92" i="4" s="1"/>
  <c r="S8" i="6"/>
  <c r="K113" i="10"/>
  <c r="J27" i="6" s="1"/>
  <c r="K220" i="16"/>
  <c r="K206" i="16"/>
  <c r="K227" i="16" s="1"/>
  <c r="K201" i="16"/>
  <c r="L231" i="16"/>
  <c r="L224" i="16"/>
  <c r="F35" i="8"/>
  <c r="AD25" i="8"/>
  <c r="K32" i="45"/>
  <c r="Q14" i="45"/>
  <c r="T25" i="6"/>
  <c r="T42" i="6"/>
  <c r="T43" i="6" s="1"/>
  <c r="X3" i="22"/>
  <c r="Y3" i="22" s="1"/>
  <c r="Z3" i="22" s="1"/>
  <c r="AA3" i="22" s="1"/>
  <c r="AB3" i="22" s="1"/>
  <c r="AC3" i="22" s="1"/>
  <c r="AD3" i="22" s="1"/>
  <c r="X20" i="16"/>
  <c r="K5" i="25"/>
  <c r="K10" i="25" s="1"/>
  <c r="AV25" i="8"/>
  <c r="AK48" i="7"/>
  <c r="AV36" i="8"/>
  <c r="H17" i="6"/>
  <c r="H50" i="6" s="1"/>
  <c r="H34" i="6"/>
  <c r="AO51" i="16"/>
  <c r="AB28" i="8"/>
  <c r="W119" i="4"/>
  <c r="W118" i="4" s="1"/>
  <c r="W117" i="4"/>
  <c r="G206" i="16"/>
  <c r="G19" i="32"/>
  <c r="F22" i="32"/>
  <c r="AC51" i="16"/>
  <c r="AC52" i="16"/>
  <c r="L86" i="35"/>
  <c r="O87" i="35" s="1"/>
  <c r="S91" i="27"/>
  <c r="Q36" i="6"/>
  <c r="Q52" i="6" s="1"/>
  <c r="Q19" i="6"/>
  <c r="X90" i="16"/>
  <c r="N42" i="6"/>
  <c r="N43" i="6" s="1"/>
  <c r="N25" i="6"/>
  <c r="O126" i="4"/>
  <c r="X88" i="16"/>
  <c r="L42" i="6"/>
  <c r="L25" i="6"/>
  <c r="F90" i="27"/>
  <c r="E32" i="6"/>
  <c r="E15" i="6"/>
  <c r="E48" i="6" s="1"/>
  <c r="X136" i="16"/>
  <c r="L145" i="10"/>
  <c r="L134" i="10"/>
  <c r="L135" i="10"/>
  <c r="O115" i="4"/>
  <c r="S11" i="25"/>
  <c r="N86" i="35"/>
  <c r="N88" i="35" s="1"/>
  <c r="V25" i="16"/>
  <c r="W28" i="16"/>
  <c r="AQ24" i="16"/>
  <c r="V44" i="16"/>
  <c r="V43" i="16"/>
  <c r="V42" i="16"/>
  <c r="V50" i="16"/>
  <c r="V77" i="16"/>
  <c r="G220" i="16"/>
  <c r="G227" i="16" s="1"/>
  <c r="AA51" i="16"/>
  <c r="AA52" i="16"/>
  <c r="E32" i="32"/>
  <c r="E28" i="32"/>
  <c r="T83" i="27"/>
  <c r="S38" i="11"/>
  <c r="V110" i="4"/>
  <c r="S35" i="11"/>
  <c r="BD34" i="8"/>
  <c r="BD36" i="8"/>
  <c r="F104" i="35"/>
  <c r="F106" i="35"/>
  <c r="L103" i="35"/>
  <c r="L102" i="35"/>
  <c r="Q119" i="4"/>
  <c r="Q118" i="4" s="1"/>
  <c r="Q117" i="4"/>
  <c r="AC183" i="16"/>
  <c r="G50" i="13"/>
  <c r="W25" i="22"/>
  <c r="O145" i="10"/>
  <c r="O134" i="10"/>
  <c r="O135" i="10"/>
  <c r="R115" i="4"/>
  <c r="K138" i="10"/>
  <c r="R224" i="16"/>
  <c r="Q85" i="9"/>
  <c r="T81" i="4"/>
  <c r="Q93" i="9"/>
  <c r="J7" i="21"/>
  <c r="S27" i="27"/>
  <c r="S24" i="27" s="1"/>
  <c r="R4" i="11"/>
  <c r="R139" i="10"/>
  <c r="R122" i="10"/>
  <c r="R140" i="10"/>
  <c r="R118" i="10"/>
  <c r="R125" i="10" s="1"/>
  <c r="R113" i="10"/>
  <c r="Q27" i="6" s="1"/>
  <c r="R114" i="10"/>
  <c r="S87" i="27" s="1"/>
  <c r="R141" i="10"/>
  <c r="Q26" i="6"/>
  <c r="Q44" i="6" s="1"/>
  <c r="U37" i="4"/>
  <c r="Q9" i="6"/>
  <c r="R12" i="11"/>
  <c r="AA164" i="16"/>
  <c r="AA185" i="16"/>
  <c r="AA183" i="16"/>
  <c r="AA184" i="16"/>
  <c r="AA186" i="16"/>
  <c r="X129" i="4"/>
  <c r="W129" i="4"/>
  <c r="M206" i="16"/>
  <c r="M227" i="16" s="1"/>
  <c r="M220" i="16"/>
  <c r="M201" i="16"/>
  <c r="M218" i="16" s="1"/>
  <c r="M225" i="16" s="1"/>
  <c r="N232" i="16"/>
  <c r="N230" i="16"/>
  <c r="N224" i="16"/>
  <c r="U46" i="14"/>
  <c r="V46" i="14"/>
  <c r="AC185" i="16"/>
  <c r="I83" i="27"/>
  <c r="H38" i="11"/>
  <c r="K110" i="4"/>
  <c r="H35" i="11"/>
  <c r="O223" i="16"/>
  <c r="O214" i="16"/>
  <c r="BD25" i="8"/>
  <c r="S35" i="8"/>
  <c r="K130" i="16"/>
  <c r="L130" i="16"/>
  <c r="L90" i="27"/>
  <c r="J15" i="6"/>
  <c r="J48" i="6" s="1"/>
  <c r="J32" i="6"/>
  <c r="C24" i="6"/>
  <c r="C8" i="6"/>
  <c r="C42" i="6"/>
  <c r="AI51" i="16"/>
  <c r="F64" i="27"/>
  <c r="F10" i="11"/>
  <c r="I103" i="35"/>
  <c r="I102" i="35"/>
  <c r="I109" i="35"/>
  <c r="I93" i="35"/>
  <c r="I108" i="35"/>
  <c r="I87" i="35"/>
  <c r="I107" i="35"/>
  <c r="I97" i="35"/>
  <c r="I98" i="35" s="1"/>
  <c r="I100" i="35" s="1"/>
  <c r="I88" i="35"/>
  <c r="W49" i="16"/>
  <c r="U135" i="10"/>
  <c r="U134" i="10"/>
  <c r="K8" i="5" s="1"/>
  <c r="K58" i="5" s="1"/>
  <c r="X115" i="4"/>
  <c r="K6" i="5"/>
  <c r="K7" i="5"/>
  <c r="K57" i="5" s="1"/>
  <c r="N129" i="4"/>
  <c r="M129" i="4"/>
  <c r="T141" i="10"/>
  <c r="U15" i="13"/>
  <c r="K119" i="4"/>
  <c r="K118" i="4" s="1"/>
  <c r="K117" i="4"/>
  <c r="C27" i="27"/>
  <c r="C24" i="27" s="1"/>
  <c r="D113" i="10"/>
  <c r="C27" i="6" s="1"/>
  <c r="D114" i="10"/>
  <c r="C87" i="27" s="1"/>
  <c r="D4" i="11"/>
  <c r="D116" i="10"/>
  <c r="D141" i="10"/>
  <c r="D140" i="10"/>
  <c r="D131" i="10"/>
  <c r="D122" i="10"/>
  <c r="D139" i="10"/>
  <c r="C17" i="6" s="1"/>
  <c r="C9" i="6"/>
  <c r="C26" i="6"/>
  <c r="D12" i="11"/>
  <c r="J93" i="9"/>
  <c r="J85" i="9"/>
  <c r="M81" i="4"/>
  <c r="I42" i="5"/>
  <c r="I92" i="5" s="1"/>
  <c r="I30" i="5"/>
  <c r="I81" i="5"/>
  <c r="AA26" i="22"/>
  <c r="T130" i="16"/>
  <c r="U130" i="16"/>
  <c r="O6" i="21"/>
  <c r="N6" i="21"/>
  <c r="M12" i="21"/>
  <c r="W11" i="10"/>
  <c r="P42" i="6"/>
  <c r="P25" i="6"/>
  <c r="F94" i="35"/>
  <c r="F95" i="35"/>
  <c r="H136" i="10"/>
  <c r="K116" i="4"/>
  <c r="H138" i="10"/>
  <c r="AM165" i="16"/>
  <c r="N223" i="16"/>
  <c r="N214" i="16"/>
  <c r="O1" i="9"/>
  <c r="O42" i="6"/>
  <c r="O25" i="6"/>
  <c r="W92" i="16"/>
  <c r="W110" i="16"/>
  <c r="W107" i="16"/>
  <c r="R214" i="16"/>
  <c r="J11" i="6"/>
  <c r="J46" i="6" s="1"/>
  <c r="J28" i="6"/>
  <c r="K123" i="10"/>
  <c r="K129" i="4"/>
  <c r="L129" i="4"/>
  <c r="M7" i="21"/>
  <c r="U6" i="25"/>
  <c r="U122" i="10"/>
  <c r="U4" i="11"/>
  <c r="U140" i="10"/>
  <c r="U113" i="10"/>
  <c r="T27" i="6" s="1"/>
  <c r="U141" i="10"/>
  <c r="U114" i="10"/>
  <c r="T26" i="6"/>
  <c r="T44" i="6" s="1"/>
  <c r="T45" i="6" s="1"/>
  <c r="U139" i="10"/>
  <c r="T9" i="6"/>
  <c r="T10" i="6" s="1"/>
  <c r="X37" i="4"/>
  <c r="O90" i="27"/>
  <c r="M15" i="6"/>
  <c r="M32" i="6"/>
  <c r="M48" i="6" s="1"/>
  <c r="K1" i="13"/>
  <c r="K1" i="12"/>
  <c r="K1" i="14"/>
  <c r="K2" i="10"/>
  <c r="K1" i="11"/>
  <c r="C114" i="10"/>
  <c r="C116" i="10"/>
  <c r="C122" i="10"/>
  <c r="B11" i="6" s="1"/>
  <c r="B28" i="6" s="1"/>
  <c r="B9" i="6"/>
  <c r="V73" i="16"/>
  <c r="V70" i="16"/>
  <c r="E50" i="6"/>
  <c r="E34" i="6"/>
  <c r="R85" i="9"/>
  <c r="R93" i="9"/>
  <c r="U81" i="4"/>
  <c r="G7" i="21"/>
  <c r="Q27" i="27"/>
  <c r="Q24" i="27" s="1"/>
  <c r="P4" i="11"/>
  <c r="P139" i="10"/>
  <c r="P122" i="10"/>
  <c r="P140" i="10"/>
  <c r="P113" i="10"/>
  <c r="O27" i="6" s="1"/>
  <c r="P114" i="10"/>
  <c r="Q87" i="27" s="1"/>
  <c r="P141" i="10"/>
  <c r="O9" i="6"/>
  <c r="O26" i="6"/>
  <c r="O44" i="6" s="1"/>
  <c r="O45" i="6" s="1"/>
  <c r="S37" i="4"/>
  <c r="P12" i="11"/>
  <c r="AO130" i="16"/>
  <c r="T113" i="10"/>
  <c r="S27" i="6" s="1"/>
  <c r="S95" i="9"/>
  <c r="O229" i="16"/>
  <c r="S224" i="16"/>
  <c r="R223" i="16"/>
  <c r="J17" i="6"/>
  <c r="J50" i="6" s="1"/>
  <c r="J34" i="6"/>
  <c r="V36" i="19"/>
  <c r="V15" i="11"/>
  <c r="V17" i="11" s="1"/>
  <c r="L119" i="4"/>
  <c r="L118" i="4" s="1"/>
  <c r="L117" i="4"/>
  <c r="M25" i="6"/>
  <c r="C36" i="6"/>
  <c r="C52" i="6"/>
  <c r="S34" i="6"/>
  <c r="S50" i="6" s="1"/>
  <c r="S17" i="6"/>
  <c r="AE51" i="16"/>
  <c r="AE52" i="16"/>
  <c r="L85" i="9"/>
  <c r="L93" i="9"/>
  <c r="O81" i="4"/>
  <c r="I36" i="5"/>
  <c r="I46" i="5"/>
  <c r="I96" i="5" s="1"/>
  <c r="I85" i="5"/>
  <c r="T38" i="11"/>
  <c r="W110" i="4"/>
  <c r="T35" i="11"/>
  <c r="W6" i="22"/>
  <c r="W69" i="16"/>
  <c r="AS69" i="16" s="1"/>
  <c r="T126" i="4"/>
  <c r="O8" i="6"/>
  <c r="AZ2" i="8"/>
  <c r="W108" i="16"/>
  <c r="Q82" i="27"/>
  <c r="P34" i="11"/>
  <c r="S109" i="4"/>
  <c r="T129" i="4"/>
  <c r="AC182" i="16"/>
  <c r="L165" i="16"/>
  <c r="G44" i="6"/>
  <c r="G10" i="6"/>
  <c r="G45" i="6" s="1"/>
  <c r="D134" i="10"/>
  <c r="D135" i="10"/>
  <c r="D145" i="10"/>
  <c r="AU28" i="8" l="1"/>
  <c r="J7" i="25" s="1"/>
  <c r="U28" i="8"/>
  <c r="W75" i="17"/>
  <c r="W14" i="13"/>
  <c r="W3" i="13" s="1"/>
  <c r="G43" i="6"/>
  <c r="W11" i="13"/>
  <c r="V4" i="13"/>
  <c r="V5" i="13"/>
  <c r="V68" i="13"/>
  <c r="V20" i="13"/>
  <c r="BB36" i="8"/>
  <c r="BB3" i="8"/>
  <c r="V12" i="13"/>
  <c r="M19" i="6"/>
  <c r="N1" i="13"/>
  <c r="N2" i="10"/>
  <c r="N1" i="11"/>
  <c r="L1" i="13"/>
  <c r="L2" i="10"/>
  <c r="E28" i="6"/>
  <c r="Z28" i="8"/>
  <c r="S28" i="6"/>
  <c r="S46" i="6" s="1"/>
  <c r="T123" i="10"/>
  <c r="O19" i="6"/>
  <c r="S138" i="10"/>
  <c r="R31" i="6" s="1"/>
  <c r="R47" i="6" s="1"/>
  <c r="L1" i="14"/>
  <c r="L1" i="11"/>
  <c r="E11" i="6"/>
  <c r="E46" i="6" s="1"/>
  <c r="F93" i="27"/>
  <c r="F89" i="27"/>
  <c r="F2" i="10"/>
  <c r="M13" i="6"/>
  <c r="M54" i="6" s="1"/>
  <c r="M30" i="6"/>
  <c r="F11" i="6"/>
  <c r="F46" i="6" s="1"/>
  <c r="H93" i="27"/>
  <c r="F1" i="13"/>
  <c r="D128" i="10"/>
  <c r="C95" i="27"/>
  <c r="F28" i="6"/>
  <c r="F1" i="11"/>
  <c r="L30" i="6"/>
  <c r="L13" i="6"/>
  <c r="L54" i="6" s="1"/>
  <c r="H13" i="6"/>
  <c r="H54" i="6" s="1"/>
  <c r="H30" i="6"/>
  <c r="F15" i="6"/>
  <c r="F48" i="6" s="1"/>
  <c r="E1" i="11"/>
  <c r="S13" i="6"/>
  <c r="S54" i="6" s="1"/>
  <c r="S30" i="6"/>
  <c r="P30" i="6"/>
  <c r="P13" i="6"/>
  <c r="P54" i="6" s="1"/>
  <c r="Q1" i="11"/>
  <c r="Q1" i="12"/>
  <c r="N13" i="6"/>
  <c r="N54" i="6" s="1"/>
  <c r="N30" i="6"/>
  <c r="E1" i="13"/>
  <c r="J30" i="6"/>
  <c r="J13" i="6"/>
  <c r="J54" i="6" s="1"/>
  <c r="Q2" i="10"/>
  <c r="M36" i="6"/>
  <c r="M52" i="6" s="1"/>
  <c r="H95" i="27"/>
  <c r="G128" i="10"/>
  <c r="F95" i="27"/>
  <c r="F128" i="10"/>
  <c r="D95" i="27"/>
  <c r="E128" i="10"/>
  <c r="I1" i="14"/>
  <c r="BG28" i="8"/>
  <c r="G28" i="8"/>
  <c r="H28" i="8"/>
  <c r="AC28" i="8"/>
  <c r="M28" i="8"/>
  <c r="AR28" i="8" s="1"/>
  <c r="G7" i="25" s="1"/>
  <c r="I28" i="8"/>
  <c r="AP28" i="8"/>
  <c r="E7" i="25" s="1"/>
  <c r="AM28" i="8"/>
  <c r="AI27" i="8"/>
  <c r="AK28" i="8"/>
  <c r="AA28" i="8"/>
  <c r="AO28" i="8"/>
  <c r="D7" i="25" s="1"/>
  <c r="AS28" i="8"/>
  <c r="H7" i="25" s="1"/>
  <c r="AE28" i="8"/>
  <c r="BE28" i="8"/>
  <c r="AN28" i="8"/>
  <c r="L28" i="8"/>
  <c r="E28" i="8"/>
  <c r="F28" i="8"/>
  <c r="BC28" i="8"/>
  <c r="R7" i="25" s="1"/>
  <c r="S7" i="25" s="1"/>
  <c r="Y28" i="8"/>
  <c r="K28" i="8"/>
  <c r="J28" i="8"/>
  <c r="AG28" i="8"/>
  <c r="AI28" i="8"/>
  <c r="AY28" i="8"/>
  <c r="N7" i="25" s="1"/>
  <c r="D28" i="8"/>
  <c r="N28" i="8"/>
  <c r="Q13" i="6"/>
  <c r="Q54" i="6" s="1"/>
  <c r="Q30" i="6"/>
  <c r="E2" i="10"/>
  <c r="I2" i="10"/>
  <c r="P138" i="10"/>
  <c r="O14" i="6" s="1"/>
  <c r="I30" i="6"/>
  <c r="I13" i="6"/>
  <c r="I54" i="6" s="1"/>
  <c r="H128" i="10"/>
  <c r="I95" i="27"/>
  <c r="R30" i="6"/>
  <c r="R13" i="6"/>
  <c r="R54" i="6" s="1"/>
  <c r="F32" i="6"/>
  <c r="K30" i="6"/>
  <c r="K13" i="6"/>
  <c r="K54" i="6" s="1"/>
  <c r="H10" i="11"/>
  <c r="K95" i="4" s="1"/>
  <c r="E1" i="12"/>
  <c r="O13" i="6"/>
  <c r="O54" i="6" s="1"/>
  <c r="O30" i="6"/>
  <c r="T13" i="6"/>
  <c r="T54" i="6" s="1"/>
  <c r="T30" i="6"/>
  <c r="Q1" i="14"/>
  <c r="AU82" i="16"/>
  <c r="AU154" i="16"/>
  <c r="AU155" i="16" s="1"/>
  <c r="AU119" i="16"/>
  <c r="AU120" i="16" s="1"/>
  <c r="AU134" i="16"/>
  <c r="AU90" i="16"/>
  <c r="AU162" i="16"/>
  <c r="AU163" i="16" s="1"/>
  <c r="AS70" i="16"/>
  <c r="AU70" i="16"/>
  <c r="AU127" i="16"/>
  <c r="AU128" i="16" s="1"/>
  <c r="AU142" i="16"/>
  <c r="Q6" i="20"/>
  <c r="Q7" i="20" s="1"/>
  <c r="Q23" i="20"/>
  <c r="AC130" i="16"/>
  <c r="X26" i="19"/>
  <c r="X6" i="18"/>
  <c r="X25" i="18"/>
  <c r="W28" i="18"/>
  <c r="Y6" i="19"/>
  <c r="AS109" i="16"/>
  <c r="AG51" i="16"/>
  <c r="AS159" i="16"/>
  <c r="H11" i="6"/>
  <c r="H46" i="6" s="1"/>
  <c r="I123" i="10"/>
  <c r="H18" i="6"/>
  <c r="H51" i="6" s="1"/>
  <c r="H35" i="6"/>
  <c r="H10" i="6"/>
  <c r="M10" i="6"/>
  <c r="W7" i="18"/>
  <c r="F1" i="12"/>
  <c r="I1" i="12"/>
  <c r="Q91" i="27"/>
  <c r="I1" i="11"/>
  <c r="W9" i="18"/>
  <c r="H15" i="6"/>
  <c r="H48" i="6" s="1"/>
  <c r="M18" i="6"/>
  <c r="N45" i="6"/>
  <c r="O89" i="27"/>
  <c r="H32" i="6"/>
  <c r="N10" i="11"/>
  <c r="Q95" i="4" s="1"/>
  <c r="AG52" i="16"/>
  <c r="AT3" i="8"/>
  <c r="AZ36" i="8"/>
  <c r="O5" i="25"/>
  <c r="O10" i="25" s="1"/>
  <c r="AN3" i="8"/>
  <c r="AZ34" i="8"/>
  <c r="AO48" i="7"/>
  <c r="BR21" i="8"/>
  <c r="BS21" i="8" s="1"/>
  <c r="X72" i="16"/>
  <c r="AP3" i="8"/>
  <c r="AB4" i="8"/>
  <c r="AJ36" i="8"/>
  <c r="AJ3" i="8"/>
  <c r="AL3" i="8"/>
  <c r="AH36" i="8"/>
  <c r="AH3" i="8"/>
  <c r="AV3" i="8"/>
  <c r="R35" i="8"/>
  <c r="T4" i="25"/>
  <c r="G35" i="8"/>
  <c r="K218" i="16"/>
  <c r="K225" i="16" s="1"/>
  <c r="BB34" i="8"/>
  <c r="Q5" i="25"/>
  <c r="T5" i="25" s="1"/>
  <c r="N10" i="6"/>
  <c r="E43" i="6"/>
  <c r="J11" i="5"/>
  <c r="J61" i="5" s="1"/>
  <c r="O89" i="15"/>
  <c r="Z13" i="22"/>
  <c r="Y49" i="10"/>
  <c r="Y50" i="10" s="1"/>
  <c r="AE3" i="22"/>
  <c r="AF3" i="22" s="1"/>
  <c r="AG3" i="22" s="1"/>
  <c r="S116" i="10"/>
  <c r="S125" i="10"/>
  <c r="S126" i="10" s="1"/>
  <c r="D91" i="27"/>
  <c r="I10" i="11"/>
  <c r="L95" i="4" s="1"/>
  <c r="Y20" i="20"/>
  <c r="Z20" i="20" s="1"/>
  <c r="Z38" i="9"/>
  <c r="Z27" i="11" s="1"/>
  <c r="U16" i="13"/>
  <c r="Q218" i="16"/>
  <c r="Q225" i="16" s="1"/>
  <c r="U7" i="11"/>
  <c r="X92" i="4" s="1"/>
  <c r="AC79" i="9"/>
  <c r="BF34" i="8"/>
  <c r="BF36" i="8"/>
  <c r="T19" i="6"/>
  <c r="J40" i="5"/>
  <c r="J90" i="5" s="1"/>
  <c r="J79" i="5"/>
  <c r="AS92" i="16"/>
  <c r="AS107" i="16"/>
  <c r="AS164" i="16"/>
  <c r="AS106" i="16"/>
  <c r="AS110" i="16"/>
  <c r="T35" i="8"/>
  <c r="BF25" i="8"/>
  <c r="AS49" i="16"/>
  <c r="AS25" i="16"/>
  <c r="AS43" i="16"/>
  <c r="AS50" i="16"/>
  <c r="AS42" i="16"/>
  <c r="AS44" i="16"/>
  <c r="F18" i="6"/>
  <c r="F51" i="6" s="1"/>
  <c r="AS108" i="16"/>
  <c r="W77" i="16"/>
  <c r="R45" i="6"/>
  <c r="K52" i="16"/>
  <c r="K51" i="16"/>
  <c r="G218" i="16"/>
  <c r="G225" i="16" s="1"/>
  <c r="N218" i="16"/>
  <c r="N225" i="16" s="1"/>
  <c r="Q43" i="6"/>
  <c r="M1" i="9"/>
  <c r="M95" i="9"/>
  <c r="M85" i="9"/>
  <c r="M93" i="9"/>
  <c r="P81" i="4"/>
  <c r="N85" i="9"/>
  <c r="L43" i="6"/>
  <c r="G10" i="11"/>
  <c r="H70" i="27" s="1"/>
  <c r="AC165" i="16"/>
  <c r="AM224" i="16"/>
  <c r="R1" i="11"/>
  <c r="R1" i="12"/>
  <c r="R1" i="14"/>
  <c r="R2" i="10"/>
  <c r="T10" i="11"/>
  <c r="W95" i="4" s="1"/>
  <c r="E52" i="6"/>
  <c r="P14" i="6"/>
  <c r="P31" i="6"/>
  <c r="P47" i="6" s="1"/>
  <c r="P87" i="35"/>
  <c r="P88" i="35"/>
  <c r="Q87" i="35"/>
  <c r="Q88" i="35"/>
  <c r="R87" i="35"/>
  <c r="M5" i="25"/>
  <c r="M10" i="25" s="1"/>
  <c r="AX25" i="8"/>
  <c r="AX34" i="8"/>
  <c r="AX3" i="8"/>
  <c r="AM48" i="7"/>
  <c r="AM49" i="7" s="1"/>
  <c r="AX36" i="8"/>
  <c r="J1" i="12"/>
  <c r="J1" i="14"/>
  <c r="J1" i="11"/>
  <c r="J2" i="10"/>
  <c r="J1" i="13"/>
  <c r="S123" i="10"/>
  <c r="R11" i="6"/>
  <c r="R28" i="6"/>
  <c r="R46" i="6" s="1"/>
  <c r="O10" i="11"/>
  <c r="R95" i="4" s="1"/>
  <c r="E33" i="32"/>
  <c r="E35" i="32"/>
  <c r="E36" i="32" s="1"/>
  <c r="U88" i="35"/>
  <c r="U87" i="35"/>
  <c r="AL25" i="8"/>
  <c r="AL36" i="8"/>
  <c r="T18" i="6"/>
  <c r="T35" i="6"/>
  <c r="T51" i="6" s="1"/>
  <c r="K9" i="5"/>
  <c r="K56" i="5"/>
  <c r="F5" i="26"/>
  <c r="P10" i="6"/>
  <c r="AM206" i="16"/>
  <c r="AM227" i="16" s="1"/>
  <c r="AM220" i="16"/>
  <c r="M89" i="27"/>
  <c r="K18" i="6"/>
  <c r="K51" i="6" s="1"/>
  <c r="K35" i="6"/>
  <c r="U1" i="14"/>
  <c r="U1" i="12"/>
  <c r="U1" i="11"/>
  <c r="U1" i="13"/>
  <c r="U2" i="10"/>
  <c r="T119" i="4"/>
  <c r="T118" i="4" s="1"/>
  <c r="T117" i="4"/>
  <c r="AP35" i="8"/>
  <c r="AE50" i="7"/>
  <c r="Y34" i="19"/>
  <c r="X13" i="13"/>
  <c r="M136" i="10"/>
  <c r="P116" i="4"/>
  <c r="M138" i="10"/>
  <c r="X34" i="19"/>
  <c r="O34" i="6"/>
  <c r="O50" i="6" s="1"/>
  <c r="O17" i="6"/>
  <c r="K44" i="6"/>
  <c r="K45" i="6" s="1"/>
  <c r="K10" i="6"/>
  <c r="AC48" i="7"/>
  <c r="AE49" i="7" s="1"/>
  <c r="AN36" i="8"/>
  <c r="F136" i="10"/>
  <c r="F138" i="10"/>
  <c r="Z107" i="10"/>
  <c r="T15" i="6"/>
  <c r="T32" i="6"/>
  <c r="T48" i="6" s="1"/>
  <c r="AD26" i="8"/>
  <c r="AD35" i="8"/>
  <c r="AM201" i="16"/>
  <c r="T218" i="16"/>
  <c r="T225" i="16" s="1"/>
  <c r="W21" i="18"/>
  <c r="X43" i="10"/>
  <c r="G51" i="6"/>
  <c r="G35" i="6"/>
  <c r="R89" i="27"/>
  <c r="P35" i="6"/>
  <c r="P51" i="6" s="1"/>
  <c r="P18" i="6"/>
  <c r="T90" i="27"/>
  <c r="R15" i="6"/>
  <c r="R32" i="6"/>
  <c r="R48" i="6" s="1"/>
  <c r="H14" i="6"/>
  <c r="H47" i="6" s="1"/>
  <c r="H31" i="6"/>
  <c r="V62" i="10"/>
  <c r="Y20" i="4"/>
  <c r="D89" i="27"/>
  <c r="D18" i="6"/>
  <c r="X24" i="16"/>
  <c r="O94" i="35"/>
  <c r="O95" i="35"/>
  <c r="P45" i="6"/>
  <c r="O43" i="6"/>
  <c r="Q16" i="45"/>
  <c r="S16" i="45" s="1"/>
  <c r="S14" i="45"/>
  <c r="M90" i="27"/>
  <c r="K15" i="6"/>
  <c r="K48" i="6" s="1"/>
  <c r="K32" i="6"/>
  <c r="F13" i="21"/>
  <c r="F9" i="21"/>
  <c r="U136" i="10"/>
  <c r="X116" i="4"/>
  <c r="U138" i="10"/>
  <c r="I5" i="26"/>
  <c r="Q10" i="6"/>
  <c r="L93" i="35"/>
  <c r="L108" i="35"/>
  <c r="L87" i="35"/>
  <c r="L107" i="35"/>
  <c r="L97" i="35"/>
  <c r="L98" i="35" s="1"/>
  <c r="L100" i="35" s="1"/>
  <c r="L88" i="35"/>
  <c r="L109" i="35"/>
  <c r="R218" i="16"/>
  <c r="R225" i="16" s="1"/>
  <c r="I8" i="21"/>
  <c r="Q120" i="10"/>
  <c r="Q126" i="10"/>
  <c r="Q119" i="10"/>
  <c r="O26" i="8"/>
  <c r="T39" i="4"/>
  <c r="S10" i="11"/>
  <c r="V95" i="4" s="1"/>
  <c r="J12" i="6"/>
  <c r="J53" i="6" s="1"/>
  <c r="J29" i="6"/>
  <c r="R136" i="10"/>
  <c r="U116" i="4"/>
  <c r="Q83" i="27"/>
  <c r="P38" i="11"/>
  <c r="S110" i="4"/>
  <c r="P35" i="11"/>
  <c r="G48" i="33"/>
  <c r="F48" i="33"/>
  <c r="E48" i="33"/>
  <c r="D48" i="33"/>
  <c r="B48" i="33"/>
  <c r="I48" i="33"/>
  <c r="H48" i="33"/>
  <c r="C47" i="33"/>
  <c r="N48" i="33"/>
  <c r="M48" i="33"/>
  <c r="L48" i="33"/>
  <c r="K48" i="33"/>
  <c r="J48" i="33"/>
  <c r="M14" i="6"/>
  <c r="M31" i="6"/>
  <c r="M47" i="6" s="1"/>
  <c r="U120" i="10"/>
  <c r="S26" i="8"/>
  <c r="X39" i="4"/>
  <c r="W18" i="18"/>
  <c r="X22" i="10"/>
  <c r="P8" i="21"/>
  <c r="M8" i="21"/>
  <c r="K8" i="21"/>
  <c r="S120" i="10"/>
  <c r="S119" i="10"/>
  <c r="Q26" i="8"/>
  <c r="V39" i="4"/>
  <c r="O1" i="14"/>
  <c r="O1" i="12"/>
  <c r="O1" i="11"/>
  <c r="O2" i="10"/>
  <c r="O1" i="13"/>
  <c r="W70" i="16"/>
  <c r="W73" i="16"/>
  <c r="AS73" i="16" s="1"/>
  <c r="W25" i="16"/>
  <c r="W50" i="16"/>
  <c r="W44" i="16"/>
  <c r="W43" i="16"/>
  <c r="U117" i="4"/>
  <c r="U119" i="4"/>
  <c r="U118" i="4" s="1"/>
  <c r="R43" i="6"/>
  <c r="J136" i="10"/>
  <c r="M116" i="4"/>
  <c r="J138" i="10"/>
  <c r="W38" i="18"/>
  <c r="X6" i="13"/>
  <c r="F36" i="6"/>
  <c r="F52" i="6"/>
  <c r="L123" i="10"/>
  <c r="K11" i="6"/>
  <c r="K46" i="6" s="1"/>
  <c r="K28" i="6"/>
  <c r="J43" i="6"/>
  <c r="R34" i="6"/>
  <c r="R50" i="6" s="1"/>
  <c r="R17" i="6"/>
  <c r="M10" i="11"/>
  <c r="P95" i="4" s="1"/>
  <c r="O6" i="25"/>
  <c r="O11" i="25" s="1"/>
  <c r="AZ35" i="8"/>
  <c r="AO50" i="7"/>
  <c r="X9" i="10"/>
  <c r="P89" i="27"/>
  <c r="N18" i="6"/>
  <c r="N35" i="6"/>
  <c r="N51" i="6" s="1"/>
  <c r="C43" i="6"/>
  <c r="C25" i="6"/>
  <c r="F12" i="6"/>
  <c r="F53" i="6" s="1"/>
  <c r="F29" i="6"/>
  <c r="X7" i="10"/>
  <c r="G13" i="21"/>
  <c r="G9" i="21"/>
  <c r="H45" i="6"/>
  <c r="X6" i="22"/>
  <c r="Y6" i="22" s="1"/>
  <c r="X69" i="16"/>
  <c r="U123" i="10"/>
  <c r="T28" i="6"/>
  <c r="T46" i="6" s="1"/>
  <c r="T11" i="6"/>
  <c r="Q45" i="6"/>
  <c r="V51" i="16"/>
  <c r="V52" i="16"/>
  <c r="K17" i="6"/>
  <c r="K50" i="6" s="1"/>
  <c r="K34" i="6"/>
  <c r="G1" i="13"/>
  <c r="G1" i="11"/>
  <c r="G1" i="12"/>
  <c r="G2" i="10"/>
  <c r="G1" i="14"/>
  <c r="R90" i="27"/>
  <c r="P32" i="6"/>
  <c r="P48" i="6" s="1"/>
  <c r="P15" i="6"/>
  <c r="W93" i="35"/>
  <c r="I94" i="35"/>
  <c r="I95" i="35"/>
  <c r="I17" i="6"/>
  <c r="I50" i="6" s="1"/>
  <c r="I34" i="6"/>
  <c r="Q6" i="25"/>
  <c r="BB35" i="8"/>
  <c r="L107" i="13"/>
  <c r="K120" i="13"/>
  <c r="X119" i="4"/>
  <c r="X118" i="4" s="1"/>
  <c r="X117" i="4"/>
  <c r="P90" i="27"/>
  <c r="N15" i="6"/>
  <c r="N32" i="6"/>
  <c r="N48" i="6" s="1"/>
  <c r="L89" i="27"/>
  <c r="J18" i="6"/>
  <c r="J51" i="6" s="1"/>
  <c r="J35" i="6"/>
  <c r="G5" i="25"/>
  <c r="G10" i="25" s="1"/>
  <c r="AG48" i="7"/>
  <c r="AG49" i="7" s="1"/>
  <c r="AR36" i="8"/>
  <c r="Q123" i="10"/>
  <c r="P11" i="6"/>
  <c r="P28" i="6"/>
  <c r="P46" i="6" s="1"/>
  <c r="G31" i="6"/>
  <c r="G14" i="6"/>
  <c r="G47" i="6" s="1"/>
  <c r="V76" i="16"/>
  <c r="V74" i="16"/>
  <c r="V78" i="16"/>
  <c r="O7" i="21"/>
  <c r="N7" i="21"/>
  <c r="M9" i="21"/>
  <c r="M13" i="21"/>
  <c r="C10" i="6"/>
  <c r="C45" i="6" s="1"/>
  <c r="C44" i="6"/>
  <c r="BD35" i="8"/>
  <c r="AQ49" i="16"/>
  <c r="AQ25" i="16"/>
  <c r="AQ42" i="16"/>
  <c r="AQ50" i="16"/>
  <c r="AQ43" i="16"/>
  <c r="AQ44" i="16"/>
  <c r="H19" i="32"/>
  <c r="G22" i="32"/>
  <c r="U68" i="13"/>
  <c r="U70" i="13" s="1"/>
  <c r="V67" i="13" s="1"/>
  <c r="U5" i="13"/>
  <c r="U4" i="13"/>
  <c r="U15" i="11"/>
  <c r="U17" i="11" s="1"/>
  <c r="X100" i="4" s="1"/>
  <c r="K12" i="5"/>
  <c r="K62" i="5" s="1"/>
  <c r="U8" i="13"/>
  <c r="U20" i="13"/>
  <c r="P119" i="4"/>
  <c r="P118" i="4" s="1"/>
  <c r="P117" i="4"/>
  <c r="T136" i="10"/>
  <c r="W116" i="4"/>
  <c r="T138" i="10"/>
  <c r="L10" i="11"/>
  <c r="O95" i="4" s="1"/>
  <c r="O104" i="35"/>
  <c r="O106" i="35"/>
  <c r="Q116" i="10"/>
  <c r="S119" i="4"/>
  <c r="S118" i="4" s="1"/>
  <c r="S117" i="4"/>
  <c r="J10" i="11"/>
  <c r="M95" i="4" s="1"/>
  <c r="X134" i="16"/>
  <c r="G36" i="6"/>
  <c r="G52" i="6"/>
  <c r="T34" i="6"/>
  <c r="T50" i="6" s="1"/>
  <c r="T17" i="6"/>
  <c r="P10" i="11"/>
  <c r="S95" i="4" s="1"/>
  <c r="Y7" i="19"/>
  <c r="Y9" i="19"/>
  <c r="Z11" i="19"/>
  <c r="Z23" i="19" s="1"/>
  <c r="U11" i="25"/>
  <c r="V6" i="25"/>
  <c r="F32" i="32"/>
  <c r="F28" i="32"/>
  <c r="G12" i="6"/>
  <c r="G53" i="6" s="1"/>
  <c r="G29" i="6"/>
  <c r="T87" i="35"/>
  <c r="T88" i="35"/>
  <c r="E51" i="6"/>
  <c r="E35" i="6"/>
  <c r="C50" i="6"/>
  <c r="C34" i="6"/>
  <c r="J8" i="21"/>
  <c r="R126" i="10"/>
  <c r="R119" i="10"/>
  <c r="P26" i="8"/>
  <c r="R120" i="10"/>
  <c r="U39" i="4"/>
  <c r="H12" i="6"/>
  <c r="H53" i="6" s="1"/>
  <c r="H29" i="6"/>
  <c r="D36" i="6"/>
  <c r="D52" i="6"/>
  <c r="L44" i="6"/>
  <c r="L10" i="6"/>
  <c r="I44" i="6"/>
  <c r="I45" i="6" s="1"/>
  <c r="I10" i="6"/>
  <c r="J59" i="5"/>
  <c r="Q10" i="11"/>
  <c r="T95" i="4" s="1"/>
  <c r="X127" i="16"/>
  <c r="X128" i="16" s="1"/>
  <c r="X142" i="16"/>
  <c r="Q136" i="10"/>
  <c r="T116" i="4"/>
  <c r="X19" i="19"/>
  <c r="X46" i="10"/>
  <c r="X25" i="10" s="1"/>
  <c r="K6" i="25"/>
  <c r="K11" i="25" s="1"/>
  <c r="AV35" i="8"/>
  <c r="AK50" i="7"/>
  <c r="Q90" i="27"/>
  <c r="O15" i="6"/>
  <c r="O32" i="6"/>
  <c r="O48" i="6" s="1"/>
  <c r="O119" i="4"/>
  <c r="O118" i="4" s="1"/>
  <c r="O117" i="4"/>
  <c r="N89" i="27"/>
  <c r="L18" i="6"/>
  <c r="L51" i="6" s="1"/>
  <c r="L35" i="6"/>
  <c r="O42" i="33"/>
  <c r="O41" i="33"/>
  <c r="Y11" i="18"/>
  <c r="X7" i="18"/>
  <c r="X9" i="18"/>
  <c r="L91" i="27"/>
  <c r="J36" i="6"/>
  <c r="J19" i="6"/>
  <c r="J52" i="6" s="1"/>
  <c r="J14" i="6"/>
  <c r="J47" i="6" s="1"/>
  <c r="J31" i="6"/>
  <c r="C5" i="26"/>
  <c r="O10" i="6"/>
  <c r="Q89" i="27"/>
  <c r="O18" i="6"/>
  <c r="O35" i="6"/>
  <c r="O51" i="6" s="1"/>
  <c r="Y104" i="4"/>
  <c r="V117" i="4"/>
  <c r="V119" i="4"/>
  <c r="V118" i="4" s="1"/>
  <c r="I104" i="35"/>
  <c r="I106" i="35"/>
  <c r="Y12" i="19"/>
  <c r="Y18" i="19"/>
  <c r="Y26" i="19" s="1"/>
  <c r="Y8" i="10"/>
  <c r="AR25" i="8"/>
  <c r="M35" i="8"/>
  <c r="P34" i="6"/>
  <c r="P50" i="6" s="1"/>
  <c r="P17" i="6"/>
  <c r="D123" i="10"/>
  <c r="C11" i="6"/>
  <c r="C46" i="6" s="1"/>
  <c r="C28" i="6"/>
  <c r="E12" i="6"/>
  <c r="E53" i="6" s="1"/>
  <c r="E29" i="6"/>
  <c r="S90" i="27"/>
  <c r="Q32" i="6"/>
  <c r="Q48" i="6" s="1"/>
  <c r="Q15" i="6"/>
  <c r="P6" i="26"/>
  <c r="P14" i="26" s="1"/>
  <c r="O14" i="26"/>
  <c r="AN25" i="8"/>
  <c r="K35" i="8"/>
  <c r="M119" i="4"/>
  <c r="M118" i="4" s="1"/>
  <c r="M117" i="4"/>
  <c r="D25" i="6"/>
  <c r="D43" i="6"/>
  <c r="X36" i="18"/>
  <c r="X12" i="18"/>
  <c r="X20" i="18"/>
  <c r="Y6" i="10"/>
  <c r="I13" i="21"/>
  <c r="I9" i="21"/>
  <c r="Q33" i="11"/>
  <c r="P87" i="15"/>
  <c r="I86" i="5"/>
  <c r="I47" i="5"/>
  <c r="I97" i="5" s="1"/>
  <c r="O136" i="10"/>
  <c r="R116" i="4"/>
  <c r="O138" i="10"/>
  <c r="AJ26" i="8"/>
  <c r="AJ35" i="8"/>
  <c r="X17" i="13"/>
  <c r="C90" i="27"/>
  <c r="C32" i="6"/>
  <c r="C15" i="6"/>
  <c r="C48" i="6" s="1"/>
  <c r="R123" i="10"/>
  <c r="Q11" i="6"/>
  <c r="Q28" i="6"/>
  <c r="Q46" i="6" s="1"/>
  <c r="Y9" i="13"/>
  <c r="H35" i="8"/>
  <c r="AH25" i="8"/>
  <c r="D10" i="6"/>
  <c r="D45" i="6" s="1"/>
  <c r="D44" i="6"/>
  <c r="B44" i="6"/>
  <c r="B26" i="6"/>
  <c r="P43" i="6"/>
  <c r="C89" i="27"/>
  <c r="C18" i="6"/>
  <c r="Q34" i="6"/>
  <c r="Q50" i="6" s="1"/>
  <c r="Q17" i="6"/>
  <c r="S29" i="6"/>
  <c r="S12" i="6"/>
  <c r="S53" i="6" s="1"/>
  <c r="I33" i="11"/>
  <c r="H87" i="15"/>
  <c r="H89" i="15" s="1"/>
  <c r="K89" i="27"/>
  <c r="I35" i="6"/>
  <c r="I18" i="6"/>
  <c r="I51" i="6" s="1"/>
  <c r="I5" i="25"/>
  <c r="I10" i="25" s="1"/>
  <c r="AI48" i="7"/>
  <c r="AT25" i="8"/>
  <c r="AT36" i="8"/>
  <c r="D93" i="27"/>
  <c r="D11" i="6"/>
  <c r="D46" i="6" s="1"/>
  <c r="E123" i="10"/>
  <c r="D28" i="6"/>
  <c r="S18" i="6"/>
  <c r="S35" i="6"/>
  <c r="S51" i="6" s="1"/>
  <c r="P123" i="10"/>
  <c r="O11" i="6"/>
  <c r="O28" i="6"/>
  <c r="O46" i="6" s="1"/>
  <c r="N17" i="6"/>
  <c r="N34" i="6"/>
  <c r="N50" i="6" s="1"/>
  <c r="S89" i="27"/>
  <c r="Q35" i="6"/>
  <c r="Q51" i="6" s="1"/>
  <c r="Q18" i="6"/>
  <c r="T91" i="27"/>
  <c r="R36" i="6"/>
  <c r="R52" i="6" s="1"/>
  <c r="R19" i="6"/>
  <c r="AE130" i="16"/>
  <c r="S87" i="35"/>
  <c r="S88" i="35"/>
  <c r="X28" i="10"/>
  <c r="X11" i="10"/>
  <c r="X51" i="10"/>
  <c r="S36" i="6"/>
  <c r="S52" i="6" s="1"/>
  <c r="S19" i="6"/>
  <c r="K10" i="11"/>
  <c r="N95" i="4" s="1"/>
  <c r="P41" i="33"/>
  <c r="P42" i="33"/>
  <c r="R10" i="11"/>
  <c r="U95" i="4" s="1"/>
  <c r="D50" i="6"/>
  <c r="D34" i="6"/>
  <c r="C64" i="27"/>
  <c r="D10" i="11"/>
  <c r="C70" i="27" s="1"/>
  <c r="L218" i="16"/>
  <c r="L225" i="16" s="1"/>
  <c r="L136" i="10"/>
  <c r="O116" i="4"/>
  <c r="L138" i="10"/>
  <c r="E136" i="10"/>
  <c r="E138" i="10"/>
  <c r="N90" i="27"/>
  <c r="L15" i="6"/>
  <c r="L48" i="6" s="1"/>
  <c r="L32" i="6"/>
  <c r="R138" i="10"/>
  <c r="Y11" i="22"/>
  <c r="Z9" i="22"/>
  <c r="Y10" i="10"/>
  <c r="L5" i="5"/>
  <c r="L55" i="5" s="1"/>
  <c r="U23" i="6"/>
  <c r="M12" i="6"/>
  <c r="M53" i="6" s="1"/>
  <c r="M29" i="6"/>
  <c r="AB26" i="22"/>
  <c r="X21" i="13"/>
  <c r="P136" i="10"/>
  <c r="S116" i="4"/>
  <c r="Z27" i="14"/>
  <c r="AA25" i="14" s="1"/>
  <c r="L5" i="26"/>
  <c r="R10" i="6"/>
  <c r="T89" i="27"/>
  <c r="R18" i="6"/>
  <c r="R35" i="6"/>
  <c r="R51" i="6" s="1"/>
  <c r="S45" i="6"/>
  <c r="J13" i="21"/>
  <c r="J9" i="21"/>
  <c r="X24" i="22"/>
  <c r="Q12" i="20"/>
  <c r="Q18" i="20"/>
  <c r="Q15" i="20" s="1"/>
  <c r="Q16" i="20" s="1"/>
  <c r="X14" i="10"/>
  <c r="S1" i="14"/>
  <c r="S1" i="12"/>
  <c r="S1" i="11"/>
  <c r="S1" i="13"/>
  <c r="S2" i="10"/>
  <c r="G136" i="10"/>
  <c r="G138" i="10"/>
  <c r="I80" i="5"/>
  <c r="I41" i="5"/>
  <c r="I91" i="5" s="1"/>
  <c r="O123" i="10"/>
  <c r="N11" i="6"/>
  <c r="N28" i="6"/>
  <c r="N46" i="6" s="1"/>
  <c r="M43" i="6"/>
  <c r="O12" i="21"/>
  <c r="N12" i="21"/>
  <c r="L104" i="35"/>
  <c r="L106" i="35"/>
  <c r="R11" i="20"/>
  <c r="Q9" i="20"/>
  <c r="M123" i="10"/>
  <c r="L11" i="6"/>
  <c r="L46" i="6" s="1"/>
  <c r="L28" i="6"/>
  <c r="K90" i="27"/>
  <c r="I15" i="6"/>
  <c r="I48" i="6" s="1"/>
  <c r="I32" i="6"/>
  <c r="AM231" i="16"/>
  <c r="AM226" i="16"/>
  <c r="AM229" i="16"/>
  <c r="AM230" i="16"/>
  <c r="D90" i="27"/>
  <c r="D32" i="6"/>
  <c r="D15" i="6"/>
  <c r="D48" i="6" s="1"/>
  <c r="C53" i="33"/>
  <c r="N52" i="33"/>
  <c r="M52" i="33"/>
  <c r="L52" i="33"/>
  <c r="K52" i="33"/>
  <c r="J52" i="33"/>
  <c r="I52" i="33"/>
  <c r="H52" i="33"/>
  <c r="G52" i="33"/>
  <c r="F52" i="33"/>
  <c r="E52" i="33"/>
  <c r="D52" i="33"/>
  <c r="B52" i="33"/>
  <c r="O218" i="16"/>
  <c r="O225" i="16" s="1"/>
  <c r="AF26" i="8"/>
  <c r="AF35" i="8"/>
  <c r="AM214" i="16"/>
  <c r="L34" i="6"/>
  <c r="L17" i="6"/>
  <c r="L50" i="6" s="1"/>
  <c r="AK201" i="16"/>
  <c r="S218" i="16"/>
  <c r="S225" i="16" s="1"/>
  <c r="AZ3" i="8"/>
  <c r="R119" i="4"/>
  <c r="R118" i="4" s="1"/>
  <c r="R117" i="4"/>
  <c r="S136" i="10"/>
  <c r="V116" i="4"/>
  <c r="D136" i="10"/>
  <c r="D138" i="10"/>
  <c r="AM223" i="16"/>
  <c r="Y11" i="14"/>
  <c r="Y14" i="14" s="1"/>
  <c r="Y66" i="9" s="1"/>
  <c r="AB69" i="4" s="1"/>
  <c r="AA69" i="4"/>
  <c r="J123" i="10"/>
  <c r="I28" i="6"/>
  <c r="I11" i="6"/>
  <c r="I46" i="6" s="1"/>
  <c r="D64" i="27"/>
  <c r="E10" i="11"/>
  <c r="D70" i="27" s="1"/>
  <c r="W15" i="11" l="1"/>
  <c r="W17" i="11" s="1"/>
  <c r="W4" i="13"/>
  <c r="W5" i="13"/>
  <c r="W68" i="13"/>
  <c r="W20" i="13"/>
  <c r="W8" i="13"/>
  <c r="W12" i="13"/>
  <c r="R14" i="6"/>
  <c r="V70" i="13"/>
  <c r="V64" i="13"/>
  <c r="J13" i="5"/>
  <c r="W15" i="13"/>
  <c r="W16" i="13"/>
  <c r="F30" i="6"/>
  <c r="F13" i="6"/>
  <c r="F54" i="6" s="1"/>
  <c r="AT28" i="8"/>
  <c r="I7" i="25" s="1"/>
  <c r="O31" i="6"/>
  <c r="O47" i="6" s="1"/>
  <c r="D30" i="6"/>
  <c r="D13" i="6"/>
  <c r="D54" i="6" s="1"/>
  <c r="G30" i="6"/>
  <c r="G13" i="6"/>
  <c r="G54" i="6" s="1"/>
  <c r="E13" i="6"/>
  <c r="E54" i="6" s="1"/>
  <c r="E30" i="6"/>
  <c r="C30" i="6"/>
  <c r="C13" i="6"/>
  <c r="C54" i="6" s="1"/>
  <c r="Q26" i="20"/>
  <c r="Q27" i="20" s="1"/>
  <c r="X38" i="16"/>
  <c r="AU38" i="16" s="1"/>
  <c r="AU24" i="16"/>
  <c r="Q28" i="20"/>
  <c r="R6" i="20"/>
  <c r="R7" i="20" s="1"/>
  <c r="R23" i="20"/>
  <c r="Y28" i="19"/>
  <c r="Y27" i="19"/>
  <c r="X30" i="19"/>
  <c r="Y30" i="19" s="1"/>
  <c r="X10" i="13"/>
  <c r="X28" i="19"/>
  <c r="X27" i="19"/>
  <c r="Y6" i="18"/>
  <c r="Y25" i="18"/>
  <c r="W29" i="18"/>
  <c r="W30" i="18"/>
  <c r="X28" i="18"/>
  <c r="Z6" i="19"/>
  <c r="Z7" i="19" s="1"/>
  <c r="AS165" i="16"/>
  <c r="X36" i="16"/>
  <c r="X34" i="16"/>
  <c r="X32" i="16"/>
  <c r="X39" i="16"/>
  <c r="AS74" i="16"/>
  <c r="BR25" i="8"/>
  <c r="BS25" i="8" s="1"/>
  <c r="X70" i="16"/>
  <c r="BF35" i="8"/>
  <c r="Q10" i="25"/>
  <c r="T10" i="25" s="1"/>
  <c r="AA13" i="22"/>
  <c r="Z49" i="10"/>
  <c r="Z50" i="10" s="1"/>
  <c r="F35" i="6"/>
  <c r="AA38" i="9"/>
  <c r="AA27" i="11" s="1"/>
  <c r="AD79" i="9"/>
  <c r="AE79" i="9" s="1"/>
  <c r="AF79" i="9" s="1"/>
  <c r="AG79" i="9" s="1"/>
  <c r="U10" i="11"/>
  <c r="X95" i="4" s="1"/>
  <c r="AS52" i="16"/>
  <c r="AS51" i="16"/>
  <c r="AI49" i="7"/>
  <c r="L36" i="6"/>
  <c r="N91" i="27"/>
  <c r="L19" i="6"/>
  <c r="L52" i="6" s="1"/>
  <c r="AM218" i="16"/>
  <c r="AM225" i="16" s="1"/>
  <c r="M1" i="11"/>
  <c r="M2" i="10"/>
  <c r="M1" i="12"/>
  <c r="M1" i="14"/>
  <c r="M1" i="13"/>
  <c r="R9" i="20"/>
  <c r="X93" i="35"/>
  <c r="L94" i="35"/>
  <c r="L95" i="35"/>
  <c r="X30" i="10"/>
  <c r="X29" i="10"/>
  <c r="M6" i="25"/>
  <c r="M11" i="25" s="1"/>
  <c r="AX35" i="8"/>
  <c r="AM50" i="7"/>
  <c r="AM51" i="7" s="1"/>
  <c r="AA27" i="14"/>
  <c r="AB25" i="14" s="1"/>
  <c r="X38" i="18"/>
  <c r="Y6" i="13"/>
  <c r="X24" i="10"/>
  <c r="X23" i="10"/>
  <c r="Y60" i="4"/>
  <c r="I31" i="6"/>
  <c r="I14" i="6"/>
  <c r="I47" i="6" s="1"/>
  <c r="J45" i="6"/>
  <c r="W76" i="16"/>
  <c r="W74" i="16"/>
  <c r="W78" i="16"/>
  <c r="AF28" i="8"/>
  <c r="AF4" i="8"/>
  <c r="AE5" i="8"/>
  <c r="AF5" i="8"/>
  <c r="J5" i="26"/>
  <c r="J13" i="26" s="1"/>
  <c r="I6" i="26"/>
  <c r="I13" i="26"/>
  <c r="F31" i="6"/>
  <c r="F14" i="6"/>
  <c r="F47" i="6" s="1"/>
  <c r="AD28" i="8"/>
  <c r="AD4" i="8"/>
  <c r="AD5" i="8"/>
  <c r="AC5" i="8"/>
  <c r="O8" i="21"/>
  <c r="N8" i="21"/>
  <c r="Q8" i="21"/>
  <c r="Z11" i="14"/>
  <c r="Z14" i="14" s="1"/>
  <c r="Z66" i="9" s="1"/>
  <c r="X25" i="22"/>
  <c r="X18" i="13"/>
  <c r="V10" i="12"/>
  <c r="M5" i="26"/>
  <c r="M13" i="26" s="1"/>
  <c r="L6" i="26"/>
  <c r="L13" i="26"/>
  <c r="E6" i="25"/>
  <c r="E11" i="25" s="1"/>
  <c r="AN35" i="8"/>
  <c r="AC50" i="7"/>
  <c r="AE51" i="7" s="1"/>
  <c r="AQ52" i="16"/>
  <c r="AQ51" i="16"/>
  <c r="AA107" i="10"/>
  <c r="Q11" i="25"/>
  <c r="T11" i="25" s="1"/>
  <c r="T6" i="25"/>
  <c r="E14" i="6"/>
  <c r="E47" i="6" s="1"/>
  <c r="E31" i="6"/>
  <c r="D14" i="6"/>
  <c r="D47" i="6" s="1"/>
  <c r="D31" i="6"/>
  <c r="K14" i="6"/>
  <c r="K47" i="6" s="1"/>
  <c r="K31" i="6"/>
  <c r="O12" i="6"/>
  <c r="O53" i="6" s="1"/>
  <c r="O29" i="6"/>
  <c r="F33" i="32"/>
  <c r="F35" i="32"/>
  <c r="F36" i="32" s="1"/>
  <c r="O13" i="21"/>
  <c r="N13" i="21"/>
  <c r="S28" i="8"/>
  <c r="BD28" i="8" s="1"/>
  <c r="BD26" i="8"/>
  <c r="O28" i="8"/>
  <c r="AV26" i="8"/>
  <c r="O4" i="8"/>
  <c r="K13" i="5"/>
  <c r="K59" i="5"/>
  <c r="AC26" i="22"/>
  <c r="AD26" i="22" s="1"/>
  <c r="Y21" i="13"/>
  <c r="Y24" i="22"/>
  <c r="R12" i="20"/>
  <c r="R18" i="20"/>
  <c r="Y14" i="10"/>
  <c r="X7" i="13"/>
  <c r="X15" i="10"/>
  <c r="C14" i="6"/>
  <c r="C47" i="6" s="1"/>
  <c r="C31" i="6"/>
  <c r="D5" i="26"/>
  <c r="D13" i="26" s="1"/>
  <c r="C13" i="26"/>
  <c r="C6" i="26"/>
  <c r="O9" i="21"/>
  <c r="N9" i="21"/>
  <c r="X25" i="16"/>
  <c r="X42" i="16"/>
  <c r="X43" i="16"/>
  <c r="X44" i="16"/>
  <c r="X50" i="16"/>
  <c r="L45" i="6"/>
  <c r="M45" i="6"/>
  <c r="Y50" i="4"/>
  <c r="L12" i="5"/>
  <c r="L62" i="5" s="1"/>
  <c r="L12" i="6"/>
  <c r="L53" i="6" s="1"/>
  <c r="L29" i="6"/>
  <c r="Z11" i="22"/>
  <c r="AA9" i="22"/>
  <c r="Z10" i="10"/>
  <c r="L110" i="13"/>
  <c r="L104" i="13" s="1"/>
  <c r="Q19" i="20"/>
  <c r="X55" i="10"/>
  <c r="G5" i="26"/>
  <c r="G13" i="26" s="1"/>
  <c r="F13" i="26"/>
  <c r="F6" i="26"/>
  <c r="N12" i="6"/>
  <c r="N53" i="6" s="1"/>
  <c r="N29" i="6"/>
  <c r="AH26" i="8"/>
  <c r="AJ4" i="8" s="1"/>
  <c r="AH35" i="8"/>
  <c r="X49" i="16"/>
  <c r="Y19" i="19"/>
  <c r="Y46" i="10"/>
  <c r="Y25" i="10" s="1"/>
  <c r="J82" i="27"/>
  <c r="I34" i="11"/>
  <c r="L109" i="4"/>
  <c r="I19" i="32"/>
  <c r="H22" i="32"/>
  <c r="K12" i="6"/>
  <c r="K53" i="6" s="1"/>
  <c r="K29" i="6"/>
  <c r="Y72" i="4"/>
  <c r="Y74" i="4"/>
  <c r="V21" i="10"/>
  <c r="Y73" i="4"/>
  <c r="V20" i="10"/>
  <c r="Y18" i="4"/>
  <c r="Y19" i="4" s="1"/>
  <c r="Y26" i="4" s="1"/>
  <c r="V40" i="10"/>
  <c r="W41" i="10" s="1"/>
  <c r="C29" i="6"/>
  <c r="C12" i="6"/>
  <c r="C53" i="6" s="1"/>
  <c r="S31" i="6"/>
  <c r="S47" i="6" s="1"/>
  <c r="S14" i="6"/>
  <c r="U7" i="25"/>
  <c r="V7" i="25" s="1"/>
  <c r="AJ127" i="10"/>
  <c r="AJ128" i="10"/>
  <c r="U126" i="10"/>
  <c r="D51" i="6"/>
  <c r="D35" i="6"/>
  <c r="Y28" i="10"/>
  <c r="Y11" i="10"/>
  <c r="Y51" i="10"/>
  <c r="Y17" i="13"/>
  <c r="X48" i="10"/>
  <c r="X47" i="10"/>
  <c r="F53" i="33"/>
  <c r="E53" i="33"/>
  <c r="D53" i="33"/>
  <c r="B53" i="33"/>
  <c r="N53" i="33"/>
  <c r="M53" i="33"/>
  <c r="L53" i="33"/>
  <c r="K53" i="33"/>
  <c r="J53" i="33"/>
  <c r="I53" i="33"/>
  <c r="H53" i="33"/>
  <c r="G53" i="33"/>
  <c r="Z12" i="19"/>
  <c r="Z18" i="19"/>
  <c r="Z26" i="19" s="1"/>
  <c r="Z8" i="10"/>
  <c r="Z9" i="13"/>
  <c r="X36" i="19"/>
  <c r="AL26" i="8"/>
  <c r="AL35" i="8"/>
  <c r="C51" i="6"/>
  <c r="C35" i="6"/>
  <c r="V68" i="14"/>
  <c r="V69" i="14" s="1"/>
  <c r="Q85" i="15"/>
  <c r="L14" i="6"/>
  <c r="L47" i="6" s="1"/>
  <c r="L31" i="6"/>
  <c r="U76" i="13"/>
  <c r="U80" i="13"/>
  <c r="U64" i="13"/>
  <c r="AJ28" i="8"/>
  <c r="AJ5" i="8"/>
  <c r="AI5" i="8"/>
  <c r="T31" i="6"/>
  <c r="T47" i="6" s="1"/>
  <c r="T14" i="6"/>
  <c r="Q31" i="6"/>
  <c r="Q47" i="6" s="1"/>
  <c r="Q14" i="6"/>
  <c r="I12" i="6"/>
  <c r="I53" i="6" s="1"/>
  <c r="I29" i="6"/>
  <c r="D12" i="6"/>
  <c r="D53" i="6" s="1"/>
  <c r="D29" i="6"/>
  <c r="R82" i="27"/>
  <c r="Q34" i="11"/>
  <c r="T109" i="4"/>
  <c r="G6" i="25"/>
  <c r="G11" i="25" s="1"/>
  <c r="AR35" i="8"/>
  <c r="AG50" i="7"/>
  <c r="AG51" i="7" s="1"/>
  <c r="Y94" i="4"/>
  <c r="Y98" i="4"/>
  <c r="X45" i="10"/>
  <c r="X44" i="10"/>
  <c r="P28" i="8"/>
  <c r="AX26" i="8"/>
  <c r="P4" i="8"/>
  <c r="T12" i="6"/>
  <c r="T53" i="6" s="1"/>
  <c r="T29" i="6"/>
  <c r="Z6" i="22"/>
  <c r="Q29" i="6"/>
  <c r="Q12" i="6"/>
  <c r="Q53" i="6" s="1"/>
  <c r="Y9" i="10"/>
  <c r="J63" i="5"/>
  <c r="X21" i="18"/>
  <c r="Y43" i="10"/>
  <c r="R29" i="6"/>
  <c r="R12" i="6"/>
  <c r="R53" i="6" s="1"/>
  <c r="G32" i="32"/>
  <c r="G28" i="32"/>
  <c r="N14" i="6"/>
  <c r="N31" i="6"/>
  <c r="N47" i="6" s="1"/>
  <c r="X51" i="14"/>
  <c r="Y36" i="19"/>
  <c r="Y10" i="13"/>
  <c r="Q28" i="8"/>
  <c r="AZ26" i="8"/>
  <c r="AZ28" i="8" s="1"/>
  <c r="Q4" i="8"/>
  <c r="X27" i="10"/>
  <c r="X26" i="10"/>
  <c r="U31" i="11"/>
  <c r="U12" i="11"/>
  <c r="T55" i="6"/>
  <c r="T37" i="6"/>
  <c r="X85" i="4"/>
  <c r="Z11" i="18"/>
  <c r="Y7" i="18"/>
  <c r="Y9" i="18"/>
  <c r="AO49" i="7"/>
  <c r="AK49" i="7"/>
  <c r="Y7" i="10"/>
  <c r="Y15" i="19"/>
  <c r="Y16" i="19" s="1"/>
  <c r="Y36" i="18"/>
  <c r="Y12" i="18"/>
  <c r="Y20" i="18"/>
  <c r="Z6" i="10"/>
  <c r="W51" i="16"/>
  <c r="W52" i="16"/>
  <c r="Z34" i="19"/>
  <c r="Y13" i="13"/>
  <c r="I6" i="25"/>
  <c r="I11" i="25" s="1"/>
  <c r="AI50" i="7"/>
  <c r="AT35" i="8"/>
  <c r="X17" i="18"/>
  <c r="X96" i="4"/>
  <c r="X97" i="4"/>
  <c r="P12" i="6"/>
  <c r="P53" i="6" s="1"/>
  <c r="P29" i="6"/>
  <c r="N47" i="33"/>
  <c r="M47" i="33"/>
  <c r="L47" i="33"/>
  <c r="K47" i="33"/>
  <c r="J47" i="33"/>
  <c r="I47" i="33"/>
  <c r="H47" i="33"/>
  <c r="G47" i="33"/>
  <c r="F47" i="33"/>
  <c r="E47" i="33"/>
  <c r="D47" i="33"/>
  <c r="B47" i="33"/>
  <c r="BD5" i="8" l="1"/>
  <c r="BE5" i="8"/>
  <c r="W67" i="13"/>
  <c r="V80" i="13"/>
  <c r="V76" i="13"/>
  <c r="W73" i="13" s="1"/>
  <c r="W70" i="13"/>
  <c r="U75" i="13"/>
  <c r="V73" i="13"/>
  <c r="V75" i="13" s="1"/>
  <c r="X35" i="16"/>
  <c r="AU34" i="16"/>
  <c r="X37" i="16"/>
  <c r="AU36" i="16"/>
  <c r="S11" i="20"/>
  <c r="AU49" i="16"/>
  <c r="AU25" i="16"/>
  <c r="AU42" i="16"/>
  <c r="AU43" i="16"/>
  <c r="AU44" i="16"/>
  <c r="AU50" i="16"/>
  <c r="R26" i="20"/>
  <c r="X33" i="16"/>
  <c r="AU32" i="16"/>
  <c r="AU58" i="16"/>
  <c r="AU39" i="16"/>
  <c r="AU54" i="16"/>
  <c r="Z28" i="19"/>
  <c r="Z27" i="19"/>
  <c r="Z6" i="18"/>
  <c r="AA11" i="18" s="1"/>
  <c r="Z25" i="18"/>
  <c r="X29" i="18"/>
  <c r="X30" i="18"/>
  <c r="Y28" i="18"/>
  <c r="AA11" i="19"/>
  <c r="AA23" i="19" s="1"/>
  <c r="Z15" i="19"/>
  <c r="Z16" i="19" s="1"/>
  <c r="Z9" i="19"/>
  <c r="AV5" i="8"/>
  <c r="AW5" i="8"/>
  <c r="AZ5" i="8"/>
  <c r="BA5" i="8"/>
  <c r="AX5" i="8"/>
  <c r="AY5" i="8"/>
  <c r="AA6" i="22"/>
  <c r="AE26" i="22"/>
  <c r="Z21" i="13"/>
  <c r="AA49" i="10"/>
  <c r="AA50" i="10" s="1"/>
  <c r="AB13" i="22"/>
  <c r="AB38" i="9"/>
  <c r="AJ130" i="10"/>
  <c r="U23" i="18"/>
  <c r="O21" i="20"/>
  <c r="V21" i="19"/>
  <c r="V103" i="10"/>
  <c r="Y86" i="4" s="1"/>
  <c r="AI51" i="7"/>
  <c r="AO51" i="7"/>
  <c r="Z36" i="19"/>
  <c r="Z10" i="13"/>
  <c r="H32" i="32"/>
  <c r="H28" i="32"/>
  <c r="AX28" i="8"/>
  <c r="M7" i="25" s="1"/>
  <c r="AX4" i="8"/>
  <c r="Y15" i="10"/>
  <c r="R19" i="20"/>
  <c r="Y55" i="10"/>
  <c r="Y34" i="10" s="1"/>
  <c r="Z9" i="10"/>
  <c r="U57" i="14"/>
  <c r="U58" i="14" s="1"/>
  <c r="V56" i="14" s="1"/>
  <c r="X108" i="4"/>
  <c r="U34" i="11"/>
  <c r="U35" i="11" s="1"/>
  <c r="Y58" i="4"/>
  <c r="Z7" i="10"/>
  <c r="M107" i="13"/>
  <c r="L120" i="13"/>
  <c r="Z11" i="10"/>
  <c r="Z28" i="10"/>
  <c r="Z51" i="10"/>
  <c r="J83" i="27"/>
  <c r="I38" i="11"/>
  <c r="L110" i="4"/>
  <c r="I35" i="11"/>
  <c r="R15" i="20"/>
  <c r="R16" i="20" s="1"/>
  <c r="X53" i="14"/>
  <c r="X36" i="9" s="1"/>
  <c r="Y25" i="22"/>
  <c r="Y18" i="13"/>
  <c r="AB107" i="10"/>
  <c r="Y21" i="18"/>
  <c r="Z43" i="10"/>
  <c r="Y7" i="13"/>
  <c r="V45" i="14"/>
  <c r="AA11" i="14"/>
  <c r="AA14" i="14" s="1"/>
  <c r="AA66" i="9" s="1"/>
  <c r="Y27" i="10"/>
  <c r="Y26" i="10"/>
  <c r="Z19" i="19"/>
  <c r="Z46" i="10"/>
  <c r="Z25" i="10" s="1"/>
  <c r="Y48" i="10"/>
  <c r="Y47" i="10"/>
  <c r="Y97" i="4"/>
  <c r="AV4" i="8"/>
  <c r="AV28" i="8"/>
  <c r="K7" i="25" s="1"/>
  <c r="AB27" i="14"/>
  <c r="AC25" i="14" s="1"/>
  <c r="Y11" i="13"/>
  <c r="I14" i="26"/>
  <c r="J6" i="26"/>
  <c r="J14" i="26" s="1"/>
  <c r="X57" i="10"/>
  <c r="X56" i="10"/>
  <c r="G33" i="32"/>
  <c r="G35" i="32"/>
  <c r="G36" i="32" s="1"/>
  <c r="X51" i="16"/>
  <c r="X52" i="16"/>
  <c r="F14" i="26"/>
  <c r="G6" i="26"/>
  <c r="G14" i="26" s="1"/>
  <c r="AA9" i="13"/>
  <c r="Z36" i="18"/>
  <c r="Z12" i="18"/>
  <c r="Z20" i="18"/>
  <c r="Z17" i="18" s="1"/>
  <c r="AA6" i="10"/>
  <c r="L14" i="26"/>
  <c r="M6" i="26"/>
  <c r="M14" i="26" s="1"/>
  <c r="X11" i="13"/>
  <c r="X34" i="10"/>
  <c r="AK51" i="7"/>
  <c r="X48" i="4"/>
  <c r="X47" i="4" s="1"/>
  <c r="Y45" i="10"/>
  <c r="Y44" i="10"/>
  <c r="Z24" i="22"/>
  <c r="S12" i="20"/>
  <c r="Z14" i="10"/>
  <c r="Z13" i="13"/>
  <c r="AL28" i="8"/>
  <c r="AL4" i="8"/>
  <c r="AL5" i="8"/>
  <c r="AK5" i="8"/>
  <c r="AN4" i="8"/>
  <c r="Y38" i="18"/>
  <c r="Z6" i="13"/>
  <c r="R83" i="27"/>
  <c r="Q38" i="11"/>
  <c r="T110" i="4"/>
  <c r="Q35" i="11"/>
  <c r="R33" i="11"/>
  <c r="Q87" i="15"/>
  <c r="O7" i="25"/>
  <c r="AZ4" i="8"/>
  <c r="C14" i="26"/>
  <c r="D6" i="26"/>
  <c r="D14" i="26" s="1"/>
  <c r="Y17" i="18"/>
  <c r="Z17" i="13"/>
  <c r="Y30" i="10"/>
  <c r="Y29" i="10"/>
  <c r="I22" i="32"/>
  <c r="J19" i="32"/>
  <c r="P5" i="21"/>
  <c r="V42" i="10"/>
  <c r="W129" i="16" s="1"/>
  <c r="W130" i="16" s="1"/>
  <c r="V41" i="10"/>
  <c r="Y67" i="4"/>
  <c r="AA11" i="22"/>
  <c r="AB9" i="22"/>
  <c r="AA10" i="10"/>
  <c r="U20" i="11"/>
  <c r="K63" i="5"/>
  <c r="K14" i="5"/>
  <c r="K64" i="5" s="1"/>
  <c r="X18" i="18"/>
  <c r="Y22" i="10"/>
  <c r="Z30" i="19"/>
  <c r="AH28" i="8"/>
  <c r="AH4" i="8"/>
  <c r="AH5" i="8"/>
  <c r="AG5" i="8"/>
  <c r="X19" i="13"/>
  <c r="W80" i="13" l="1"/>
  <c r="W76" i="13"/>
  <c r="W75" i="13" s="1"/>
  <c r="W64" i="13"/>
  <c r="AA6" i="19"/>
  <c r="AA9" i="19" s="1"/>
  <c r="AU33" i="16"/>
  <c r="AU55" i="16"/>
  <c r="Z9" i="18"/>
  <c r="Z7" i="18"/>
  <c r="R28" i="20"/>
  <c r="R27" i="20"/>
  <c r="S6" i="20"/>
  <c r="S23" i="20"/>
  <c r="AU37" i="16"/>
  <c r="AU57" i="16"/>
  <c r="AU35" i="16"/>
  <c r="AU56" i="16"/>
  <c r="AU51" i="16"/>
  <c r="AU52" i="16"/>
  <c r="V112" i="10"/>
  <c r="W205" i="16"/>
  <c r="W104" i="10"/>
  <c r="S18" i="20"/>
  <c r="S19" i="20" s="1"/>
  <c r="AA34" i="19"/>
  <c r="AA36" i="19" s="1"/>
  <c r="AB11" i="19"/>
  <c r="AB23" i="19" s="1"/>
  <c r="AA7" i="19"/>
  <c r="AA12" i="19"/>
  <c r="AA8" i="10"/>
  <c r="AA9" i="10" s="1"/>
  <c r="AA18" i="19"/>
  <c r="AA26" i="19" s="1"/>
  <c r="Y29" i="18"/>
  <c r="Y30" i="18"/>
  <c r="AA6" i="18"/>
  <c r="AB11" i="18" s="1"/>
  <c r="AA25" i="18"/>
  <c r="Z28" i="18"/>
  <c r="AA15" i="19"/>
  <c r="AA16" i="19" s="1"/>
  <c r="AC13" i="22"/>
  <c r="AB49" i="10"/>
  <c r="AB50" i="10" s="1"/>
  <c r="AF26" i="22"/>
  <c r="AA21" i="13"/>
  <c r="AC38" i="9"/>
  <c r="AC27" i="11" s="1"/>
  <c r="AB27" i="11"/>
  <c r="V104" i="10"/>
  <c r="V110" i="10"/>
  <c r="X110" i="10" s="1"/>
  <c r="Y110" i="10" s="1"/>
  <c r="Z110" i="10" s="1"/>
  <c r="AA110" i="10" s="1"/>
  <c r="AB110" i="10" s="1"/>
  <c r="AC110" i="10" s="1"/>
  <c r="AD110" i="10" s="1"/>
  <c r="AE110" i="10" s="1"/>
  <c r="AF110" i="10" s="1"/>
  <c r="AG110" i="10" s="1"/>
  <c r="V133" i="10"/>
  <c r="V134" i="10" s="1"/>
  <c r="V12" i="11"/>
  <c r="V106" i="10"/>
  <c r="X106" i="10" s="1"/>
  <c r="Y106" i="10" s="1"/>
  <c r="Z106" i="10" s="1"/>
  <c r="AA106" i="10" s="1"/>
  <c r="AB106" i="10" s="1"/>
  <c r="AC106" i="10" s="1"/>
  <c r="AD106" i="10" s="1"/>
  <c r="AE106" i="10" s="1"/>
  <c r="AF106" i="10" s="1"/>
  <c r="AG106" i="10" s="1"/>
  <c r="V108" i="10"/>
  <c r="Y35" i="10"/>
  <c r="Y36" i="10"/>
  <c r="AA7" i="10"/>
  <c r="Y64" i="4"/>
  <c r="Z30" i="10"/>
  <c r="Z29" i="10"/>
  <c r="Y24" i="10"/>
  <c r="Y23" i="10"/>
  <c r="Y28" i="4"/>
  <c r="I32" i="32"/>
  <c r="I28" i="32"/>
  <c r="AC107" i="10"/>
  <c r="AD107" i="10" s="1"/>
  <c r="AE107" i="10" s="1"/>
  <c r="AF107" i="10" s="1"/>
  <c r="AG107" i="10" s="1"/>
  <c r="Y51" i="14"/>
  <c r="M110" i="13"/>
  <c r="M104" i="13" s="1"/>
  <c r="Z48" i="10"/>
  <c r="Z47" i="10"/>
  <c r="Z25" i="22"/>
  <c r="Z18" i="13"/>
  <c r="Y59" i="4"/>
  <c r="V112" i="9"/>
  <c r="V113" i="9" s="1"/>
  <c r="Z38" i="18"/>
  <c r="AA6" i="13"/>
  <c r="AB11" i="14"/>
  <c r="AB14" i="14" s="1"/>
  <c r="AB66" i="9" s="1"/>
  <c r="Z7" i="13"/>
  <c r="AA12" i="18"/>
  <c r="AA20" i="18"/>
  <c r="AA17" i="18" s="1"/>
  <c r="AA36" i="18"/>
  <c r="AB6" i="10"/>
  <c r="Y19" i="13"/>
  <c r="AC27" i="14"/>
  <c r="AD25" i="14" s="1"/>
  <c r="AB9" i="13"/>
  <c r="AA17" i="13"/>
  <c r="Z18" i="18"/>
  <c r="AA22" i="10"/>
  <c r="S82" i="27"/>
  <c r="R34" i="11"/>
  <c r="U109" i="4"/>
  <c r="J22" i="32"/>
  <c r="K19" i="32"/>
  <c r="K22" i="32" s="1"/>
  <c r="AA19" i="19"/>
  <c r="AA46" i="10"/>
  <c r="AA25" i="10" s="1"/>
  <c r="U38" i="11"/>
  <c r="X110" i="4"/>
  <c r="Z44" i="10"/>
  <c r="Z45" i="10"/>
  <c r="Y57" i="10"/>
  <c r="Y56" i="10"/>
  <c r="AA28" i="10"/>
  <c r="AA11" i="10"/>
  <c r="AA51" i="10"/>
  <c r="Y68" i="4"/>
  <c r="Y71" i="4"/>
  <c r="Z21" i="18"/>
  <c r="AA43" i="10"/>
  <c r="U60" i="14"/>
  <c r="U76" i="14"/>
  <c r="Z11" i="13"/>
  <c r="AA13" i="13"/>
  <c r="Z15" i="10"/>
  <c r="H33" i="32"/>
  <c r="H35" i="32"/>
  <c r="H36" i="32" s="1"/>
  <c r="Z26" i="10"/>
  <c r="Z27" i="10"/>
  <c r="Y18" i="18"/>
  <c r="Z22" i="10"/>
  <c r="AB11" i="22"/>
  <c r="AC9" i="22"/>
  <c r="AD9" i="22" s="1"/>
  <c r="AB10" i="10"/>
  <c r="P11" i="21"/>
  <c r="Q11" i="21" s="1"/>
  <c r="Q5" i="21"/>
  <c r="AB6" i="22"/>
  <c r="X35" i="10"/>
  <c r="X36" i="10"/>
  <c r="W113" i="10" l="1"/>
  <c r="V4" i="11"/>
  <c r="AB8" i="10"/>
  <c r="AB18" i="19"/>
  <c r="AB26" i="19" s="1"/>
  <c r="W206" i="16"/>
  <c r="W227" i="16" s="1"/>
  <c r="W220" i="16"/>
  <c r="X206" i="16"/>
  <c r="X227" i="16" s="1"/>
  <c r="X220" i="16"/>
  <c r="W201" i="16"/>
  <c r="W218" i="16" s="1"/>
  <c r="W225" i="16" s="1"/>
  <c r="X230" i="16"/>
  <c r="X232" i="16"/>
  <c r="X223" i="16"/>
  <c r="X214" i="16"/>
  <c r="X229" i="16"/>
  <c r="X231" i="16"/>
  <c r="X224" i="16"/>
  <c r="S15" i="20"/>
  <c r="S16" i="20" s="1"/>
  <c r="AA10" i="13"/>
  <c r="AA11" i="13" s="1"/>
  <c r="AB34" i="19"/>
  <c r="AB36" i="19" s="1"/>
  <c r="AA30" i="19"/>
  <c r="AB21" i="13"/>
  <c r="AG26" i="22"/>
  <c r="AB12" i="19"/>
  <c r="AB6" i="19"/>
  <c r="AB9" i="19" s="1"/>
  <c r="V114" i="10"/>
  <c r="S26" i="20"/>
  <c r="S7" i="20"/>
  <c r="T11" i="20"/>
  <c r="S9" i="20"/>
  <c r="V141" i="10"/>
  <c r="V140" i="10"/>
  <c r="Z55" i="10"/>
  <c r="Z57" i="10" s="1"/>
  <c r="V139" i="10"/>
  <c r="V113" i="10"/>
  <c r="V122" i="10"/>
  <c r="V123" i="10" s="1"/>
  <c r="AB27" i="19"/>
  <c r="AB28" i="19"/>
  <c r="AA27" i="19"/>
  <c r="AA28" i="19"/>
  <c r="AA9" i="18"/>
  <c r="AA7" i="18"/>
  <c r="AB6" i="18"/>
  <c r="AB9" i="18" s="1"/>
  <c r="AB25" i="18"/>
  <c r="AA28" i="18"/>
  <c r="Z29" i="18"/>
  <c r="Z30" i="18"/>
  <c r="AB15" i="19"/>
  <c r="AB16" i="19" s="1"/>
  <c r="AD27" i="14"/>
  <c r="AE25" i="14" s="1"/>
  <c r="AD10" i="10"/>
  <c r="AE9" i="22"/>
  <c r="Y131" i="10"/>
  <c r="Z131" i="10" s="1"/>
  <c r="AA131" i="10" s="1"/>
  <c r="AB131" i="10" s="1"/>
  <c r="AC131" i="10" s="1"/>
  <c r="AD131" i="10" s="1"/>
  <c r="AE131" i="10" s="1"/>
  <c r="AF131" i="10" s="1"/>
  <c r="AG131" i="10" s="1"/>
  <c r="AC49" i="10"/>
  <c r="AD13" i="22"/>
  <c r="AD38" i="9"/>
  <c r="AC9" i="13"/>
  <c r="S83" i="27"/>
  <c r="R38" i="11"/>
  <c r="U110" i="4"/>
  <c r="R35" i="11"/>
  <c r="AB17" i="13"/>
  <c r="AA7" i="13"/>
  <c r="AA47" i="10"/>
  <c r="AA48" i="10"/>
  <c r="AB12" i="18"/>
  <c r="AB20" i="18"/>
  <c r="AB17" i="18" s="1"/>
  <c r="AB36" i="18"/>
  <c r="AC6" i="10"/>
  <c r="AB28" i="10"/>
  <c r="AB11" i="10"/>
  <c r="AB51" i="10"/>
  <c r="P6" i="21"/>
  <c r="Y34" i="4"/>
  <c r="U7" i="6"/>
  <c r="U8" i="6" s="1"/>
  <c r="U24" i="6"/>
  <c r="V80" i="14"/>
  <c r="AA23" i="10"/>
  <c r="AA24" i="10"/>
  <c r="Z23" i="10"/>
  <c r="Z24" i="10"/>
  <c r="N107" i="13"/>
  <c r="M120" i="13"/>
  <c r="K28" i="32"/>
  <c r="K31" i="32" s="1"/>
  <c r="K32" i="32" s="1"/>
  <c r="K35" i="32" s="1"/>
  <c r="AC11" i="14"/>
  <c r="AC14" i="14" s="1"/>
  <c r="AD11" i="14" s="1"/>
  <c r="AD14" i="14" s="1"/>
  <c r="AE11" i="14" s="1"/>
  <c r="AE14" i="14" s="1"/>
  <c r="AF11" i="14" s="1"/>
  <c r="AF14" i="14" s="1"/>
  <c r="AG11" i="14" s="1"/>
  <c r="AG14" i="14" s="1"/>
  <c r="AG66" i="9" s="1"/>
  <c r="Z19" i="13"/>
  <c r="J28" i="32"/>
  <c r="J31" i="32" s="1"/>
  <c r="J32" i="32" s="1"/>
  <c r="J35" i="32" s="1"/>
  <c r="Y53" i="14"/>
  <c r="Y36" i="9" s="1"/>
  <c r="AB9" i="10"/>
  <c r="AA45" i="10"/>
  <c r="AA44" i="10"/>
  <c r="AC6" i="22"/>
  <c r="AD6" i="22" s="1"/>
  <c r="AA27" i="10"/>
  <c r="AA26" i="10"/>
  <c r="AC11" i="22"/>
  <c r="AC10" i="10"/>
  <c r="AD11" i="10" s="1"/>
  <c r="AA30" i="10"/>
  <c r="AA29" i="10"/>
  <c r="AA38" i="18"/>
  <c r="AB6" i="13"/>
  <c r="I33" i="32"/>
  <c r="I35" i="32"/>
  <c r="I36" i="32" s="1"/>
  <c r="AB19" i="19"/>
  <c r="AB46" i="10"/>
  <c r="Y92" i="4"/>
  <c r="L11" i="5"/>
  <c r="L61" i="5" s="1"/>
  <c r="AB7" i="10"/>
  <c r="AA18" i="18"/>
  <c r="AB22" i="10"/>
  <c r="AB13" i="13"/>
  <c r="Y27" i="4"/>
  <c r="Y33" i="4"/>
  <c r="AA21" i="18"/>
  <c r="AB43" i="10"/>
  <c r="Y101" i="4"/>
  <c r="Z34" i="10" l="1"/>
  <c r="AB25" i="10"/>
  <c r="Z56" i="10"/>
  <c r="AB30" i="19"/>
  <c r="S27" i="20"/>
  <c r="S28" i="20"/>
  <c r="AB7" i="19"/>
  <c r="AB10" i="13"/>
  <c r="AB11" i="13" s="1"/>
  <c r="T6" i="20"/>
  <c r="T23" i="20"/>
  <c r="AA24" i="22"/>
  <c r="T12" i="20"/>
  <c r="T18" i="20"/>
  <c r="AA14" i="10"/>
  <c r="AA15" i="10" s="1"/>
  <c r="AC21" i="13"/>
  <c r="AC11" i="18"/>
  <c r="AC20" i="18" s="1"/>
  <c r="AD43" i="10" s="1"/>
  <c r="AC11" i="19"/>
  <c r="AC23" i="19" s="1"/>
  <c r="AB7" i="18"/>
  <c r="AC8" i="10"/>
  <c r="AC9" i="10" s="1"/>
  <c r="AC12" i="19"/>
  <c r="AC18" i="19"/>
  <c r="AC26" i="19" s="1"/>
  <c r="AD6" i="10"/>
  <c r="AD7" i="10" s="1"/>
  <c r="AC25" i="18"/>
  <c r="AA29" i="18"/>
  <c r="AA30" i="18"/>
  <c r="AB28" i="18"/>
  <c r="AE27" i="14"/>
  <c r="AF25" i="14" s="1"/>
  <c r="AE6" i="22"/>
  <c r="AD11" i="22"/>
  <c r="AE13" i="22"/>
  <c r="AD49" i="10"/>
  <c r="AD51" i="10" s="1"/>
  <c r="AC50" i="10"/>
  <c r="AF9" i="22"/>
  <c r="AG9" i="22" s="1"/>
  <c r="AE10" i="10"/>
  <c r="AE38" i="9"/>
  <c r="AE27" i="11" s="1"/>
  <c r="AC17" i="13"/>
  <c r="AC66" i="9"/>
  <c r="AD9" i="13"/>
  <c r="AD27" i="11"/>
  <c r="AC13" i="13"/>
  <c r="J36" i="32"/>
  <c r="AB27" i="10"/>
  <c r="AB26" i="10"/>
  <c r="K36" i="32"/>
  <c r="AB29" i="10"/>
  <c r="AB30" i="10"/>
  <c r="AB7" i="13"/>
  <c r="AB45" i="10"/>
  <c r="AB44" i="10"/>
  <c r="AC7" i="10"/>
  <c r="AB48" i="10"/>
  <c r="AB47" i="10"/>
  <c r="AB38" i="18"/>
  <c r="AC6" i="13"/>
  <c r="Y75" i="4"/>
  <c r="AB21" i="18"/>
  <c r="AC43" i="10"/>
  <c r="L8" i="5"/>
  <c r="L58" i="5" s="1"/>
  <c r="L6" i="5"/>
  <c r="L7" i="5"/>
  <c r="L57" i="5" s="1"/>
  <c r="Y115" i="4"/>
  <c r="AB18" i="18"/>
  <c r="AC22" i="10"/>
  <c r="AC28" i="10"/>
  <c r="AC11" i="10"/>
  <c r="AC51" i="10"/>
  <c r="Z51" i="14"/>
  <c r="AB23" i="10"/>
  <c r="AB24" i="10"/>
  <c r="Z35" i="10"/>
  <c r="Z36" i="10"/>
  <c r="U25" i="6"/>
  <c r="U42" i="6"/>
  <c r="U43" i="6" s="1"/>
  <c r="N110" i="13"/>
  <c r="N104" i="13" s="1"/>
  <c r="Q6" i="21"/>
  <c r="P12" i="21"/>
  <c r="Q12" i="21" s="1"/>
  <c r="AG10" i="10" l="1"/>
  <c r="AC36" i="18"/>
  <c r="T7" i="20"/>
  <c r="T9" i="20"/>
  <c r="U11" i="20"/>
  <c r="T19" i="20"/>
  <c r="AA55" i="10"/>
  <c r="T15" i="20"/>
  <c r="T16" i="20" s="1"/>
  <c r="AC6" i="19"/>
  <c r="AC34" i="19"/>
  <c r="AC36" i="19" s="1"/>
  <c r="AC6" i="18"/>
  <c r="AC9" i="18" s="1"/>
  <c r="AA25" i="22"/>
  <c r="AA18" i="13"/>
  <c r="AA19" i="13" s="1"/>
  <c r="AC12" i="18"/>
  <c r="T26" i="20"/>
  <c r="AC15" i="19"/>
  <c r="AC16" i="19" s="1"/>
  <c r="AC46" i="10"/>
  <c r="AC25" i="10" s="1"/>
  <c r="AC27" i="10" s="1"/>
  <c r="AC19" i="19"/>
  <c r="AC27" i="19"/>
  <c r="AC28" i="19"/>
  <c r="AB29" i="18"/>
  <c r="AB30" i="18"/>
  <c r="AC28" i="18"/>
  <c r="AD28" i="10"/>
  <c r="AD30" i="10" s="1"/>
  <c r="AF6" i="22"/>
  <c r="AG6" i="22" s="1"/>
  <c r="AD29" i="10"/>
  <c r="AF10" i="10"/>
  <c r="AD50" i="10"/>
  <c r="AE11" i="22"/>
  <c r="AF13" i="22"/>
  <c r="AE49" i="10"/>
  <c r="AF27" i="14"/>
  <c r="AG25" i="14" s="1"/>
  <c r="AE11" i="10"/>
  <c r="AE9" i="13"/>
  <c r="AD17" i="13"/>
  <c r="AD66" i="9"/>
  <c r="AF38" i="9"/>
  <c r="AD13" i="13"/>
  <c r="AD44" i="10"/>
  <c r="AD45" i="10"/>
  <c r="AC38" i="18"/>
  <c r="AD6" i="13"/>
  <c r="AC17" i="18"/>
  <c r="AC21" i="18"/>
  <c r="L9" i="5"/>
  <c r="L56" i="5"/>
  <c r="AC7" i="13"/>
  <c r="AC45" i="10"/>
  <c r="AC44" i="10"/>
  <c r="Y87" i="4"/>
  <c r="Y35" i="4"/>
  <c r="AC29" i="10"/>
  <c r="AC30" i="10"/>
  <c r="O107" i="13"/>
  <c r="N120" i="13"/>
  <c r="AC24" i="10"/>
  <c r="AC23" i="10"/>
  <c r="Z53" i="14"/>
  <c r="Z36" i="9" s="1"/>
  <c r="AC47" i="10" l="1"/>
  <c r="AC48" i="10"/>
  <c r="T27" i="20"/>
  <c r="T28" i="20"/>
  <c r="AC30" i="19"/>
  <c r="AC26" i="10"/>
  <c r="AF49" i="10"/>
  <c r="AG13" i="22"/>
  <c r="AC7" i="19"/>
  <c r="AC9" i="19"/>
  <c r="AD11" i="19"/>
  <c r="AA34" i="10"/>
  <c r="AA57" i="10"/>
  <c r="AA56" i="10"/>
  <c r="AC7" i="18"/>
  <c r="AD11" i="18"/>
  <c r="AD6" i="18" s="1"/>
  <c r="AE11" i="18" s="1"/>
  <c r="AG11" i="10"/>
  <c r="U6" i="20"/>
  <c r="U23" i="20"/>
  <c r="U26" i="20" s="1"/>
  <c r="AB24" i="22"/>
  <c r="AB14" i="10"/>
  <c r="U18" i="20"/>
  <c r="U15" i="20" s="1"/>
  <c r="U16" i="20" s="1"/>
  <c r="U12" i="20"/>
  <c r="AC10" i="13"/>
  <c r="AC11" i="13" s="1"/>
  <c r="AC29" i="18"/>
  <c r="AC30" i="18"/>
  <c r="AF9" i="13"/>
  <c r="AG9" i="13"/>
  <c r="AG27" i="14"/>
  <c r="AF27" i="11"/>
  <c r="AG38" i="9"/>
  <c r="AG27" i="11" s="1"/>
  <c r="AE50" i="10"/>
  <c r="AE51" i="10"/>
  <c r="AF50" i="10"/>
  <c r="AF51" i="10"/>
  <c r="AE28" i="10"/>
  <c r="AF11" i="22"/>
  <c r="AF11" i="10"/>
  <c r="AF28" i="10"/>
  <c r="AF30" i="10" s="1"/>
  <c r="AF66" i="9"/>
  <c r="AE66" i="9"/>
  <c r="AE17" i="13"/>
  <c r="AF17" i="13"/>
  <c r="AE13" i="13"/>
  <c r="AD7" i="13"/>
  <c r="AC18" i="18"/>
  <c r="AD22" i="10"/>
  <c r="L59" i="5"/>
  <c r="AA51" i="14"/>
  <c r="O110" i="13"/>
  <c r="O104" i="13" s="1"/>
  <c r="P7" i="21"/>
  <c r="U27" i="6"/>
  <c r="U9" i="6"/>
  <c r="U10" i="6" s="1"/>
  <c r="U26" i="6"/>
  <c r="U44" i="6" s="1"/>
  <c r="U45" i="6" s="1"/>
  <c r="Y37" i="4"/>
  <c r="Y76" i="4"/>
  <c r="AD23" i="19" l="1"/>
  <c r="AD18" i="19"/>
  <c r="AD8" i="10"/>
  <c r="AD9" i="10" s="1"/>
  <c r="AD12" i="19"/>
  <c r="AD15" i="19"/>
  <c r="AD16" i="19" s="1"/>
  <c r="AD34" i="19"/>
  <c r="AD30" i="19" s="1"/>
  <c r="U27" i="20"/>
  <c r="U28" i="20"/>
  <c r="AD25" i="18"/>
  <c r="AG49" i="10"/>
  <c r="AG11" i="22"/>
  <c r="U9" i="20"/>
  <c r="V11" i="20"/>
  <c r="U7" i="20"/>
  <c r="AE6" i="10"/>
  <c r="AE7" i="10" s="1"/>
  <c r="AA35" i="10"/>
  <c r="AA36" i="10"/>
  <c r="AD6" i="19"/>
  <c r="AD36" i="18"/>
  <c r="AD38" i="18" s="1"/>
  <c r="AD20" i="18"/>
  <c r="AE43" i="10" s="1"/>
  <c r="AE45" i="10" s="1"/>
  <c r="AD12" i="18"/>
  <c r="AB55" i="10"/>
  <c r="U19" i="20"/>
  <c r="AB15" i="10"/>
  <c r="AB34" i="10"/>
  <c r="AB25" i="22"/>
  <c r="AB18" i="13"/>
  <c r="AB19" i="13" s="1"/>
  <c r="AF6" i="10"/>
  <c r="AE25" i="18"/>
  <c r="AF13" i="13"/>
  <c r="AG13" i="13"/>
  <c r="AF29" i="10"/>
  <c r="AE30" i="10"/>
  <c r="AE29" i="10"/>
  <c r="AF7" i="10"/>
  <c r="AE6" i="18"/>
  <c r="AD9" i="18"/>
  <c r="AD7" i="18"/>
  <c r="AD23" i="10"/>
  <c r="AD24" i="10"/>
  <c r="AE12" i="18"/>
  <c r="AE20" i="18"/>
  <c r="AF43" i="10" s="1"/>
  <c r="AE36" i="18"/>
  <c r="Y117" i="4"/>
  <c r="Y119" i="4"/>
  <c r="Y118" i="4" s="1"/>
  <c r="Y79" i="4"/>
  <c r="U34" i="6"/>
  <c r="U50" i="6" s="1"/>
  <c r="U17" i="6"/>
  <c r="P107" i="13"/>
  <c r="O120" i="13"/>
  <c r="U28" i="6"/>
  <c r="U46" i="6" s="1"/>
  <c r="U11" i="6"/>
  <c r="AA53" i="14"/>
  <c r="AA36" i="9" s="1"/>
  <c r="P9" i="21"/>
  <c r="Q9" i="21" s="1"/>
  <c r="Q7" i="21"/>
  <c r="P13" i="21"/>
  <c r="Q13" i="21" s="1"/>
  <c r="AE11" i="19" l="1"/>
  <c r="AD7" i="19"/>
  <c r="AD9" i="19"/>
  <c r="AE6" i="19"/>
  <c r="AG50" i="10"/>
  <c r="AG51" i="10"/>
  <c r="AG28" i="10"/>
  <c r="AD21" i="18"/>
  <c r="AD17" i="18"/>
  <c r="AD18" i="18" s="1"/>
  <c r="AD10" i="13"/>
  <c r="AD11" i="13" s="1"/>
  <c r="AD36" i="19"/>
  <c r="AD28" i="18"/>
  <c r="AB36" i="10"/>
  <c r="AB35" i="10"/>
  <c r="V6" i="20"/>
  <c r="V23" i="20"/>
  <c r="AC24" i="22"/>
  <c r="V12" i="20"/>
  <c r="AC14" i="10"/>
  <c r="V18" i="20"/>
  <c r="AE6" i="13"/>
  <c r="AE44" i="10"/>
  <c r="AD26" i="19"/>
  <c r="AD46" i="10"/>
  <c r="AD19" i="19"/>
  <c r="AB56" i="10"/>
  <c r="AB57" i="10"/>
  <c r="AD29" i="18"/>
  <c r="AD30" i="18"/>
  <c r="AE28" i="18"/>
  <c r="AE7" i="18"/>
  <c r="AF11" i="18"/>
  <c r="AF25" i="18" s="1"/>
  <c r="AE9" i="18"/>
  <c r="AE17" i="18"/>
  <c r="AF22" i="10" s="1"/>
  <c r="AE38" i="18"/>
  <c r="AF6" i="13"/>
  <c r="AE7" i="13"/>
  <c r="AF44" i="10"/>
  <c r="AF45" i="10"/>
  <c r="AE21" i="18"/>
  <c r="U55" i="6"/>
  <c r="Y85" i="4"/>
  <c r="U37" i="6"/>
  <c r="P110" i="13"/>
  <c r="P104" i="13" s="1"/>
  <c r="AB51" i="14"/>
  <c r="U12" i="6"/>
  <c r="U53" i="6" s="1"/>
  <c r="U29" i="6"/>
  <c r="V91" i="9"/>
  <c r="V92" i="9"/>
  <c r="V90" i="9"/>
  <c r="V128" i="10" s="1"/>
  <c r="Y80" i="4"/>
  <c r="V94" i="9"/>
  <c r="V26" i="20" l="1"/>
  <c r="V28" i="20" s="1"/>
  <c r="AC15" i="10"/>
  <c r="AC18" i="13"/>
  <c r="AC19" i="13" s="1"/>
  <c r="AC25" i="22"/>
  <c r="V9" i="20"/>
  <c r="V7" i="20"/>
  <c r="W11" i="20"/>
  <c r="W6" i="20"/>
  <c r="AG30" i="10"/>
  <c r="AG29" i="10"/>
  <c r="AE22" i="10"/>
  <c r="AE24" i="10" s="1"/>
  <c r="AD25" i="10"/>
  <c r="AD47" i="10"/>
  <c r="AD48" i="10"/>
  <c r="AD27" i="19"/>
  <c r="AD28" i="19"/>
  <c r="AE9" i="19"/>
  <c r="AF11" i="19"/>
  <c r="AF6" i="19" s="1"/>
  <c r="AE7" i="19"/>
  <c r="V15" i="20"/>
  <c r="V16" i="20" s="1"/>
  <c r="AC55" i="10"/>
  <c r="V19" i="20"/>
  <c r="AE23" i="19"/>
  <c r="AE12" i="19"/>
  <c r="AE18" i="19"/>
  <c r="AE8" i="10"/>
  <c r="AE15" i="19"/>
  <c r="AE16" i="19" s="1"/>
  <c r="AE34" i="19"/>
  <c r="AE30" i="18"/>
  <c r="AE29" i="18"/>
  <c r="AF36" i="18"/>
  <c r="AF12" i="18"/>
  <c r="AG6" i="10"/>
  <c r="AF20" i="18"/>
  <c r="AF17" i="18" s="1"/>
  <c r="AF6" i="18"/>
  <c r="AE18" i="18"/>
  <c r="AF24" i="10"/>
  <c r="AF7" i="13"/>
  <c r="Q107" i="13"/>
  <c r="P120" i="13"/>
  <c r="AB53" i="14"/>
  <c r="AB36" i="9" s="1"/>
  <c r="U15" i="6"/>
  <c r="U32" i="6"/>
  <c r="U48" i="6" s="1"/>
  <c r="Y127" i="4"/>
  <c r="Y128" i="4"/>
  <c r="U13" i="6"/>
  <c r="U54" i="6" s="1"/>
  <c r="U30" i="6"/>
  <c r="U145" i="10"/>
  <c r="V27" i="20" l="1"/>
  <c r="AF23" i="19"/>
  <c r="AF12" i="19"/>
  <c r="AF8" i="10"/>
  <c r="AF18" i="19"/>
  <c r="AF34" i="19"/>
  <c r="AF15" i="19"/>
  <c r="AF16" i="19" s="1"/>
  <c r="AF9" i="19"/>
  <c r="AG11" i="19"/>
  <c r="AG6" i="19" s="1"/>
  <c r="AF7" i="19"/>
  <c r="AD27" i="10"/>
  <c r="AD26" i="10"/>
  <c r="AF23" i="10"/>
  <c r="AE23" i="10"/>
  <c r="X11" i="20"/>
  <c r="X6" i="20" s="1"/>
  <c r="W9" i="20"/>
  <c r="W7" i="20"/>
  <c r="AE36" i="19"/>
  <c r="AE10" i="13"/>
  <c r="AE11" i="13" s="1"/>
  <c r="AE30" i="19"/>
  <c r="AF30" i="19" s="1"/>
  <c r="AD24" i="22"/>
  <c r="W23" i="20"/>
  <c r="W18" i="20"/>
  <c r="W15" i="20" s="1"/>
  <c r="W16" i="20" s="1"/>
  <c r="AD14" i="10"/>
  <c r="W12" i="20"/>
  <c r="AE9" i="10"/>
  <c r="AE26" i="19"/>
  <c r="AE19" i="19"/>
  <c r="AE46" i="10"/>
  <c r="AC57" i="10"/>
  <c r="AC56" i="10"/>
  <c r="AC34" i="10"/>
  <c r="AF28" i="18"/>
  <c r="AF9" i="18"/>
  <c r="AF7" i="18"/>
  <c r="AF21" i="18"/>
  <c r="AG43" i="10"/>
  <c r="AF18" i="18"/>
  <c r="AG22" i="10"/>
  <c r="AG7" i="10"/>
  <c r="AF38" i="18"/>
  <c r="AG6" i="13"/>
  <c r="V93" i="9"/>
  <c r="Y81" i="4"/>
  <c r="V95" i="9"/>
  <c r="Y129" i="4"/>
  <c r="AC51" i="14"/>
  <c r="Q110" i="13"/>
  <c r="Q104" i="13" s="1"/>
  <c r="W26" i="20" l="1"/>
  <c r="AG9" i="19"/>
  <c r="AG7" i="19"/>
  <c r="AD18" i="13"/>
  <c r="AD19" i="13" s="1"/>
  <c r="AD25" i="22"/>
  <c r="AE48" i="10"/>
  <c r="AE47" i="10"/>
  <c r="X9" i="20"/>
  <c r="Y11" i="20"/>
  <c r="X7" i="20"/>
  <c r="Y6" i="20"/>
  <c r="AE24" i="22"/>
  <c r="X23" i="20"/>
  <c r="AE14" i="10"/>
  <c r="X12" i="20"/>
  <c r="X18" i="20"/>
  <c r="X15" i="20"/>
  <c r="X16" i="20" s="1"/>
  <c r="AC35" i="10"/>
  <c r="AC36" i="10"/>
  <c r="AE27" i="19"/>
  <c r="AE28" i="19"/>
  <c r="AG23" i="19"/>
  <c r="AG8" i="10"/>
  <c r="AG12" i="19"/>
  <c r="AG18" i="19"/>
  <c r="AG15" i="19" s="1"/>
  <c r="AG16" i="19" s="1"/>
  <c r="AG34" i="19"/>
  <c r="AG30" i="19" s="1"/>
  <c r="AE25" i="10"/>
  <c r="AF10" i="13"/>
  <c r="AF11" i="13" s="1"/>
  <c r="AF36" i="19"/>
  <c r="AF26" i="19"/>
  <c r="AF46" i="10"/>
  <c r="AF19" i="19"/>
  <c r="AD15" i="10"/>
  <c r="AF9" i="10"/>
  <c r="AF25" i="10"/>
  <c r="AD55" i="10"/>
  <c r="W19" i="20"/>
  <c r="W27" i="20"/>
  <c r="W28" i="20"/>
  <c r="AF29" i="18"/>
  <c r="AF30" i="18"/>
  <c r="AG7" i="13"/>
  <c r="AG24" i="10"/>
  <c r="AG23" i="10"/>
  <c r="AG44" i="10"/>
  <c r="AG45" i="10"/>
  <c r="AC53" i="14"/>
  <c r="AD51" i="14" s="1"/>
  <c r="AD53" i="14" s="1"/>
  <c r="AE51" i="14" s="1"/>
  <c r="AE53" i="14" s="1"/>
  <c r="AF51" i="14" s="1"/>
  <c r="AF53" i="14" s="1"/>
  <c r="AG51" i="14" s="1"/>
  <c r="AG53" i="14" s="1"/>
  <c r="AG36" i="9" s="1"/>
  <c r="R107" i="13"/>
  <c r="Q120" i="13"/>
  <c r="U18" i="6"/>
  <c r="U35" i="6"/>
  <c r="U51" i="6" s="1"/>
  <c r="U36" i="6"/>
  <c r="U52" i="6" s="1"/>
  <c r="U19" i="6"/>
  <c r="X26" i="20" l="1"/>
  <c r="X19" i="20"/>
  <c r="AE55" i="10"/>
  <c r="AE15" i="10"/>
  <c r="AE34" i="10"/>
  <c r="AE25" i="22"/>
  <c r="AE18" i="13"/>
  <c r="AE19" i="13" s="1"/>
  <c r="X27" i="20"/>
  <c r="X28" i="20"/>
  <c r="Y9" i="20"/>
  <c r="Z11" i="20"/>
  <c r="Y7" i="20"/>
  <c r="Z6" i="20"/>
  <c r="AF47" i="10"/>
  <c r="AF48" i="10"/>
  <c r="AF28" i="19"/>
  <c r="AF27" i="19"/>
  <c r="AF24" i="22"/>
  <c r="Y23" i="20"/>
  <c r="AF14" i="10"/>
  <c r="Y18" i="20"/>
  <c r="Y12" i="20"/>
  <c r="AE27" i="10"/>
  <c r="AE26" i="10"/>
  <c r="AG10" i="13"/>
  <c r="AG11" i="13" s="1"/>
  <c r="AG36" i="19"/>
  <c r="AG26" i="19"/>
  <c r="AG19" i="19"/>
  <c r="AG46" i="10"/>
  <c r="AG25" i="10" s="1"/>
  <c r="AD56" i="10"/>
  <c r="AD57" i="10"/>
  <c r="AF27" i="10"/>
  <c r="AF26" i="10"/>
  <c r="AD34" i="10"/>
  <c r="AG9" i="10"/>
  <c r="AC36" i="9"/>
  <c r="R110" i="13"/>
  <c r="AF25" i="22" l="1"/>
  <c r="AF18" i="13"/>
  <c r="AF19" i="13" s="1"/>
  <c r="AF15" i="10"/>
  <c r="Y26" i="20"/>
  <c r="AG27" i="10"/>
  <c r="AG26" i="10"/>
  <c r="Z7" i="20"/>
  <c r="Z9" i="20"/>
  <c r="AD35" i="10"/>
  <c r="AD36" i="10"/>
  <c r="AG48" i="10"/>
  <c r="AG47" i="10"/>
  <c r="Y15" i="20"/>
  <c r="Y16" i="20" s="1"/>
  <c r="Y19" i="20"/>
  <c r="AF55" i="10"/>
  <c r="Z23" i="20"/>
  <c r="AG24" i="22"/>
  <c r="AG14" i="10"/>
  <c r="Z12" i="20"/>
  <c r="Z18" i="20"/>
  <c r="Z15" i="20" s="1"/>
  <c r="Z16" i="20" s="1"/>
  <c r="AG28" i="19"/>
  <c r="AG27" i="19"/>
  <c r="AE35" i="10"/>
  <c r="AE36" i="10"/>
  <c r="AE57" i="10"/>
  <c r="AE56" i="10"/>
  <c r="AD36" i="9"/>
  <c r="S107" i="13"/>
  <c r="R120" i="13"/>
  <c r="R104" i="13"/>
  <c r="AG55" i="10" l="1"/>
  <c r="Z19" i="20"/>
  <c r="AG15" i="10"/>
  <c r="AG34" i="10"/>
  <c r="AG25" i="22"/>
  <c r="AG18" i="13"/>
  <c r="Z26" i="20"/>
  <c r="AF56" i="10"/>
  <c r="AF57" i="10"/>
  <c r="Y28" i="20"/>
  <c r="Y27" i="20"/>
  <c r="AF34" i="10"/>
  <c r="AE36" i="9"/>
  <c r="AF36" i="9"/>
  <c r="S110" i="13"/>
  <c r="S104" i="13" s="1"/>
  <c r="AF35" i="10" l="1"/>
  <c r="AF36" i="10"/>
  <c r="Z28" i="20"/>
  <c r="Z27" i="20"/>
  <c r="AG19" i="13"/>
  <c r="AG36" i="10"/>
  <c r="AG35" i="10"/>
  <c r="AG57" i="10"/>
  <c r="AG56" i="10"/>
  <c r="T107" i="13"/>
  <c r="S120" i="13"/>
  <c r="T110" i="13" l="1"/>
  <c r="U107" i="13" l="1"/>
  <c r="T120" i="13"/>
  <c r="T104" i="13"/>
  <c r="U110" i="13" l="1"/>
  <c r="U104" i="13" l="1"/>
  <c r="V107" i="13"/>
  <c r="V110" i="13"/>
  <c r="W107" i="13" s="1"/>
  <c r="W110" i="13" s="1"/>
  <c r="W120" i="13" s="1"/>
  <c r="U120" i="13"/>
  <c r="X107" i="13" l="1"/>
  <c r="V104" i="13"/>
  <c r="X110" i="13" l="1"/>
  <c r="Y55" i="4"/>
  <c r="Y107" i="13" l="1"/>
  <c r="Y110" i="13" l="1"/>
  <c r="Z107" i="13" l="1"/>
  <c r="Z110" i="13" l="1"/>
  <c r="AA107" i="13" l="1"/>
  <c r="AA110" i="13" l="1"/>
  <c r="AB107" i="13" l="1"/>
  <c r="AB110" i="13" l="1"/>
  <c r="AC107" i="13" l="1"/>
  <c r="AC110" i="13" l="1"/>
  <c r="AD107" i="13" s="1"/>
  <c r="AD110" i="13" l="1"/>
  <c r="V1" i="9"/>
  <c r="V2" i="10" s="1"/>
  <c r="V96" i="9"/>
  <c r="V99" i="9"/>
  <c r="V100" i="9"/>
  <c r="V101" i="9" s="1"/>
  <c r="V137" i="10" s="1"/>
  <c r="V109" i="9"/>
  <c r="V110" i="9"/>
  <c r="Z109" i="4"/>
  <c r="Y45" i="4"/>
  <c r="Y46" i="4"/>
  <c r="Y44" i="4" s="1"/>
  <c r="Y56" i="4"/>
  <c r="Y57" i="4"/>
  <c r="Y62" i="4"/>
  <c r="Y126" i="4" s="1"/>
  <c r="AE107" i="13" l="1"/>
  <c r="AE110" i="13" s="1"/>
  <c r="V1" i="14"/>
  <c r="V1" i="11"/>
  <c r="V1" i="13"/>
  <c r="V1" i="12"/>
  <c r="V104" i="9"/>
  <c r="V103" i="9"/>
  <c r="V71" i="14"/>
  <c r="AF107" i="13" l="1"/>
  <c r="AF110" i="13" s="1"/>
  <c r="AG107" i="13" s="1"/>
  <c r="X71" i="14"/>
  <c r="Y71" i="14" s="1"/>
  <c r="AG110" i="13" l="1"/>
  <c r="Z28" i="4"/>
  <c r="U17" i="8"/>
  <c r="X204" i="16" s="1"/>
  <c r="Z27" i="4"/>
  <c r="Z71" i="14"/>
  <c r="X219" i="16" l="1"/>
  <c r="X226" i="16" s="1"/>
  <c r="X201" i="16"/>
  <c r="X218" i="16" s="1"/>
  <c r="X225" i="16" s="1"/>
  <c r="V17" i="8"/>
  <c r="BH17" i="8"/>
  <c r="U33" i="8"/>
  <c r="AA71" i="14"/>
  <c r="BJ17" i="8" l="1"/>
  <c r="BI17" i="8"/>
  <c r="BH33" i="8"/>
  <c r="V33" i="8"/>
  <c r="U37" i="8"/>
  <c r="V37" i="8" s="1"/>
  <c r="AB71" i="14"/>
  <c r="BI33" i="8" l="1"/>
  <c r="BJ33" i="8"/>
  <c r="BH37" i="8"/>
  <c r="AC71" i="14"/>
  <c r="AD71" i="14" s="1"/>
  <c r="BJ37" i="8" l="1"/>
  <c r="BI37" i="8"/>
  <c r="AE71" i="14"/>
  <c r="AF71" i="14" l="1"/>
  <c r="AG71" i="14" s="1"/>
  <c r="W123" i="16"/>
  <c r="W124" i="16" s="1"/>
  <c r="V45" i="17"/>
  <c r="V55" i="17"/>
  <c r="V39" i="17"/>
  <c r="V40" i="17" s="1"/>
  <c r="X124" i="16" l="1"/>
  <c r="V43" i="17"/>
  <c r="V52" i="10"/>
  <c r="V54" i="10" s="1"/>
  <c r="W137" i="16"/>
  <c r="AS137" i="16" s="1"/>
  <c r="AS138" i="16" l="1"/>
  <c r="AS123" i="16"/>
  <c r="V31" i="10"/>
  <c r="V53" i="10"/>
  <c r="W143" i="16"/>
  <c r="W138" i="16"/>
  <c r="AS124" i="16" l="1"/>
  <c r="W149" i="16"/>
  <c r="AS143" i="16"/>
  <c r="V33" i="10"/>
  <c r="V32" i="10"/>
  <c r="V38" i="10"/>
  <c r="W144" i="16"/>
  <c r="W147" i="16"/>
  <c r="W148" i="16"/>
  <c r="W151" i="16"/>
  <c r="W150" i="16"/>
  <c r="AS144" i="16" l="1"/>
  <c r="AS129" i="16"/>
  <c r="AS147" i="16"/>
  <c r="AS150" i="16"/>
  <c r="AS151" i="16"/>
  <c r="AS148" i="16"/>
  <c r="AS149" i="16"/>
  <c r="AS130" i="16" l="1"/>
  <c r="W12" i="10"/>
  <c r="Y32" i="17"/>
  <c r="Z32" i="17" s="1"/>
  <c r="AA32" i="17" s="1"/>
  <c r="AB32" i="17" s="1"/>
  <c r="AC32" i="17" s="1"/>
  <c r="AD32" i="17" s="1"/>
  <c r="W13" i="10" l="1"/>
  <c r="W16" i="10"/>
  <c r="P13" i="20" s="1"/>
  <c r="X31" i="17"/>
  <c r="AE32" i="17"/>
  <c r="AF32" i="17" s="1"/>
  <c r="AG32" i="17" s="1"/>
  <c r="X85" i="16"/>
  <c r="Y31" i="17" l="1"/>
  <c r="Z31" i="17" s="1"/>
  <c r="AA31" i="17" s="1"/>
  <c r="AB31" i="17" s="1"/>
  <c r="AC31" i="17" s="1"/>
  <c r="AD31" i="17" s="1"/>
  <c r="X25" i="17"/>
  <c r="X54" i="17" s="1"/>
  <c r="X158" i="16"/>
  <c r="X159" i="16" s="1"/>
  <c r="AU85" i="16"/>
  <c r="W13" i="19"/>
  <c r="V15" i="18"/>
  <c r="W27" i="17"/>
  <c r="W52" i="10"/>
  <c r="W37" i="10"/>
  <c r="W17" i="10"/>
  <c r="AE31" i="17"/>
  <c r="AF31" i="17" s="1"/>
  <c r="AG31" i="17" s="1"/>
  <c r="X65" i="16"/>
  <c r="AU65" i="16" s="1"/>
  <c r="AU66" i="16" s="1"/>
  <c r="X86" i="16"/>
  <c r="X91" i="16"/>
  <c r="AU91" i="16" s="1"/>
  <c r="X137" i="16"/>
  <c r="AU137" i="16" s="1"/>
  <c r="AU123" i="16" l="1"/>
  <c r="AU124" i="16" s="1"/>
  <c r="AU138" i="16"/>
  <c r="AU92" i="16"/>
  <c r="AU109" i="16"/>
  <c r="AU164" i="16"/>
  <c r="AU165" i="16" s="1"/>
  <c r="AU107" i="16"/>
  <c r="AU106" i="16"/>
  <c r="AU110" i="16"/>
  <c r="AU86" i="16"/>
  <c r="AU108" i="16"/>
  <c r="AU158" i="16"/>
  <c r="AU159" i="16" s="1"/>
  <c r="X102" i="16"/>
  <c r="AU102" i="16" s="1"/>
  <c r="AU103" i="16" s="1"/>
  <c r="X164" i="16"/>
  <c r="X165" i="16" s="1"/>
  <c r="W53" i="10"/>
  <c r="W54" i="10"/>
  <c r="W31" i="10"/>
  <c r="X108" i="16"/>
  <c r="X30" i="17"/>
  <c r="X26" i="17"/>
  <c r="X143" i="16"/>
  <c r="AU143" i="16" s="1"/>
  <c r="X138" i="16"/>
  <c r="M4" i="5"/>
  <c r="M54" i="5" s="1"/>
  <c r="W5" i="10"/>
  <c r="Z17" i="4"/>
  <c r="V5" i="6"/>
  <c r="V6" i="6" s="1"/>
  <c r="V22" i="6"/>
  <c r="V40" i="6" s="1"/>
  <c r="V41" i="6" s="1"/>
  <c r="W91" i="10"/>
  <c r="Z21" i="4"/>
  <c r="Z25" i="4" s="1"/>
  <c r="X107" i="16"/>
  <c r="X77" i="16"/>
  <c r="X106" i="16"/>
  <c r="X110" i="16"/>
  <c r="X92" i="16"/>
  <c r="X109" i="16"/>
  <c r="X73" i="16"/>
  <c r="AU73" i="16" s="1"/>
  <c r="AU74" i="16" s="1"/>
  <c r="X66" i="16"/>
  <c r="AU147" i="16" l="1"/>
  <c r="AU129" i="16"/>
  <c r="AU130" i="16" s="1"/>
  <c r="AU150" i="16"/>
  <c r="AU144" i="16"/>
  <c r="AU148" i="16"/>
  <c r="AU151" i="16"/>
  <c r="AU149" i="16"/>
  <c r="X100" i="16"/>
  <c r="X98" i="16"/>
  <c r="X96" i="16"/>
  <c r="X94" i="16"/>
  <c r="X103" i="16"/>
  <c r="W32" i="10"/>
  <c r="W33" i="10"/>
  <c r="W38" i="10"/>
  <c r="X78" i="16"/>
  <c r="X42" i="17"/>
  <c r="X57" i="17" s="1"/>
  <c r="X12" i="10"/>
  <c r="X73" i="17"/>
  <c r="X15" i="17"/>
  <c r="Y29" i="17" s="1"/>
  <c r="Y25" i="17" s="1"/>
  <c r="Y54" i="17" s="1"/>
  <c r="M5" i="5"/>
  <c r="M55" i="5" s="1"/>
  <c r="V23" i="6"/>
  <c r="X76" i="16"/>
  <c r="X74" i="16"/>
  <c r="X144" i="16"/>
  <c r="X151" i="16"/>
  <c r="X148" i="16"/>
  <c r="X147" i="16"/>
  <c r="X150" i="16"/>
  <c r="M12" i="5"/>
  <c r="M62" i="5" s="1"/>
  <c r="X149" i="16"/>
  <c r="X97" i="16" l="1"/>
  <c r="AU96" i="16"/>
  <c r="AU97" i="16" s="1"/>
  <c r="X99" i="16"/>
  <c r="AU98" i="16"/>
  <c r="AU99" i="16" s="1"/>
  <c r="X101" i="16"/>
  <c r="AU100" i="16"/>
  <c r="AU101" i="16" s="1"/>
  <c r="X95" i="16"/>
  <c r="AU94" i="16"/>
  <c r="AU95" i="16" s="1"/>
  <c r="X59" i="17"/>
  <c r="X58" i="17"/>
  <c r="U8" i="8"/>
  <c r="X75" i="17"/>
  <c r="X14" i="13"/>
  <c r="Z18" i="4"/>
  <c r="Z19" i="4" s="1"/>
  <c r="X23" i="17"/>
  <c r="X16" i="17"/>
  <c r="X13" i="10"/>
  <c r="X4" i="10"/>
  <c r="Z97" i="4"/>
  <c r="X52" i="10"/>
  <c r="X43" i="17"/>
  <c r="X39" i="17"/>
  <c r="X40" i="17" s="1"/>
  <c r="R3" i="26" l="1"/>
  <c r="X78" i="12"/>
  <c r="X23" i="9" s="1"/>
  <c r="S3" i="26"/>
  <c r="S11" i="26" s="1"/>
  <c r="R11" i="26"/>
  <c r="BH8" i="8"/>
  <c r="U9" i="8"/>
  <c r="V8" i="8"/>
  <c r="X66" i="10"/>
  <c r="X68" i="10"/>
  <c r="X53" i="10"/>
  <c r="X54" i="10"/>
  <c r="X79" i="10"/>
  <c r="AA21" i="4" s="1"/>
  <c r="AA25" i="4" s="1"/>
  <c r="Q13" i="20"/>
  <c r="W22" i="6"/>
  <c r="W40" i="6" s="1"/>
  <c r="X71" i="10"/>
  <c r="W5" i="6"/>
  <c r="AA17" i="4"/>
  <c r="X13" i="19"/>
  <c r="N4" i="5"/>
  <c r="N54" i="5" s="1"/>
  <c r="X5" i="10"/>
  <c r="W15" i="18"/>
  <c r="X27" i="17"/>
  <c r="Y30" i="17"/>
  <c r="X15" i="13"/>
  <c r="X3" i="13"/>
  <c r="X16" i="13" s="1"/>
  <c r="X31" i="10"/>
  <c r="X129" i="16"/>
  <c r="X130" i="16" s="1"/>
  <c r="BH9" i="8" l="1"/>
  <c r="BH2" i="8" s="1"/>
  <c r="U30" i="8"/>
  <c r="V30" i="8" s="1"/>
  <c r="U2" i="8"/>
  <c r="V9" i="8"/>
  <c r="U21" i="8"/>
  <c r="BJ8" i="8"/>
  <c r="BI8" i="8"/>
  <c r="W41" i="6"/>
  <c r="W6" i="6"/>
  <c r="N5" i="5"/>
  <c r="N55" i="5" s="1"/>
  <c r="W23" i="6"/>
  <c r="X68" i="13"/>
  <c r="X15" i="11"/>
  <c r="N12" i="5"/>
  <c r="N62" i="5" s="1"/>
  <c r="X8" i="13"/>
  <c r="X4" i="13"/>
  <c r="X12" i="13"/>
  <c r="X20" i="13"/>
  <c r="X5" i="13"/>
  <c r="X33" i="10"/>
  <c r="X38" i="10"/>
  <c r="X19" i="10"/>
  <c r="X40" i="10" s="1"/>
  <c r="X32" i="10"/>
  <c r="Y73" i="17"/>
  <c r="Y12" i="10"/>
  <c r="Y26" i="17"/>
  <c r="Y42" i="17"/>
  <c r="Y57" i="17" s="1"/>
  <c r="Y15" i="17"/>
  <c r="Y59" i="17" l="1"/>
  <c r="Y58" i="17"/>
  <c r="V21" i="8"/>
  <c r="U34" i="8"/>
  <c r="V34" i="8" s="1"/>
  <c r="U3" i="8"/>
  <c r="BH21" i="8"/>
  <c r="BJ9" i="8"/>
  <c r="BI9" i="8"/>
  <c r="BH30" i="8"/>
  <c r="Y23" i="17"/>
  <c r="Y16" i="17"/>
  <c r="Z29" i="17"/>
  <c r="Y52" i="10"/>
  <c r="Y43" i="17"/>
  <c r="Y39" i="17"/>
  <c r="Y40" i="17" s="1"/>
  <c r="Y13" i="10"/>
  <c r="Y4" i="10"/>
  <c r="Y75" i="17"/>
  <c r="Y14" i="13"/>
  <c r="Y3" i="13" s="1"/>
  <c r="AA97" i="4"/>
  <c r="AA18" i="4"/>
  <c r="AA19" i="4" s="1"/>
  <c r="X20" i="10"/>
  <c r="X21" i="10"/>
  <c r="BI30" i="8" l="1"/>
  <c r="BJ30" i="8"/>
  <c r="U3" i="26"/>
  <c r="Y78" i="12"/>
  <c r="Y23" i="9" s="1"/>
  <c r="BI21" i="8"/>
  <c r="BH3" i="8"/>
  <c r="V3" i="26"/>
  <c r="V11" i="26" s="1"/>
  <c r="U11" i="26"/>
  <c r="BJ21" i="8"/>
  <c r="BH34" i="8"/>
  <c r="AB17" i="4"/>
  <c r="X5" i="6"/>
  <c r="X6" i="6" s="1"/>
  <c r="X22" i="6"/>
  <c r="X40" i="6" s="1"/>
  <c r="X41" i="6" s="1"/>
  <c r="Y66" i="10"/>
  <c r="Y68" i="10"/>
  <c r="W23" i="18"/>
  <c r="X42" i="10"/>
  <c r="Q21" i="20"/>
  <c r="X21" i="19"/>
  <c r="X41" i="10"/>
  <c r="X45" i="17"/>
  <c r="Y5" i="10"/>
  <c r="O4" i="5"/>
  <c r="O54" i="5" s="1"/>
  <c r="X15" i="18"/>
  <c r="Y13" i="19"/>
  <c r="Y29" i="12"/>
  <c r="Y34" i="9" s="1"/>
  <c r="Y71" i="10"/>
  <c r="R13" i="20"/>
  <c r="Y79" i="10"/>
  <c r="AB21" i="4" s="1"/>
  <c r="AB25" i="4" s="1"/>
  <c r="Y27" i="17"/>
  <c r="Y53" i="10"/>
  <c r="Y54" i="10"/>
  <c r="Z30" i="17"/>
  <c r="Z25" i="17"/>
  <c r="Z54" i="17" s="1"/>
  <c r="Y31" i="10"/>
  <c r="Y15" i="13"/>
  <c r="Y16" i="13"/>
  <c r="BJ34" i="8" l="1"/>
  <c r="BI34" i="8"/>
  <c r="O5" i="5"/>
  <c r="O55" i="5" s="1"/>
  <c r="X23" i="6"/>
  <c r="Y15" i="11"/>
  <c r="AB97" i="4" s="1"/>
  <c r="Y68" i="13"/>
  <c r="Y4" i="13"/>
  <c r="O12" i="5"/>
  <c r="O62" i="5" s="1"/>
  <c r="Y5" i="13"/>
  <c r="Y8" i="13"/>
  <c r="Y12" i="13"/>
  <c r="Y20" i="13"/>
  <c r="Y33" i="10"/>
  <c r="Y32" i="10"/>
  <c r="Y19" i="10"/>
  <c r="AB18" i="4" s="1"/>
  <c r="AB19" i="4" s="1"/>
  <c r="Y38" i="10"/>
  <c r="Z42" i="17"/>
  <c r="Z39" i="17" s="1"/>
  <c r="Z40" i="17" s="1"/>
  <c r="Z26" i="17"/>
  <c r="Z12" i="10"/>
  <c r="Z73" i="17"/>
  <c r="Z15" i="17"/>
  <c r="Z57" i="17" l="1"/>
  <c r="Z43" i="17"/>
  <c r="Z52" i="10"/>
  <c r="Z31" i="10" s="1"/>
  <c r="Z16" i="17"/>
  <c r="AA29" i="17"/>
  <c r="Z23" i="17"/>
  <c r="Z14" i="13"/>
  <c r="Z75" i="17"/>
  <c r="Z13" i="10"/>
  <c r="Z4" i="10"/>
  <c r="Z78" i="12" s="1"/>
  <c r="Z23" i="9" s="1"/>
  <c r="Y20" i="10"/>
  <c r="Y21" i="10"/>
  <c r="Y40" i="10"/>
  <c r="Z66" i="10" l="1"/>
  <c r="Z68" i="10"/>
  <c r="Z71" i="10"/>
  <c r="Z58" i="17"/>
  <c r="Z59" i="17"/>
  <c r="AA25" i="17"/>
  <c r="AA54" i="17" s="1"/>
  <c r="AA30" i="17"/>
  <c r="Y21" i="19"/>
  <c r="X23" i="18"/>
  <c r="Y41" i="10"/>
  <c r="Y42" i="10"/>
  <c r="R21" i="20"/>
  <c r="Y45" i="17"/>
  <c r="Z54" i="10"/>
  <c r="Z53" i="10"/>
  <c r="Z32" i="10"/>
  <c r="Z38" i="10"/>
  <c r="Z33" i="10"/>
  <c r="Z19" i="10"/>
  <c r="Z40" i="10" s="1"/>
  <c r="Z13" i="19"/>
  <c r="Y15" i="18"/>
  <c r="Z79" i="10"/>
  <c r="S13" i="20"/>
  <c r="Z5" i="10"/>
  <c r="P5" i="5" s="1"/>
  <c r="P55" i="5" s="1"/>
  <c r="P4" i="5"/>
  <c r="P54" i="5" s="1"/>
  <c r="Z29" i="12"/>
  <c r="Z34" i="9" s="1"/>
  <c r="Z27" i="17"/>
  <c r="Z15" i="13"/>
  <c r="Z3" i="13"/>
  <c r="Z42" i="10" l="1"/>
  <c r="Z41" i="10"/>
  <c r="Z21" i="19"/>
  <c r="Y23" i="18"/>
  <c r="S21" i="20"/>
  <c r="Z45" i="17"/>
  <c r="Z15" i="11"/>
  <c r="Z8" i="13"/>
  <c r="P12" i="5"/>
  <c r="P62" i="5" s="1"/>
  <c r="Z5" i="13"/>
  <c r="Z4" i="13"/>
  <c r="Z20" i="13"/>
  <c r="Z68" i="13"/>
  <c r="Z12" i="13"/>
  <c r="Z16" i="13"/>
  <c r="AA42" i="17"/>
  <c r="AA57" i="17" s="1"/>
  <c r="AA26" i="17"/>
  <c r="AA12" i="10"/>
  <c r="AA73" i="17"/>
  <c r="AA15" i="17"/>
  <c r="Z20" i="10"/>
  <c r="Z21" i="10"/>
  <c r="AA59" i="17" l="1"/>
  <c r="AA58" i="17"/>
  <c r="AA52" i="10"/>
  <c r="AA43" i="17"/>
  <c r="AA39" i="17"/>
  <c r="AA40" i="17" s="1"/>
  <c r="AA13" i="10"/>
  <c r="AA4" i="10"/>
  <c r="AA78" i="12" s="1"/>
  <c r="AA23" i="9" s="1"/>
  <c r="AA14" i="13"/>
  <c r="AA75" i="17"/>
  <c r="AB29" i="17"/>
  <c r="AA23" i="17"/>
  <c r="AA16" i="17"/>
  <c r="AA68" i="10" l="1"/>
  <c r="AA71" i="10"/>
  <c r="AA66" i="10"/>
  <c r="AB30" i="17"/>
  <c r="AB25" i="17"/>
  <c r="AB54" i="17" s="1"/>
  <c r="AA54" i="10"/>
  <c r="AA53" i="10"/>
  <c r="AA3" i="13"/>
  <c r="AA16" i="13" s="1"/>
  <c r="AA15" i="13"/>
  <c r="AA31" i="10"/>
  <c r="Z15" i="18"/>
  <c r="T13" i="20"/>
  <c r="Q4" i="5"/>
  <c r="Q54" i="5" s="1"/>
  <c r="AA79" i="10"/>
  <c r="AA5" i="10"/>
  <c r="Q5" i="5" s="1"/>
  <c r="Q55" i="5" s="1"/>
  <c r="AA29" i="12"/>
  <c r="AA34" i="9" s="1"/>
  <c r="AA13" i="19"/>
  <c r="AA27" i="17"/>
  <c r="AA15" i="11" l="1"/>
  <c r="AA68" i="13"/>
  <c r="AA5" i="13"/>
  <c r="AA20" i="13"/>
  <c r="AA8" i="13"/>
  <c r="Q12" i="5"/>
  <c r="Q62" i="5" s="1"/>
  <c r="AA4" i="13"/>
  <c r="AA12" i="13"/>
  <c r="AA32" i="10"/>
  <c r="AA33" i="10"/>
  <c r="AA38" i="10"/>
  <c r="AA19" i="10"/>
  <c r="AB26" i="17"/>
  <c r="AB42" i="17"/>
  <c r="AB57" i="17" s="1"/>
  <c r="AB12" i="10"/>
  <c r="AB73" i="17"/>
  <c r="AB15" i="17"/>
  <c r="AB59" i="17" l="1"/>
  <c r="AB58" i="17"/>
  <c r="AB43" i="17"/>
  <c r="AB52" i="10"/>
  <c r="AB31" i="10" s="1"/>
  <c r="AB39" i="17"/>
  <c r="AB40" i="17" s="1"/>
  <c r="AB16" i="17"/>
  <c r="AB23" i="17"/>
  <c r="AC29" i="17"/>
  <c r="AA20" i="10"/>
  <c r="AA21" i="10"/>
  <c r="AA40" i="10"/>
  <c r="AB14" i="13"/>
  <c r="AB75" i="17"/>
  <c r="AB13" i="10"/>
  <c r="AB4" i="10"/>
  <c r="AB78" i="12" s="1"/>
  <c r="AB23" i="9" s="1"/>
  <c r="AB68" i="10" l="1"/>
  <c r="AB66" i="10"/>
  <c r="AB71" i="10"/>
  <c r="AB3" i="13"/>
  <c r="AB15" i="13"/>
  <c r="AB53" i="10"/>
  <c r="AB54" i="10"/>
  <c r="U13" i="20"/>
  <c r="R4" i="5"/>
  <c r="R54" i="5" s="1"/>
  <c r="AB79" i="10"/>
  <c r="AA15" i="18"/>
  <c r="AB5" i="10"/>
  <c r="R5" i="5" s="1"/>
  <c r="R55" i="5" s="1"/>
  <c r="AB13" i="19"/>
  <c r="AB27" i="17"/>
  <c r="AA42" i="10"/>
  <c r="Z23" i="18"/>
  <c r="T21" i="20"/>
  <c r="AA21" i="19"/>
  <c r="AA41" i="10"/>
  <c r="AA45" i="17"/>
  <c r="AB38" i="10"/>
  <c r="AB33" i="10"/>
  <c r="AB32" i="10"/>
  <c r="AB19" i="10"/>
  <c r="AB40" i="10" s="1"/>
  <c r="AC30" i="17"/>
  <c r="AC25" i="17"/>
  <c r="AC54" i="17" s="1"/>
  <c r="AB42" i="10" l="1"/>
  <c r="AA23" i="18"/>
  <c r="AB21" i="19"/>
  <c r="AB41" i="10"/>
  <c r="U21" i="20"/>
  <c r="AB45" i="17"/>
  <c r="AC73" i="17"/>
  <c r="AC12" i="10"/>
  <c r="AC42" i="17"/>
  <c r="AC57" i="17" s="1"/>
  <c r="AC26" i="17"/>
  <c r="AC15" i="17"/>
  <c r="AB15" i="11"/>
  <c r="AB8" i="13"/>
  <c r="AB5" i="13"/>
  <c r="AB68" i="13"/>
  <c r="AB4" i="13"/>
  <c r="R12" i="5"/>
  <c r="R62" i="5" s="1"/>
  <c r="AB20" i="13"/>
  <c r="AB12" i="13"/>
  <c r="AB21" i="10"/>
  <c r="AB20" i="10"/>
  <c r="AB16" i="13"/>
  <c r="AC58" i="17" l="1"/>
  <c r="AC59" i="17"/>
  <c r="AD29" i="17"/>
  <c r="AC52" i="10"/>
  <c r="AC31" i="10" s="1"/>
  <c r="AC43" i="17"/>
  <c r="AC13" i="10"/>
  <c r="AC4" i="10"/>
  <c r="AC78" i="12" s="1"/>
  <c r="AC23" i="9" s="1"/>
  <c r="AC14" i="13"/>
  <c r="AC75" i="17"/>
  <c r="AC39" i="17"/>
  <c r="AC40" i="17" s="1"/>
  <c r="AC16" i="17"/>
  <c r="AC23" i="17"/>
  <c r="AC68" i="10" l="1"/>
  <c r="AC71" i="10"/>
  <c r="AC66" i="10"/>
  <c r="AD25" i="17"/>
  <c r="AD54" i="17" s="1"/>
  <c r="AD30" i="17"/>
  <c r="AC53" i="10"/>
  <c r="AC54" i="10"/>
  <c r="AC15" i="13"/>
  <c r="AC3" i="13"/>
  <c r="V13" i="20"/>
  <c r="AC5" i="10"/>
  <c r="S5" i="5" s="1"/>
  <c r="S55" i="5" s="1"/>
  <c r="AC13" i="19"/>
  <c r="AC79" i="10"/>
  <c r="AB15" i="18"/>
  <c r="S4" i="5"/>
  <c r="S54" i="5" s="1"/>
  <c r="AC27" i="17"/>
  <c r="AC38" i="10"/>
  <c r="AC19" i="10"/>
  <c r="AC33" i="10"/>
  <c r="AC32" i="10"/>
  <c r="AD26" i="17" l="1"/>
  <c r="AD73" i="17"/>
  <c r="AD42" i="17"/>
  <c r="AD39" i="17" s="1"/>
  <c r="AD40" i="17" s="1"/>
  <c r="AD12" i="10"/>
  <c r="AD15" i="17"/>
  <c r="AC16" i="13"/>
  <c r="AC21" i="10"/>
  <c r="AC20" i="10"/>
  <c r="AC40" i="10"/>
  <c r="AC15" i="11"/>
  <c r="AC12" i="13"/>
  <c r="AC8" i="13"/>
  <c r="AC4" i="13"/>
  <c r="S12" i="5"/>
  <c r="S62" i="5" s="1"/>
  <c r="AC5" i="13"/>
  <c r="AC68" i="13"/>
  <c r="AC20" i="13"/>
  <c r="AD57" i="17" l="1"/>
  <c r="AD16" i="17"/>
  <c r="AD23" i="17"/>
  <c r="AE29" i="17"/>
  <c r="AD13" i="10"/>
  <c r="AD4" i="10"/>
  <c r="AD78" i="12" s="1"/>
  <c r="AD23" i="9" s="1"/>
  <c r="AD43" i="17"/>
  <c r="AD52" i="10"/>
  <c r="AD14" i="13"/>
  <c r="AD75" i="17"/>
  <c r="V21" i="20"/>
  <c r="AC42" i="10"/>
  <c r="AC21" i="19"/>
  <c r="AB23" i="18"/>
  <c r="AC41" i="10"/>
  <c r="AC45" i="17"/>
  <c r="AD68" i="10" l="1"/>
  <c r="AD66" i="10"/>
  <c r="AD71" i="10"/>
  <c r="AD59" i="17"/>
  <c r="AD58" i="17"/>
  <c r="AD53" i="10"/>
  <c r="AD54" i="10"/>
  <c r="AC15" i="18"/>
  <c r="AD13" i="19"/>
  <c r="T4" i="5"/>
  <c r="T54" i="5" s="1"/>
  <c r="AD79" i="10"/>
  <c r="W13" i="20"/>
  <c r="AD5" i="10"/>
  <c r="T5" i="5" s="1"/>
  <c r="T55" i="5" s="1"/>
  <c r="AD27" i="17"/>
  <c r="AD31" i="10"/>
  <c r="AE30" i="17"/>
  <c r="AE25" i="17"/>
  <c r="AE54" i="17" s="1"/>
  <c r="AD15" i="13"/>
  <c r="AD3" i="13"/>
  <c r="AD16" i="13" s="1"/>
  <c r="AD33" i="10" l="1"/>
  <c r="AD32" i="10"/>
  <c r="AD38" i="10"/>
  <c r="AD19" i="10"/>
  <c r="AD5" i="13"/>
  <c r="AD12" i="13"/>
  <c r="AD20" i="13"/>
  <c r="AD68" i="13"/>
  <c r="AD8" i="13"/>
  <c r="AD15" i="11"/>
  <c r="T12" i="5"/>
  <c r="T62" i="5" s="1"/>
  <c r="AD4" i="13"/>
  <c r="AE73" i="17"/>
  <c r="AE42" i="17"/>
  <c r="AE39" i="17" s="1"/>
  <c r="AE40" i="17" s="1"/>
  <c r="AE12" i="10"/>
  <c r="AE26" i="17"/>
  <c r="AE15" i="17"/>
  <c r="AE57" i="17" l="1"/>
  <c r="AE16" i="17"/>
  <c r="AE23" i="17"/>
  <c r="AF29" i="17"/>
  <c r="AE13" i="10"/>
  <c r="AE4" i="10"/>
  <c r="AE78" i="12" s="1"/>
  <c r="AE23" i="9" s="1"/>
  <c r="AE43" i="17"/>
  <c r="AE52" i="10"/>
  <c r="AE31" i="10" s="1"/>
  <c r="AE14" i="13"/>
  <c r="AE75" i="17"/>
  <c r="AD21" i="10"/>
  <c r="AD20" i="10"/>
  <c r="AD40" i="10"/>
  <c r="AE68" i="10" l="1"/>
  <c r="AE71" i="10"/>
  <c r="AE66" i="10"/>
  <c r="AE59" i="17"/>
  <c r="AE58" i="17"/>
  <c r="AE54" i="10"/>
  <c r="AE53" i="10"/>
  <c r="AD15" i="18"/>
  <c r="AE5" i="10"/>
  <c r="U5" i="5" s="1"/>
  <c r="U55" i="5" s="1"/>
  <c r="AE79" i="10"/>
  <c r="X13" i="20"/>
  <c r="U4" i="5"/>
  <c r="U54" i="5" s="1"/>
  <c r="AE13" i="19"/>
  <c r="AE27" i="17"/>
  <c r="AE32" i="10"/>
  <c r="AE33" i="10"/>
  <c r="AE19" i="10"/>
  <c r="AE38" i="10"/>
  <c r="AD42" i="10"/>
  <c r="W21" i="20"/>
  <c r="AD21" i="19"/>
  <c r="AC23" i="18"/>
  <c r="AD41" i="10"/>
  <c r="AD45" i="17"/>
  <c r="AF25" i="17"/>
  <c r="AF54" i="17" s="1"/>
  <c r="AF30" i="17"/>
  <c r="AE15" i="13"/>
  <c r="AE3" i="13"/>
  <c r="AE16" i="13" s="1"/>
  <c r="V120" i="13"/>
  <c r="AE8" i="13" l="1"/>
  <c r="U12" i="5"/>
  <c r="U62" i="5" s="1"/>
  <c r="AE4" i="13"/>
  <c r="AE5" i="13"/>
  <c r="AE20" i="13"/>
  <c r="AE12" i="13"/>
  <c r="AE68" i="13"/>
  <c r="AE15" i="11"/>
  <c r="AE21" i="10"/>
  <c r="AE20" i="10"/>
  <c r="AF12" i="10"/>
  <c r="AF26" i="17"/>
  <c r="AF73" i="17"/>
  <c r="AF42" i="17"/>
  <c r="AF57" i="17" s="1"/>
  <c r="AF15" i="17"/>
  <c r="AE40" i="10"/>
  <c r="AF59" i="17" l="1"/>
  <c r="AF58" i="17"/>
  <c r="AG29" i="17"/>
  <c r="AF39" i="17"/>
  <c r="AF40" i="17" s="1"/>
  <c r="AF43" i="17"/>
  <c r="AF52" i="10"/>
  <c r="AF31" i="10" s="1"/>
  <c r="AF14" i="13"/>
  <c r="AF75" i="17"/>
  <c r="AF13" i="10"/>
  <c r="AF4" i="10"/>
  <c r="AF78" i="12" s="1"/>
  <c r="AF23" i="9" s="1"/>
  <c r="AE21" i="19"/>
  <c r="X21" i="20"/>
  <c r="AE42" i="10"/>
  <c r="AE41" i="10"/>
  <c r="AD23" i="18"/>
  <c r="AE45" i="17"/>
  <c r="AF23" i="17"/>
  <c r="AF16" i="17"/>
  <c r="AF68" i="10" l="1"/>
  <c r="AF66" i="10"/>
  <c r="AF71" i="10"/>
  <c r="AG25" i="17"/>
  <c r="AG54" i="17" s="1"/>
  <c r="AG30" i="17"/>
  <c r="AE15" i="18"/>
  <c r="AF13" i="19"/>
  <c r="AF5" i="10"/>
  <c r="V5" i="5" s="1"/>
  <c r="V55" i="5" s="1"/>
  <c r="AF79" i="10"/>
  <c r="V4" i="5"/>
  <c r="V54" i="5" s="1"/>
  <c r="Y13" i="20"/>
  <c r="AF27" i="17"/>
  <c r="AF33" i="10"/>
  <c r="AF32" i="10"/>
  <c r="AF38" i="10"/>
  <c r="AF19" i="10"/>
  <c r="AF15" i="13"/>
  <c r="AF3" i="13"/>
  <c r="AF54" i="10"/>
  <c r="AF53" i="10"/>
  <c r="AG42" i="17" l="1"/>
  <c r="AG57" i="17" s="1"/>
  <c r="AG73" i="17"/>
  <c r="AG12" i="10"/>
  <c r="AG26" i="17"/>
  <c r="AG15" i="17"/>
  <c r="AF16" i="13"/>
  <c r="AF40" i="10"/>
  <c r="AF21" i="19" s="1"/>
  <c r="AF15" i="11"/>
  <c r="AF8" i="13"/>
  <c r="AF68" i="13"/>
  <c r="V12" i="5"/>
  <c r="V62" i="5" s="1"/>
  <c r="AF5" i="13"/>
  <c r="AF12" i="13"/>
  <c r="AF4" i="13"/>
  <c r="AF20" i="13"/>
  <c r="AF21" i="10"/>
  <c r="AF20" i="10"/>
  <c r="V118" i="10"/>
  <c r="W119" i="10" s="1"/>
  <c r="AG58" i="17" l="1"/>
  <c r="AG59" i="17"/>
  <c r="AF45" i="17"/>
  <c r="AE23" i="18"/>
  <c r="AG75" i="17"/>
  <c r="AG14" i="13"/>
  <c r="AG3" i="13" s="1"/>
  <c r="AG16" i="17"/>
  <c r="AG23" i="17"/>
  <c r="AG43" i="17"/>
  <c r="AG52" i="10"/>
  <c r="AG31" i="10" s="1"/>
  <c r="AF42" i="10"/>
  <c r="Y21" i="20"/>
  <c r="AF41" i="10"/>
  <c r="AG13" i="10"/>
  <c r="AG4" i="10"/>
  <c r="AG78" i="12" s="1"/>
  <c r="AG23" i="9" s="1"/>
  <c r="AG39" i="17"/>
  <c r="AG40" i="17" s="1"/>
  <c r="T26" i="8"/>
  <c r="T28" i="8" s="1"/>
  <c r="V28" i="8" s="1"/>
  <c r="V125" i="10"/>
  <c r="X116" i="10"/>
  <c r="Y116" i="10" s="1"/>
  <c r="Y95" i="13" s="1"/>
  <c r="Y39" i="4"/>
  <c r="V119" i="10"/>
  <c r="V120" i="10"/>
  <c r="AG68" i="10" l="1"/>
  <c r="AG71" i="10"/>
  <c r="AG66" i="10"/>
  <c r="W4" i="5"/>
  <c r="W54" i="5" s="1"/>
  <c r="Z13" i="20"/>
  <c r="AG79" i="10"/>
  <c r="AG13" i="19"/>
  <c r="AF15" i="18"/>
  <c r="AG5" i="10"/>
  <c r="W5" i="5" s="1"/>
  <c r="W55" i="5" s="1"/>
  <c r="AG27" i="17"/>
  <c r="AG15" i="13"/>
  <c r="AG16" i="13"/>
  <c r="AG33" i="10"/>
  <c r="AG32" i="10"/>
  <c r="AG19" i="10"/>
  <c r="AG40" i="10" s="1"/>
  <c r="AG38" i="10"/>
  <c r="AG53" i="10"/>
  <c r="AG54" i="10"/>
  <c r="T4" i="8"/>
  <c r="BF26" i="8"/>
  <c r="Z116" i="10"/>
  <c r="AA116" i="10" s="1"/>
  <c r="X95" i="13"/>
  <c r="AK127" i="10"/>
  <c r="AK128" i="10"/>
  <c r="V126" i="10"/>
  <c r="BF5" i="8" l="1"/>
  <c r="BF4" i="8"/>
  <c r="BG5" i="8"/>
  <c r="Z21" i="20"/>
  <c r="AG21" i="19"/>
  <c r="AF23" i="18"/>
  <c r="AG42" i="10"/>
  <c r="AG45" i="17"/>
  <c r="AG41" i="10"/>
  <c r="AG8" i="13"/>
  <c r="AG5" i="13"/>
  <c r="AG68" i="13"/>
  <c r="W12" i="5"/>
  <c r="W62" i="5" s="1"/>
  <c r="AG15" i="11"/>
  <c r="AG20" i="13"/>
  <c r="AG12" i="13"/>
  <c r="AG4" i="13"/>
  <c r="AG21" i="10"/>
  <c r="AG20" i="10"/>
  <c r="BR26" i="8"/>
  <c r="BS26" i="8" s="1"/>
  <c r="BF28" i="8"/>
  <c r="Z95" i="13"/>
  <c r="AK130" i="10"/>
  <c r="AA95" i="13"/>
  <c r="AB116" i="10"/>
  <c r="AC116" i="10" l="1"/>
  <c r="AD116" i="10" s="1"/>
  <c r="AB95" i="13"/>
  <c r="AE116" i="10" l="1"/>
  <c r="AD95" i="13"/>
  <c r="AC95" i="13"/>
  <c r="AF116" i="10" l="1"/>
  <c r="AE95" i="13"/>
  <c r="T118" i="10"/>
  <c r="AF95" i="13" l="1"/>
  <c r="AG116" i="10"/>
  <c r="AG95" i="13" s="1"/>
  <c r="W39" i="4"/>
  <c r="T125" i="10"/>
  <c r="T119" i="10"/>
  <c r="U119" i="10"/>
  <c r="R26" i="8"/>
  <c r="S4" i="8" s="1"/>
  <c r="T120" i="10"/>
  <c r="AI127" i="10" l="1"/>
  <c r="AI128" i="10"/>
  <c r="T126" i="10"/>
  <c r="R28" i="8"/>
  <c r="BB26" i="8"/>
  <c r="R4" i="8"/>
  <c r="BB4" i="8" l="1"/>
  <c r="BB5" i="8"/>
  <c r="BC5" i="8"/>
  <c r="BD4" i="8"/>
  <c r="AI130" i="10"/>
  <c r="BB28" i="8"/>
  <c r="Q7" i="25" s="1"/>
  <c r="T7" i="25" s="1"/>
  <c r="Y110" i="4" l="1"/>
  <c r="Y96" i="4"/>
  <c r="V57" i="14" l="1"/>
  <c r="V58" i="14" s="1"/>
  <c r="V60" i="14" s="1"/>
  <c r="Y108" i="4"/>
  <c r="W56" i="14" l="1"/>
  <c r="V76" i="14"/>
  <c r="W80" i="14" l="1"/>
  <c r="Y100" i="4" l="1"/>
  <c r="Z98" i="4" l="1"/>
  <c r="Z20" i="4"/>
  <c r="Z26" i="4" s="1"/>
  <c r="Z33" i="4" s="1"/>
  <c r="Z94" i="4"/>
  <c r="U22" i="8" l="1"/>
  <c r="Z34" i="4"/>
  <c r="V22" i="8"/>
  <c r="BH22" i="8"/>
  <c r="U36" i="8"/>
  <c r="V36" i="8" s="1"/>
  <c r="M7" i="5"/>
  <c r="M57" i="5" s="1"/>
  <c r="M6" i="5"/>
  <c r="V24" i="6"/>
  <c r="V7" i="6"/>
  <c r="V8" i="6" s="1"/>
  <c r="Z115" i="4" l="1"/>
  <c r="M8" i="5"/>
  <c r="M58" i="5" s="1"/>
  <c r="V25" i="6"/>
  <c r="V42" i="6"/>
  <c r="V43" i="6" s="1"/>
  <c r="Z87" i="4"/>
  <c r="U24" i="8"/>
  <c r="Z35" i="4"/>
  <c r="M9" i="5"/>
  <c r="M56" i="5"/>
  <c r="BI22" i="8"/>
  <c r="BJ22" i="8"/>
  <c r="BH36" i="8"/>
  <c r="BI36" i="8" l="1"/>
  <c r="BJ36" i="8"/>
  <c r="V24" i="8"/>
  <c r="BH24" i="8"/>
  <c r="U25" i="8"/>
  <c r="V9" i="6"/>
  <c r="V10" i="6" s="1"/>
  <c r="V26" i="6"/>
  <c r="V44" i="6" s="1"/>
  <c r="V45" i="6" s="1"/>
  <c r="V27" i="6"/>
  <c r="Z37" i="4"/>
  <c r="M59" i="5"/>
  <c r="Z76" i="4"/>
  <c r="Z119" i="4" l="1"/>
  <c r="Z118" i="4" s="1"/>
  <c r="Z117" i="4"/>
  <c r="U35" i="8"/>
  <c r="V35" i="8" s="1"/>
  <c r="V25" i="8"/>
  <c r="BH25" i="8"/>
  <c r="BI25" i="8" s="1"/>
  <c r="BI24" i="8"/>
  <c r="BJ24" i="8"/>
  <c r="V34" i="6"/>
  <c r="V50" i="6" s="1"/>
  <c r="V17" i="6"/>
  <c r="Z79" i="4"/>
  <c r="V28" i="6"/>
  <c r="V46" i="6" s="1"/>
  <c r="V11" i="6"/>
  <c r="Z39" i="4"/>
  <c r="BH26" i="8" l="1"/>
  <c r="U4" i="8"/>
  <c r="V26" i="8"/>
  <c r="V29" i="6"/>
  <c r="V12" i="6"/>
  <c r="V53" i="6" s="1"/>
  <c r="BH35" i="8"/>
  <c r="BJ25" i="8"/>
  <c r="Z80" i="4"/>
  <c r="BH5" i="8" l="1"/>
  <c r="BI26" i="8"/>
  <c r="BH4" i="8"/>
  <c r="V30" i="6"/>
  <c r="V13" i="6"/>
  <c r="V54" i="6" s="1"/>
  <c r="BI35" i="8"/>
  <c r="BJ35" i="8"/>
  <c r="V15" i="6"/>
  <c r="V32" i="6"/>
  <c r="V48" i="6" s="1"/>
  <c r="BH28" i="8"/>
  <c r="Z127" i="4"/>
  <c r="BJ26" i="8"/>
  <c r="BI28" i="8" l="1"/>
  <c r="BJ28" i="8"/>
  <c r="AB30" i="12"/>
  <c r="AB29" i="12" s="1"/>
  <c r="AB34" i="9" s="1"/>
  <c r="AC30" i="12" l="1"/>
  <c r="AC29" i="12" l="1"/>
  <c r="AC34" i="9" s="1"/>
  <c r="AD30" i="12"/>
  <c r="AD29" i="12" l="1"/>
  <c r="AD34" i="9" s="1"/>
  <c r="AE30" i="12"/>
  <c r="AE29" i="12" l="1"/>
  <c r="AE34" i="9" s="1"/>
  <c r="AF30" i="12"/>
  <c r="AG30" i="12" l="1"/>
  <c r="AG29" i="12" s="1"/>
  <c r="AG34" i="9" s="1"/>
  <c r="AF29" i="12"/>
  <c r="AF34" i="9" s="1"/>
  <c r="X126" i="13" l="1"/>
  <c r="X128" i="13"/>
  <c r="X67" i="13"/>
  <c r="Y126" i="13" l="1"/>
  <c r="X70" i="13"/>
  <c r="Y67" i="13" l="1"/>
  <c r="Y128" i="13"/>
  <c r="Z126" i="13" l="1"/>
  <c r="Y70" i="13"/>
  <c r="Z67" i="13" l="1"/>
  <c r="Z128" i="13"/>
  <c r="AA126" i="13" l="1"/>
  <c r="Z70" i="13"/>
  <c r="AA67" i="13" l="1"/>
  <c r="AA128" i="13"/>
  <c r="AB126" i="13" l="1"/>
  <c r="AA70" i="13"/>
  <c r="AB67" i="13" l="1"/>
  <c r="AB128" i="13"/>
  <c r="AB70" i="13" l="1"/>
  <c r="AC126" i="13"/>
  <c r="AC128" i="13" l="1"/>
  <c r="AC67" i="13"/>
  <c r="AC70" i="13" l="1"/>
  <c r="AD126" i="13"/>
  <c r="AD128" i="13" l="1"/>
  <c r="AD67" i="13"/>
  <c r="AD70" i="13" l="1"/>
  <c r="AE126" i="13"/>
  <c r="AE128" i="13" l="1"/>
  <c r="AE67" i="13"/>
  <c r="AE70" i="13" l="1"/>
  <c r="AF126" i="13"/>
  <c r="AF128" i="13" l="1"/>
  <c r="AF67" i="13"/>
  <c r="AF70" i="13" l="1"/>
  <c r="AG126" i="13"/>
  <c r="AG128" i="13" l="1"/>
  <c r="AG67" i="13"/>
  <c r="AG70" i="13" l="1"/>
  <c r="X123" i="13"/>
  <c r="X132" i="13" l="1"/>
  <c r="Y123" i="13"/>
  <c r="Y132" i="13" l="1"/>
  <c r="Z123" i="13"/>
  <c r="X124" i="13"/>
  <c r="X138" i="13"/>
  <c r="X60" i="13"/>
  <c r="X61" i="13" l="1"/>
  <c r="Z132" i="13"/>
  <c r="AA123" i="13"/>
  <c r="Y60" i="13"/>
  <c r="Y124" i="13"/>
  <c r="Y138" i="13"/>
  <c r="Y61" i="13" l="1"/>
  <c r="AA132" i="13"/>
  <c r="AB123" i="13"/>
  <c r="Z60" i="13"/>
  <c r="Z124" i="13"/>
  <c r="Z138" i="13"/>
  <c r="AB132" i="13" l="1"/>
  <c r="AC123" i="13"/>
  <c r="Z61" i="13"/>
  <c r="AA60" i="13"/>
  <c r="AA124" i="13"/>
  <c r="AA138" i="13"/>
  <c r="AA61" i="13" l="1"/>
  <c r="AC132" i="13"/>
  <c r="AD123" i="13"/>
  <c r="AB60" i="13"/>
  <c r="AB124" i="13"/>
  <c r="AB138" i="13"/>
  <c r="AD132" i="13" l="1"/>
  <c r="AE123" i="13"/>
  <c r="AB61" i="13"/>
  <c r="AC60" i="13"/>
  <c r="AC124" i="13"/>
  <c r="AC138" i="13"/>
  <c r="AC61" i="13" l="1"/>
  <c r="AF123" i="13"/>
  <c r="AE132" i="13"/>
  <c r="AD60" i="13"/>
  <c r="AD124" i="13"/>
  <c r="AD138" i="13"/>
  <c r="AE60" i="13" l="1"/>
  <c r="AE124" i="13"/>
  <c r="AE138" i="13"/>
  <c r="AD61" i="13"/>
  <c r="AG123" i="13"/>
  <c r="AG132" i="13" s="1"/>
  <c r="AF132" i="13"/>
  <c r="AF138" i="13" l="1"/>
  <c r="AF60" i="13"/>
  <c r="AF124" i="13"/>
  <c r="AG138" i="13"/>
  <c r="AG60" i="13"/>
  <c r="AG124" i="13"/>
  <c r="AE61" i="13"/>
  <c r="AG61" i="13" l="1"/>
  <c r="AF61" i="13"/>
  <c r="V1" i="17"/>
  <c r="Z53" i="4"/>
  <c r="Z59" i="4"/>
  <c r="Z58" i="4"/>
  <c r="Z67" i="4"/>
  <c r="Z71" i="4"/>
  <c r="Z73" i="4"/>
  <c r="Z72" i="4"/>
  <c r="Z92" i="4"/>
  <c r="M11" i="5"/>
  <c r="M61" i="5" s="1"/>
  <c r="Z74" i="4"/>
  <c r="X18" i="12"/>
  <c r="Y21" i="12"/>
  <c r="Z21" i="12" s="1"/>
  <c r="X24" i="12"/>
  <c r="X23" i="12" s="1"/>
  <c r="X40" i="9" s="1"/>
  <c r="X30" i="12"/>
  <c r="X29" i="12" s="1"/>
  <c r="X34" i="9" s="1"/>
  <c r="X32" i="12"/>
  <c r="X26" i="9" s="1"/>
  <c r="X34" i="12"/>
  <c r="Y34" i="12" s="1"/>
  <c r="Y28" i="9" s="1"/>
  <c r="X38" i="12"/>
  <c r="X45" i="12"/>
  <c r="X48" i="12"/>
  <c r="X47" i="12" s="1"/>
  <c r="X48" i="9" s="1"/>
  <c r="X51" i="12"/>
  <c r="Y51" i="12" s="1"/>
  <c r="X54" i="12"/>
  <c r="X53" i="12" s="1"/>
  <c r="X63" i="9" s="1"/>
  <c r="X57" i="12"/>
  <c r="X56" i="12" s="1"/>
  <c r="X59" i="9" s="1"/>
  <c r="AA73" i="4" s="1"/>
  <c r="X70" i="12"/>
  <c r="Y70" i="12" s="1"/>
  <c r="X73" i="12"/>
  <c r="X72" i="12" s="1"/>
  <c r="X18" i="9" s="1"/>
  <c r="X76" i="12"/>
  <c r="X75" i="12" l="1"/>
  <c r="X15" i="9" s="1"/>
  <c r="AA53" i="4" s="1"/>
  <c r="X44" i="12"/>
  <c r="X61" i="9" s="1"/>
  <c r="Y45" i="12"/>
  <c r="Z45" i="12" s="1"/>
  <c r="AA45" i="12" s="1"/>
  <c r="AB45" i="12" s="1"/>
  <c r="AC45" i="12" s="1"/>
  <c r="AD45" i="12" s="1"/>
  <c r="AE45" i="12" s="1"/>
  <c r="AF45" i="12" s="1"/>
  <c r="AG45" i="12" s="1"/>
  <c r="Y24" i="12"/>
  <c r="Y44" i="12"/>
  <c r="Y61" i="9" s="1"/>
  <c r="Y54" i="12"/>
  <c r="Z54" i="12" s="1"/>
  <c r="Z53" i="12" s="1"/>
  <c r="Z63" i="9" s="1"/>
  <c r="Y48" i="12"/>
  <c r="Z48" i="12" s="1"/>
  <c r="Y32" i="12"/>
  <c r="Y26" i="9" s="1"/>
  <c r="Z11" i="12"/>
  <c r="Z29" i="9" s="1"/>
  <c r="Y11" i="12"/>
  <c r="Y29" i="9" s="1"/>
  <c r="Z55" i="4"/>
  <c r="Y73" i="12"/>
  <c r="Z73" i="12" s="1"/>
  <c r="Z72" i="12" s="1"/>
  <c r="Z18" i="9" s="1"/>
  <c r="Y57" i="12"/>
  <c r="Y56" i="12" s="1"/>
  <c r="Y59" i="9" s="1"/>
  <c r="AB73" i="4" s="1"/>
  <c r="Y53" i="12"/>
  <c r="Y63" i="9" s="1"/>
  <c r="Y72" i="12"/>
  <c r="Y18" i="9" s="1"/>
  <c r="Z60" i="4"/>
  <c r="Z61" i="4"/>
  <c r="AA48" i="12"/>
  <c r="Z47" i="12"/>
  <c r="Z48" i="9" s="1"/>
  <c r="Y14" i="12"/>
  <c r="Y30" i="9" s="1"/>
  <c r="X69" i="12"/>
  <c r="X13" i="9" s="1"/>
  <c r="X11" i="12"/>
  <c r="X29" i="9" s="1"/>
  <c r="Y47" i="12"/>
  <c r="Y48" i="9" s="1"/>
  <c r="AB67" i="4" s="1"/>
  <c r="X50" i="12"/>
  <c r="X62" i="9" s="1"/>
  <c r="AA72" i="4" s="1"/>
  <c r="Y76" i="12"/>
  <c r="Y38" i="12"/>
  <c r="Y58" i="9" s="1"/>
  <c r="X60" i="12"/>
  <c r="X14" i="9" s="1"/>
  <c r="Y60" i="12"/>
  <c r="Y14" i="9" s="1"/>
  <c r="Z51" i="12"/>
  <c r="Y50" i="12"/>
  <c r="Y62" i="9" s="1"/>
  <c r="AB72" i="4" s="1"/>
  <c r="Z38" i="12"/>
  <c r="Y18" i="12"/>
  <c r="X17" i="12"/>
  <c r="X31" i="9" s="1"/>
  <c r="X58" i="9"/>
  <c r="AA11" i="12"/>
  <c r="Z70" i="12"/>
  <c r="Y69" i="12"/>
  <c r="Y13" i="9" s="1"/>
  <c r="AA74" i="4"/>
  <c r="AA54" i="12"/>
  <c r="Z34" i="12"/>
  <c r="AA67" i="4"/>
  <c r="Z32" i="12"/>
  <c r="Z20" i="12"/>
  <c r="AA21" i="12"/>
  <c r="X26" i="12"/>
  <c r="X35" i="9" s="1"/>
  <c r="Y27" i="12"/>
  <c r="Y20" i="12"/>
  <c r="X20" i="12"/>
  <c r="X27" i="9" s="1"/>
  <c r="Z68" i="4"/>
  <c r="X28" i="9"/>
  <c r="AA61" i="4" s="1"/>
  <c r="X14" i="12"/>
  <c r="X30" i="9" s="1"/>
  <c r="X36" i="12" l="1"/>
  <c r="X37" i="12" s="1"/>
  <c r="X33" i="9"/>
  <c r="AA58" i="4"/>
  <c r="AB74" i="4"/>
  <c r="Y23" i="12"/>
  <c r="Y40" i="9" s="1"/>
  <c r="AB61" i="4" s="1"/>
  <c r="Z24" i="12"/>
  <c r="AA73" i="12"/>
  <c r="AA72" i="12" s="1"/>
  <c r="AA18" i="9" s="1"/>
  <c r="Z57" i="12"/>
  <c r="AA57" i="12" s="1"/>
  <c r="Z14" i="12"/>
  <c r="Z30" i="9" s="1"/>
  <c r="Z44" i="12"/>
  <c r="Z61" i="9" s="1"/>
  <c r="AA14" i="12"/>
  <c r="AA30" i="9" s="1"/>
  <c r="Y26" i="12"/>
  <c r="Y35" i="9" s="1"/>
  <c r="Z27" i="12"/>
  <c r="Y75" i="12"/>
  <c r="Y15" i="9" s="1"/>
  <c r="AB53" i="4" s="1"/>
  <c r="Z76" i="12"/>
  <c r="Y36" i="12"/>
  <c r="Y5" i="12" s="1"/>
  <c r="AB48" i="12"/>
  <c r="AA47" i="12"/>
  <c r="AA48" i="9" s="1"/>
  <c r="Z26" i="9"/>
  <c r="AA32" i="12"/>
  <c r="AA51" i="12"/>
  <c r="Z50" i="12"/>
  <c r="Z62" i="9" s="1"/>
  <c r="AA38" i="12"/>
  <c r="AA53" i="12"/>
  <c r="AA63" i="9" s="1"/>
  <c r="AB54" i="12"/>
  <c r="Y65" i="9"/>
  <c r="Y69" i="9" s="1"/>
  <c r="AB68" i="4" s="1"/>
  <c r="AB71" i="4"/>
  <c r="Z58" i="9"/>
  <c r="Y27" i="9"/>
  <c r="Y4" i="12"/>
  <c r="X9" i="12"/>
  <c r="AA60" i="4"/>
  <c r="AA29" i="9"/>
  <c r="Z18" i="12"/>
  <c r="Y17" i="12"/>
  <c r="AA20" i="12"/>
  <c r="AB21" i="12"/>
  <c r="Z27" i="9"/>
  <c r="Z4" i="12"/>
  <c r="AB11" i="12"/>
  <c r="X4" i="12"/>
  <c r="AA70" i="12"/>
  <c r="Z69" i="12"/>
  <c r="Z13" i="9" s="1"/>
  <c r="X5" i="12"/>
  <c r="Z28" i="9"/>
  <c r="AA34" i="12"/>
  <c r="X65" i="9"/>
  <c r="X69" i="9" s="1"/>
  <c r="AA68" i="4" s="1"/>
  <c r="AA71" i="4"/>
  <c r="Z60" i="12"/>
  <c r="Z14" i="9" s="1"/>
  <c r="AB58" i="4" l="1"/>
  <c r="Z56" i="12"/>
  <c r="Z59" i="9" s="1"/>
  <c r="Z23" i="12"/>
  <c r="Z40" i="9" s="1"/>
  <c r="AA24" i="12"/>
  <c r="Y37" i="12"/>
  <c r="AB73" i="12"/>
  <c r="AB72" i="12" s="1"/>
  <c r="AB18" i="9" s="1"/>
  <c r="AB14" i="12"/>
  <c r="AB30" i="9" s="1"/>
  <c r="AC48" i="12"/>
  <c r="AB47" i="12"/>
  <c r="AB48" i="9" s="1"/>
  <c r="Z75" i="12"/>
  <c r="Z15" i="9" s="1"/>
  <c r="AA76" i="12"/>
  <c r="AA44" i="12"/>
  <c r="AA61" i="9" s="1"/>
  <c r="AA27" i="12"/>
  <c r="Z26" i="12"/>
  <c r="Z35" i="9" s="1"/>
  <c r="AB57" i="12"/>
  <c r="AA56" i="12"/>
  <c r="AA59" i="9" s="1"/>
  <c r="Z36" i="12"/>
  <c r="Z37" i="12" s="1"/>
  <c r="AB59" i="4"/>
  <c r="AA60" i="12"/>
  <c r="AA14" i="9" s="1"/>
  <c r="AC14" i="12"/>
  <c r="AC30" i="9" s="1"/>
  <c r="AB51" i="12"/>
  <c r="AA50" i="12"/>
  <c r="AA62" i="9" s="1"/>
  <c r="AA59" i="4"/>
  <c r="X112" i="9"/>
  <c r="X113" i="9" s="1"/>
  <c r="AB20" i="12"/>
  <c r="AC21" i="12"/>
  <c r="AA58" i="9"/>
  <c r="AA26" i="9"/>
  <c r="AB32" i="12"/>
  <c r="AB29" i="9"/>
  <c r="AC11" i="12"/>
  <c r="AA28" i="9"/>
  <c r="AB34" i="12"/>
  <c r="AB38" i="12"/>
  <c r="Y31" i="9"/>
  <c r="Y33" i="9" s="1"/>
  <c r="Y9" i="12"/>
  <c r="AB70" i="12"/>
  <c r="AA69" i="12"/>
  <c r="AA13" i="9" s="1"/>
  <c r="X3" i="12"/>
  <c r="X6" i="12" s="1"/>
  <c r="X7" i="12" s="1"/>
  <c r="X10" i="12"/>
  <c r="AA27" i="9"/>
  <c r="AA4" i="12"/>
  <c r="Z65" i="9"/>
  <c r="Z69" i="9" s="1"/>
  <c r="AA18" i="12"/>
  <c r="Z17" i="12"/>
  <c r="AB53" i="12"/>
  <c r="AB63" i="9" s="1"/>
  <c r="AC54" i="12"/>
  <c r="AA23" i="12" l="1"/>
  <c r="AA40" i="9" s="1"/>
  <c r="AB24" i="12"/>
  <c r="AC73" i="12"/>
  <c r="AC72" i="12" s="1"/>
  <c r="AC18" i="9" s="1"/>
  <c r="AA36" i="12"/>
  <c r="AA5" i="12" s="1"/>
  <c r="Z5" i="12"/>
  <c r="AB27" i="12"/>
  <c r="AA26" i="12"/>
  <c r="AA35" i="9" s="1"/>
  <c r="AC57" i="12"/>
  <c r="AB56" i="12"/>
  <c r="AB59" i="9" s="1"/>
  <c r="AB76" i="12"/>
  <c r="AA75" i="12"/>
  <c r="AA15" i="9" s="1"/>
  <c r="AB44" i="12"/>
  <c r="AB61" i="9" s="1"/>
  <c r="AD48" i="12"/>
  <c r="AC47" i="12"/>
  <c r="AC48" i="9" s="1"/>
  <c r="AC70" i="12"/>
  <c r="AB69" i="12"/>
  <c r="AB13" i="9" s="1"/>
  <c r="AB26" i="9"/>
  <c r="AC32" i="12"/>
  <c r="AA65" i="9"/>
  <c r="AA69" i="9" s="1"/>
  <c r="Y10" i="12"/>
  <c r="Y3" i="12"/>
  <c r="Y6" i="12" s="1"/>
  <c r="Y7" i="12" s="1"/>
  <c r="AB27" i="9"/>
  <c r="AB4" i="12"/>
  <c r="AC53" i="12"/>
  <c r="AC63" i="9" s="1"/>
  <c r="AD54" i="12"/>
  <c r="AB60" i="12"/>
  <c r="AB14" i="9" s="1"/>
  <c r="AB60" i="4"/>
  <c r="AA17" i="12"/>
  <c r="AB18" i="12"/>
  <c r="Y112" i="9"/>
  <c r="Y113" i="9" s="1"/>
  <c r="AC29" i="9"/>
  <c r="AD14" i="12"/>
  <c r="AD30" i="9" s="1"/>
  <c r="AB28" i="9"/>
  <c r="AC34" i="12"/>
  <c r="AD11" i="12"/>
  <c r="AC20" i="12"/>
  <c r="AD21" i="12"/>
  <c r="Z31" i="9"/>
  <c r="Z9" i="12"/>
  <c r="AC38" i="12"/>
  <c r="AB58" i="9"/>
  <c r="AC51" i="12"/>
  <c r="AB50" i="12"/>
  <c r="AB62" i="9" s="1"/>
  <c r="X7" i="11"/>
  <c r="AA92" i="4" s="1"/>
  <c r="N11" i="5"/>
  <c r="N61" i="5" s="1"/>
  <c r="AC24" i="12" l="1"/>
  <c r="AB23" i="12"/>
  <c r="AB40" i="9" s="1"/>
  <c r="AD73" i="12"/>
  <c r="AA37" i="12"/>
  <c r="AC44" i="12"/>
  <c r="AC61" i="9" s="1"/>
  <c r="AC56" i="12"/>
  <c r="AC59" i="9" s="1"/>
  <c r="AD57" i="12"/>
  <c r="AE48" i="12"/>
  <c r="AD47" i="12"/>
  <c r="AD48" i="9" s="1"/>
  <c r="AC76" i="12"/>
  <c r="AB75" i="12"/>
  <c r="AB15" i="9" s="1"/>
  <c r="AC27" i="12"/>
  <c r="AB26" i="12"/>
  <c r="AB35" i="9" s="1"/>
  <c r="AC18" i="12"/>
  <c r="AB17" i="12"/>
  <c r="AC60" i="12"/>
  <c r="AC14" i="9" s="1"/>
  <c r="AB36" i="12"/>
  <c r="AC26" i="9"/>
  <c r="AD32" i="12"/>
  <c r="AD20" i="12"/>
  <c r="AE21" i="12"/>
  <c r="AC28" i="9"/>
  <c r="AD34" i="12"/>
  <c r="AA31" i="9"/>
  <c r="AA9" i="12"/>
  <c r="AE11" i="12"/>
  <c r="AD51" i="12"/>
  <c r="AC50" i="12"/>
  <c r="AC62" i="9" s="1"/>
  <c r="AE14" i="12"/>
  <c r="AE30" i="9" s="1"/>
  <c r="AC58" i="9"/>
  <c r="AD53" i="12"/>
  <c r="AD63" i="9" s="1"/>
  <c r="AE54" i="12"/>
  <c r="Y7" i="11"/>
  <c r="AB92" i="4" s="1"/>
  <c r="O11" i="5"/>
  <c r="O61" i="5" s="1"/>
  <c r="AD29" i="9"/>
  <c r="AC27" i="9"/>
  <c r="AC4" i="12"/>
  <c r="AB65" i="9"/>
  <c r="AB69" i="9" s="1"/>
  <c r="AD38" i="12"/>
  <c r="Z10" i="12"/>
  <c r="Z3" i="12"/>
  <c r="Z6" i="12" s="1"/>
  <c r="Z7" i="12" s="1"/>
  <c r="Z33" i="9"/>
  <c r="Z112" i="9"/>
  <c r="Z113" i="9" s="1"/>
  <c r="AD72" i="12"/>
  <c r="AD18" i="9" s="1"/>
  <c r="AE73" i="12"/>
  <c r="AD70" i="12"/>
  <c r="AC69" i="12"/>
  <c r="AC13" i="9" s="1"/>
  <c r="AD24" i="12" l="1"/>
  <c r="AC23" i="12"/>
  <c r="AC40" i="9" s="1"/>
  <c r="AC36" i="12"/>
  <c r="AC5" i="12" s="1"/>
  <c r="AD27" i="12"/>
  <c r="AC26" i="12"/>
  <c r="AC35" i="9" s="1"/>
  <c r="AE57" i="12"/>
  <c r="AD56" i="12"/>
  <c r="AD59" i="9" s="1"/>
  <c r="AD76" i="12"/>
  <c r="AC75" i="12"/>
  <c r="AC15" i="9" s="1"/>
  <c r="AE47" i="12"/>
  <c r="AE48" i="9" s="1"/>
  <c r="AF48" i="12"/>
  <c r="AD44" i="12"/>
  <c r="AD61" i="9" s="1"/>
  <c r="AF54" i="12"/>
  <c r="AE53" i="12"/>
  <c r="AE63" i="9" s="1"/>
  <c r="AC65" i="9"/>
  <c r="AC69" i="9" s="1"/>
  <c r="AD58" i="9"/>
  <c r="AF21" i="12"/>
  <c r="AE20" i="12"/>
  <c r="AB5" i="12"/>
  <c r="AB37" i="12"/>
  <c r="AE38" i="12"/>
  <c r="AD69" i="12"/>
  <c r="AD13" i="9" s="1"/>
  <c r="AE70" i="12"/>
  <c r="AE32" i="12"/>
  <c r="AD26" i="9"/>
  <c r="AA10" i="12"/>
  <c r="AA3" i="12"/>
  <c r="AA6" i="12" s="1"/>
  <c r="AA7" i="12" s="1"/>
  <c r="AG14" i="12"/>
  <c r="AG30" i="9" s="1"/>
  <c r="AF14" i="12"/>
  <c r="AF30" i="9" s="1"/>
  <c r="AD50" i="12"/>
  <c r="AD62" i="9" s="1"/>
  <c r="AE51" i="12"/>
  <c r="AF73" i="12"/>
  <c r="AE72" i="12"/>
  <c r="AE18" i="9" s="1"/>
  <c r="AD60" i="12"/>
  <c r="AD14" i="9" s="1"/>
  <c r="AA33" i="9"/>
  <c r="AA112" i="9"/>
  <c r="AA113" i="9" s="1"/>
  <c r="AD28" i="9"/>
  <c r="AE34" i="12"/>
  <c r="AD27" i="9"/>
  <c r="AD4" i="12"/>
  <c r="Z7" i="11"/>
  <c r="P11" i="5"/>
  <c r="P61" i="5" s="1"/>
  <c r="AG11" i="12"/>
  <c r="AF11" i="12"/>
  <c r="AB31" i="9"/>
  <c r="AB9" i="12"/>
  <c r="AE29" i="9"/>
  <c r="AD18" i="12"/>
  <c r="AC17" i="12"/>
  <c r="AD23" i="12" l="1"/>
  <c r="AD40" i="9" s="1"/>
  <c r="AE24" i="12"/>
  <c r="AC37" i="12"/>
  <c r="AF47" i="12"/>
  <c r="AF48" i="9" s="1"/>
  <c r="AG48" i="12"/>
  <c r="AG47" i="12" s="1"/>
  <c r="AG48" i="9" s="1"/>
  <c r="AE76" i="12"/>
  <c r="AD75" i="12"/>
  <c r="AD15" i="9" s="1"/>
  <c r="AE56" i="12"/>
  <c r="AE59" i="9" s="1"/>
  <c r="AF57" i="12"/>
  <c r="AE44" i="12"/>
  <c r="AE61" i="9" s="1"/>
  <c r="AE27" i="12"/>
  <c r="AD26" i="12"/>
  <c r="AD35" i="9" s="1"/>
  <c r="AE60" i="12"/>
  <c r="AE14" i="9" s="1"/>
  <c r="AB3" i="12"/>
  <c r="AB6" i="12" s="1"/>
  <c r="AB7" i="12" s="1"/>
  <c r="AB10" i="12"/>
  <c r="AG73" i="12"/>
  <c r="AG72" i="12" s="1"/>
  <c r="AG18" i="9" s="1"/>
  <c r="AF72" i="12"/>
  <c r="AF18" i="9" s="1"/>
  <c r="AE50" i="12"/>
  <c r="AE62" i="9" s="1"/>
  <c r="AF51" i="12"/>
  <c r="AF29" i="9"/>
  <c r="AE27" i="9"/>
  <c r="AE4" i="12"/>
  <c r="AB33" i="9"/>
  <c r="AB112" i="9"/>
  <c r="AB113" i="9" s="1"/>
  <c r="AA7" i="11"/>
  <c r="Q11" i="5"/>
  <c r="Q61" i="5" s="1"/>
  <c r="AE58" i="9"/>
  <c r="AD36" i="12"/>
  <c r="AE26" i="9"/>
  <c r="AF32" i="12"/>
  <c r="AE69" i="12"/>
  <c r="AE13" i="9" s="1"/>
  <c r="AF70" i="12"/>
  <c r="AG38" i="12"/>
  <c r="AF38" i="12"/>
  <c r="AC31" i="9"/>
  <c r="AC9" i="12"/>
  <c r="AD17" i="12"/>
  <c r="AE18" i="12"/>
  <c r="AD65" i="9"/>
  <c r="AD69" i="9" s="1"/>
  <c r="AE28" i="9"/>
  <c r="AF34" i="12"/>
  <c r="AG29" i="9"/>
  <c r="AG21" i="12"/>
  <c r="AG20" i="12" s="1"/>
  <c r="AF20" i="12"/>
  <c r="AG54" i="12"/>
  <c r="AG53" i="12" s="1"/>
  <c r="AG63" i="9" s="1"/>
  <c r="AF53" i="12"/>
  <c r="AF63" i="9" s="1"/>
  <c r="AF24" i="12" l="1"/>
  <c r="AE23" i="12"/>
  <c r="AE40" i="9" s="1"/>
  <c r="AF27" i="12"/>
  <c r="AE26" i="12"/>
  <c r="AE35" i="9" s="1"/>
  <c r="AF76" i="12"/>
  <c r="AE75" i="12"/>
  <c r="AE15" i="9" s="1"/>
  <c r="AF44" i="12"/>
  <c r="AF61" i="9" s="1"/>
  <c r="AG44" i="12"/>
  <c r="AG61" i="9" s="1"/>
  <c r="AF56" i="12"/>
  <c r="AF59" i="9" s="1"/>
  <c r="AG57" i="12"/>
  <c r="AG56" i="12" s="1"/>
  <c r="AG59" i="9" s="1"/>
  <c r="AE17" i="12"/>
  <c r="AF18" i="12"/>
  <c r="AF69" i="12"/>
  <c r="AF13" i="9" s="1"/>
  <c r="AG70" i="12"/>
  <c r="AG69" i="12" s="1"/>
  <c r="AG13" i="9" s="1"/>
  <c r="AC33" i="9"/>
  <c r="AC112" i="9"/>
  <c r="AC113" i="9" s="1"/>
  <c r="AC3" i="12"/>
  <c r="AC6" i="12" s="1"/>
  <c r="AC7" i="12" s="1"/>
  <c r="AC10" i="12"/>
  <c r="AG27" i="9"/>
  <c r="AB7" i="11"/>
  <c r="R11" i="5"/>
  <c r="R61" i="5" s="1"/>
  <c r="AG58" i="9"/>
  <c r="AF50" i="12"/>
  <c r="AF62" i="9" s="1"/>
  <c r="AG51" i="12"/>
  <c r="AG50" i="12" s="1"/>
  <c r="AG62" i="9" s="1"/>
  <c r="AF26" i="9"/>
  <c r="AG32" i="12"/>
  <c r="AG26" i="9" s="1"/>
  <c r="AD31" i="9"/>
  <c r="AD9" i="12"/>
  <c r="AF58" i="9"/>
  <c r="AF27" i="9"/>
  <c r="AF4" i="12"/>
  <c r="AD5" i="12"/>
  <c r="AD37" i="12"/>
  <c r="AE36" i="12"/>
  <c r="AF28" i="9"/>
  <c r="AG34" i="12"/>
  <c r="AG28" i="9" s="1"/>
  <c r="AE65" i="9"/>
  <c r="AE69" i="9" s="1"/>
  <c r="AG60" i="12"/>
  <c r="AG14" i="9" s="1"/>
  <c r="AF60" i="12"/>
  <c r="AF14" i="9" s="1"/>
  <c r="AF23" i="12" l="1"/>
  <c r="AF40" i="9" s="1"/>
  <c r="AG24" i="12"/>
  <c r="AG23" i="12" s="1"/>
  <c r="AG40" i="9" s="1"/>
  <c r="AG4" i="12"/>
  <c r="AG76" i="12"/>
  <c r="AG75" i="12" s="1"/>
  <c r="AG15" i="9" s="1"/>
  <c r="AF75" i="12"/>
  <c r="AF15" i="9" s="1"/>
  <c r="AG27" i="12"/>
  <c r="AG26" i="12" s="1"/>
  <c r="AG35" i="9" s="1"/>
  <c r="AF26" i="12"/>
  <c r="AF35" i="9" s="1"/>
  <c r="AG36" i="12"/>
  <c r="AG5" i="12" s="1"/>
  <c r="AF36" i="12"/>
  <c r="AF37" i="12" s="1"/>
  <c r="AD33" i="9"/>
  <c r="AD112" i="9"/>
  <c r="AD113" i="9" s="1"/>
  <c r="AC7" i="11"/>
  <c r="S11" i="5"/>
  <c r="S61" i="5" s="1"/>
  <c r="AG65" i="9"/>
  <c r="AG69" i="9" s="1"/>
  <c r="AF65" i="9"/>
  <c r="AF69" i="9" s="1"/>
  <c r="AF5" i="12"/>
  <c r="AG18" i="12"/>
  <c r="AG17" i="12" s="1"/>
  <c r="AF17" i="12"/>
  <c r="AD3" i="12"/>
  <c r="AD6" i="12" s="1"/>
  <c r="AD7" i="12" s="1"/>
  <c r="AD10" i="12"/>
  <c r="AE5" i="12"/>
  <c r="AE37" i="12"/>
  <c r="AE31" i="9"/>
  <c r="AE9" i="12"/>
  <c r="AG37" i="12" l="1"/>
  <c r="AG31" i="9"/>
  <c r="AG9" i="12"/>
  <c r="AE3" i="12"/>
  <c r="AE6" i="12" s="1"/>
  <c r="AE7" i="12" s="1"/>
  <c r="AE10" i="12"/>
  <c r="AE33" i="9"/>
  <c r="AE112" i="9"/>
  <c r="AE113" i="9" s="1"/>
  <c r="T11" i="5"/>
  <c r="T61" i="5" s="1"/>
  <c r="AD7" i="11"/>
  <c r="AF31" i="9"/>
  <c r="AF9" i="12"/>
  <c r="AF33" i="9" l="1"/>
  <c r="AF112" i="9"/>
  <c r="AF113" i="9" s="1"/>
  <c r="AG10" i="12"/>
  <c r="AG3" i="12"/>
  <c r="AG6" i="12" s="1"/>
  <c r="AF10" i="12"/>
  <c r="AF3" i="12"/>
  <c r="AF6" i="12" s="1"/>
  <c r="AF7" i="12" s="1"/>
  <c r="U11" i="5"/>
  <c r="U61" i="5" s="1"/>
  <c r="AE7" i="11"/>
  <c r="AG33" i="9"/>
  <c r="AG112" i="9"/>
  <c r="AG113" i="9" s="1"/>
  <c r="V11" i="5" l="1"/>
  <c r="V61" i="5" s="1"/>
  <c r="AF7" i="11"/>
  <c r="AG7" i="12"/>
  <c r="W11" i="5" l="1"/>
  <c r="W61" i="5" s="1"/>
  <c r="AG7" i="11"/>
  <c r="X33" i="11"/>
  <c r="W142" i="10"/>
  <c r="W143" i="10"/>
  <c r="W144" i="10"/>
  <c r="Z45" i="4"/>
  <c r="Z46" i="4"/>
  <c r="Z49" i="4"/>
  <c r="Z50" i="4"/>
  <c r="Z56" i="4"/>
  <c r="Z57" i="4"/>
  <c r="Z62" i="4"/>
  <c r="Z126" i="4" s="1"/>
  <c r="AA109" i="4"/>
  <c r="W1" i="14"/>
  <c r="W1" i="11"/>
  <c r="Z101" i="4"/>
  <c r="V19" i="6"/>
  <c r="V36" i="6"/>
  <c r="V52" i="6" s="1"/>
  <c r="X5" i="14"/>
  <c r="X8" i="14" s="1"/>
  <c r="Y5" i="14" s="1"/>
  <c r="Y8" i="14" s="1"/>
  <c r="W16" i="14"/>
  <c r="W2" i="10"/>
  <c r="W94" i="10"/>
  <c r="W93" i="10" s="1"/>
  <c r="W137" i="10"/>
  <c r="W141" i="10"/>
  <c r="V145" i="10"/>
  <c r="Z64" i="4"/>
  <c r="Z65" i="4"/>
  <c r="Z75" i="4"/>
  <c r="Z81" i="4"/>
  <c r="Z128" i="4"/>
  <c r="Z129" i="4"/>
  <c r="Z44" i="4" l="1"/>
  <c r="Z104" i="4"/>
  <c r="V35" i="6"/>
  <c r="V51" i="6" s="1"/>
  <c r="V18" i="6"/>
  <c r="Y16" i="14"/>
  <c r="Y50" i="9"/>
  <c r="Z5" i="14"/>
  <c r="Z8" i="14" s="1"/>
  <c r="X16" i="14"/>
  <c r="X50" i="9"/>
  <c r="W1" i="13"/>
  <c r="Z16" i="14" l="1"/>
  <c r="Z50" i="9"/>
  <c r="AA5" i="14"/>
  <c r="AA8" i="14" s="1"/>
  <c r="AA65" i="4"/>
  <c r="X98" i="9"/>
  <c r="X56" i="9"/>
  <c r="X24" i="11"/>
  <c r="AB65" i="4"/>
  <c r="Y98" i="9"/>
  <c r="Y56" i="9"/>
  <c r="Y24" i="11"/>
  <c r="AB104" i="4" l="1"/>
  <c r="Y71" i="9"/>
  <c r="AB64" i="4"/>
  <c r="AA104" i="4"/>
  <c r="X71" i="9"/>
  <c r="AA64" i="4"/>
  <c r="AA16" i="14"/>
  <c r="AA50" i="9"/>
  <c r="AB5" i="14"/>
  <c r="AB8" i="14" s="1"/>
  <c r="Z98" i="9"/>
  <c r="Z56" i="9"/>
  <c r="Z71" i="9" s="1"/>
  <c r="Z24" i="11"/>
  <c r="AB16" i="14" l="1"/>
  <c r="AB50" i="9"/>
  <c r="AC5" i="14"/>
  <c r="AC8" i="14" s="1"/>
  <c r="AA98" i="9"/>
  <c r="AA24" i="11"/>
  <c r="AA56" i="9"/>
  <c r="AA71" i="9" s="1"/>
  <c r="Z72" i="9"/>
  <c r="X72" i="9"/>
  <c r="AA75" i="4"/>
  <c r="Y72" i="9"/>
  <c r="AB75" i="4"/>
  <c r="AB98" i="9" l="1"/>
  <c r="AB24" i="11"/>
  <c r="AB56" i="9"/>
  <c r="AB71" i="9" s="1"/>
  <c r="AC16" i="14"/>
  <c r="AC50" i="9"/>
  <c r="AD5" i="14"/>
  <c r="AD8" i="14" s="1"/>
  <c r="AA72" i="9"/>
  <c r="AC98" i="9" l="1"/>
  <c r="AC56" i="9"/>
  <c r="AC71" i="9" s="1"/>
  <c r="AC24" i="11"/>
  <c r="AB72" i="9"/>
  <c r="AD16" i="14"/>
  <c r="AD50" i="9"/>
  <c r="AE5" i="14"/>
  <c r="AE8" i="14" s="1"/>
  <c r="AC72" i="9" l="1"/>
  <c r="AE16" i="14"/>
  <c r="AE50" i="9"/>
  <c r="AF5" i="14"/>
  <c r="AF8" i="14" s="1"/>
  <c r="AD98" i="9"/>
  <c r="AD56" i="9"/>
  <c r="AD71" i="9" s="1"/>
  <c r="AD24" i="11"/>
  <c r="AF16" i="14" l="1"/>
  <c r="AF50" i="9"/>
  <c r="AG5" i="14"/>
  <c r="AG8" i="14" s="1"/>
  <c r="AD72" i="9"/>
  <c r="AE56" i="9"/>
  <c r="AE71" i="9" s="1"/>
  <c r="AE98" i="9"/>
  <c r="AE24" i="11"/>
  <c r="AF56" i="9" l="1"/>
  <c r="AF71" i="9" s="1"/>
  <c r="AF98" i="9"/>
  <c r="AF24" i="11"/>
  <c r="AE72" i="9"/>
  <c r="AG16" i="14"/>
  <c r="AG50" i="9"/>
  <c r="AG56" i="9" l="1"/>
  <c r="AG71" i="9" s="1"/>
  <c r="AG98" i="9"/>
  <c r="AG24" i="11"/>
  <c r="AF72" i="9"/>
  <c r="AG72" i="9" l="1"/>
  <c r="L10" i="5" l="1"/>
  <c r="V135" i="10"/>
  <c r="V136" i="10" s="1"/>
  <c r="V138" i="10" l="1"/>
  <c r="U31" i="6" s="1"/>
  <c r="U47" i="6" s="1"/>
  <c r="L60" i="5"/>
  <c r="L13" i="5"/>
  <c r="V6" i="11"/>
  <c r="U14" i="6"/>
  <c r="Y116" i="4"/>
  <c r="V10" i="11" l="1"/>
  <c r="Y89" i="4"/>
  <c r="L63" i="5"/>
  <c r="L14" i="5"/>
  <c r="L64" i="5" s="1"/>
  <c r="Y95" i="4" l="1"/>
  <c r="W101" i="13"/>
  <c r="Y48" i="4"/>
  <c r="Y47" i="4" s="1"/>
  <c r="Z95" i="4"/>
  <c r="W17" i="14"/>
  <c r="W18" i="14"/>
  <c r="W46" i="14" s="1"/>
  <c r="W28" i="14"/>
  <c r="W29" i="14"/>
  <c r="X29" i="14" s="1"/>
  <c r="W45" i="14"/>
  <c r="W47" i="14" l="1"/>
  <c r="X18" i="14"/>
  <c r="Y29" i="14"/>
  <c r="X28" i="14"/>
  <c r="X66" i="14" s="1"/>
  <c r="Y18" i="14" l="1"/>
  <c r="X64" i="14"/>
  <c r="Z29" i="14"/>
  <c r="Y28" i="14"/>
  <c r="Y66" i="14" s="1"/>
  <c r="X17" i="14" l="1"/>
  <c r="X68" i="14"/>
  <c r="Y64" i="14"/>
  <c r="Y17" i="14" s="1"/>
  <c r="Z18" i="14"/>
  <c r="AA29" i="14"/>
  <c r="Z28" i="14"/>
  <c r="Z66" i="14" s="1"/>
  <c r="AA18" i="14" l="1"/>
  <c r="Z64" i="14"/>
  <c r="X69" i="14"/>
  <c r="X72" i="14"/>
  <c r="X90" i="10" s="1"/>
  <c r="Y68" i="14"/>
  <c r="AB29" i="14"/>
  <c r="AA28" i="14"/>
  <c r="AA66" i="14" s="1"/>
  <c r="X91" i="10" l="1"/>
  <c r="X8" i="11"/>
  <c r="AA28" i="4"/>
  <c r="AA27" i="4" s="1"/>
  <c r="Y69" i="14"/>
  <c r="Y72" i="14"/>
  <c r="Y90" i="10" s="1"/>
  <c r="Z17" i="14"/>
  <c r="Z68" i="14"/>
  <c r="AA64" i="14"/>
  <c r="AB18" i="14"/>
  <c r="AC29" i="14"/>
  <c r="AB28" i="14"/>
  <c r="AB66" i="14" s="1"/>
  <c r="Z69" i="14" l="1"/>
  <c r="Z72" i="14"/>
  <c r="Z90" i="10" s="1"/>
  <c r="AA17" i="14"/>
  <c r="AA68" i="14"/>
  <c r="AC18" i="14"/>
  <c r="AB64" i="14"/>
  <c r="AB17" i="14" s="1"/>
  <c r="Y91" i="10"/>
  <c r="Y8" i="11"/>
  <c r="AB28" i="4"/>
  <c r="AB27" i="4" s="1"/>
  <c r="AD29" i="14"/>
  <c r="AC28" i="14"/>
  <c r="AC66" i="14" s="1"/>
  <c r="AC64" i="14" l="1"/>
  <c r="AD18" i="14"/>
  <c r="AA69" i="14"/>
  <c r="AA72" i="14"/>
  <c r="AA90" i="10" s="1"/>
  <c r="Z91" i="10"/>
  <c r="Z8" i="11"/>
  <c r="AB68" i="14"/>
  <c r="AD28" i="14"/>
  <c r="AD66" i="14" s="1"/>
  <c r="AE29" i="14"/>
  <c r="AB69" i="14" l="1"/>
  <c r="AB72" i="14"/>
  <c r="AB90" i="10" s="1"/>
  <c r="AA8" i="11"/>
  <c r="AA91" i="10"/>
  <c r="AD64" i="14"/>
  <c r="AE18" i="14"/>
  <c r="AC68" i="14"/>
  <c r="AC17" i="14"/>
  <c r="AE28" i="14"/>
  <c r="AE66" i="14" s="1"/>
  <c r="AF29" i="14"/>
  <c r="AB91" i="10" l="1"/>
  <c r="AB8" i="11"/>
  <c r="AC72" i="14"/>
  <c r="AC90" i="10" s="1"/>
  <c r="AC69" i="14"/>
  <c r="AE64" i="14"/>
  <c r="AE17" i="14" s="1"/>
  <c r="AF18" i="14"/>
  <c r="AD17" i="14"/>
  <c r="AD68" i="14"/>
  <c r="AG29" i="14"/>
  <c r="AG28" i="14" s="1"/>
  <c r="AG66" i="14" s="1"/>
  <c r="AF28" i="14"/>
  <c r="AF66" i="14" s="1"/>
  <c r="AD72" i="14" l="1"/>
  <c r="AD90" i="10" s="1"/>
  <c r="AD69" i="14"/>
  <c r="AG18" i="14"/>
  <c r="AG64" i="14" s="1"/>
  <c r="AF64" i="14"/>
  <c r="AF17" i="14" s="1"/>
  <c r="AC8" i="11"/>
  <c r="AC91" i="10"/>
  <c r="AE68" i="14"/>
  <c r="AF68" i="14" l="1"/>
  <c r="AE72" i="14"/>
  <c r="AE90" i="10" s="1"/>
  <c r="AE69" i="14"/>
  <c r="AG68" i="14"/>
  <c r="AG17" i="14"/>
  <c r="AD91" i="10"/>
  <c r="AD8" i="11"/>
  <c r="AF72" i="14" l="1"/>
  <c r="AF90" i="10" s="1"/>
  <c r="AF69" i="14"/>
  <c r="AG69" i="14"/>
  <c r="AG72" i="14"/>
  <c r="AG90" i="10" s="1"/>
  <c r="AE91" i="10"/>
  <c r="AE8" i="11"/>
  <c r="AF91" i="10" l="1"/>
  <c r="AF8" i="11"/>
  <c r="AG8" i="11"/>
  <c r="AG91" i="10"/>
  <c r="X64" i="13"/>
  <c r="X74" i="13" s="1"/>
  <c r="X65" i="13" l="1"/>
  <c r="Y64" i="13"/>
  <c r="Y74" i="13" l="1"/>
  <c r="Y65" i="13" s="1"/>
  <c r="Z64" i="13"/>
  <c r="X48" i="13"/>
  <c r="X80" i="13"/>
  <c r="X49" i="13" l="1"/>
  <c r="X46" i="13"/>
  <c r="X50" i="13" s="1"/>
  <c r="Z74" i="13"/>
  <c r="Z65" i="13" s="1"/>
  <c r="AA64" i="13"/>
  <c r="Y48" i="13"/>
  <c r="Y80" i="13"/>
  <c r="Z89" i="4"/>
  <c r="Z48" i="13" l="1"/>
  <c r="Z80" i="13"/>
  <c r="V37" i="6"/>
  <c r="Z85" i="4"/>
  <c r="V55" i="6"/>
  <c r="Y49" i="13"/>
  <c r="Y46" i="13"/>
  <c r="Y50" i="13" s="1"/>
  <c r="AA74" i="13"/>
  <c r="AA65" i="13" s="1"/>
  <c r="AB64" i="13"/>
  <c r="X47" i="13"/>
  <c r="X6" i="11"/>
  <c r="AA89" i="4" s="1"/>
  <c r="AC64" i="13" l="1"/>
  <c r="AB74" i="13"/>
  <c r="AB65" i="13" s="1"/>
  <c r="AA48" i="13"/>
  <c r="AA80" i="13"/>
  <c r="Y47" i="13"/>
  <c r="Y6" i="11"/>
  <c r="AB89" i="4" s="1"/>
  <c r="Z49" i="13"/>
  <c r="Z46" i="13"/>
  <c r="Z50" i="13" s="1"/>
  <c r="AB48" i="13" l="1"/>
  <c r="AB80" i="13"/>
  <c r="Z47" i="13"/>
  <c r="Z6" i="11"/>
  <c r="AA49" i="13"/>
  <c r="AA46" i="13"/>
  <c r="AD64" i="13"/>
  <c r="AC74" i="13"/>
  <c r="AC65" i="13" s="1"/>
  <c r="AC48" i="13" l="1"/>
  <c r="AC80" i="13"/>
  <c r="AE64" i="13"/>
  <c r="AD74" i="13"/>
  <c r="AD65" i="13" s="1"/>
  <c r="AA47" i="13"/>
  <c r="AA6" i="11"/>
  <c r="AA50" i="13"/>
  <c r="AB49" i="13"/>
  <c r="AB46" i="13"/>
  <c r="AB47" i="13" l="1"/>
  <c r="AB6" i="11"/>
  <c r="AB50" i="13"/>
  <c r="AD48" i="13"/>
  <c r="AD80" i="13"/>
  <c r="AF64" i="13"/>
  <c r="AE74" i="13"/>
  <c r="AE65" i="13" s="1"/>
  <c r="AC49" i="13"/>
  <c r="AC46" i="13"/>
  <c r="AC47" i="13" l="1"/>
  <c r="AC6" i="11"/>
  <c r="AD49" i="13"/>
  <c r="AD46" i="13"/>
  <c r="AC50" i="13"/>
  <c r="AE48" i="13"/>
  <c r="AE80" i="13"/>
  <c r="AG64" i="13"/>
  <c r="AG74" i="13" s="1"/>
  <c r="AG65" i="13" s="1"/>
  <c r="AF74" i="13"/>
  <c r="AF65" i="13" s="1"/>
  <c r="AF48" i="13" l="1"/>
  <c r="AF80" i="13"/>
  <c r="AG48" i="13"/>
  <c r="AG80" i="13"/>
  <c r="AE49" i="13"/>
  <c r="AE46" i="13"/>
  <c r="AD47" i="13"/>
  <c r="AD6" i="11"/>
  <c r="AD50" i="13"/>
  <c r="AE47" i="13" l="1"/>
  <c r="AE6" i="11"/>
  <c r="AE50" i="13"/>
  <c r="AG49" i="13"/>
  <c r="AG46" i="13"/>
  <c r="AF49" i="13"/>
  <c r="AF46" i="13"/>
  <c r="AF47" i="13" l="1"/>
  <c r="AF6" i="11"/>
  <c r="AF50" i="13"/>
  <c r="AG47" i="13"/>
  <c r="AG6" i="11"/>
  <c r="AG50" i="13"/>
  <c r="X73" i="13"/>
  <c r="X75" i="13"/>
  <c r="X76" i="13" s="1"/>
  <c r="Z48" i="4"/>
  <c r="Z47" i="4" s="1"/>
  <c r="Z100" i="4" l="1"/>
  <c r="Y75" i="13"/>
  <c r="Z75" i="13" s="1"/>
  <c r="AA75" i="13" s="1"/>
  <c r="AB75" i="13" s="1"/>
  <c r="AC75" i="13" s="1"/>
  <c r="AD75" i="13" s="1"/>
  <c r="AE75" i="13" s="1"/>
  <c r="AF75" i="13" s="1"/>
  <c r="AG75" i="13" s="1"/>
  <c r="Z96" i="4"/>
  <c r="X78" i="13"/>
  <c r="X4" i="9" s="1"/>
  <c r="Y73" i="13"/>
  <c r="Y76" i="13" s="1"/>
  <c r="AA48" i="4"/>
  <c r="Y78" i="13" l="1"/>
  <c r="Y4" i="9" s="1"/>
  <c r="Z73" i="13"/>
  <c r="Z76" i="13" s="1"/>
  <c r="AB48" i="4"/>
  <c r="W57" i="14"/>
  <c r="W58" i="14" s="1"/>
  <c r="Z108" i="4"/>
  <c r="AA46" i="4"/>
  <c r="AA47" i="4" l="1"/>
  <c r="W64" i="10"/>
  <c r="X64" i="10" s="1"/>
  <c r="Z110" i="4"/>
  <c r="X56" i="14"/>
  <c r="W60" i="14"/>
  <c r="W76" i="14"/>
  <c r="X76" i="14" s="1"/>
  <c r="Y76" i="14" s="1"/>
  <c r="Z76" i="14" s="1"/>
  <c r="AA76" i="14" s="1"/>
  <c r="AB76" i="14" s="1"/>
  <c r="AC76" i="14" s="1"/>
  <c r="AD76" i="14" s="1"/>
  <c r="AE76" i="14" s="1"/>
  <c r="AF76" i="14" s="1"/>
  <c r="AG76" i="14" s="1"/>
  <c r="Z78" i="13"/>
  <c r="Z4" i="9" s="1"/>
  <c r="AA73" i="13"/>
  <c r="AA76" i="13" s="1"/>
  <c r="AB46" i="4"/>
  <c r="AB47" i="4" l="1"/>
  <c r="AA78" i="13"/>
  <c r="AA4" i="9" s="1"/>
  <c r="AB73" i="13"/>
  <c r="AB76" i="13" s="1"/>
  <c r="X75" i="14"/>
  <c r="X80" i="14" s="1"/>
  <c r="Y64" i="10"/>
  <c r="Z64" i="10" l="1"/>
  <c r="AB78" i="13"/>
  <c r="AB4" i="9" s="1"/>
  <c r="AC73" i="13"/>
  <c r="AC76" i="13" s="1"/>
  <c r="AC78" i="13" l="1"/>
  <c r="AC4" i="9" s="1"/>
  <c r="AD73" i="13"/>
  <c r="AD76" i="13" s="1"/>
  <c r="AA64" i="10"/>
  <c r="AD78" i="13" l="1"/>
  <c r="AD4" i="9" s="1"/>
  <c r="AE73" i="13"/>
  <c r="AE76" i="13" s="1"/>
  <c r="AB64" i="10"/>
  <c r="AC64" i="10" l="1"/>
  <c r="AE78" i="13"/>
  <c r="AE4" i="9" s="1"/>
  <c r="AF73" i="13"/>
  <c r="AF76" i="13" s="1"/>
  <c r="AF78" i="13" l="1"/>
  <c r="AF4" i="9" s="1"/>
  <c r="AG73" i="13"/>
  <c r="AG76" i="13" s="1"/>
  <c r="AG78" i="13" s="1"/>
  <c r="AG4" i="9" s="1"/>
  <c r="AD64" i="10"/>
  <c r="AE64" i="10" l="1"/>
  <c r="AF64" i="10" l="1"/>
  <c r="AG64" i="10" l="1"/>
  <c r="X89" i="13"/>
  <c r="W95" i="13"/>
  <c r="X99" i="13"/>
  <c r="Y89" i="13" s="1"/>
  <c r="X101" i="13"/>
  <c r="Y99" i="13" l="1"/>
  <c r="Y101" i="13"/>
  <c r="X5" i="9"/>
  <c r="X10" i="11" l="1"/>
  <c r="AA95" i="4" s="1"/>
  <c r="AA49" i="4"/>
  <c r="Z89" i="13"/>
  <c r="Y5" i="9"/>
  <c r="Y10" i="11" l="1"/>
  <c r="AB95" i="4" s="1"/>
  <c r="AB49" i="4"/>
  <c r="Z99" i="13"/>
  <c r="Z101" i="13"/>
  <c r="AA89" i="13" l="1"/>
  <c r="Z5" i="9"/>
  <c r="Z10" i="11" l="1"/>
  <c r="AA99" i="13"/>
  <c r="AA101" i="13"/>
  <c r="AB89" i="13" l="1"/>
  <c r="AA5" i="9"/>
  <c r="AA10" i="11" l="1"/>
  <c r="AB99" i="13"/>
  <c r="AB101" i="13"/>
  <c r="AC89" i="13" l="1"/>
  <c r="AB5" i="9"/>
  <c r="AB10" i="11" l="1"/>
  <c r="AC99" i="13"/>
  <c r="AC101" i="13"/>
  <c r="AD89" i="13" l="1"/>
  <c r="AC5" i="9"/>
  <c r="AC10" i="11" l="1"/>
  <c r="AD99" i="13"/>
  <c r="AD101" i="13"/>
  <c r="AE89" i="13" l="1"/>
  <c r="AD5" i="9"/>
  <c r="AD10" i="11" l="1"/>
  <c r="AE99" i="13"/>
  <c r="AE101" i="13"/>
  <c r="AF89" i="13" l="1"/>
  <c r="AE5" i="9"/>
  <c r="AE10" i="11" l="1"/>
  <c r="AF99" i="13"/>
  <c r="AF101" i="13"/>
  <c r="AG89" i="13" l="1"/>
  <c r="AF5" i="9"/>
  <c r="AF10" i="11" l="1"/>
  <c r="AG99" i="13"/>
  <c r="AG5" i="9" s="1"/>
  <c r="AG10" i="11" s="1"/>
  <c r="AG101" i="13"/>
  <c r="W104" i="13" l="1"/>
  <c r="X104" i="13"/>
  <c r="X113" i="13"/>
  <c r="Y104" i="13" l="1"/>
  <c r="Z104" i="13" s="1"/>
  <c r="W56" i="13"/>
  <c r="W43" i="13" s="1"/>
  <c r="W58" i="13"/>
  <c r="Y114" i="13"/>
  <c r="X114" i="13"/>
  <c r="AA104" i="13" l="1"/>
  <c r="Z114" i="13"/>
  <c r="X105" i="13"/>
  <c r="X57" i="13" s="1"/>
  <c r="X120" i="13"/>
  <c r="Y105" i="13"/>
  <c r="Y57" i="13" s="1"/>
  <c r="Y120" i="13"/>
  <c r="AA114" i="13"/>
  <c r="Z105" i="13"/>
  <c r="Z57" i="13" s="1"/>
  <c r="Z120" i="13"/>
  <c r="AB104" i="13"/>
  <c r="X116" i="13"/>
  <c r="M10" i="5"/>
  <c r="W135" i="10"/>
  <c r="M60" i="5" l="1"/>
  <c r="M13" i="5"/>
  <c r="Z58" i="13"/>
  <c r="Z56" i="13"/>
  <c r="Z43" i="13" s="1"/>
  <c r="P10" i="5" s="1"/>
  <c r="P60" i="5" s="1"/>
  <c r="W136" i="10"/>
  <c r="W138" i="10"/>
  <c r="Z116" i="4"/>
  <c r="X118" i="13"/>
  <c r="X20" i="9" s="1"/>
  <c r="AA55" i="4" s="1"/>
  <c r="Y113" i="13"/>
  <c r="Y116" i="13" s="1"/>
  <c r="AB114" i="13"/>
  <c r="AA105" i="13"/>
  <c r="AA57" i="13" s="1"/>
  <c r="AA120" i="13"/>
  <c r="AC104" i="13"/>
  <c r="Y58" i="13"/>
  <c r="Y56" i="13"/>
  <c r="Y43" i="13" s="1"/>
  <c r="O10" i="5" s="1"/>
  <c r="O60" i="5" s="1"/>
  <c r="X56" i="13"/>
  <c r="X43" i="13" s="1"/>
  <c r="N10" i="5" s="1"/>
  <c r="N60" i="5" s="1"/>
  <c r="X58" i="13"/>
  <c r="AB105" i="13" l="1"/>
  <c r="AB57" i="13" s="1"/>
  <c r="AB120" i="13"/>
  <c r="AC114" i="13"/>
  <c r="AA58" i="13"/>
  <c r="AA56" i="13"/>
  <c r="AA43" i="13" s="1"/>
  <c r="Q10" i="5" s="1"/>
  <c r="Q60" i="5" s="1"/>
  <c r="AD104" i="13"/>
  <c r="Y118" i="13"/>
  <c r="Y20" i="9" s="1"/>
  <c r="AB55" i="4" s="1"/>
  <c r="Z113" i="13"/>
  <c r="Z116" i="13" s="1"/>
  <c r="M63" i="5"/>
  <c r="M14" i="5"/>
  <c r="M64" i="5" s="1"/>
  <c r="V31" i="6"/>
  <c r="V47" i="6" s="1"/>
  <c r="V14" i="6"/>
  <c r="Z118" i="13" l="1"/>
  <c r="Z20" i="9" s="1"/>
  <c r="AA113" i="13"/>
  <c r="AA116" i="13" s="1"/>
  <c r="AD114" i="13"/>
  <c r="AC105" i="13"/>
  <c r="AC57" i="13" s="1"/>
  <c r="AC120" i="13"/>
  <c r="AE104" i="13"/>
  <c r="AB58" i="13"/>
  <c r="AB56" i="13"/>
  <c r="AB43" i="13" s="1"/>
  <c r="R10" i="5" s="1"/>
  <c r="R60" i="5" s="1"/>
  <c r="AD105" i="13" l="1"/>
  <c r="AD57" i="13" s="1"/>
  <c r="AD120" i="13"/>
  <c r="AA118" i="13"/>
  <c r="AA20" i="9" s="1"/>
  <c r="AB113" i="13"/>
  <c r="AB116" i="13" s="1"/>
  <c r="AE114" i="13"/>
  <c r="AC58" i="13"/>
  <c r="AC56" i="13"/>
  <c r="AC43" i="13" s="1"/>
  <c r="S10" i="5" s="1"/>
  <c r="S60" i="5" s="1"/>
  <c r="AF104" i="13"/>
  <c r="AF114" i="13" s="1"/>
  <c r="AF105" i="13" l="1"/>
  <c r="AF57" i="13" s="1"/>
  <c r="AF120" i="13"/>
  <c r="AG104" i="13"/>
  <c r="AG114" i="13" s="1"/>
  <c r="AB118" i="13"/>
  <c r="AB20" i="9" s="1"/>
  <c r="AC113" i="13"/>
  <c r="AC116" i="13" s="1"/>
  <c r="AE105" i="13"/>
  <c r="AE57" i="13" s="1"/>
  <c r="AE120" i="13"/>
  <c r="AD58" i="13"/>
  <c r="AD56" i="13"/>
  <c r="AD43" i="13" s="1"/>
  <c r="T10" i="5" s="1"/>
  <c r="T60" i="5" s="1"/>
  <c r="AE58" i="13" l="1"/>
  <c r="AE56" i="13"/>
  <c r="AE43" i="13" s="1"/>
  <c r="U10" i="5" s="1"/>
  <c r="U60" i="5" s="1"/>
  <c r="AC118" i="13"/>
  <c r="AC20" i="9" s="1"/>
  <c r="AD113" i="13"/>
  <c r="AD116" i="13" s="1"/>
  <c r="AG105" i="13"/>
  <c r="AG57" i="13" s="1"/>
  <c r="AG120" i="13"/>
  <c r="AF58" i="13"/>
  <c r="AF56" i="13"/>
  <c r="AF43" i="13" s="1"/>
  <c r="V10" i="5" s="1"/>
  <c r="V60" i="5" s="1"/>
  <c r="AG58" i="13" l="1"/>
  <c r="AG56" i="13"/>
  <c r="AG43" i="13" s="1"/>
  <c r="W10" i="5" s="1"/>
  <c r="W60" i="5" s="1"/>
  <c r="AD118" i="13"/>
  <c r="AD20" i="9" s="1"/>
  <c r="AE113" i="13"/>
  <c r="AE116" i="13" s="1"/>
  <c r="AE118" i="13" l="1"/>
  <c r="AE20" i="9" s="1"/>
  <c r="AF113" i="13"/>
  <c r="AF116" i="13" s="1"/>
  <c r="AF118" i="13" l="1"/>
  <c r="AF20" i="9" s="1"/>
  <c r="AG113" i="13"/>
  <c r="AG116" i="13" s="1"/>
  <c r="AG118" i="13" s="1"/>
  <c r="AG20" i="9" s="1"/>
  <c r="P132" i="10"/>
  <c r="Q132" i="10"/>
  <c r="N131" i="10"/>
  <c r="O131" i="10"/>
  <c r="P131" i="10"/>
  <c r="Q131" i="10"/>
  <c r="N132" i="10"/>
  <c r="M33" i="6" s="1"/>
  <c r="M49" i="6" s="1"/>
  <c r="O132" i="10"/>
  <c r="N33" i="6" s="1"/>
  <c r="N49" i="6" s="1"/>
  <c r="Q40" i="4"/>
  <c r="R40" i="4"/>
  <c r="S40" i="4"/>
  <c r="T40" i="4"/>
  <c r="P33" i="6" l="1"/>
  <c r="P49" i="6" s="1"/>
  <c r="P16" i="6"/>
  <c r="O33" i="6"/>
  <c r="O49" i="6" s="1"/>
  <c r="O16" i="6"/>
  <c r="N16" i="6"/>
  <c r="M16" i="6"/>
  <c r="S26" i="11"/>
  <c r="S27" i="11" s="1"/>
  <c r="V106" i="4" s="1"/>
  <c r="R132" i="10"/>
  <c r="R131" i="10"/>
  <c r="U40" i="4"/>
  <c r="Q33" i="6" l="1"/>
  <c r="Q49" i="6" s="1"/>
  <c r="Q16" i="6"/>
  <c r="V103" i="4"/>
  <c r="T26" i="11"/>
  <c r="T27" i="11" s="1"/>
  <c r="W106" i="4" s="1"/>
  <c r="U26" i="11"/>
  <c r="U27" i="11" s="1"/>
  <c r="X106" i="4" s="1"/>
  <c r="V26" i="11"/>
  <c r="V27" i="11" s="1"/>
  <c r="Y106" i="4" s="1"/>
  <c r="U132" i="10"/>
  <c r="S131" i="10"/>
  <c r="T131" i="10"/>
  <c r="U131" i="10"/>
  <c r="S132" i="10"/>
  <c r="R16" i="6" s="1"/>
  <c r="T132" i="10"/>
  <c r="S33" i="6" s="1"/>
  <c r="S49" i="6" s="1"/>
  <c r="V40" i="4"/>
  <c r="W40" i="4"/>
  <c r="X40" i="4"/>
  <c r="W103" i="4"/>
  <c r="X103" i="4"/>
  <c r="Y103" i="4"/>
  <c r="R33" i="6" l="1"/>
  <c r="R49" i="6" s="1"/>
  <c r="T16" i="6"/>
  <c r="T33" i="6"/>
  <c r="T49" i="6" s="1"/>
  <c r="S16" i="6"/>
  <c r="V129" i="10"/>
  <c r="Y40" i="4" s="1"/>
  <c r="U33" i="6"/>
  <c r="U49" i="6" s="1"/>
  <c r="V131" i="10" l="1"/>
  <c r="W26" i="11"/>
  <c r="U16" i="6"/>
  <c r="W27" i="11" l="1"/>
  <c r="Z106" i="4" s="1"/>
  <c r="Z103" i="4"/>
  <c r="W131" i="10"/>
  <c r="V33" i="6"/>
  <c r="V49" i="6" s="1"/>
  <c r="X26" i="11" l="1"/>
  <c r="Z40" i="4"/>
  <c r="V16" i="6"/>
  <c r="X28" i="11" l="1"/>
  <c r="AA101" i="4" s="1"/>
  <c r="AA103" i="4"/>
  <c r="R4" i="26" l="1"/>
  <c r="S4" i="26"/>
  <c r="U4" i="26"/>
  <c r="V4" i="26"/>
  <c r="R5" i="26"/>
  <c r="S5" i="26"/>
  <c r="U5" i="26"/>
  <c r="V5" i="26"/>
  <c r="R6" i="26"/>
  <c r="S6" i="26"/>
  <c r="U6" i="26"/>
  <c r="V6" i="26"/>
  <c r="R12" i="26"/>
  <c r="S12" i="26"/>
  <c r="U12" i="26"/>
  <c r="V12" i="26"/>
  <c r="R13" i="26"/>
  <c r="S13" i="26"/>
  <c r="U13" i="26"/>
  <c r="V13" i="26"/>
  <c r="R14" i="26"/>
  <c r="S14" i="26"/>
  <c r="U14" i="26"/>
  <c r="V14" i="26"/>
  <c r="X1" i="9"/>
  <c r="Y1" i="9"/>
  <c r="Z1" i="9"/>
  <c r="AA1" i="9"/>
  <c r="AB1" i="9"/>
  <c r="AC1" i="9"/>
  <c r="AD1" i="9"/>
  <c r="AE1" i="9"/>
  <c r="AF1" i="9"/>
  <c r="AG1" i="9"/>
  <c r="X9" i="9"/>
  <c r="Y9" i="9"/>
  <c r="Z9" i="9"/>
  <c r="AA9" i="9"/>
  <c r="AB9" i="9"/>
  <c r="AC9" i="9"/>
  <c r="AD9" i="9"/>
  <c r="AE9" i="9"/>
  <c r="AF9" i="9"/>
  <c r="AG9" i="9"/>
  <c r="X24" i="9"/>
  <c r="Y24" i="9"/>
  <c r="Z24" i="9"/>
  <c r="AA24" i="9"/>
  <c r="AB24" i="9"/>
  <c r="AC24" i="9"/>
  <c r="AD24" i="9"/>
  <c r="AE24" i="9"/>
  <c r="AF24" i="9"/>
  <c r="AG24" i="9"/>
  <c r="X39" i="9"/>
  <c r="Y39" i="9"/>
  <c r="Z39" i="9"/>
  <c r="AA39" i="9"/>
  <c r="AB39" i="9"/>
  <c r="AC39" i="9"/>
  <c r="AD39" i="9"/>
  <c r="AE39" i="9"/>
  <c r="AF39" i="9"/>
  <c r="AG39" i="9"/>
  <c r="X41" i="9"/>
  <c r="Y41" i="9"/>
  <c r="Z41" i="9"/>
  <c r="AA41" i="9"/>
  <c r="AB41" i="9"/>
  <c r="AC41" i="9"/>
  <c r="AD41" i="9"/>
  <c r="AE41" i="9"/>
  <c r="AF41" i="9"/>
  <c r="AG41" i="9"/>
  <c r="X43" i="9"/>
  <c r="Y43" i="9"/>
  <c r="Z43" i="9"/>
  <c r="AA43" i="9"/>
  <c r="AB43" i="9"/>
  <c r="AC43" i="9"/>
  <c r="AD43" i="9"/>
  <c r="AE43" i="9"/>
  <c r="AF43" i="9"/>
  <c r="AG43" i="9"/>
  <c r="X44" i="9"/>
  <c r="Y44" i="9"/>
  <c r="Z44" i="9"/>
  <c r="AA44" i="9"/>
  <c r="AB44" i="9"/>
  <c r="AC44" i="9"/>
  <c r="AD44" i="9"/>
  <c r="AE44" i="9"/>
  <c r="AF44" i="9"/>
  <c r="AG44" i="9"/>
  <c r="X76" i="9"/>
  <c r="Y76" i="9"/>
  <c r="Z76" i="9"/>
  <c r="AA76" i="9"/>
  <c r="AB76" i="9"/>
  <c r="AC76" i="9"/>
  <c r="AD76" i="9"/>
  <c r="AE76" i="9"/>
  <c r="AF76" i="9"/>
  <c r="AG76" i="9"/>
  <c r="X77" i="9"/>
  <c r="Y77" i="9"/>
  <c r="Z77" i="9"/>
  <c r="AA77" i="9"/>
  <c r="AB77" i="9"/>
  <c r="AC77" i="9"/>
  <c r="AD77" i="9"/>
  <c r="AE77" i="9"/>
  <c r="AF77" i="9"/>
  <c r="AG77" i="9"/>
  <c r="X78" i="9"/>
  <c r="Y78" i="9"/>
  <c r="Z78" i="9"/>
  <c r="AA78" i="9"/>
  <c r="AB78" i="9"/>
  <c r="AC78" i="9"/>
  <c r="AD78" i="9"/>
  <c r="AE78" i="9"/>
  <c r="AF78" i="9"/>
  <c r="AG78" i="9"/>
  <c r="X80" i="9"/>
  <c r="Y80" i="9"/>
  <c r="Z80" i="9"/>
  <c r="AA80" i="9"/>
  <c r="AB80" i="9"/>
  <c r="AC80" i="9"/>
  <c r="AD80" i="9"/>
  <c r="AE80" i="9"/>
  <c r="AF80" i="9"/>
  <c r="AG80" i="9"/>
  <c r="X82" i="9"/>
  <c r="Y82" i="9"/>
  <c r="Z82" i="9"/>
  <c r="AA82" i="9"/>
  <c r="AB82" i="9"/>
  <c r="AC82" i="9"/>
  <c r="AD82" i="9"/>
  <c r="AE82" i="9"/>
  <c r="AF82" i="9"/>
  <c r="AG82" i="9"/>
  <c r="X83" i="9"/>
  <c r="Y83" i="9"/>
  <c r="Z83" i="9"/>
  <c r="AA83" i="9"/>
  <c r="AB83" i="9"/>
  <c r="AC83" i="9"/>
  <c r="AD83" i="9"/>
  <c r="AE83" i="9"/>
  <c r="AF83" i="9"/>
  <c r="AG83" i="9"/>
  <c r="X84" i="9"/>
  <c r="Y84" i="9"/>
  <c r="Z84" i="9"/>
  <c r="AA84" i="9"/>
  <c r="AB84" i="9"/>
  <c r="AC84" i="9"/>
  <c r="AD84" i="9"/>
  <c r="AE84" i="9"/>
  <c r="AF84" i="9"/>
  <c r="AG84" i="9"/>
  <c r="X85" i="9"/>
  <c r="Y85" i="9"/>
  <c r="Z85" i="9"/>
  <c r="AA85" i="9"/>
  <c r="AB85" i="9"/>
  <c r="AC85" i="9"/>
  <c r="AD85" i="9"/>
  <c r="AE85" i="9"/>
  <c r="AF85" i="9"/>
  <c r="AG85" i="9"/>
  <c r="X90" i="9"/>
  <c r="Y90" i="9"/>
  <c r="Z90" i="9"/>
  <c r="AA90" i="9"/>
  <c r="AB90" i="9"/>
  <c r="AC90" i="9"/>
  <c r="AD90" i="9"/>
  <c r="AE90" i="9"/>
  <c r="AF90" i="9"/>
  <c r="AG90" i="9"/>
  <c r="X92" i="9"/>
  <c r="Y92" i="9"/>
  <c r="Z92" i="9"/>
  <c r="AA92" i="9"/>
  <c r="AB92" i="9"/>
  <c r="AC92" i="9"/>
  <c r="AD92" i="9"/>
  <c r="AE92" i="9"/>
  <c r="AF92" i="9"/>
  <c r="AG92" i="9"/>
  <c r="X93" i="9"/>
  <c r="Y93" i="9"/>
  <c r="Z93" i="9"/>
  <c r="AA93" i="9"/>
  <c r="AB93" i="9"/>
  <c r="AC93" i="9"/>
  <c r="AD93" i="9"/>
  <c r="AE93" i="9"/>
  <c r="AF93" i="9"/>
  <c r="AG93" i="9"/>
  <c r="X94" i="9"/>
  <c r="Y94" i="9"/>
  <c r="Z94" i="9"/>
  <c r="AA94" i="9"/>
  <c r="AB94" i="9"/>
  <c r="AC94" i="9"/>
  <c r="AD94" i="9"/>
  <c r="AE94" i="9"/>
  <c r="AF94" i="9"/>
  <c r="AG94" i="9"/>
  <c r="X95" i="9"/>
  <c r="Y95" i="9"/>
  <c r="Z95" i="9"/>
  <c r="AA95" i="9"/>
  <c r="AB95" i="9"/>
  <c r="AC95" i="9"/>
  <c r="AD95" i="9"/>
  <c r="AE95" i="9"/>
  <c r="AF95" i="9"/>
  <c r="AG95" i="9"/>
  <c r="X99" i="9"/>
  <c r="Y99" i="9"/>
  <c r="Z99" i="9"/>
  <c r="AA99" i="9"/>
  <c r="AB99" i="9"/>
  <c r="AC99" i="9"/>
  <c r="AD99" i="9"/>
  <c r="AE99" i="9"/>
  <c r="AF99" i="9"/>
  <c r="AG99" i="9"/>
  <c r="X100" i="9"/>
  <c r="Y100" i="9"/>
  <c r="Z100" i="9"/>
  <c r="AA100" i="9"/>
  <c r="AB100" i="9"/>
  <c r="AC100" i="9"/>
  <c r="AD100" i="9"/>
  <c r="AE100" i="9"/>
  <c r="AF100" i="9"/>
  <c r="AG100" i="9"/>
  <c r="X101" i="9"/>
  <c r="Y101" i="9"/>
  <c r="Z101" i="9"/>
  <c r="AA101" i="9"/>
  <c r="AB101" i="9"/>
  <c r="AC101" i="9"/>
  <c r="AD101" i="9"/>
  <c r="AE101" i="9"/>
  <c r="AF101" i="9"/>
  <c r="AG101" i="9"/>
  <c r="X103" i="9"/>
  <c r="Y103" i="9"/>
  <c r="Z103" i="9"/>
  <c r="AA103" i="9"/>
  <c r="AB103" i="9"/>
  <c r="AC103" i="9"/>
  <c r="AD103" i="9"/>
  <c r="AE103" i="9"/>
  <c r="AF103" i="9"/>
  <c r="AG103" i="9"/>
  <c r="X104" i="9"/>
  <c r="Y104" i="9"/>
  <c r="Z104" i="9"/>
  <c r="AA104" i="9"/>
  <c r="AB104" i="9"/>
  <c r="AC104" i="9"/>
  <c r="AD104" i="9"/>
  <c r="AE104" i="9"/>
  <c r="AF104" i="9"/>
  <c r="AG104" i="9"/>
  <c r="X109" i="9"/>
  <c r="Y109" i="9"/>
  <c r="Z109" i="9"/>
  <c r="AA109" i="9"/>
  <c r="AB109" i="9"/>
  <c r="AC109" i="9"/>
  <c r="AD109" i="9"/>
  <c r="AE109" i="9"/>
  <c r="AF109" i="9"/>
  <c r="AG109" i="9"/>
  <c r="X110" i="9"/>
  <c r="Y110" i="9"/>
  <c r="Z110" i="9"/>
  <c r="AA110" i="9"/>
  <c r="AB110" i="9"/>
  <c r="AC110" i="9"/>
  <c r="AD110" i="9"/>
  <c r="AE110" i="9"/>
  <c r="AF110" i="9"/>
  <c r="AG110" i="9"/>
  <c r="X1" i="13"/>
  <c r="Y1" i="13"/>
  <c r="Z1" i="13"/>
  <c r="AA1" i="13"/>
  <c r="AB1" i="13"/>
  <c r="AC1" i="13"/>
  <c r="AD1" i="13"/>
  <c r="AE1" i="13"/>
  <c r="AF1" i="13"/>
  <c r="AG1" i="13"/>
  <c r="W131" i="13"/>
  <c r="X131" i="13"/>
  <c r="Y131" i="13"/>
  <c r="Z131" i="13"/>
  <c r="AA131" i="13"/>
  <c r="AB131" i="13"/>
  <c r="AC131" i="13"/>
  <c r="AD131" i="13"/>
  <c r="AE131" i="13"/>
  <c r="AF131" i="13"/>
  <c r="AG131" i="13"/>
  <c r="V133" i="13"/>
  <c r="W133" i="13"/>
  <c r="V134" i="13"/>
  <c r="W134" i="13"/>
  <c r="X134" i="13"/>
  <c r="Y134" i="13"/>
  <c r="Z134" i="13"/>
  <c r="AA134" i="13"/>
  <c r="AB134" i="13"/>
  <c r="AC134" i="13"/>
  <c r="AD134" i="13"/>
  <c r="AE134" i="13"/>
  <c r="AF134" i="13"/>
  <c r="AG134" i="13"/>
  <c r="V136" i="13"/>
  <c r="W136" i="13"/>
  <c r="X136" i="13"/>
  <c r="Y136" i="13"/>
  <c r="Z136" i="13"/>
  <c r="AA136" i="13"/>
  <c r="AB136" i="13"/>
  <c r="AC136" i="13"/>
  <c r="AD136" i="13"/>
  <c r="AE136" i="13"/>
  <c r="AF136" i="13"/>
  <c r="AG136" i="13"/>
  <c r="X1" i="11"/>
  <c r="Y1" i="11"/>
  <c r="Z1" i="11"/>
  <c r="AA1" i="11"/>
  <c r="AB1" i="11"/>
  <c r="AC1" i="11"/>
  <c r="AD1" i="11"/>
  <c r="AE1" i="11"/>
  <c r="AF1" i="11"/>
  <c r="AG1" i="11"/>
  <c r="X4" i="11"/>
  <c r="Y4" i="11"/>
  <c r="Z4" i="11"/>
  <c r="AA4" i="11"/>
  <c r="AB4" i="11"/>
  <c r="AC4" i="11"/>
  <c r="AD4" i="11"/>
  <c r="AE4" i="11"/>
  <c r="AF4" i="11"/>
  <c r="AG4" i="11"/>
  <c r="X5" i="11"/>
  <c r="Y5" i="11"/>
  <c r="Z5" i="11"/>
  <c r="AA5" i="11"/>
  <c r="AB5" i="11"/>
  <c r="AC5" i="11"/>
  <c r="AD5" i="11"/>
  <c r="AE5" i="11"/>
  <c r="AF5" i="11"/>
  <c r="AG5" i="11"/>
  <c r="X9" i="11"/>
  <c r="Y9" i="11"/>
  <c r="Z9" i="11"/>
  <c r="AA9" i="11"/>
  <c r="AB9" i="11"/>
  <c r="AC9" i="11"/>
  <c r="AD9" i="11"/>
  <c r="AE9" i="11"/>
  <c r="AF9" i="11"/>
  <c r="AG9" i="11"/>
  <c r="X11" i="11"/>
  <c r="Y11" i="11"/>
  <c r="Z11" i="11"/>
  <c r="AA11" i="11"/>
  <c r="AB11" i="11"/>
  <c r="AC11" i="11"/>
  <c r="AD11" i="11"/>
  <c r="AE11" i="11"/>
  <c r="AF11" i="11"/>
  <c r="AG11" i="11"/>
  <c r="X12" i="11"/>
  <c r="Y12" i="11"/>
  <c r="Z12" i="11"/>
  <c r="AA12" i="11"/>
  <c r="AB12" i="11"/>
  <c r="AC12" i="11"/>
  <c r="AD12" i="11"/>
  <c r="AE12" i="11"/>
  <c r="AF12" i="11"/>
  <c r="AG12" i="11"/>
  <c r="X16" i="11"/>
  <c r="Y16" i="11"/>
  <c r="Z16" i="11"/>
  <c r="AA16" i="11"/>
  <c r="AB16" i="11"/>
  <c r="AC16" i="11"/>
  <c r="AD16" i="11"/>
  <c r="AE16" i="11"/>
  <c r="AF16" i="11"/>
  <c r="AG16" i="11"/>
  <c r="X17" i="11"/>
  <c r="Y17" i="11"/>
  <c r="Z17" i="11"/>
  <c r="AA17" i="11"/>
  <c r="AB17" i="11"/>
  <c r="AC17" i="11"/>
  <c r="AD17" i="11"/>
  <c r="AE17" i="11"/>
  <c r="AF17" i="11"/>
  <c r="AG17" i="11"/>
  <c r="X18" i="11"/>
  <c r="Y18" i="11"/>
  <c r="Z18" i="11"/>
  <c r="AA18" i="11"/>
  <c r="AB18" i="11"/>
  <c r="AC18" i="11"/>
  <c r="AD18" i="11"/>
  <c r="AE18" i="11"/>
  <c r="AF18" i="11"/>
  <c r="AG18" i="11"/>
  <c r="X20" i="11"/>
  <c r="Y20" i="11"/>
  <c r="Z20" i="11"/>
  <c r="AA20" i="11"/>
  <c r="AB20" i="11"/>
  <c r="AC20" i="11"/>
  <c r="AD20" i="11"/>
  <c r="AE20" i="11"/>
  <c r="AF20" i="11"/>
  <c r="AG20" i="11"/>
  <c r="Y26" i="11"/>
  <c r="Z26" i="11"/>
  <c r="AA26" i="11"/>
  <c r="AB26" i="11"/>
  <c r="AC26" i="11"/>
  <c r="AD26" i="11"/>
  <c r="AE26" i="11"/>
  <c r="AF26" i="11"/>
  <c r="AG26" i="11"/>
  <c r="Y28" i="11"/>
  <c r="Z28" i="11"/>
  <c r="AA28" i="11"/>
  <c r="AB28" i="11"/>
  <c r="AC28" i="11"/>
  <c r="AD28" i="11"/>
  <c r="AE28" i="11"/>
  <c r="AF28" i="11"/>
  <c r="AG28" i="11"/>
  <c r="X31" i="11"/>
  <c r="Y31" i="11"/>
  <c r="Z31" i="11"/>
  <c r="AA31" i="11"/>
  <c r="AB31" i="11"/>
  <c r="AC31" i="11"/>
  <c r="AD31" i="11"/>
  <c r="AE31" i="11"/>
  <c r="AF31" i="11"/>
  <c r="AG31" i="11"/>
  <c r="Y33" i="11"/>
  <c r="Z33" i="11"/>
  <c r="AA33" i="11"/>
  <c r="AB33" i="11"/>
  <c r="AC33" i="11"/>
  <c r="AD33" i="11"/>
  <c r="AE33" i="11"/>
  <c r="AF33" i="11"/>
  <c r="AG33" i="11"/>
  <c r="X34" i="11"/>
  <c r="Y34" i="11"/>
  <c r="Z34" i="11"/>
  <c r="AA34" i="11"/>
  <c r="AB34" i="11"/>
  <c r="AC34" i="11"/>
  <c r="AD34" i="11"/>
  <c r="AE34" i="11"/>
  <c r="AF34" i="11"/>
  <c r="AG34" i="11"/>
  <c r="X36" i="11"/>
  <c r="Y36" i="11"/>
  <c r="Z36" i="11"/>
  <c r="AA36" i="11"/>
  <c r="AB36" i="11"/>
  <c r="AC36" i="11"/>
  <c r="AD36" i="11"/>
  <c r="AE36" i="11"/>
  <c r="AF36" i="11"/>
  <c r="AG36" i="11"/>
  <c r="X38" i="11"/>
  <c r="Y38" i="11"/>
  <c r="Z38" i="11"/>
  <c r="AA38" i="11"/>
  <c r="AB38" i="11"/>
  <c r="AC38" i="11"/>
  <c r="AD38" i="11"/>
  <c r="AE38" i="11"/>
  <c r="AF38" i="11"/>
  <c r="AG38" i="11"/>
  <c r="W7" i="6"/>
  <c r="X7" i="6"/>
  <c r="W8" i="6"/>
  <c r="X8" i="6"/>
  <c r="W9" i="6"/>
  <c r="X9" i="6"/>
  <c r="W10" i="6"/>
  <c r="X10" i="6"/>
  <c r="W11" i="6"/>
  <c r="X11" i="6"/>
  <c r="W12" i="6"/>
  <c r="X12" i="6"/>
  <c r="W13" i="6"/>
  <c r="X13" i="6"/>
  <c r="W14" i="6"/>
  <c r="X14" i="6"/>
  <c r="W15" i="6"/>
  <c r="X15" i="6"/>
  <c r="W16" i="6"/>
  <c r="X16" i="6"/>
  <c r="W17" i="6"/>
  <c r="X17" i="6"/>
  <c r="W18" i="6"/>
  <c r="X18" i="6"/>
  <c r="W19" i="6"/>
  <c r="X19" i="6"/>
  <c r="W24" i="6"/>
  <c r="X24" i="6"/>
  <c r="W25" i="6"/>
  <c r="X25" i="6"/>
  <c r="W26" i="6"/>
  <c r="X26" i="6"/>
  <c r="W27" i="6"/>
  <c r="X27" i="6"/>
  <c r="W28" i="6"/>
  <c r="X28" i="6"/>
  <c r="W29" i="6"/>
  <c r="X29" i="6"/>
  <c r="W30" i="6"/>
  <c r="X30" i="6"/>
  <c r="W31" i="6"/>
  <c r="X31" i="6"/>
  <c r="W32" i="6"/>
  <c r="X32" i="6"/>
  <c r="W33" i="6"/>
  <c r="X33" i="6"/>
  <c r="W34" i="6"/>
  <c r="X34" i="6"/>
  <c r="W35" i="6"/>
  <c r="X35" i="6"/>
  <c r="W36" i="6"/>
  <c r="X36" i="6"/>
  <c r="W37" i="6"/>
  <c r="X37" i="6"/>
  <c r="W42" i="6"/>
  <c r="X42" i="6"/>
  <c r="W43" i="6"/>
  <c r="X43" i="6"/>
  <c r="W44" i="6"/>
  <c r="X44" i="6"/>
  <c r="W45" i="6"/>
  <c r="X45" i="6"/>
  <c r="W46" i="6"/>
  <c r="X46" i="6"/>
  <c r="W47" i="6"/>
  <c r="X47" i="6"/>
  <c r="W48" i="6"/>
  <c r="X48" i="6"/>
  <c r="W49" i="6"/>
  <c r="X49" i="6"/>
  <c r="W50" i="6"/>
  <c r="X50" i="6"/>
  <c r="W51" i="6"/>
  <c r="X51" i="6"/>
  <c r="W52" i="6"/>
  <c r="X52" i="6"/>
  <c r="W53" i="6"/>
  <c r="X53" i="6"/>
  <c r="W54" i="6"/>
  <c r="X54" i="6"/>
  <c r="W55" i="6"/>
  <c r="X55" i="6"/>
  <c r="N6" i="5"/>
  <c r="O6" i="5"/>
  <c r="P6" i="5"/>
  <c r="Q6" i="5"/>
  <c r="R6" i="5"/>
  <c r="S6" i="5"/>
  <c r="T6" i="5"/>
  <c r="U6" i="5"/>
  <c r="V6" i="5"/>
  <c r="W6" i="5"/>
  <c r="N7" i="5"/>
  <c r="O7" i="5"/>
  <c r="P7" i="5"/>
  <c r="Q7" i="5"/>
  <c r="R7" i="5"/>
  <c r="S7" i="5"/>
  <c r="T7" i="5"/>
  <c r="U7" i="5"/>
  <c r="V7" i="5"/>
  <c r="W7" i="5"/>
  <c r="N8" i="5"/>
  <c r="O8" i="5"/>
  <c r="P8" i="5"/>
  <c r="Q8" i="5"/>
  <c r="R8" i="5"/>
  <c r="S8" i="5"/>
  <c r="T8" i="5"/>
  <c r="U8" i="5"/>
  <c r="V8" i="5"/>
  <c r="W8" i="5"/>
  <c r="N9" i="5"/>
  <c r="O9" i="5"/>
  <c r="P9" i="5"/>
  <c r="Q9" i="5"/>
  <c r="R9" i="5"/>
  <c r="S9" i="5"/>
  <c r="T9" i="5"/>
  <c r="U9" i="5"/>
  <c r="V9" i="5"/>
  <c r="W9" i="5"/>
  <c r="N13" i="5"/>
  <c r="O13" i="5"/>
  <c r="P13" i="5"/>
  <c r="Q13" i="5"/>
  <c r="R13" i="5"/>
  <c r="S13" i="5"/>
  <c r="T13" i="5"/>
  <c r="U13" i="5"/>
  <c r="V13" i="5"/>
  <c r="W13" i="5"/>
  <c r="N14" i="5"/>
  <c r="O14" i="5"/>
  <c r="P14" i="5"/>
  <c r="Q14" i="5"/>
  <c r="R14" i="5"/>
  <c r="S14" i="5"/>
  <c r="T14" i="5"/>
  <c r="U14" i="5"/>
  <c r="V14" i="5"/>
  <c r="W14" i="5"/>
  <c r="J16" i="5"/>
  <c r="J17" i="5"/>
  <c r="J18" i="5"/>
  <c r="J19" i="5"/>
  <c r="J20" i="5"/>
  <c r="J21" i="5"/>
  <c r="J22" i="5"/>
  <c r="J30" i="5"/>
  <c r="K30" i="5"/>
  <c r="L30" i="5"/>
  <c r="M30" i="5"/>
  <c r="N30" i="5"/>
  <c r="O30" i="5"/>
  <c r="P30" i="5"/>
  <c r="Q30" i="5"/>
  <c r="R30" i="5"/>
  <c r="J31" i="5"/>
  <c r="K31" i="5"/>
  <c r="L31" i="5"/>
  <c r="M31" i="5"/>
  <c r="N31" i="5"/>
  <c r="O31" i="5"/>
  <c r="P31" i="5"/>
  <c r="Q31" i="5"/>
  <c r="R31" i="5"/>
  <c r="J32" i="5"/>
  <c r="K32" i="5"/>
  <c r="L32" i="5"/>
  <c r="M32" i="5"/>
  <c r="N32" i="5"/>
  <c r="O32" i="5"/>
  <c r="P32" i="5"/>
  <c r="Q32" i="5"/>
  <c r="R32" i="5"/>
  <c r="J33" i="5"/>
  <c r="K33" i="5"/>
  <c r="L33" i="5"/>
  <c r="M33" i="5"/>
  <c r="N33" i="5"/>
  <c r="O33" i="5"/>
  <c r="P33" i="5"/>
  <c r="Q33" i="5"/>
  <c r="R33" i="5"/>
  <c r="J34" i="5"/>
  <c r="K34" i="5"/>
  <c r="L34" i="5"/>
  <c r="M34" i="5"/>
  <c r="N34" i="5"/>
  <c r="O34" i="5"/>
  <c r="P34" i="5"/>
  <c r="Q34" i="5"/>
  <c r="R34" i="5"/>
  <c r="J35" i="5"/>
  <c r="K35" i="5"/>
  <c r="L35" i="5"/>
  <c r="M35" i="5"/>
  <c r="N35" i="5"/>
  <c r="O35" i="5"/>
  <c r="P35" i="5"/>
  <c r="Q35" i="5"/>
  <c r="R35" i="5"/>
  <c r="J36" i="5"/>
  <c r="K36" i="5"/>
  <c r="L36" i="5"/>
  <c r="M36" i="5"/>
  <c r="N36" i="5"/>
  <c r="O36" i="5"/>
  <c r="P36" i="5"/>
  <c r="Q36" i="5"/>
  <c r="R36" i="5"/>
  <c r="J41" i="5"/>
  <c r="K41" i="5"/>
  <c r="L41" i="5"/>
  <c r="M41" i="5"/>
  <c r="N41" i="5"/>
  <c r="O41" i="5"/>
  <c r="P41" i="5"/>
  <c r="Q41" i="5"/>
  <c r="R41" i="5"/>
  <c r="J42" i="5"/>
  <c r="K42" i="5"/>
  <c r="L42" i="5"/>
  <c r="M42" i="5"/>
  <c r="N42" i="5"/>
  <c r="O42" i="5"/>
  <c r="P42" i="5"/>
  <c r="Q42" i="5"/>
  <c r="R42" i="5"/>
  <c r="J43" i="5"/>
  <c r="K43" i="5"/>
  <c r="L43" i="5"/>
  <c r="M43" i="5"/>
  <c r="N43" i="5"/>
  <c r="O43" i="5"/>
  <c r="P43" i="5"/>
  <c r="Q43" i="5"/>
  <c r="R43" i="5"/>
  <c r="J44" i="5"/>
  <c r="K44" i="5"/>
  <c r="L44" i="5"/>
  <c r="M44" i="5"/>
  <c r="N44" i="5"/>
  <c r="O44" i="5"/>
  <c r="P44" i="5"/>
  <c r="Q44" i="5"/>
  <c r="R44" i="5"/>
  <c r="J45" i="5"/>
  <c r="K45" i="5"/>
  <c r="L45" i="5"/>
  <c r="M45" i="5"/>
  <c r="N45" i="5"/>
  <c r="O45" i="5"/>
  <c r="P45" i="5"/>
  <c r="Q45" i="5"/>
  <c r="R45" i="5"/>
  <c r="J46" i="5"/>
  <c r="K46" i="5"/>
  <c r="L46" i="5"/>
  <c r="M46" i="5"/>
  <c r="N46" i="5"/>
  <c r="O46" i="5"/>
  <c r="P46" i="5"/>
  <c r="Q46" i="5"/>
  <c r="R46" i="5"/>
  <c r="J47" i="5"/>
  <c r="K47" i="5"/>
  <c r="L47" i="5"/>
  <c r="M47" i="5"/>
  <c r="N47" i="5"/>
  <c r="O47" i="5"/>
  <c r="P47" i="5"/>
  <c r="Q47" i="5"/>
  <c r="R47" i="5"/>
  <c r="N56" i="5"/>
  <c r="O56" i="5"/>
  <c r="P56" i="5"/>
  <c r="Q56" i="5"/>
  <c r="R56" i="5"/>
  <c r="S56" i="5"/>
  <c r="T56" i="5"/>
  <c r="U56" i="5"/>
  <c r="V56" i="5"/>
  <c r="W56" i="5"/>
  <c r="N57" i="5"/>
  <c r="O57" i="5"/>
  <c r="P57" i="5"/>
  <c r="Q57" i="5"/>
  <c r="R57" i="5"/>
  <c r="S57" i="5"/>
  <c r="T57" i="5"/>
  <c r="U57" i="5"/>
  <c r="V57" i="5"/>
  <c r="W57" i="5"/>
  <c r="N58" i="5"/>
  <c r="O58" i="5"/>
  <c r="P58" i="5"/>
  <c r="Q58" i="5"/>
  <c r="R58" i="5"/>
  <c r="S58" i="5"/>
  <c r="T58" i="5"/>
  <c r="U58" i="5"/>
  <c r="V58" i="5"/>
  <c r="W58" i="5"/>
  <c r="N59" i="5"/>
  <c r="O59" i="5"/>
  <c r="P59" i="5"/>
  <c r="Q59" i="5"/>
  <c r="R59" i="5"/>
  <c r="S59" i="5"/>
  <c r="T59" i="5"/>
  <c r="U59" i="5"/>
  <c r="V59" i="5"/>
  <c r="W59" i="5"/>
  <c r="N63" i="5"/>
  <c r="O63" i="5"/>
  <c r="P63" i="5"/>
  <c r="Q63" i="5"/>
  <c r="R63" i="5"/>
  <c r="S63" i="5"/>
  <c r="T63" i="5"/>
  <c r="U63" i="5"/>
  <c r="V63" i="5"/>
  <c r="W63" i="5"/>
  <c r="N64" i="5"/>
  <c r="O64" i="5"/>
  <c r="P64" i="5"/>
  <c r="Q64" i="5"/>
  <c r="R64" i="5"/>
  <c r="S64" i="5"/>
  <c r="T64" i="5"/>
  <c r="U64" i="5"/>
  <c r="V64" i="5"/>
  <c r="W64" i="5"/>
  <c r="J66" i="5"/>
  <c r="J67" i="5"/>
  <c r="J68" i="5"/>
  <c r="J69" i="5"/>
  <c r="J70" i="5"/>
  <c r="J71" i="5"/>
  <c r="J72" i="5"/>
  <c r="J80" i="5"/>
  <c r="K80" i="5"/>
  <c r="L80" i="5"/>
  <c r="M80" i="5"/>
  <c r="N80" i="5"/>
  <c r="O80" i="5"/>
  <c r="P80" i="5"/>
  <c r="Q80" i="5"/>
  <c r="R80" i="5"/>
  <c r="J81" i="5"/>
  <c r="K81" i="5"/>
  <c r="L81" i="5"/>
  <c r="M81" i="5"/>
  <c r="N81" i="5"/>
  <c r="O81" i="5"/>
  <c r="P81" i="5"/>
  <c r="Q81" i="5"/>
  <c r="R81" i="5"/>
  <c r="J82" i="5"/>
  <c r="K82" i="5"/>
  <c r="L82" i="5"/>
  <c r="M82" i="5"/>
  <c r="N82" i="5"/>
  <c r="O82" i="5"/>
  <c r="P82" i="5"/>
  <c r="Q82" i="5"/>
  <c r="R82" i="5"/>
  <c r="J83" i="5"/>
  <c r="K83" i="5"/>
  <c r="L83" i="5"/>
  <c r="M83" i="5"/>
  <c r="N83" i="5"/>
  <c r="O83" i="5"/>
  <c r="P83" i="5"/>
  <c r="Q83" i="5"/>
  <c r="R83" i="5"/>
  <c r="J84" i="5"/>
  <c r="K84" i="5"/>
  <c r="L84" i="5"/>
  <c r="M84" i="5"/>
  <c r="N84" i="5"/>
  <c r="O84" i="5"/>
  <c r="P84" i="5"/>
  <c r="Q84" i="5"/>
  <c r="R84" i="5"/>
  <c r="J85" i="5"/>
  <c r="K85" i="5"/>
  <c r="L85" i="5"/>
  <c r="M85" i="5"/>
  <c r="N85" i="5"/>
  <c r="O85" i="5"/>
  <c r="P85" i="5"/>
  <c r="Q85" i="5"/>
  <c r="R85" i="5"/>
  <c r="J86" i="5"/>
  <c r="K86" i="5"/>
  <c r="L86" i="5"/>
  <c r="M86" i="5"/>
  <c r="N86" i="5"/>
  <c r="O86" i="5"/>
  <c r="P86" i="5"/>
  <c r="Q86" i="5"/>
  <c r="R86" i="5"/>
  <c r="J91" i="5"/>
  <c r="K91" i="5"/>
  <c r="L91" i="5"/>
  <c r="M91" i="5"/>
  <c r="N91" i="5"/>
  <c r="O91" i="5"/>
  <c r="P91" i="5"/>
  <c r="Q91" i="5"/>
  <c r="R91" i="5"/>
  <c r="J92" i="5"/>
  <c r="K92" i="5"/>
  <c r="L92" i="5"/>
  <c r="M92" i="5"/>
  <c r="N92" i="5"/>
  <c r="O92" i="5"/>
  <c r="P92" i="5"/>
  <c r="Q92" i="5"/>
  <c r="R92" i="5"/>
  <c r="J93" i="5"/>
  <c r="K93" i="5"/>
  <c r="L93" i="5"/>
  <c r="M93" i="5"/>
  <c r="N93" i="5"/>
  <c r="O93" i="5"/>
  <c r="P93" i="5"/>
  <c r="Q93" i="5"/>
  <c r="R93" i="5"/>
  <c r="J94" i="5"/>
  <c r="K94" i="5"/>
  <c r="L94" i="5"/>
  <c r="M94" i="5"/>
  <c r="N94" i="5"/>
  <c r="O94" i="5"/>
  <c r="P94" i="5"/>
  <c r="Q94" i="5"/>
  <c r="R94" i="5"/>
  <c r="J95" i="5"/>
  <c r="K95" i="5"/>
  <c r="L95" i="5"/>
  <c r="M95" i="5"/>
  <c r="N95" i="5"/>
  <c r="O95" i="5"/>
  <c r="P95" i="5"/>
  <c r="Q95" i="5"/>
  <c r="R95" i="5"/>
  <c r="J96" i="5"/>
  <c r="K96" i="5"/>
  <c r="L96" i="5"/>
  <c r="M96" i="5"/>
  <c r="N96" i="5"/>
  <c r="O96" i="5"/>
  <c r="P96" i="5"/>
  <c r="Q96" i="5"/>
  <c r="R96" i="5"/>
  <c r="J97" i="5"/>
  <c r="K97" i="5"/>
  <c r="L97" i="5"/>
  <c r="M97" i="5"/>
  <c r="N97" i="5"/>
  <c r="O97" i="5"/>
  <c r="P97" i="5"/>
  <c r="Q97" i="5"/>
  <c r="R97" i="5"/>
  <c r="X1" i="14"/>
  <c r="Y1" i="14"/>
  <c r="Z1" i="14"/>
  <c r="AA1" i="14"/>
  <c r="AB1" i="14"/>
  <c r="AC1" i="14"/>
  <c r="AD1" i="14"/>
  <c r="AE1" i="14"/>
  <c r="AF1" i="14"/>
  <c r="AG1" i="14"/>
  <c r="Y56" i="14"/>
  <c r="Z56" i="14"/>
  <c r="AA56" i="14"/>
  <c r="AB56" i="14"/>
  <c r="AC56" i="14"/>
  <c r="AD56" i="14"/>
  <c r="AE56" i="14"/>
  <c r="AF56" i="14"/>
  <c r="AG56" i="14"/>
  <c r="X57" i="14"/>
  <c r="Y57" i="14"/>
  <c r="Z57" i="14"/>
  <c r="AA57" i="14"/>
  <c r="AB57" i="14"/>
  <c r="AC57" i="14"/>
  <c r="AD57" i="14"/>
  <c r="AE57" i="14"/>
  <c r="AF57" i="14"/>
  <c r="AG57" i="14"/>
  <c r="X58" i="14"/>
  <c r="Y58" i="14"/>
  <c r="Z58" i="14"/>
  <c r="AA58" i="14"/>
  <c r="AB58" i="14"/>
  <c r="AC58" i="14"/>
  <c r="AD58" i="14"/>
  <c r="AE58" i="14"/>
  <c r="AF58" i="14"/>
  <c r="AG58" i="14"/>
  <c r="Y75" i="14"/>
  <c r="Z75" i="14"/>
  <c r="AA75" i="14"/>
  <c r="AB75" i="14"/>
  <c r="AC75" i="14"/>
  <c r="AD75" i="14"/>
  <c r="AE75" i="14"/>
  <c r="AF75" i="14"/>
  <c r="AG75" i="14"/>
  <c r="Y80" i="14"/>
  <c r="Z80" i="14"/>
  <c r="AA80" i="14"/>
  <c r="AB80" i="14"/>
  <c r="AC80" i="14"/>
  <c r="AD80" i="14"/>
  <c r="AE80" i="14"/>
  <c r="AF80" i="14"/>
  <c r="AG80" i="14"/>
  <c r="L31" i="17"/>
  <c r="L32" i="17"/>
  <c r="M32" i="17"/>
  <c r="L33" i="17"/>
  <c r="L34" i="17"/>
  <c r="M34" i="17"/>
  <c r="X2" i="10"/>
  <c r="Y2" i="10"/>
  <c r="Z2" i="10"/>
  <c r="AA2" i="10"/>
  <c r="AB2" i="10"/>
  <c r="AC2" i="10"/>
  <c r="AD2" i="10"/>
  <c r="AE2" i="10"/>
  <c r="AF2" i="10"/>
  <c r="AG2" i="10"/>
  <c r="X61" i="10"/>
  <c r="Y61" i="10"/>
  <c r="Z61" i="10"/>
  <c r="AA61" i="10"/>
  <c r="AB61" i="10"/>
  <c r="AC61" i="10"/>
  <c r="AD61" i="10"/>
  <c r="AE61" i="10"/>
  <c r="AF61" i="10"/>
  <c r="AG61" i="10"/>
  <c r="X62" i="10"/>
  <c r="Y62" i="10"/>
  <c r="Z62" i="10"/>
  <c r="AA62" i="10"/>
  <c r="AB62" i="10"/>
  <c r="AC62" i="10"/>
  <c r="AD62" i="10"/>
  <c r="AE62" i="10"/>
  <c r="AF62" i="10"/>
  <c r="AG62" i="10"/>
  <c r="X63" i="10"/>
  <c r="Y63" i="10"/>
  <c r="Z63" i="10"/>
  <c r="AA63" i="10"/>
  <c r="AB63" i="10"/>
  <c r="AC63" i="10"/>
  <c r="AD63" i="10"/>
  <c r="AE63" i="10"/>
  <c r="AF63" i="10"/>
  <c r="AG63" i="10"/>
  <c r="X103" i="10"/>
  <c r="Y103" i="10"/>
  <c r="Z103" i="10"/>
  <c r="AA103" i="10"/>
  <c r="AB103" i="10"/>
  <c r="AC103" i="10"/>
  <c r="AD103" i="10"/>
  <c r="AE103" i="10"/>
  <c r="AF103" i="10"/>
  <c r="AG103" i="10"/>
  <c r="X104" i="10"/>
  <c r="Y104" i="10"/>
  <c r="Z104" i="10"/>
  <c r="AA104" i="10"/>
  <c r="AB104" i="10"/>
  <c r="AC104" i="10"/>
  <c r="AD104" i="10"/>
  <c r="AE104" i="10"/>
  <c r="AF104" i="10"/>
  <c r="AG104" i="10"/>
  <c r="X105" i="10"/>
  <c r="Y105" i="10"/>
  <c r="Z105" i="10"/>
  <c r="AA105" i="10"/>
  <c r="AB105" i="10"/>
  <c r="AC105" i="10"/>
  <c r="AD105" i="10"/>
  <c r="AE105" i="10"/>
  <c r="AF105" i="10"/>
  <c r="AG105" i="10"/>
  <c r="X108" i="10"/>
  <c r="Y108" i="10"/>
  <c r="Z108" i="10"/>
  <c r="AA108" i="10"/>
  <c r="AB108" i="10"/>
  <c r="AC108" i="10"/>
  <c r="AD108" i="10"/>
  <c r="AE108" i="10"/>
  <c r="AF108" i="10"/>
  <c r="AG108" i="10"/>
  <c r="X109" i="10"/>
  <c r="Y109" i="10"/>
  <c r="Z109" i="10"/>
  <c r="AA109" i="10"/>
  <c r="AB109" i="10"/>
  <c r="AC109" i="10"/>
  <c r="AD109" i="10"/>
  <c r="AE109" i="10"/>
  <c r="AF109" i="10"/>
  <c r="AG109" i="10"/>
  <c r="X112" i="10"/>
  <c r="Y112" i="10"/>
  <c r="Z112" i="10"/>
  <c r="AA112" i="10"/>
  <c r="AB112" i="10"/>
  <c r="AC112" i="10"/>
  <c r="AD112" i="10"/>
  <c r="AE112" i="10"/>
  <c r="AF112" i="10"/>
  <c r="AG112" i="10"/>
  <c r="X113" i="10"/>
  <c r="Y113" i="10"/>
  <c r="Z113" i="10"/>
  <c r="AA113" i="10"/>
  <c r="AB113" i="10"/>
  <c r="AC113" i="10"/>
  <c r="AD113" i="10"/>
  <c r="AE113" i="10"/>
  <c r="AF113" i="10"/>
  <c r="AG113" i="10"/>
  <c r="X114" i="10"/>
  <c r="Y114" i="10"/>
  <c r="Z114" i="10"/>
  <c r="AA114" i="10"/>
  <c r="AB114" i="10"/>
  <c r="AC114" i="10"/>
  <c r="AD114" i="10"/>
  <c r="AE114" i="10"/>
  <c r="AF114" i="10"/>
  <c r="AG114" i="10"/>
  <c r="X118" i="10"/>
  <c r="Y118" i="10"/>
  <c r="Z118" i="10"/>
  <c r="AA118" i="10"/>
  <c r="AB118" i="10"/>
  <c r="AC118" i="10"/>
  <c r="AD118" i="10"/>
  <c r="AE118" i="10"/>
  <c r="AF118" i="10"/>
  <c r="AG118" i="10"/>
  <c r="X119" i="10"/>
  <c r="Y119" i="10"/>
  <c r="Z119" i="10"/>
  <c r="AA119" i="10"/>
  <c r="AB119" i="10"/>
  <c r="AC119" i="10"/>
  <c r="AD119" i="10"/>
  <c r="AE119" i="10"/>
  <c r="AF119" i="10"/>
  <c r="AG119" i="10"/>
  <c r="X120" i="10"/>
  <c r="Y120" i="10"/>
  <c r="Z120" i="10"/>
  <c r="AA120" i="10"/>
  <c r="AB120" i="10"/>
  <c r="AC120" i="10"/>
  <c r="AD120" i="10"/>
  <c r="AE120" i="10"/>
  <c r="AF120" i="10"/>
  <c r="AG120" i="10"/>
  <c r="X122" i="10"/>
  <c r="Y122" i="10"/>
  <c r="Z122" i="10"/>
  <c r="AA122" i="10"/>
  <c r="AB122" i="10"/>
  <c r="AC122" i="10"/>
  <c r="AD122" i="10"/>
  <c r="AE122" i="10"/>
  <c r="AF122" i="10"/>
  <c r="AG122" i="10"/>
  <c r="X123" i="10"/>
  <c r="Y123" i="10"/>
  <c r="Z123" i="10"/>
  <c r="AA123" i="10"/>
  <c r="AB123" i="10"/>
  <c r="AC123" i="10"/>
  <c r="AD123" i="10"/>
  <c r="AE123" i="10"/>
  <c r="AF123" i="10"/>
  <c r="AG123" i="10"/>
  <c r="X125" i="10"/>
  <c r="Y125" i="10"/>
  <c r="Z125" i="10"/>
  <c r="AA125" i="10"/>
  <c r="AB125" i="10"/>
  <c r="AC125" i="10"/>
  <c r="AD125" i="10"/>
  <c r="AE125" i="10"/>
  <c r="AF125" i="10"/>
  <c r="AG125" i="10"/>
  <c r="X126" i="10"/>
  <c r="Y126" i="10"/>
  <c r="Z126" i="10"/>
  <c r="AA126" i="10"/>
  <c r="AB126" i="10"/>
  <c r="AC126" i="10"/>
  <c r="AD126" i="10"/>
  <c r="AE126" i="10"/>
  <c r="AF126" i="10"/>
  <c r="AG126" i="10"/>
  <c r="X128" i="10"/>
  <c r="Y128" i="10"/>
  <c r="Z128" i="10"/>
  <c r="AA128" i="10"/>
  <c r="AB128" i="10"/>
  <c r="AC128" i="10"/>
  <c r="AD128" i="10"/>
  <c r="AE128" i="10"/>
  <c r="AF128" i="10"/>
  <c r="AG128" i="10"/>
  <c r="X129" i="10"/>
  <c r="Y129" i="10"/>
  <c r="Z129" i="10"/>
  <c r="AA129" i="10"/>
  <c r="AB129" i="10"/>
  <c r="AC129" i="10"/>
  <c r="AD129" i="10"/>
  <c r="AE129" i="10"/>
  <c r="AF129" i="10"/>
  <c r="AG129" i="10"/>
  <c r="X130" i="10"/>
  <c r="Y130" i="10"/>
  <c r="Z130" i="10"/>
  <c r="AA130" i="10"/>
  <c r="AB130" i="10"/>
  <c r="AC130" i="10"/>
  <c r="AD130" i="10"/>
  <c r="AE130" i="10"/>
  <c r="AF130" i="10"/>
  <c r="AG130" i="10"/>
  <c r="X132" i="10"/>
  <c r="Y132" i="10"/>
  <c r="Z132" i="10"/>
  <c r="AA132" i="10"/>
  <c r="AB132" i="10"/>
  <c r="AC132" i="10"/>
  <c r="AD132" i="10"/>
  <c r="AE132" i="10"/>
  <c r="AF132" i="10"/>
  <c r="AG132" i="10"/>
  <c r="X133" i="10"/>
  <c r="Y133" i="10"/>
  <c r="Z133" i="10"/>
  <c r="AA133" i="10"/>
  <c r="AB133" i="10"/>
  <c r="AC133" i="10"/>
  <c r="AD133" i="10"/>
  <c r="AE133" i="10"/>
  <c r="AF133" i="10"/>
  <c r="AG133" i="10"/>
  <c r="X134" i="10"/>
  <c r="Y134" i="10"/>
  <c r="Z134" i="10"/>
  <c r="AA134" i="10"/>
  <c r="AB134" i="10"/>
  <c r="AC134" i="10"/>
  <c r="AD134" i="10"/>
  <c r="AE134" i="10"/>
  <c r="AF134" i="10"/>
  <c r="AG134" i="10"/>
  <c r="X135" i="10"/>
  <c r="Y135" i="10"/>
  <c r="Z135" i="10"/>
  <c r="AA135" i="10"/>
  <c r="AB135" i="10"/>
  <c r="AC135" i="10"/>
  <c r="AD135" i="10"/>
  <c r="AE135" i="10"/>
  <c r="AF135" i="10"/>
  <c r="AG135" i="10"/>
  <c r="X136" i="10"/>
  <c r="Y136" i="10"/>
  <c r="Z136" i="10"/>
  <c r="AA136" i="10"/>
  <c r="AB136" i="10"/>
  <c r="AC136" i="10"/>
  <c r="AD136" i="10"/>
  <c r="AE136" i="10"/>
  <c r="AF136" i="10"/>
  <c r="AG136" i="10"/>
  <c r="X137" i="10"/>
  <c r="Y137" i="10"/>
  <c r="Z137" i="10"/>
  <c r="AA137" i="10"/>
  <c r="AB137" i="10"/>
  <c r="AC137" i="10"/>
  <c r="AD137" i="10"/>
  <c r="AE137" i="10"/>
  <c r="AF137" i="10"/>
  <c r="AG137" i="10"/>
  <c r="X138" i="10"/>
  <c r="Y138" i="10"/>
  <c r="Z138" i="10"/>
  <c r="AA138" i="10"/>
  <c r="AB138" i="10"/>
  <c r="AC138" i="10"/>
  <c r="AD138" i="10"/>
  <c r="AE138" i="10"/>
  <c r="AF138" i="10"/>
  <c r="AG138" i="10"/>
  <c r="X139" i="10"/>
  <c r="Y139" i="10"/>
  <c r="Z139" i="10"/>
  <c r="AA139" i="10"/>
  <c r="AB139" i="10"/>
  <c r="AC139" i="10"/>
  <c r="AD139" i="10"/>
  <c r="AE139" i="10"/>
  <c r="AF139" i="10"/>
  <c r="AG139" i="10"/>
  <c r="X140" i="10"/>
  <c r="Y140" i="10"/>
  <c r="Z140" i="10"/>
  <c r="AA140" i="10"/>
  <c r="AB140" i="10"/>
  <c r="AC140" i="10"/>
  <c r="AD140" i="10"/>
  <c r="AE140" i="10"/>
  <c r="AF140" i="10"/>
  <c r="AG140" i="10"/>
  <c r="X141" i="10"/>
  <c r="Y141" i="10"/>
  <c r="Z141" i="10"/>
  <c r="AA141" i="10"/>
  <c r="AB141" i="10"/>
  <c r="AC141" i="10"/>
  <c r="AD141" i="10"/>
  <c r="AE141" i="10"/>
  <c r="AF141" i="10"/>
  <c r="AG141" i="10"/>
  <c r="W145" i="10"/>
  <c r="X145" i="10"/>
  <c r="Y145" i="10"/>
  <c r="Z145" i="10"/>
  <c r="AA145" i="10"/>
  <c r="AB145" i="10"/>
  <c r="AC145" i="10"/>
  <c r="AD145" i="10"/>
  <c r="AE145" i="10"/>
  <c r="AF145" i="10"/>
  <c r="AG145" i="10"/>
  <c r="AA20" i="4"/>
  <c r="AB20" i="4"/>
  <c r="AA26" i="4"/>
  <c r="AB26" i="4"/>
  <c r="AA33" i="4"/>
  <c r="AB33" i="4"/>
  <c r="AA34" i="4"/>
  <c r="AB34" i="4"/>
  <c r="AA35" i="4"/>
  <c r="AB35" i="4"/>
  <c r="AA37" i="4"/>
  <c r="AB37" i="4"/>
  <c r="AA39" i="4"/>
  <c r="AB39" i="4"/>
  <c r="AA40" i="4"/>
  <c r="AB40" i="4"/>
  <c r="AA44" i="4"/>
  <c r="AB44" i="4"/>
  <c r="AA45" i="4"/>
  <c r="AB45" i="4"/>
  <c r="AA50" i="4"/>
  <c r="AB50" i="4"/>
  <c r="AA56" i="4"/>
  <c r="AB56" i="4"/>
  <c r="AA57" i="4"/>
  <c r="AB57" i="4"/>
  <c r="AA62" i="4"/>
  <c r="AB62" i="4"/>
  <c r="AA76" i="4"/>
  <c r="AB76" i="4"/>
  <c r="AA79" i="4"/>
  <c r="AB79" i="4"/>
  <c r="AA80" i="4"/>
  <c r="AB80" i="4"/>
  <c r="AA81" i="4"/>
  <c r="AB81" i="4"/>
  <c r="AA85" i="4"/>
  <c r="AB85" i="4"/>
  <c r="AA86" i="4"/>
  <c r="AB86" i="4"/>
  <c r="AA87" i="4"/>
  <c r="AB87" i="4"/>
  <c r="AA94" i="4"/>
  <c r="AB94" i="4"/>
  <c r="AA96" i="4"/>
  <c r="AB96" i="4"/>
  <c r="AA98" i="4"/>
  <c r="AB98" i="4"/>
  <c r="AA100" i="4"/>
  <c r="AB100" i="4"/>
  <c r="AB101" i="4"/>
  <c r="AB103" i="4"/>
  <c r="AA108" i="4"/>
  <c r="AB108" i="4"/>
  <c r="AB109" i="4"/>
  <c r="AA110" i="4"/>
  <c r="AB110" i="4"/>
  <c r="AA115" i="4"/>
  <c r="AB115" i="4"/>
  <c r="AA116" i="4"/>
  <c r="AB116" i="4"/>
  <c r="AA117" i="4"/>
  <c r="AB117" i="4"/>
  <c r="AA118" i="4"/>
  <c r="AB118" i="4"/>
  <c r="AA119" i="4"/>
  <c r="AB119" i="4"/>
  <c r="AA126" i="4"/>
  <c r="AB126" i="4"/>
  <c r="AA127" i="4"/>
  <c r="AB127" i="4"/>
  <c r="AA128" i="4"/>
  <c r="AB128" i="4"/>
  <c r="AA129" i="4"/>
  <c r="AB129" i="4"/>
  <c r="X1" i="12"/>
  <c r="Y1" i="12"/>
  <c r="Z1" i="12"/>
  <c r="AA1" i="12"/>
  <c r="AB1" i="12"/>
  <c r="AC1" i="12"/>
  <c r="AD1" i="12"/>
  <c r="AE1" i="12"/>
  <c r="AF1" i="12"/>
  <c r="AG1"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CICC</author>
  </authors>
  <commentList>
    <comment ref="B9" authorId="0" shapeId="0" xr:uid="{00000000-0006-0000-0300-000001000000}">
      <text>
        <r>
          <rPr>
            <sz val="9"/>
            <color indexed="81"/>
            <rFont val="宋体"/>
            <family val="3"/>
            <charset val="134"/>
          </rPr>
          <t>YYYY</t>
        </r>
      </text>
    </comment>
    <comment ref="C9" authorId="0" shapeId="0" xr:uid="{00000000-0006-0000-0300-000002000000}">
      <text>
        <r>
          <rPr>
            <sz val="9"/>
            <color indexed="81"/>
            <rFont val="宋体"/>
            <family val="3"/>
            <charset val="134"/>
          </rPr>
          <t>YYYY</t>
        </r>
      </text>
    </comment>
    <comment ref="B10" authorId="0" shapeId="0" xr:uid="{00000000-0006-0000-0300-000003000000}">
      <text>
        <r>
          <rPr>
            <sz val="9"/>
            <color indexed="81"/>
            <rFont val="宋体"/>
            <family val="3"/>
            <charset val="134"/>
          </rPr>
          <t>FY\1H\2H\1Q\2Q\3Q\4Q</t>
        </r>
      </text>
    </comment>
    <comment ref="C10" authorId="0" shapeId="0" xr:uid="{00000000-0006-0000-0300-000004000000}">
      <text>
        <r>
          <rPr>
            <sz val="9"/>
            <color indexed="81"/>
            <rFont val="宋体"/>
            <family val="3"/>
            <charset val="134"/>
          </rPr>
          <t>FY\1H\2H\1Q\2Q\3Q\4Q</t>
        </r>
      </text>
    </comment>
    <comment ref="B13" authorId="0" shapeId="0" xr:uid="{00000000-0006-0000-0300-000005000000}">
      <text>
        <r>
          <rPr>
            <sz val="9"/>
            <color indexed="81"/>
            <rFont val="宋体"/>
            <family val="3"/>
            <charset val="134"/>
          </rPr>
          <t>1、RMB 2、HK$  3、US$ 4、SGD 5、CAD</t>
        </r>
      </text>
    </comment>
    <comment ref="C13" authorId="0" shapeId="0" xr:uid="{00000000-0006-0000-0300-000006000000}">
      <text>
        <r>
          <rPr>
            <sz val="9"/>
            <color indexed="81"/>
            <rFont val="宋体"/>
            <family val="3"/>
            <charset val="134"/>
          </rPr>
          <t>1、RMB 2、HK$  3、US$ 4、SGD 5、CAD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jason</author>
    <author>jasonsun</author>
  </authors>
  <commentList>
    <comment ref="E4" authorId="0" shapeId="0" xr:uid="{00000000-0006-0000-0500-000001000000}">
      <text>
        <r>
          <rPr>
            <b/>
            <sz val="9"/>
            <color indexed="81"/>
            <rFont val="宋体"/>
            <family val="3"/>
            <charset val="134"/>
          </rPr>
          <t>jason:</t>
        </r>
        <r>
          <rPr>
            <sz val="9"/>
            <color indexed="81"/>
            <rFont val="宋体"/>
            <family val="3"/>
            <charset val="134"/>
          </rPr>
          <t xml:space="preserve">
2008年计划房地产直接投资300-350亿元，其中在建项目112亿元（总投资534亿，已投228亿）；拟建项目108亿（总投资312亿，完成80亿）；拓展项目80-130亿。
2010目标：千亿总资产</t>
        </r>
      </text>
    </comment>
    <comment ref="D5" authorId="1" shapeId="0" xr:uid="{00000000-0006-0000-0500-000002000000}">
      <text>
        <r>
          <rPr>
            <b/>
            <sz val="9"/>
            <color indexed="81"/>
            <rFont val="宋体"/>
            <family val="3"/>
            <charset val="134"/>
          </rPr>
          <t>jasonsun:</t>
        </r>
        <r>
          <rPr>
            <sz val="9"/>
            <color indexed="81"/>
            <rFont val="宋体"/>
            <family val="3"/>
            <charset val="134"/>
          </rPr>
          <t xml:space="preserve">
前三季度实现40亿；9.30预收100亿；
10/11/12销售50亿。
郭宁(20080104):07年业绩可能比1.04稍微好一点点。08年可能在2.3-2.4。广州市场可能还得观望一段时间，08年1季度是关键。
</t>
        </r>
      </text>
    </comment>
    <comment ref="E39" authorId="0" shapeId="0" xr:uid="{00000000-0006-0000-0500-000003000000}">
      <text>
        <r>
          <rPr>
            <b/>
            <sz val="9"/>
            <color indexed="81"/>
            <rFont val="宋体"/>
            <family val="3"/>
            <charset val="134"/>
          </rPr>
          <t>jason:</t>
        </r>
        <r>
          <rPr>
            <sz val="9"/>
            <color indexed="81"/>
            <rFont val="宋体"/>
            <family val="3"/>
            <charset val="134"/>
          </rPr>
          <t xml:space="preserve">
2008年计划房地产直接投资300-350亿元，其中在建项目112亿元（总投资534亿，已投228亿）；拟建项目108亿（总投资312亿，完成80亿）；拓展项目80-130亿。
2010目标：千亿总资产</t>
        </r>
      </text>
    </comment>
    <comment ref="D40" authorId="1" shapeId="0" xr:uid="{00000000-0006-0000-0500-000004000000}">
      <text>
        <r>
          <rPr>
            <b/>
            <sz val="9"/>
            <color indexed="81"/>
            <rFont val="宋体"/>
            <family val="3"/>
            <charset val="134"/>
          </rPr>
          <t>jasonsun:</t>
        </r>
        <r>
          <rPr>
            <sz val="9"/>
            <color indexed="81"/>
            <rFont val="宋体"/>
            <family val="3"/>
            <charset val="134"/>
          </rPr>
          <t xml:space="preserve">
前三季度实现40亿；9.30预收100亿；
10/11/12销售50亿。
郭宁(20080104):07年业绩可能比1.04稍微好一点点。08年可能在2.3-2.4。广州市场可能还得观望一段时间，08年1季度是关键。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Jiayu Ren (RS)</author>
    <author>Aobo Zhan (RS)</author>
  </authors>
  <commentList>
    <comment ref="AV1" authorId="0" shapeId="0" xr:uid="{60567356-7847-4ECA-ACEC-2E167A8017EC}">
      <text>
        <r>
          <rPr>
            <b/>
            <sz val="9"/>
            <color indexed="81"/>
            <rFont val="宋体"/>
            <family val="3"/>
            <charset val="134"/>
          </rPr>
          <t>Jiayu Ren (RS):</t>
        </r>
        <r>
          <rPr>
            <sz val="9"/>
            <color indexed="81"/>
            <rFont val="宋体"/>
            <family val="3"/>
            <charset val="134"/>
          </rPr>
          <t xml:space="preserve">
2024年起数据口径改为人民币</t>
        </r>
      </text>
    </comment>
    <comment ref="A26" authorId="1" shapeId="0" xr:uid="{00000000-0006-0000-0600-000001000000}">
      <text>
        <r>
          <rPr>
            <b/>
            <sz val="9"/>
            <color indexed="81"/>
            <rFont val="Arial"/>
            <family val="2"/>
          </rPr>
          <t>Aobo Zhan (RS):</t>
        </r>
        <r>
          <rPr>
            <sz val="9"/>
            <color indexed="81"/>
            <rFont val="Arial"/>
            <family val="2"/>
          </rPr>
          <t xml:space="preserve">
</t>
        </r>
        <r>
          <rPr>
            <sz val="9"/>
            <color indexed="81"/>
            <rFont val="楷体_GB2312"/>
            <family val="3"/>
            <charset val="134"/>
          </rPr>
          <t>是毛利减去已分摊管理费用的概念，在财务报表上体现为分布业绩加总</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Jiayu Ren (RS)</author>
    <author>Shu Kong (RS)</author>
    <author>JACK LIN</author>
  </authors>
  <commentList>
    <comment ref="T6" authorId="0" shapeId="0" xr:uid="{E220B943-218D-4F6A-8A03-78328746B551}">
      <text>
        <r>
          <rPr>
            <b/>
            <sz val="9"/>
            <color indexed="81"/>
            <rFont val="宋体"/>
            <family val="3"/>
            <charset val="134"/>
          </rPr>
          <t>Jiayu Ren (RS):</t>
        </r>
        <r>
          <rPr>
            <sz val="9"/>
            <color indexed="81"/>
            <rFont val="宋体"/>
            <family val="3"/>
            <charset val="134"/>
          </rPr>
          <t xml:space="preserve">
2024年数据口径更改为人民币</t>
        </r>
      </text>
    </comment>
    <comment ref="AQ28" authorId="1" shapeId="0" xr:uid="{00000000-0006-0000-0700-000001000000}">
      <text>
        <r>
          <rPr>
            <b/>
            <sz val="9"/>
            <color indexed="81"/>
            <rFont val="宋体"/>
            <family val="3"/>
            <charset val="134"/>
          </rPr>
          <t>Shu Kong (RS):</t>
        </r>
        <r>
          <rPr>
            <sz val="9"/>
            <color indexed="81"/>
            <rFont val="宋体"/>
            <family val="3"/>
            <charset val="134"/>
          </rPr>
          <t xml:space="preserve">
1H18重列</t>
        </r>
      </text>
    </comment>
    <comment ref="BA53" authorId="2" shapeId="0" xr:uid="{00000000-0006-0000-0700-000002000000}">
      <text>
        <r>
          <rPr>
            <b/>
            <sz val="9"/>
            <color indexed="81"/>
            <rFont val="宋体"/>
            <family val="3"/>
            <charset val="134"/>
          </rPr>
          <t>JACK LIN:</t>
        </r>
        <r>
          <rPr>
            <sz val="9"/>
            <color indexed="81"/>
            <rFont val="宋体"/>
            <family val="3"/>
            <charset val="134"/>
          </rPr>
          <t xml:space="preserve">
存在尾差，实际数为102</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Jiayu Ren (RS)</author>
    <author>Aobo Zhan (RS)</author>
    <author>Shu Kong (RS)</author>
    <author>Hanxiao Wu (RS)</author>
  </authors>
  <commentList>
    <comment ref="V2" authorId="0" shapeId="0" xr:uid="{7CF72519-8AFE-430B-9E71-9A4825B2D9C0}">
      <text>
        <r>
          <rPr>
            <b/>
            <sz val="9"/>
            <color indexed="81"/>
            <rFont val="宋体"/>
            <family val="3"/>
            <charset val="134"/>
          </rPr>
          <t>Jiayu Ren (RS):</t>
        </r>
        <r>
          <rPr>
            <sz val="9"/>
            <color indexed="81"/>
            <rFont val="宋体"/>
            <family val="3"/>
            <charset val="134"/>
          </rPr>
          <t xml:space="preserve">
2024年起披露口径变更为人民币</t>
        </r>
      </text>
    </comment>
    <comment ref="N14" authorId="1" shapeId="0" xr:uid="{00000000-0006-0000-0800-000002000000}">
      <text>
        <r>
          <rPr>
            <b/>
            <sz val="9"/>
            <color indexed="81"/>
            <rFont val="Arial"/>
            <family val="2"/>
          </rPr>
          <t>Aobo Zhan (RS):</t>
        </r>
        <r>
          <rPr>
            <sz val="9"/>
            <color indexed="81"/>
            <rFont val="Arial"/>
            <family val="2"/>
          </rPr>
          <t xml:space="preserve">
</t>
        </r>
        <r>
          <rPr>
            <sz val="9"/>
            <color indexed="81"/>
            <rFont val="楷体_GB2312"/>
            <family val="3"/>
            <charset val="134"/>
          </rPr>
          <t>结余主要源自中国内地若干基建投资项目</t>
        </r>
        <r>
          <rPr>
            <sz val="9"/>
            <color indexed="81"/>
            <rFont val="Arial"/>
            <family val="2"/>
          </rPr>
          <t>(</t>
        </r>
        <r>
          <rPr>
            <sz val="9"/>
            <color indexed="81"/>
            <rFont val="楷体_GB2312"/>
            <family val="3"/>
            <charset val="134"/>
          </rPr>
          <t>以「</t>
        </r>
        <r>
          <rPr>
            <sz val="9"/>
            <color indexed="81"/>
            <rFont val="Arial"/>
            <family val="2"/>
          </rPr>
          <t>PPP</t>
        </r>
        <r>
          <rPr>
            <sz val="9"/>
            <color indexed="81"/>
            <rFont val="楷体_GB2312"/>
            <family val="3"/>
            <charset val="134"/>
          </rPr>
          <t>」模式运作</t>
        </r>
        <r>
          <rPr>
            <sz val="9"/>
            <color indexed="81"/>
            <rFont val="Arial"/>
            <family val="2"/>
          </rPr>
          <t>)</t>
        </r>
        <r>
          <rPr>
            <sz val="9"/>
            <color indexed="81"/>
            <rFont val="楷体_GB2312"/>
            <family val="3"/>
            <charset val="134"/>
          </rPr>
          <t>。大部分结余由业主的若干资产为抵押品及按相关附息合约条款作保障，此款项预计于二零一八年至二零二二年逐渐全部收回，其中二零一八年收回约港币</t>
        </r>
        <r>
          <rPr>
            <sz val="9"/>
            <color indexed="81"/>
            <rFont val="Arial"/>
            <family val="2"/>
          </rPr>
          <t>11,120,287,000</t>
        </r>
        <r>
          <rPr>
            <sz val="9"/>
            <color indexed="81"/>
            <rFont val="楷体_GB2312"/>
            <family val="3"/>
            <charset val="134"/>
          </rPr>
          <t>元，二零一九年收回约港币</t>
        </r>
        <r>
          <rPr>
            <sz val="9"/>
            <color indexed="81"/>
            <rFont val="Arial"/>
            <family val="2"/>
          </rPr>
          <t>7,062,506,000</t>
        </r>
        <r>
          <rPr>
            <sz val="9"/>
            <color indexed="81"/>
            <rFont val="楷体_GB2312"/>
            <family val="3"/>
            <charset val="134"/>
          </rPr>
          <t>元及二零二零年至二零二二年收回约港币</t>
        </r>
        <r>
          <rPr>
            <sz val="9"/>
            <color indexed="81"/>
            <rFont val="Arial"/>
            <family val="2"/>
          </rPr>
          <t>3,637,506,000</t>
        </r>
        <r>
          <rPr>
            <sz val="9"/>
            <color indexed="81"/>
            <rFont val="楷体_GB2312"/>
            <family val="3"/>
            <charset val="134"/>
          </rPr>
          <t>元。</t>
        </r>
      </text>
    </comment>
    <comment ref="B30" authorId="2" shapeId="0" xr:uid="{00000000-0006-0000-0800-000004000000}">
      <text>
        <r>
          <rPr>
            <b/>
            <sz val="9"/>
            <color indexed="81"/>
            <rFont val="宋体"/>
            <family val="3"/>
            <charset val="134"/>
          </rPr>
          <t>Shu Kong (RS):</t>
        </r>
        <r>
          <rPr>
            <sz val="9"/>
            <color indexed="81"/>
            <rFont val="宋体"/>
            <family val="3"/>
            <charset val="134"/>
          </rPr>
          <t xml:space="preserve">
2018年起原列示于“客户合约工程欠款”科目中的科目全部列于“合约负债”</t>
        </r>
      </text>
    </comment>
    <comment ref="B34" authorId="3" shapeId="0" xr:uid="{7108E8C1-1A15-4353-BBF8-F3425370CDC5}">
      <text>
        <r>
          <rPr>
            <b/>
            <sz val="9"/>
            <color indexed="81"/>
            <rFont val="Tahoma"/>
            <family val="2"/>
          </rPr>
          <t>Hanxiao Wu (RS):</t>
        </r>
        <r>
          <rPr>
            <sz val="9"/>
            <color indexed="81"/>
            <rFont val="Tahoma"/>
            <family val="2"/>
          </rPr>
          <t xml:space="preserve">
基建项目投资权益及预付租金</t>
        </r>
      </text>
    </comment>
    <comment ref="O47" authorId="2" shapeId="0" xr:uid="{00000000-0006-0000-0800-000005000000}">
      <text>
        <r>
          <rPr>
            <b/>
            <sz val="9"/>
            <color indexed="81"/>
            <rFont val="宋体"/>
            <family val="3"/>
            <charset val="134"/>
          </rPr>
          <t>Shu Kong (RS):</t>
        </r>
        <r>
          <rPr>
            <sz val="9"/>
            <color indexed="81"/>
            <rFont val="宋体"/>
            <family val="3"/>
            <charset val="134"/>
          </rPr>
          <t xml:space="preserve">
2018年起科目重分类，报表不再列示该科目</t>
        </r>
      </text>
    </comment>
    <comment ref="T52" authorId="3" shapeId="0" xr:uid="{2B6A5F62-AB69-46FD-A4F1-B8C1FBCA66D5}">
      <text>
        <r>
          <rPr>
            <b/>
            <sz val="9"/>
            <color indexed="81"/>
            <rFont val="Tahoma"/>
            <family val="2"/>
          </rPr>
          <t>Hanxiao Wu (RS):</t>
        </r>
        <r>
          <rPr>
            <sz val="9"/>
            <color indexed="81"/>
            <rFont val="Tahoma"/>
            <family val="2"/>
          </rPr>
          <t xml:space="preserve">
将于2024年到期，2023年转为流动负债项目</t>
        </r>
      </text>
    </comment>
    <comment ref="O58" authorId="2" shapeId="0" xr:uid="{00000000-0006-0000-0800-000006000000}">
      <text>
        <r>
          <rPr>
            <b/>
            <sz val="9"/>
            <color indexed="81"/>
            <rFont val="宋体"/>
            <family val="3"/>
            <charset val="134"/>
          </rPr>
          <t>Shu Kong (RS):</t>
        </r>
        <r>
          <rPr>
            <sz val="9"/>
            <color indexed="81"/>
            <rFont val="宋体"/>
            <family val="3"/>
            <charset val="134"/>
          </rPr>
          <t xml:space="preserve">
2018年起科目重分类，2017年科目金额略有调整</t>
        </r>
      </text>
    </comment>
    <comment ref="O60" authorId="2" shapeId="0" xr:uid="{00000000-0006-0000-0800-000007000000}">
      <text>
        <r>
          <rPr>
            <b/>
            <sz val="9"/>
            <color indexed="81"/>
            <rFont val="宋体"/>
            <family val="3"/>
            <charset val="134"/>
          </rPr>
          <t>Shu Kong (RS):</t>
        </r>
        <r>
          <rPr>
            <sz val="9"/>
            <color indexed="81"/>
            <rFont val="宋体"/>
            <family val="3"/>
            <charset val="134"/>
          </rPr>
          <t xml:space="preserve">
2018年起科目重分类，报表不再列示该科目</t>
        </r>
      </text>
    </comment>
    <comment ref="O61" authorId="2" shapeId="0" xr:uid="{00000000-0006-0000-0800-000008000000}">
      <text>
        <r>
          <rPr>
            <b/>
            <sz val="9"/>
            <color indexed="81"/>
            <rFont val="宋体"/>
            <family val="3"/>
            <charset val="134"/>
          </rPr>
          <t>Shu Kong (RS):</t>
        </r>
        <r>
          <rPr>
            <sz val="9"/>
            <color indexed="81"/>
            <rFont val="宋体"/>
            <family val="3"/>
            <charset val="134"/>
          </rPr>
          <t xml:space="preserve">
2018年起科目重分类，新增“合约负债”科目，2017年追溯调整</t>
        </r>
      </text>
    </comment>
    <comment ref="O63" authorId="2" shapeId="0" xr:uid="{00000000-0006-0000-0800-000009000000}">
      <text>
        <r>
          <rPr>
            <b/>
            <sz val="9"/>
            <color indexed="81"/>
            <rFont val="宋体"/>
            <family val="3"/>
            <charset val="134"/>
          </rPr>
          <t>Shu Kong (RS):</t>
        </r>
        <r>
          <rPr>
            <sz val="9"/>
            <color indexed="81"/>
            <rFont val="宋体"/>
            <family val="3"/>
            <charset val="134"/>
          </rPr>
          <t xml:space="preserve">
2018年起该科目重分类，2017年追溯调整</t>
        </r>
      </text>
    </comment>
    <comment ref="P63" authorId="2" shapeId="0" xr:uid="{00000000-0006-0000-0800-00000A000000}">
      <text>
        <r>
          <rPr>
            <b/>
            <sz val="9"/>
            <color indexed="81"/>
            <rFont val="宋体"/>
            <family val="3"/>
            <charset val="134"/>
          </rPr>
          <t>Shu Kong (RS):</t>
        </r>
        <r>
          <rPr>
            <sz val="9"/>
            <color indexed="81"/>
            <rFont val="宋体"/>
            <family val="3"/>
            <charset val="134"/>
          </rPr>
          <t xml:space="preserve">
“其他负债”绝大部分是“已收按金及预付款”，年报未披露进一步拆细数字。</t>
        </r>
      </text>
    </comment>
    <comment ref="S88" authorId="3" shapeId="0" xr:uid="{CA856CB4-A181-492A-A5F3-891CED76C79E}">
      <text>
        <r>
          <rPr>
            <b/>
            <sz val="9"/>
            <color indexed="81"/>
            <rFont val="Tahoma"/>
            <family val="2"/>
          </rPr>
          <t>Hanxiao Wu (RS):</t>
        </r>
        <r>
          <rPr>
            <sz val="9"/>
            <color indexed="81"/>
            <rFont val="Tahoma"/>
            <family val="2"/>
          </rPr>
          <t xml:space="preserve">
回购11,540,000股股份，已于2021年12月31日止年度注销</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Jiayu Ren (RS)</author>
    <author>Shu Kong (RS)</author>
    <author>Aobo Zhan (RS)</author>
    <author>zhangs2</author>
    <author>IsaacShang</author>
    <author>黄越</author>
  </authors>
  <commentList>
    <comment ref="V3" authorId="0" shapeId="0" xr:uid="{17F77D17-3293-4E37-AC80-80A821EB38EC}">
      <text>
        <r>
          <rPr>
            <b/>
            <sz val="9"/>
            <color indexed="81"/>
            <rFont val="宋体"/>
            <family val="3"/>
            <charset val="134"/>
          </rPr>
          <t>Jiayu Ren (RS):</t>
        </r>
        <r>
          <rPr>
            <sz val="9"/>
            <color indexed="81"/>
            <rFont val="宋体"/>
            <family val="3"/>
            <charset val="134"/>
          </rPr>
          <t xml:space="preserve">
2024年起披露口径变更为人民币</t>
        </r>
      </text>
    </comment>
    <comment ref="O56" authorId="1" shapeId="0" xr:uid="{00000000-0006-0000-0900-000001000000}">
      <text>
        <r>
          <rPr>
            <b/>
            <sz val="9"/>
            <color indexed="81"/>
            <rFont val="宋体"/>
            <family val="3"/>
            <charset val="134"/>
          </rPr>
          <t>Shu Kong (RS):</t>
        </r>
        <r>
          <rPr>
            <sz val="9"/>
            <color indexed="81"/>
            <rFont val="宋体"/>
            <family val="3"/>
            <charset val="134"/>
          </rPr>
          <t xml:space="preserve">
A：由于年内香港及澳门地区表现强劲和北美地区经营业绩有所改善所致。毛利同比增速的后续预测有所放缓。</t>
        </r>
      </text>
    </comment>
    <comment ref="N61" authorId="2" shapeId="0" xr:uid="{00000000-0006-0000-0900-000002000000}">
      <text>
        <r>
          <rPr>
            <b/>
            <sz val="9"/>
            <color indexed="81"/>
            <rFont val="Calibri"/>
            <family val="2"/>
          </rPr>
          <t>Aobo Zhan (RS):</t>
        </r>
        <r>
          <rPr>
            <sz val="9"/>
            <color indexed="81"/>
            <rFont val="Calibri"/>
            <family val="2"/>
          </rPr>
          <t xml:space="preserve">
</t>
        </r>
        <r>
          <rPr>
            <sz val="9"/>
            <color indexed="81"/>
            <rFont val="楷体_GB2312"/>
            <family val="3"/>
            <charset val="134"/>
          </rPr>
          <t>因为收购中海大厦导致产生较高的投资收益</t>
        </r>
      </text>
    </comment>
    <comment ref="R67" authorId="1" shapeId="0" xr:uid="{00000000-0006-0000-0900-000003000000}">
      <text>
        <r>
          <rPr>
            <b/>
            <sz val="9"/>
            <rFont val="宋体"/>
            <family val="3"/>
            <charset val="134"/>
          </rPr>
          <t>Shu Kong (RS):</t>
        </r>
        <r>
          <rPr>
            <sz val="9"/>
            <rFont val="宋体"/>
            <family val="3"/>
            <charset val="134"/>
          </rPr>
          <t xml:space="preserve">
</t>
        </r>
        <r>
          <rPr>
            <sz val="9"/>
            <rFont val="宋体"/>
            <family val="3"/>
            <charset val="134"/>
          </rPr>
          <t>2020</t>
        </r>
        <r>
          <rPr>
            <sz val="9"/>
            <rFont val="宋体"/>
            <family val="3"/>
            <charset val="134"/>
          </rPr>
          <t>年转让莱州港确认一次性投资收益</t>
        </r>
        <r>
          <rPr>
            <sz val="9"/>
            <rFont val="宋体"/>
            <family val="3"/>
            <charset val="134"/>
          </rPr>
          <t>5.4</t>
        </r>
        <r>
          <rPr>
            <sz val="9"/>
            <rFont val="宋体"/>
            <family val="3"/>
            <charset val="134"/>
          </rPr>
          <t>亿港币</t>
        </r>
      </text>
    </comment>
    <comment ref="I100" authorId="3" shapeId="0" xr:uid="{00000000-0006-0000-0900-000004000000}">
      <text>
        <r>
          <rPr>
            <b/>
            <sz val="9"/>
            <color indexed="81"/>
            <rFont val="宋体"/>
            <family val="3"/>
            <charset val="134"/>
          </rPr>
          <t>zhangs2:</t>
        </r>
        <r>
          <rPr>
            <sz val="9"/>
            <color indexed="81"/>
            <rFont val="宋体"/>
            <family val="3"/>
            <charset val="134"/>
          </rPr>
          <t xml:space="preserve">
南京长江二桥2.5亿元</t>
        </r>
      </text>
    </comment>
    <comment ref="Q107" authorId="4" shapeId="0" xr:uid="{00000000-0006-0000-0900-000005000000}">
      <text>
        <r>
          <rPr>
            <b/>
            <sz val="9"/>
            <rFont val="宋体"/>
            <family val="3"/>
            <charset val="134"/>
          </rPr>
          <t>IsaacShang:</t>
        </r>
        <r>
          <rPr>
            <sz val="9"/>
            <rFont val="宋体"/>
            <family val="3"/>
            <charset val="134"/>
          </rPr>
          <t xml:space="preserve">
</t>
        </r>
        <r>
          <rPr>
            <sz val="9"/>
            <rFont val="宋体"/>
            <family val="3"/>
            <charset val="134"/>
          </rPr>
          <t>该项指标大幅增加系公司</t>
        </r>
        <r>
          <rPr>
            <sz val="9"/>
            <rFont val="宋体"/>
            <family val="3"/>
            <charset val="134"/>
          </rPr>
          <t>2018</t>
        </r>
        <r>
          <rPr>
            <sz val="9"/>
            <rFont val="宋体"/>
            <family val="3"/>
            <charset val="134"/>
          </rPr>
          <t>年发行担保永续资本证券集资</t>
        </r>
        <r>
          <rPr>
            <sz val="9"/>
            <rFont val="宋体"/>
            <family val="3"/>
            <charset val="134"/>
          </rPr>
          <t>38.61</t>
        </r>
        <r>
          <rPr>
            <sz val="9"/>
            <rFont val="宋体"/>
            <family val="3"/>
            <charset val="134"/>
          </rPr>
          <t>亿元所致，票面利率为</t>
        </r>
        <r>
          <rPr>
            <sz val="9"/>
            <rFont val="宋体"/>
            <family val="3"/>
            <charset val="134"/>
          </rPr>
          <t>6%</t>
        </r>
        <r>
          <rPr>
            <sz val="9"/>
            <rFont val="宋体"/>
            <family val="3"/>
            <charset val="134"/>
          </rPr>
          <t>。</t>
        </r>
      </text>
    </comment>
    <comment ref="R107" authorId="5" shapeId="0" xr:uid="{00000000-0006-0000-0900-000006000000}">
      <text>
        <r>
          <rPr>
            <b/>
            <sz val="9"/>
            <rFont val="宋体"/>
            <family val="3"/>
            <charset val="134"/>
          </rPr>
          <t>黄越</t>
        </r>
        <r>
          <rPr>
            <b/>
            <sz val="9"/>
            <rFont val="宋体"/>
            <family val="3"/>
            <charset val="134"/>
          </rPr>
          <t>:</t>
        </r>
        <r>
          <rPr>
            <sz val="9"/>
            <rFont val="宋体"/>
            <family val="3"/>
            <charset val="134"/>
          </rPr>
          <t xml:space="preserve">
</t>
        </r>
        <r>
          <rPr>
            <sz val="9"/>
            <rFont val="宋体"/>
            <family val="3"/>
            <charset val="134"/>
          </rPr>
          <t>2019</t>
        </r>
        <r>
          <rPr>
            <sz val="9"/>
            <rFont val="宋体"/>
            <family val="3"/>
            <charset val="134"/>
          </rPr>
          <t>年</t>
        </r>
        <r>
          <rPr>
            <sz val="9"/>
            <rFont val="宋体"/>
            <family val="3"/>
            <charset val="134"/>
          </rPr>
          <t>11</t>
        </r>
        <r>
          <rPr>
            <sz val="9"/>
            <rFont val="宋体"/>
            <family val="3"/>
            <charset val="134"/>
          </rPr>
          <t>月</t>
        </r>
        <r>
          <rPr>
            <sz val="9"/>
            <rFont val="宋体"/>
            <family val="3"/>
            <charset val="134"/>
          </rPr>
          <t>25</t>
        </r>
        <r>
          <rPr>
            <sz val="9"/>
            <rFont val="宋体"/>
            <family val="3"/>
            <charset val="134"/>
          </rPr>
          <t>日建议发行</t>
        </r>
        <r>
          <rPr>
            <sz val="9"/>
            <rFont val="宋体"/>
            <family val="3"/>
            <charset val="134"/>
          </rPr>
          <t>5</t>
        </r>
        <r>
          <rPr>
            <sz val="9"/>
            <rFont val="宋体"/>
            <family val="3"/>
            <charset val="134"/>
          </rPr>
          <t>亿美元</t>
        </r>
        <r>
          <rPr>
            <sz val="9"/>
            <rFont val="宋体"/>
            <family val="3"/>
            <charset val="134"/>
          </rPr>
          <t>4%</t>
        </r>
        <r>
          <rPr>
            <sz val="9"/>
            <rFont val="宋体"/>
            <family val="3"/>
            <charset val="134"/>
          </rPr>
          <t>的次级担保永续资本证券</t>
        </r>
      </text>
    </comment>
    <comment ref="N116" authorId="2" shapeId="0" xr:uid="{00000000-0006-0000-0900-000007000000}">
      <text>
        <r>
          <rPr>
            <b/>
            <sz val="9"/>
            <color indexed="81"/>
            <rFont val="Arial"/>
            <family val="2"/>
          </rPr>
          <t>Aobo Zhan (RS):</t>
        </r>
        <r>
          <rPr>
            <sz val="9"/>
            <color indexed="81"/>
            <rFont val="Arial"/>
            <family val="2"/>
          </rPr>
          <t xml:space="preserve">
</t>
        </r>
        <r>
          <rPr>
            <sz val="9"/>
            <color indexed="81"/>
            <rFont val="楷体_GB2312"/>
            <family val="3"/>
            <charset val="134"/>
          </rPr>
          <t>主要来自投资物业公平值改变收益（中海大厦）和特许经营权减值损失（阳盂高速）</t>
        </r>
      </text>
    </comment>
    <comment ref="R116" authorId="1" shapeId="0" xr:uid="{00000000-0006-0000-0900-000008000000}">
      <text>
        <r>
          <rPr>
            <b/>
            <sz val="9"/>
            <rFont val="宋体"/>
            <family val="3"/>
            <charset val="134"/>
          </rPr>
          <t>Shu Kong (RS):</t>
        </r>
        <r>
          <rPr>
            <sz val="9"/>
            <rFont val="宋体"/>
            <family val="3"/>
            <charset val="134"/>
          </rPr>
          <t xml:space="preserve">
</t>
        </r>
        <r>
          <rPr>
            <sz val="9"/>
            <rFont val="宋体"/>
            <family val="3"/>
            <charset val="134"/>
          </rPr>
          <t>出售莱州港确认收益</t>
        </r>
      </text>
    </comment>
    <comment ref="B118" authorId="2" shapeId="0" xr:uid="{00000000-0006-0000-0900-000009000000}">
      <text>
        <r>
          <rPr>
            <b/>
            <sz val="9"/>
            <color indexed="81"/>
            <rFont val="Arial"/>
            <family val="2"/>
          </rPr>
          <t>Aobo Zhan (RS):</t>
        </r>
        <r>
          <rPr>
            <sz val="9"/>
            <color indexed="81"/>
            <rFont val="Arial"/>
            <family val="2"/>
          </rPr>
          <t xml:space="preserve">
Core earnings</t>
        </r>
        <r>
          <rPr>
            <sz val="9"/>
            <color indexed="81"/>
            <rFont val="楷体_GB2312"/>
            <family val="3"/>
            <charset val="134"/>
          </rPr>
          <t>的计算方法为
净利润</t>
        </r>
        <r>
          <rPr>
            <sz val="9"/>
            <color indexed="81"/>
            <rFont val="Arial"/>
            <family val="2"/>
          </rPr>
          <t>-</t>
        </r>
        <r>
          <rPr>
            <sz val="9"/>
            <color indexed="81"/>
            <rFont val="楷体_GB2312"/>
            <family val="3"/>
            <charset val="134"/>
          </rPr>
          <t>投资物业公平值改变之收益（</t>
        </r>
        <r>
          <rPr>
            <sz val="9"/>
            <color indexed="81"/>
            <rFont val="Arial"/>
            <family val="2"/>
          </rPr>
          <t>1-</t>
        </r>
        <r>
          <rPr>
            <sz val="9"/>
            <color indexed="81"/>
            <rFont val="楷体_GB2312"/>
            <family val="3"/>
            <charset val="134"/>
          </rPr>
          <t>所得税率）</t>
        </r>
        <r>
          <rPr>
            <sz val="9"/>
            <color indexed="81"/>
            <rFont val="Arial"/>
            <family val="2"/>
          </rPr>
          <t>-</t>
        </r>
        <r>
          <rPr>
            <sz val="9"/>
            <color indexed="81"/>
            <rFont val="楷体_GB2312"/>
            <family val="3"/>
            <charset val="134"/>
          </rPr>
          <t>特许经营权的减值损失，所得税率为</t>
        </r>
        <r>
          <rPr>
            <sz val="9"/>
            <color indexed="81"/>
            <rFont val="Arial"/>
            <family val="2"/>
          </rPr>
          <t>16.5%</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Shu Kong (RS)</author>
  </authors>
  <commentList>
    <comment ref="P33" authorId="0" shapeId="0" xr:uid="{00000000-0006-0000-0A00-000001000000}">
      <text>
        <r>
          <rPr>
            <b/>
            <sz val="9"/>
            <color indexed="81"/>
            <rFont val="Calibri"/>
            <family val="2"/>
          </rPr>
          <t>Shu Kong (RS):</t>
        </r>
        <r>
          <rPr>
            <sz val="9"/>
            <color indexed="81"/>
            <rFont val="Calibri"/>
            <family val="2"/>
          </rPr>
          <t xml:space="preserve">
</t>
        </r>
        <r>
          <rPr>
            <sz val="9"/>
            <color indexed="81"/>
            <rFont val="楷体_GB2312"/>
            <family val="3"/>
            <charset val="134"/>
          </rPr>
          <t>由于</t>
        </r>
        <r>
          <rPr>
            <sz val="9"/>
            <color indexed="81"/>
            <rFont val="Calibri"/>
            <family val="2"/>
          </rPr>
          <t>wind</t>
        </r>
        <r>
          <rPr>
            <sz val="9"/>
            <color indexed="81"/>
            <rFont val="楷体_GB2312"/>
            <family val="3"/>
            <charset val="134"/>
          </rPr>
          <t>不追溯调整上年数字，而模型中均进行了追溯调整，导致数字与</t>
        </r>
        <r>
          <rPr>
            <sz val="9"/>
            <color indexed="81"/>
            <rFont val="Calibri"/>
            <family val="2"/>
          </rPr>
          <t>wind</t>
        </r>
        <r>
          <rPr>
            <sz val="9"/>
            <color indexed="81"/>
            <rFont val="楷体_GB2312"/>
            <family val="3"/>
            <charset val="134"/>
          </rPr>
          <t>不一致，且本年初可能不等于上期末。</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龙铖</author>
  </authors>
  <commentList>
    <comment ref="Q66" authorId="0" shapeId="0" xr:uid="{00000000-0006-0000-0B00-000001000000}">
      <text>
        <r>
          <rPr>
            <b/>
            <sz val="9"/>
            <color indexed="81"/>
            <rFont val="宋体"/>
            <family val="3"/>
            <charset val="134"/>
          </rPr>
          <t>龙铖：</t>
        </r>
        <r>
          <rPr>
            <sz val="9"/>
            <color indexed="81"/>
            <rFont val="楷体_GB2312"/>
            <family val="3"/>
            <charset val="134"/>
          </rPr>
          <t>其中</t>
        </r>
        <r>
          <rPr>
            <sz val="9"/>
            <color indexed="81"/>
            <rFont val="Calibri"/>
            <family val="2"/>
          </rPr>
          <t>3-4</t>
        </r>
        <r>
          <rPr>
            <sz val="9"/>
            <color indexed="81"/>
            <rFont val="楷体_GB2312"/>
            <family val="3"/>
            <charset val="134"/>
          </rPr>
          <t>年</t>
        </r>
        <r>
          <rPr>
            <sz val="9"/>
            <color indexed="81"/>
            <rFont val="Calibri"/>
            <family val="2"/>
          </rPr>
          <t>46.34</t>
        </r>
        <r>
          <rPr>
            <sz val="9"/>
            <color indexed="81"/>
            <rFont val="楷体_GB2312"/>
            <family val="3"/>
            <charset val="134"/>
          </rPr>
          <t>亿港币，</t>
        </r>
        <r>
          <rPr>
            <sz val="9"/>
            <color indexed="81"/>
            <rFont val="Calibri"/>
            <family val="2"/>
          </rPr>
          <t>4</t>
        </r>
        <r>
          <rPr>
            <sz val="9"/>
            <color indexed="81"/>
            <rFont val="楷体_GB2312"/>
            <family val="3"/>
            <charset val="134"/>
          </rPr>
          <t>年及以上为</t>
        </r>
        <r>
          <rPr>
            <sz val="9"/>
            <color indexed="81"/>
            <rFont val="Calibri"/>
            <family val="2"/>
          </rPr>
          <t>60.23</t>
        </r>
        <r>
          <rPr>
            <sz val="9"/>
            <color indexed="81"/>
            <rFont val="楷体_GB2312"/>
            <family val="3"/>
            <charset val="134"/>
          </rPr>
          <t>亿港币</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Pingchuan Wang (RS)</author>
    <author>Jiayu Ren (RS)</author>
  </authors>
  <commentList>
    <comment ref="K2" authorId="0" shapeId="0" xr:uid="{00000000-0006-0000-1600-000001000000}">
      <text>
        <r>
          <rPr>
            <b/>
            <sz val="9"/>
            <color indexed="81"/>
            <rFont val="宋体"/>
            <family val="3"/>
            <charset val="134"/>
          </rPr>
          <t>Pingchuan Wang (RS):</t>
        </r>
        <r>
          <rPr>
            <sz val="9"/>
            <color indexed="81"/>
            <rFont val="宋体"/>
            <family val="3"/>
            <charset val="134"/>
          </rPr>
          <t xml:space="preserve">
经重列</t>
        </r>
      </text>
    </comment>
    <comment ref="W2" authorId="1" shapeId="0" xr:uid="{5B55F3F1-7925-418D-875F-FA7E1B16ACE2}">
      <text>
        <r>
          <rPr>
            <b/>
            <sz val="9"/>
            <color indexed="81"/>
            <rFont val="宋体"/>
            <family val="3"/>
            <charset val="134"/>
          </rPr>
          <t>Jiayu Ren (RS):</t>
        </r>
        <r>
          <rPr>
            <sz val="9"/>
            <color indexed="81"/>
            <rFont val="宋体"/>
            <family val="3"/>
            <charset val="134"/>
          </rPr>
          <t xml:space="preserve">
2024年起披露口径变更为人民币</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Jiayu Ren (RS)</author>
    <author>Shu Kong (RS)</author>
    <author>Yinghong3 Zeng (RS)</author>
    <author>Yingyi Gu (RS)</author>
  </authors>
  <commentList>
    <comment ref="W2" authorId="0" shapeId="0" xr:uid="{2587A635-4176-4A18-A930-12B011C377A4}">
      <text>
        <r>
          <rPr>
            <b/>
            <sz val="9"/>
            <color indexed="81"/>
            <rFont val="宋体"/>
            <family val="3"/>
            <charset val="134"/>
          </rPr>
          <t>Jiayu Ren (RS):</t>
        </r>
        <r>
          <rPr>
            <sz val="9"/>
            <color indexed="81"/>
            <rFont val="宋体"/>
            <family val="3"/>
            <charset val="134"/>
          </rPr>
          <t xml:space="preserve">
2024年起披露口径变更为人民币
</t>
        </r>
      </text>
    </comment>
    <comment ref="B33" authorId="1" shapeId="0" xr:uid="{00000000-0006-0000-1700-000001000000}">
      <text>
        <r>
          <rPr>
            <b/>
            <sz val="9"/>
            <color indexed="81"/>
            <rFont val="宋体"/>
            <family val="3"/>
            <charset val="134"/>
          </rPr>
          <t>Shu Kong (RS):</t>
        </r>
        <r>
          <rPr>
            <sz val="9"/>
            <color indexed="81"/>
            <rFont val="宋体"/>
            <family val="3"/>
            <charset val="134"/>
          </rPr>
          <t xml:space="preserve">
2018年起原列示于“客户合约工程欠款”科目中的科目全部列于“合约负债”</t>
        </r>
      </text>
    </comment>
    <comment ref="V62" authorId="2" shapeId="0" xr:uid="{00000000-0006-0000-1700-000002000000}">
      <text>
        <r>
          <rPr>
            <b/>
            <sz val="9"/>
            <color indexed="81"/>
            <rFont val="宋体"/>
            <family val="3"/>
            <charset val="134"/>
          </rPr>
          <t>Yinghong3 Zeng (RS):</t>
        </r>
        <r>
          <rPr>
            <sz val="9"/>
            <color indexed="81"/>
            <rFont val="宋体"/>
            <family val="3"/>
            <charset val="134"/>
          </rPr>
          <t xml:space="preserve">
23年年报未披露该项值</t>
        </r>
      </text>
    </comment>
    <comment ref="K72" authorId="3" shapeId="0" xr:uid="{00000000-0006-0000-1700-000003000000}">
      <text>
        <r>
          <rPr>
            <sz val="9"/>
            <color indexed="81"/>
            <rFont val="宋体"/>
            <family val="3"/>
            <charset val="134"/>
          </rPr>
          <t xml:space="preserve">应付合营企业款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Xuerong Zhang (RS)</author>
    <author>Aobo Zhan (RS)</author>
    <author>IsaacShang</author>
    <author>王平川</author>
  </authors>
  <commentList>
    <comment ref="B15" authorId="0" shapeId="0" xr:uid="{00000000-0006-0000-0E00-000001000000}">
      <text>
        <r>
          <rPr>
            <b/>
            <sz val="9"/>
            <color indexed="81"/>
            <rFont val="宋体"/>
            <family val="3"/>
            <charset val="134"/>
          </rPr>
          <t>Xuerong Zhang (RS):</t>
        </r>
        <r>
          <rPr>
            <sz val="9"/>
            <color indexed="81"/>
            <rFont val="宋体"/>
            <family val="3"/>
            <charset val="134"/>
          </rPr>
          <t xml:space="preserve">
出售待售物业</t>
        </r>
      </text>
    </comment>
    <comment ref="B16" authorId="0" shapeId="0" xr:uid="{00000000-0006-0000-0E00-000002000000}">
      <text>
        <r>
          <rPr>
            <b/>
            <sz val="9"/>
            <rFont val="宋体"/>
            <family val="3"/>
            <charset val="134"/>
          </rPr>
          <t>Xuerong Zhang (RS):</t>
        </r>
        <r>
          <rPr>
            <sz val="9"/>
            <rFont val="宋体"/>
            <family val="3"/>
            <charset val="134"/>
          </rPr>
          <t xml:space="preserve">
</t>
        </r>
        <r>
          <rPr>
            <sz val="9"/>
            <rFont val="宋体"/>
            <family val="3"/>
            <charset val="134"/>
          </rPr>
          <t>出售待售物业</t>
        </r>
      </text>
    </comment>
    <comment ref="B17" authorId="0" shapeId="0" xr:uid="{00000000-0006-0000-0E00-000003000000}">
      <text>
        <r>
          <rPr>
            <b/>
            <sz val="9"/>
            <color indexed="81"/>
            <rFont val="宋体"/>
            <family val="3"/>
            <charset val="134"/>
          </rPr>
          <t>Xuerong Zhang (RS):</t>
        </r>
        <r>
          <rPr>
            <sz val="9"/>
            <color indexed="81"/>
            <rFont val="宋体"/>
            <family val="3"/>
            <charset val="134"/>
          </rPr>
          <t xml:space="preserve">
合营企业预售款项</t>
        </r>
      </text>
    </comment>
    <comment ref="B18" authorId="0" shapeId="0" xr:uid="{00000000-0006-0000-0E00-000004000000}">
      <text>
        <r>
          <rPr>
            <b/>
            <sz val="9"/>
            <color indexed="81"/>
            <rFont val="宋体"/>
            <family val="3"/>
            <charset val="134"/>
          </rPr>
          <t>Xuerong Zhang (RS):</t>
        </r>
        <r>
          <rPr>
            <sz val="9"/>
            <color indexed="81"/>
            <rFont val="宋体"/>
            <family val="3"/>
            <charset val="134"/>
          </rPr>
          <t xml:space="preserve">
合营企业借款</t>
        </r>
      </text>
    </comment>
    <comment ref="B34" authorId="0" shapeId="0" xr:uid="{00000000-0006-0000-0E00-000005000000}">
      <text>
        <r>
          <rPr>
            <b/>
            <sz val="9"/>
            <color indexed="81"/>
            <rFont val="宋体"/>
            <family val="3"/>
            <charset val="134"/>
          </rPr>
          <t>Xuerong Zhang (RS):</t>
        </r>
        <r>
          <rPr>
            <sz val="9"/>
            <color indexed="81"/>
            <rFont val="宋体"/>
            <family val="3"/>
            <charset val="134"/>
          </rPr>
          <t xml:space="preserve">
购买预付租金</t>
        </r>
      </text>
    </comment>
    <comment ref="L47" authorId="1" shapeId="0" xr:uid="{00000000-0006-0000-0E00-000006000000}">
      <text>
        <r>
          <rPr>
            <b/>
            <sz val="9"/>
            <color indexed="81"/>
            <rFont val="宋体"/>
            <family val="3"/>
            <charset val="134"/>
          </rPr>
          <t>Aobo Zhan (RS):</t>
        </r>
        <r>
          <rPr>
            <sz val="9"/>
            <color indexed="81"/>
            <rFont val="宋体"/>
            <family val="3"/>
            <charset val="134"/>
          </rPr>
          <t xml:space="preserve">
支付预付租金、出售预付租金</t>
        </r>
      </text>
    </comment>
    <comment ref="O47" authorId="2" shapeId="0" xr:uid="{00000000-0006-0000-0E00-000007000000}">
      <text>
        <r>
          <rPr>
            <b/>
            <sz val="9"/>
            <color indexed="81"/>
            <rFont val="宋体"/>
            <family val="3"/>
            <charset val="134"/>
          </rPr>
          <t>IsaacShang:</t>
        </r>
        <r>
          <rPr>
            <sz val="9"/>
            <color indexed="81"/>
            <rFont val="宋体"/>
            <family val="3"/>
            <charset val="134"/>
          </rPr>
          <t xml:space="preserve">
支付预付租金，已抵押銀行存款及金融機構之存款減少╱（增加）</t>
        </r>
      </text>
    </comment>
    <comment ref="P47" authorId="3" shapeId="0" xr:uid="{00000000-0006-0000-0E00-000008000000}">
      <text>
        <r>
          <rPr>
            <b/>
            <sz val="9"/>
            <color indexed="81"/>
            <rFont val="宋体"/>
            <family val="3"/>
            <charset val="134"/>
          </rPr>
          <t>王平川:</t>
        </r>
        <r>
          <rPr>
            <sz val="9"/>
            <color indexed="81"/>
            <rFont val="宋体"/>
            <family val="3"/>
            <charset val="134"/>
          </rPr>
          <t xml:space="preserve">
已抵押银行存款及金融机构之存款（增加）/减少</t>
        </r>
      </text>
    </comment>
    <comment ref="J53" authorId="0" shapeId="0" xr:uid="{00000000-0006-0000-0E00-000009000000}">
      <text>
        <r>
          <rPr>
            <b/>
            <sz val="9"/>
            <color indexed="81"/>
            <rFont val="宋体"/>
            <family val="3"/>
            <charset val="134"/>
          </rPr>
          <t>Xuerong Zhang (RS):</t>
        </r>
        <r>
          <rPr>
            <sz val="9"/>
            <color indexed="81"/>
            <rFont val="宋体"/>
            <family val="3"/>
            <charset val="134"/>
          </rPr>
          <t xml:space="preserve">
形式购股权所发行之普通股所得款项
</t>
        </r>
      </text>
    </comment>
    <comment ref="K53" authorId="0" shapeId="0" xr:uid="{00000000-0006-0000-0E00-00000A000000}">
      <text>
        <r>
          <rPr>
            <b/>
            <sz val="9"/>
            <color indexed="81"/>
            <rFont val="宋体"/>
            <family val="3"/>
            <charset val="134"/>
          </rPr>
          <t>Xuerong Zhang (RS):</t>
        </r>
        <r>
          <rPr>
            <sz val="9"/>
            <color indexed="81"/>
            <rFont val="宋体"/>
            <family val="3"/>
            <charset val="134"/>
          </rPr>
          <t xml:space="preserve">
形式购股权所发行之普通股所得款项</t>
        </r>
      </text>
    </comment>
    <comment ref="L53" authorId="1" shapeId="0" xr:uid="{00000000-0006-0000-0E00-00000B000000}">
      <text>
        <r>
          <rPr>
            <b/>
            <sz val="9"/>
            <color indexed="81"/>
            <rFont val="宋体"/>
            <family val="3"/>
            <charset val="134"/>
          </rPr>
          <t>Aobo Zhan (RS):</t>
        </r>
        <r>
          <rPr>
            <sz val="9"/>
            <color indexed="81"/>
            <rFont val="宋体"/>
            <family val="3"/>
            <charset val="134"/>
          </rPr>
          <t xml:space="preserve">
Proceeds from issue of ordinary shares on exercise of share options</t>
        </r>
      </text>
    </comment>
    <comment ref="L98" authorId="1" shapeId="0" xr:uid="{00000000-0006-0000-0E00-00000C000000}">
      <text>
        <r>
          <rPr>
            <b/>
            <sz val="9"/>
            <color indexed="81"/>
            <rFont val="宋体"/>
            <family val="3"/>
            <charset val="134"/>
          </rPr>
          <t>Aobo Zhan (RS):</t>
        </r>
        <r>
          <rPr>
            <sz val="9"/>
            <color indexed="81"/>
            <rFont val="宋体"/>
            <family val="3"/>
            <charset val="134"/>
          </rPr>
          <t xml:space="preserve">
interest income + dividend income + gain on reclassification from available-for-sale investment to associate + gain on disposal of properties held for sale + gain on disposal of prepaid lease payment</t>
        </r>
      </text>
    </comment>
    <comment ref="M98" authorId="1" shapeId="0" xr:uid="{00000000-0006-0000-0E00-00000D000000}">
      <text>
        <r>
          <rPr>
            <b/>
            <sz val="9"/>
            <color indexed="81"/>
            <rFont val="宋体"/>
            <family val="3"/>
            <charset val="134"/>
          </rPr>
          <t>Aobo Zhan (RS):</t>
        </r>
        <r>
          <rPr>
            <sz val="9"/>
            <color indexed="81"/>
            <rFont val="宋体"/>
            <family val="3"/>
            <charset val="134"/>
          </rPr>
          <t xml:space="preserve">
interest income + dividend income + gain on reclassification from available-for-sale investment to associate + gain on disposal of properties held for sale + gain on disposal of prepaid lease payment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Pingchuan Wang (RS)</author>
    <author>Shu Kong (RS)</author>
    <author>weiyue0307</author>
  </authors>
  <commentList>
    <comment ref="A14" authorId="0" shapeId="0" xr:uid="{00000000-0006-0000-0F00-000001000000}">
      <text>
        <r>
          <rPr>
            <b/>
            <sz val="9"/>
            <color indexed="81"/>
            <rFont val="宋体"/>
            <family val="3"/>
            <charset val="134"/>
          </rPr>
          <t>Pingchuan Wang (RS):</t>
        </r>
        <r>
          <rPr>
            <sz val="9"/>
            <color indexed="81"/>
            <rFont val="宋体"/>
            <family val="3"/>
            <charset val="134"/>
          </rPr>
          <t xml:space="preserve">
在2020年及之前的公司业绩资料中，该项还包括“工业园”、“其他”项目</t>
        </r>
      </text>
    </comment>
    <comment ref="AJ18" authorId="0" shapeId="0" xr:uid="{00000000-0006-0000-0F00-000002000000}">
      <text>
        <r>
          <rPr>
            <b/>
            <sz val="9"/>
            <color indexed="81"/>
            <rFont val="宋体"/>
            <family val="3"/>
            <charset val="134"/>
          </rPr>
          <t>Pingchuan Wang (RS):</t>
        </r>
        <r>
          <rPr>
            <sz val="9"/>
            <color indexed="81"/>
            <rFont val="宋体"/>
            <family val="3"/>
            <charset val="134"/>
          </rPr>
          <t xml:space="preserve">
业绩材料中占比为9%，这里调节为9.167%使得2H20新签为0</t>
        </r>
      </text>
    </comment>
    <comment ref="AE177" authorId="1" shapeId="0" xr:uid="{00000000-0006-0000-0F00-000003000000}">
      <text>
        <r>
          <rPr>
            <b/>
            <sz val="9"/>
            <color indexed="81"/>
            <rFont val="宋体"/>
            <family val="3"/>
            <charset val="134"/>
          </rPr>
          <t>Shu Kong (RS):</t>
        </r>
        <r>
          <rPr>
            <sz val="9"/>
            <color indexed="81"/>
            <rFont val="宋体"/>
            <family val="3"/>
            <charset val="134"/>
          </rPr>
          <t xml:space="preserve">
因上年数据为负，计算同比公式有所不同。</t>
        </r>
      </text>
    </comment>
    <comment ref="A251" authorId="2" shapeId="0" xr:uid="{00000000-0006-0000-0F00-000004000000}">
      <text>
        <r>
          <rPr>
            <b/>
            <sz val="9"/>
            <color indexed="81"/>
            <rFont val="宋体"/>
            <family val="3"/>
            <charset val="134"/>
          </rPr>
          <t>weiyue0307:</t>
        </r>
        <r>
          <rPr>
            <sz val="9"/>
            <color indexed="81"/>
            <rFont val="宋体"/>
            <family val="3"/>
            <charset val="134"/>
          </rPr>
          <t xml:space="preserve">
主要包括了PPP模式及安置房定向回购项目所提供的建造服务的营业额及相关的利息收入</t>
        </r>
      </text>
    </comment>
    <comment ref="A255" authorId="2" shapeId="0" xr:uid="{00000000-0006-0000-0F00-000005000000}">
      <text>
        <r>
          <rPr>
            <b/>
            <sz val="9"/>
            <color indexed="81"/>
            <rFont val="宋体"/>
            <family val="3"/>
            <charset val="134"/>
          </rPr>
          <t>weiyue0307:</t>
        </r>
        <r>
          <rPr>
            <sz val="9"/>
            <color indexed="81"/>
            <rFont val="宋体"/>
            <family val="3"/>
            <charset val="134"/>
          </rPr>
          <t xml:space="preserve">
包括热电业务及收费道路营运收入</t>
        </r>
      </text>
    </comment>
    <comment ref="A257" authorId="2" shapeId="0" xr:uid="{00000000-0006-0000-0F00-000006000000}">
      <text>
        <r>
          <rPr>
            <b/>
            <sz val="9"/>
            <color indexed="81"/>
            <rFont val="宋体"/>
            <family val="3"/>
            <charset val="134"/>
          </rPr>
          <t>weiyue0307:</t>
        </r>
        <r>
          <rPr>
            <sz val="9"/>
            <color indexed="81"/>
            <rFont val="宋体"/>
            <family val="3"/>
            <charset val="134"/>
          </rPr>
          <t xml:space="preserve">
主要为项目监理服务、建筑材料销售、机械租赁、物流业务、保险合约及投资物业租金的收入</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Pingchuan Wang (RS)</author>
    <author>Aobo Zhan (RS)</author>
    <author>Shu Kong (RS)</author>
    <author>wuhm</author>
  </authors>
  <commentList>
    <comment ref="Q4" authorId="0" shapeId="0" xr:uid="{00000000-0006-0000-1000-000001000000}">
      <text>
        <r>
          <rPr>
            <b/>
            <sz val="9"/>
            <color indexed="81"/>
            <rFont val="宋体"/>
            <family val="3"/>
            <charset val="134"/>
          </rPr>
          <t>Pingchuan Wang (RS):</t>
        </r>
        <r>
          <rPr>
            <sz val="9"/>
            <color indexed="81"/>
            <rFont val="宋体"/>
            <family val="3"/>
            <charset val="134"/>
          </rPr>
          <t xml:space="preserve">
公司减少大陆PPP等长周期项目承接</t>
        </r>
      </text>
    </comment>
    <comment ref="R4" authorId="0" shapeId="0" xr:uid="{00000000-0006-0000-1000-000002000000}">
      <text>
        <r>
          <rPr>
            <b/>
            <sz val="9"/>
            <color indexed="81"/>
            <rFont val="宋体"/>
            <family val="3"/>
            <charset val="134"/>
          </rPr>
          <t>Pingchuan Wang (RS):</t>
        </r>
        <r>
          <rPr>
            <sz val="9"/>
            <color indexed="81"/>
            <rFont val="宋体"/>
            <family val="3"/>
            <charset val="134"/>
          </rPr>
          <t xml:space="preserve">
公司预计增加GTR等短周期业务承接</t>
        </r>
      </text>
    </comment>
    <comment ref="B25" authorId="1" shapeId="0" xr:uid="{00000000-0006-0000-1000-000003000000}">
      <text>
        <r>
          <rPr>
            <b/>
            <sz val="9"/>
            <color indexed="81"/>
            <rFont val="Arial"/>
            <family val="2"/>
          </rPr>
          <t>Aobo Zhan (RS):</t>
        </r>
        <r>
          <rPr>
            <sz val="9"/>
            <color indexed="81"/>
            <rFont val="Arial"/>
            <family val="2"/>
          </rPr>
          <t xml:space="preserve">
</t>
        </r>
        <r>
          <rPr>
            <sz val="9"/>
            <color indexed="81"/>
            <rFont val="楷体_GB2312"/>
            <family val="3"/>
            <charset val="134"/>
          </rPr>
          <t>内地的业务是不做工程的，只做投资，工程外包给中国建筑下面的工程局来做</t>
        </r>
      </text>
    </comment>
    <comment ref="E25" authorId="1" shapeId="0" xr:uid="{00000000-0006-0000-1000-000004000000}">
      <text>
        <r>
          <rPr>
            <b/>
            <sz val="9"/>
            <color indexed="81"/>
            <rFont val="Arial"/>
            <family val="2"/>
          </rPr>
          <t>Aobo Zhan (RS):</t>
        </r>
        <r>
          <rPr>
            <sz val="9"/>
            <color indexed="81"/>
            <rFont val="Arial"/>
            <family val="2"/>
          </rPr>
          <t xml:space="preserve">
2007</t>
        </r>
        <r>
          <rPr>
            <sz val="9"/>
            <color indexed="81"/>
            <rFont val="楷体_GB2312"/>
            <family val="3"/>
            <charset val="134"/>
          </rPr>
          <t>年收购母公司中国海外建设深圳，进入中国市场</t>
        </r>
      </text>
    </comment>
    <comment ref="M29" authorId="1" shapeId="0" xr:uid="{00000000-0006-0000-1000-000005000000}">
      <text>
        <r>
          <rPr>
            <b/>
            <sz val="9"/>
            <color indexed="81"/>
            <rFont val="Arial"/>
            <family val="2"/>
          </rPr>
          <t>Aobo Zhan (RS):</t>
        </r>
        <r>
          <rPr>
            <sz val="9"/>
            <color indexed="81"/>
            <rFont val="Arial"/>
            <family val="2"/>
          </rPr>
          <t xml:space="preserve">
</t>
        </r>
        <r>
          <rPr>
            <sz val="9"/>
            <color indexed="81"/>
            <rFont val="楷体_GB2312"/>
            <family val="3"/>
            <charset val="134"/>
          </rPr>
          <t>公司目标，非运营项目的</t>
        </r>
        <r>
          <rPr>
            <sz val="9"/>
            <color indexed="81"/>
            <rFont val="Arial"/>
            <family val="2"/>
          </rPr>
          <t>equity IRR</t>
        </r>
        <r>
          <rPr>
            <sz val="9"/>
            <color indexed="81"/>
            <rFont val="楷体_GB2312"/>
            <family val="3"/>
            <charset val="134"/>
          </rPr>
          <t>达到</t>
        </r>
        <r>
          <rPr>
            <sz val="9"/>
            <color indexed="81"/>
            <rFont val="Arial"/>
            <family val="2"/>
          </rPr>
          <t>20%</t>
        </r>
        <r>
          <rPr>
            <sz val="9"/>
            <color indexed="81"/>
            <rFont val="楷体_GB2312"/>
            <family val="3"/>
            <charset val="134"/>
          </rPr>
          <t>以上</t>
        </r>
      </text>
    </comment>
    <comment ref="B31" authorId="1" shapeId="0" xr:uid="{00000000-0006-0000-1000-000006000000}">
      <text>
        <r>
          <rPr>
            <b/>
            <sz val="9"/>
            <color indexed="81"/>
            <rFont val="Arial"/>
            <family val="2"/>
          </rPr>
          <t>Aobo Zhan (RS):</t>
        </r>
        <r>
          <rPr>
            <sz val="9"/>
            <color indexed="81"/>
            <rFont val="Arial"/>
            <family val="2"/>
          </rPr>
          <t xml:space="preserve">
</t>
        </r>
        <r>
          <rPr>
            <sz val="9"/>
            <color indexed="81"/>
            <rFont val="楷体_GB2312"/>
            <family val="3"/>
            <charset val="134"/>
          </rPr>
          <t>基建运营收入包括热点业务及收费道路营运收入</t>
        </r>
      </text>
    </comment>
    <comment ref="E31" authorId="1" shapeId="0" xr:uid="{00000000-0006-0000-1000-000007000000}">
      <text>
        <r>
          <rPr>
            <b/>
            <sz val="9"/>
            <color indexed="81"/>
            <rFont val="Arial"/>
            <family val="2"/>
          </rPr>
          <t>Aobo Zhan (RS):</t>
        </r>
        <r>
          <rPr>
            <sz val="9"/>
            <color indexed="81"/>
            <rFont val="Arial"/>
            <family val="2"/>
          </rPr>
          <t xml:space="preserve">
</t>
        </r>
        <r>
          <rPr>
            <sz val="9"/>
            <color indexed="81"/>
            <rFont val="楷体_GB2312"/>
            <family val="3"/>
            <charset val="134"/>
          </rPr>
          <t>从</t>
        </r>
        <r>
          <rPr>
            <sz val="9"/>
            <color indexed="81"/>
            <rFont val="Arial"/>
            <family val="2"/>
          </rPr>
          <t>COLI</t>
        </r>
        <r>
          <rPr>
            <sz val="9"/>
            <color indexed="81"/>
            <rFont val="楷体_GB2312"/>
            <family val="3"/>
            <charset val="134"/>
          </rPr>
          <t>收购沈阳皇姑热电厂项目，进入中国基础设施投资市场</t>
        </r>
      </text>
    </comment>
    <comment ref="H31" authorId="1" shapeId="0" xr:uid="{00000000-0006-0000-1000-000008000000}">
      <text>
        <r>
          <rPr>
            <b/>
            <sz val="9"/>
            <color indexed="81"/>
            <rFont val="Arial"/>
            <family val="2"/>
          </rPr>
          <t>Aobo Zhan (RS):</t>
        </r>
        <r>
          <rPr>
            <sz val="9"/>
            <color indexed="81"/>
            <rFont val="Arial"/>
            <family val="2"/>
          </rPr>
          <t xml:space="preserve">
</t>
        </r>
        <r>
          <rPr>
            <sz val="9"/>
            <color indexed="81"/>
            <rFont val="楷体_GB2312"/>
            <family val="3"/>
            <charset val="134"/>
          </rPr>
          <t>收购南京长江二桥和阳盂高速公路项目</t>
        </r>
      </text>
    </comment>
    <comment ref="M31" authorId="1" shapeId="0" xr:uid="{00000000-0006-0000-1000-000009000000}">
      <text>
        <r>
          <rPr>
            <b/>
            <sz val="9"/>
            <color indexed="81"/>
            <rFont val="Arial"/>
            <family val="2"/>
          </rPr>
          <t>Aobo Zhan (RS):</t>
        </r>
        <r>
          <rPr>
            <sz val="9"/>
            <color indexed="81"/>
            <rFont val="Arial"/>
            <family val="2"/>
          </rPr>
          <t xml:space="preserve">
</t>
        </r>
        <r>
          <rPr>
            <sz val="9"/>
            <color indexed="81"/>
            <rFont val="楷体_GB2312"/>
            <family val="3"/>
            <charset val="134"/>
          </rPr>
          <t>公司目标，运营项目的</t>
        </r>
        <r>
          <rPr>
            <sz val="9"/>
            <color indexed="81"/>
            <rFont val="Arial"/>
            <family val="2"/>
          </rPr>
          <t>equity IRR</t>
        </r>
        <r>
          <rPr>
            <sz val="9"/>
            <color indexed="81"/>
            <rFont val="楷体_GB2312"/>
            <family val="3"/>
            <charset val="134"/>
          </rPr>
          <t>达到</t>
        </r>
        <r>
          <rPr>
            <sz val="9"/>
            <color indexed="81"/>
            <rFont val="Arial"/>
            <family val="2"/>
          </rPr>
          <t>12%</t>
        </r>
        <r>
          <rPr>
            <sz val="9"/>
            <color indexed="81"/>
            <rFont val="楷体_GB2312"/>
            <family val="3"/>
            <charset val="134"/>
          </rPr>
          <t>以上</t>
        </r>
      </text>
    </comment>
    <comment ref="N31" authorId="1" shapeId="0" xr:uid="{00000000-0006-0000-1000-00000A000000}">
      <text>
        <r>
          <rPr>
            <b/>
            <sz val="9"/>
            <color indexed="81"/>
            <rFont val="Arial"/>
            <family val="2"/>
          </rPr>
          <t>Aobo Zhan (RS):</t>
        </r>
        <r>
          <rPr>
            <sz val="9"/>
            <color indexed="81"/>
            <rFont val="Arial"/>
            <family val="2"/>
          </rPr>
          <t xml:space="preserve">
</t>
        </r>
        <r>
          <rPr>
            <sz val="9"/>
            <color indexed="81"/>
            <rFont val="楷体_GB2312"/>
            <family val="3"/>
            <charset val="134"/>
          </rPr>
          <t xml:space="preserve">公司目前的基建运营项目主要有：
</t>
        </r>
        <r>
          <rPr>
            <sz val="9"/>
            <color indexed="81"/>
            <rFont val="Arial"/>
            <family val="2"/>
          </rPr>
          <t>1</t>
        </r>
        <r>
          <rPr>
            <sz val="9"/>
            <color indexed="81"/>
            <rFont val="楷体_GB2312"/>
            <family val="3"/>
            <charset val="134"/>
          </rPr>
          <t>）南京长江二桥（南京）</t>
        </r>
        <r>
          <rPr>
            <sz val="9"/>
            <color indexed="81"/>
            <rFont val="Arial"/>
            <family val="2"/>
          </rPr>
          <t>,65%</t>
        </r>
        <r>
          <rPr>
            <sz val="9"/>
            <color indexed="81"/>
            <rFont val="楷体_GB2312"/>
            <family val="3"/>
            <charset val="134"/>
          </rPr>
          <t xml:space="preserve">股权，不计入公司收入
</t>
        </r>
        <r>
          <rPr>
            <sz val="9"/>
            <color indexed="81"/>
            <rFont val="Arial"/>
            <family val="2"/>
          </rPr>
          <t>2</t>
        </r>
        <r>
          <rPr>
            <sz val="9"/>
            <color indexed="81"/>
            <rFont val="楷体_GB2312"/>
            <family val="3"/>
            <charset val="134"/>
          </rPr>
          <t>）莱州港（山东），</t>
        </r>
        <r>
          <rPr>
            <sz val="9"/>
            <color indexed="81"/>
            <rFont val="Arial"/>
            <family val="2"/>
          </rPr>
          <t>60%</t>
        </r>
        <r>
          <rPr>
            <sz val="9"/>
            <color indexed="81"/>
            <rFont val="楷体_GB2312"/>
            <family val="3"/>
            <charset val="134"/>
          </rPr>
          <t xml:space="preserve">股权，不计入公司收入
</t>
        </r>
        <r>
          <rPr>
            <sz val="9"/>
            <color indexed="81"/>
            <rFont val="Arial"/>
            <family val="2"/>
          </rPr>
          <t>3</t>
        </r>
        <r>
          <rPr>
            <sz val="9"/>
            <color indexed="81"/>
            <rFont val="楷体_GB2312"/>
            <family val="3"/>
            <charset val="134"/>
          </rPr>
          <t xml:space="preserve">）阳盂高速（山西）
</t>
        </r>
        <r>
          <rPr>
            <sz val="9"/>
            <color indexed="81"/>
            <rFont val="Arial"/>
            <family val="2"/>
          </rPr>
          <t>4</t>
        </r>
        <r>
          <rPr>
            <sz val="9"/>
            <color indexed="81"/>
            <rFont val="楷体_GB2312"/>
            <family val="3"/>
            <charset val="134"/>
          </rPr>
          <t>）皇姑热电厂（沈阳）</t>
        </r>
      </text>
    </comment>
    <comment ref="Q31" authorId="2" shapeId="0" xr:uid="{00000000-0006-0000-1000-00000B000000}">
      <text>
        <r>
          <rPr>
            <b/>
            <sz val="9"/>
            <color indexed="81"/>
            <rFont val="宋体"/>
            <family val="3"/>
            <charset val="134"/>
          </rPr>
          <t>Shu Kong (RS):</t>
        </r>
        <r>
          <rPr>
            <sz val="9"/>
            <color indexed="81"/>
            <rFont val="宋体"/>
            <family val="3"/>
            <charset val="134"/>
          </rPr>
          <t xml:space="preserve">
</t>
        </r>
        <r>
          <rPr>
            <sz val="9"/>
            <color indexed="81"/>
            <rFont val="楷体_GB2312"/>
            <family val="3"/>
            <charset val="134"/>
          </rPr>
          <t>大幅下滑主要因沈阳皇姑热电至中建兴业、不再并表</t>
        </r>
      </text>
    </comment>
    <comment ref="B33" authorId="1" shapeId="0" xr:uid="{00000000-0006-0000-1000-00000C000000}">
      <text>
        <r>
          <rPr>
            <b/>
            <sz val="9"/>
            <color indexed="81"/>
            <rFont val="Arial"/>
            <family val="2"/>
          </rPr>
          <t>Aobo Zhan (RS):</t>
        </r>
        <r>
          <rPr>
            <sz val="9"/>
            <color indexed="81"/>
            <rFont val="Arial"/>
            <family val="2"/>
          </rPr>
          <t xml:space="preserve">
</t>
        </r>
        <r>
          <rPr>
            <sz val="9"/>
            <color indexed="81"/>
            <rFont val="楷体_GB2312"/>
            <family val="3"/>
            <charset val="134"/>
          </rPr>
          <t>建筑工业化相关的材料销售等也在这里</t>
        </r>
      </text>
    </comment>
    <comment ref="B44" authorId="1" shapeId="0" xr:uid="{00000000-0006-0000-1000-00000D000000}">
      <text>
        <r>
          <rPr>
            <b/>
            <sz val="9"/>
            <rFont val="Arial"/>
            <family val="2"/>
          </rPr>
          <t>Aobo Zhan (RS):</t>
        </r>
        <r>
          <rPr>
            <sz val="9"/>
            <rFont val="Arial"/>
            <family val="2"/>
          </rPr>
          <t xml:space="preserve">
</t>
        </r>
        <r>
          <rPr>
            <sz val="9"/>
            <rFont val="楷体_GB2312"/>
            <family val="3"/>
            <charset val="134"/>
          </rPr>
          <t>大陆毛利率较高的原因：公司大陆的业务都是投资类业务，毛利包括了管理费、利息和建筑毛利三部分，与交建等公司在国内的普通工程承包项目不可比。</t>
        </r>
        <r>
          <rPr>
            <sz val="9"/>
            <rFont val="Arial"/>
            <family val="2"/>
          </rPr>
          <t>14%~15%</t>
        </r>
        <r>
          <rPr>
            <sz val="9"/>
            <rFont val="楷体_GB2312"/>
            <family val="3"/>
            <charset val="134"/>
          </rPr>
          <t>的建筑毛利</t>
        </r>
        <r>
          <rPr>
            <sz val="9"/>
            <rFont val="Arial"/>
            <family val="2"/>
          </rPr>
          <t>+1~3%</t>
        </r>
        <r>
          <rPr>
            <sz val="9"/>
            <rFont val="楷体_GB2312"/>
            <family val="3"/>
            <charset val="134"/>
          </rPr>
          <t>的管理费</t>
        </r>
        <r>
          <rPr>
            <sz val="9"/>
            <rFont val="Arial"/>
            <family val="2"/>
          </rPr>
          <t>+4~5%</t>
        </r>
        <r>
          <rPr>
            <sz val="9"/>
            <rFont val="楷体_GB2312"/>
            <family val="3"/>
            <charset val="134"/>
          </rPr>
          <t>的利息。</t>
        </r>
      </text>
    </comment>
    <comment ref="P47" authorId="2" shapeId="0" xr:uid="{00000000-0006-0000-1000-00000E000000}">
      <text>
        <r>
          <rPr>
            <b/>
            <sz val="9"/>
            <color indexed="81"/>
            <rFont val="Calibri"/>
            <family val="2"/>
          </rPr>
          <t>Shu Kong (RS):</t>
        </r>
        <r>
          <rPr>
            <sz val="9"/>
            <color indexed="81"/>
            <rFont val="Calibri"/>
            <family val="2"/>
          </rPr>
          <t xml:space="preserve">
</t>
        </r>
        <r>
          <rPr>
            <sz val="9"/>
            <color indexed="81"/>
            <rFont val="楷体_GB2312"/>
            <family val="3"/>
            <charset val="134"/>
          </rPr>
          <t>未披露细分毛利润数据。</t>
        </r>
      </text>
    </comment>
    <comment ref="N48" authorId="1" shapeId="0" xr:uid="{00000000-0006-0000-1000-00000F000000}">
      <text>
        <r>
          <rPr>
            <b/>
            <sz val="9"/>
            <color indexed="81"/>
            <rFont val="Arial"/>
            <family val="2"/>
          </rPr>
          <t>Aobo Zhan (RS):</t>
        </r>
        <r>
          <rPr>
            <sz val="9"/>
            <color indexed="81"/>
            <rFont val="Arial"/>
            <family val="2"/>
          </rPr>
          <t xml:space="preserve">
</t>
        </r>
        <r>
          <rPr>
            <sz val="9"/>
            <color indexed="81"/>
            <rFont val="楷体_GB2312"/>
            <family val="3"/>
            <charset val="134"/>
          </rPr>
          <t>预计未来</t>
        </r>
        <r>
          <rPr>
            <sz val="9"/>
            <color indexed="81"/>
            <rFont val="Arial"/>
            <family val="2"/>
          </rPr>
          <t>margin</t>
        </r>
        <r>
          <rPr>
            <sz val="9"/>
            <color indexed="81"/>
            <rFont val="楷体_GB2312"/>
            <family val="3"/>
            <charset val="134"/>
          </rPr>
          <t>会上升，主要是</t>
        </r>
        <r>
          <rPr>
            <sz val="9"/>
            <color indexed="81"/>
            <rFont val="Arial"/>
            <family val="2"/>
          </rPr>
          <t>mix</t>
        </r>
        <r>
          <rPr>
            <sz val="9"/>
            <color indexed="81"/>
            <rFont val="楷体_GB2312"/>
            <family val="3"/>
            <charset val="134"/>
          </rPr>
          <t>的变化，以前大陆主要做保障房，房建项目由于承担风险较低，所以毛利率低。现在大陆做基建比较多，所以有望毛利率有望提升</t>
        </r>
      </text>
    </comment>
    <comment ref="N49" authorId="1" shapeId="0" xr:uid="{00000000-0006-0000-1000-000010000000}">
      <text>
        <r>
          <rPr>
            <b/>
            <sz val="9"/>
            <color indexed="81"/>
            <rFont val="Arial"/>
            <family val="2"/>
          </rPr>
          <t>Aobo Zhan (RS):</t>
        </r>
        <r>
          <rPr>
            <sz val="9"/>
            <color indexed="81"/>
            <rFont val="Arial"/>
            <family val="2"/>
          </rPr>
          <t xml:space="preserve">
target equity IRR of &gt;12%</t>
        </r>
      </text>
    </comment>
    <comment ref="O49" authorId="2" shapeId="0" xr:uid="{00000000-0006-0000-1000-000011000000}">
      <text>
        <r>
          <rPr>
            <b/>
            <sz val="9"/>
            <color indexed="81"/>
            <rFont val="宋体"/>
            <family val="3"/>
            <charset val="134"/>
          </rPr>
          <t>Shu Kong (RS):</t>
        </r>
        <r>
          <rPr>
            <sz val="9"/>
            <color indexed="81"/>
            <rFont val="宋体"/>
            <family val="3"/>
            <charset val="134"/>
          </rPr>
          <t xml:space="preserve">
2017年报只披露了基建运营业务营业额，无毛利润数据</t>
        </r>
      </text>
    </comment>
    <comment ref="G73" authorId="3" shapeId="0" xr:uid="{00000000-0006-0000-1000-000012000000}">
      <text>
        <r>
          <rPr>
            <b/>
            <sz val="10"/>
            <color indexed="81"/>
            <rFont val="宋体"/>
            <family val="3"/>
            <charset val="134"/>
          </rPr>
          <t>wuhm:</t>
        </r>
        <r>
          <rPr>
            <sz val="10"/>
            <color indexed="81"/>
            <rFont val="宋体"/>
            <family val="3"/>
            <charset val="134"/>
          </rPr>
          <t xml:space="preserve">
BOT\BT5个亿，热厂扩张1.5个亿</t>
        </r>
      </text>
    </comment>
    <comment ref="H73" authorId="3" shapeId="0" xr:uid="{00000000-0006-0000-1000-000013000000}">
      <text>
        <r>
          <rPr>
            <b/>
            <sz val="10"/>
            <color indexed="81"/>
            <rFont val="宋体"/>
            <family val="3"/>
            <charset val="134"/>
          </rPr>
          <t>wuhm:</t>
        </r>
        <r>
          <rPr>
            <sz val="10"/>
            <color indexed="81"/>
            <rFont val="宋体"/>
            <family val="3"/>
            <charset val="134"/>
          </rPr>
          <t xml:space="preserve">
BT/BOT6个亿，热厂1.5个亿</t>
        </r>
      </text>
    </comment>
    <comment ref="I73" authorId="3" shapeId="0" xr:uid="{00000000-0006-0000-1000-000014000000}">
      <text>
        <r>
          <rPr>
            <b/>
            <sz val="10"/>
            <color indexed="81"/>
            <rFont val="宋体"/>
            <family val="3"/>
            <charset val="134"/>
          </rPr>
          <t>wuhm:</t>
        </r>
        <r>
          <rPr>
            <sz val="10"/>
            <color indexed="81"/>
            <rFont val="宋体"/>
            <family val="3"/>
            <charset val="134"/>
          </rPr>
          <t xml:space="preserve">
BT/BOT8个亿</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Aobo Zhan (RS)</author>
    <author>wuhm</author>
  </authors>
  <commentList>
    <comment ref="B11" authorId="0" shapeId="0" xr:uid="{00000000-0006-0000-1100-000001000000}">
      <text>
        <r>
          <rPr>
            <b/>
            <sz val="9"/>
            <rFont val="Arial"/>
            <family val="2"/>
          </rPr>
          <t>Aobo Zhan (RS):</t>
        </r>
        <r>
          <rPr>
            <sz val="9"/>
            <rFont val="Arial"/>
            <family val="2"/>
          </rPr>
          <t xml:space="preserve">
</t>
        </r>
        <r>
          <rPr>
            <sz val="9"/>
            <rFont val="楷体_GB2312"/>
            <family val="3"/>
            <charset val="134"/>
          </rPr>
          <t>香港、澳门项目是工程做完</t>
        </r>
        <r>
          <rPr>
            <sz val="9"/>
            <rFont val="Arial"/>
            <family val="2"/>
          </rPr>
          <t>30%</t>
        </r>
        <r>
          <rPr>
            <sz val="9"/>
            <rFont val="楷体_GB2312"/>
            <family val="3"/>
            <charset val="134"/>
          </rPr>
          <t>后开始确认收入，所以会在工程做完</t>
        </r>
        <r>
          <rPr>
            <sz val="9"/>
            <rFont val="Arial"/>
            <family val="2"/>
          </rPr>
          <t>30%</t>
        </r>
        <r>
          <rPr>
            <sz val="9"/>
            <rFont val="楷体_GB2312"/>
            <family val="3"/>
            <charset val="134"/>
          </rPr>
          <t>的时点有一个集中的收入确认</t>
        </r>
      </text>
    </comment>
    <comment ref="F11" authorId="1" shapeId="0" xr:uid="{00000000-0006-0000-1100-000002000000}">
      <text>
        <r>
          <rPr>
            <b/>
            <sz val="10"/>
            <color indexed="81"/>
            <rFont val="宋体"/>
            <family val="3"/>
            <charset val="134"/>
          </rPr>
          <t>wuhm:</t>
        </r>
        <r>
          <rPr>
            <sz val="10"/>
            <color indexed="81"/>
            <rFont val="宋体"/>
            <family val="3"/>
            <charset val="134"/>
          </rPr>
          <t xml:space="preserve">
前三季度49.7亿</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Aobo Zhan (RS)</author>
    <author>zhangs2</author>
  </authors>
  <commentList>
    <comment ref="I3" authorId="0" shapeId="0" xr:uid="{00000000-0006-0000-1200-000001000000}">
      <text>
        <r>
          <rPr>
            <b/>
            <sz val="9"/>
            <color indexed="81"/>
            <rFont val="宋体"/>
            <family val="3"/>
            <charset val="134"/>
          </rPr>
          <t>Aobo Zhan (RS):</t>
        </r>
        <r>
          <rPr>
            <sz val="9"/>
            <color indexed="81"/>
            <rFont val="宋体"/>
            <family val="3"/>
            <charset val="134"/>
          </rPr>
          <t xml:space="preserve">
</t>
        </r>
      </text>
    </comment>
    <comment ref="D11" authorId="0" shapeId="0" xr:uid="{00000000-0006-0000-1200-000002000000}">
      <text>
        <r>
          <rPr>
            <b/>
            <sz val="9"/>
            <color indexed="81"/>
            <rFont val="Arial"/>
            <family val="2"/>
          </rPr>
          <t>Aobo Zhan (RS):</t>
        </r>
        <r>
          <rPr>
            <sz val="9"/>
            <color indexed="81"/>
            <rFont val="Arial"/>
            <family val="2"/>
          </rPr>
          <t xml:space="preserve">
</t>
        </r>
        <r>
          <rPr>
            <sz val="9"/>
            <color indexed="81"/>
            <rFont val="楷体_GB2312"/>
            <family val="3"/>
            <charset val="134"/>
          </rPr>
          <t>澳门业务于</t>
        </r>
        <r>
          <rPr>
            <sz val="9"/>
            <color indexed="81"/>
            <rFont val="Arial"/>
            <family val="2"/>
          </rPr>
          <t>2006</t>
        </r>
        <r>
          <rPr>
            <sz val="9"/>
            <color indexed="81"/>
            <rFont val="楷体_GB2312"/>
            <family val="3"/>
            <charset val="134"/>
          </rPr>
          <t>年从母公司收购过来</t>
        </r>
      </text>
    </comment>
    <comment ref="I23" authorId="1" shapeId="0" xr:uid="{00000000-0006-0000-1200-000003000000}">
      <text>
        <r>
          <rPr>
            <b/>
            <sz val="9"/>
            <color indexed="81"/>
            <rFont val="宋体"/>
            <family val="3"/>
            <charset val="134"/>
          </rPr>
          <t>zhangs2:</t>
        </r>
        <r>
          <rPr>
            <sz val="9"/>
            <color indexed="81"/>
            <rFont val="宋体"/>
            <family val="3"/>
            <charset val="134"/>
          </rPr>
          <t xml:space="preserve">
澳门参股公司股息收入1.3亿元</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Aobo Zhan (RS)</author>
    <author>Pingchuan Wang (RS)</author>
  </authors>
  <commentList>
    <comment ref="B9" authorId="0" shapeId="0" xr:uid="{00000000-0006-0000-1500-000001000000}">
      <text>
        <r>
          <rPr>
            <b/>
            <sz val="9"/>
            <color indexed="81"/>
            <rFont val="Arial"/>
            <family val="2"/>
          </rPr>
          <t>Aobo Zhan (RS):</t>
        </r>
        <r>
          <rPr>
            <sz val="9"/>
            <color indexed="81"/>
            <rFont val="Arial"/>
            <family val="2"/>
          </rPr>
          <t xml:space="preserve">
</t>
        </r>
        <r>
          <rPr>
            <sz val="9"/>
            <color indexed="81"/>
            <rFont val="楷体_GB2312"/>
            <family val="3"/>
            <charset val="134"/>
          </rPr>
          <t>公司海外项目主要在阿联酋及印度</t>
        </r>
      </text>
    </comment>
    <comment ref="B24" authorId="1" shapeId="0" xr:uid="{00000000-0006-0000-1500-000002000000}">
      <text>
        <r>
          <rPr>
            <b/>
            <sz val="9"/>
            <color indexed="81"/>
            <rFont val="宋体"/>
            <family val="3"/>
            <charset val="134"/>
          </rPr>
          <t>Pingchuan Wang (RS):</t>
        </r>
        <r>
          <rPr>
            <sz val="9"/>
            <color indexed="81"/>
            <rFont val="宋体"/>
            <family val="3"/>
            <charset val="134"/>
          </rPr>
          <t xml:space="preserve">
2014年及以后反映中国建筑兴业的资本开支</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it</author>
  </authors>
  <commentList>
    <comment ref="D9" authorId="0" shapeId="0" xr:uid="{00000000-0006-0000-2000-000001000000}">
      <text>
        <r>
          <rPr>
            <b/>
            <sz val="10"/>
            <color indexed="81"/>
            <rFont val="宋体"/>
            <family val="3"/>
            <charset val="134"/>
          </rPr>
          <t>it:</t>
        </r>
        <r>
          <rPr>
            <sz val="10"/>
            <color indexed="81"/>
            <rFont val="宋体"/>
            <family val="3"/>
            <charset val="134"/>
          </rPr>
          <t xml:space="preserve">
策略</t>
        </r>
      </text>
    </comment>
    <comment ref="D10" authorId="0" shapeId="0" xr:uid="{00000000-0006-0000-2000-000002000000}">
      <text>
        <r>
          <rPr>
            <b/>
            <sz val="10"/>
            <color indexed="81"/>
            <rFont val="宋体"/>
            <family val="3"/>
            <charset val="134"/>
          </rPr>
          <t>it:</t>
        </r>
        <r>
          <rPr>
            <sz val="10"/>
            <color indexed="81"/>
            <rFont val="宋体"/>
            <family val="3"/>
            <charset val="134"/>
          </rPr>
          <t xml:space="preserve">
策略</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it</author>
  </authors>
  <commentList>
    <comment ref="B23" authorId="0" shapeId="0" xr:uid="{00000000-0006-0000-2700-000001000000}">
      <text>
        <r>
          <rPr>
            <b/>
            <sz val="10"/>
            <color indexed="81"/>
            <rFont val="宋体"/>
            <family val="3"/>
            <charset val="134"/>
          </rPr>
          <t>it:</t>
        </r>
        <r>
          <rPr>
            <sz val="10"/>
            <color indexed="81"/>
            <rFont val="宋体"/>
            <family val="3"/>
            <charset val="134"/>
          </rPr>
          <t xml:space="preserve">
流动资产减去存货</t>
        </r>
      </text>
    </comment>
    <comment ref="B39" authorId="0" shapeId="0" xr:uid="{00000000-0006-0000-2700-000002000000}">
      <text>
        <r>
          <rPr>
            <b/>
            <sz val="10"/>
            <color indexed="81"/>
            <rFont val="宋体"/>
            <family val="3"/>
            <charset val="134"/>
          </rPr>
          <t>it:</t>
        </r>
        <r>
          <rPr>
            <sz val="10"/>
            <color indexed="81"/>
            <rFont val="宋体"/>
            <family val="3"/>
            <charset val="134"/>
          </rPr>
          <t xml:space="preserve">
EBITDA/财务费用项（不含财务收入）</t>
        </r>
      </text>
    </comment>
    <comment ref="B40" authorId="0" shapeId="0" xr:uid="{00000000-0006-0000-2700-000003000000}">
      <text>
        <r>
          <rPr>
            <b/>
            <sz val="10"/>
            <color indexed="81"/>
            <rFont val="宋体"/>
            <family val="3"/>
            <charset val="134"/>
          </rPr>
          <t>it:</t>
        </r>
        <r>
          <rPr>
            <sz val="10"/>
            <color indexed="81"/>
            <rFont val="宋体"/>
            <family val="3"/>
            <charset val="134"/>
          </rPr>
          <t xml:space="preserve">
债务资本比</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it</author>
  </authors>
  <commentList>
    <comment ref="D36" authorId="0" shapeId="0" xr:uid="{00000000-0006-0000-2900-000001000000}">
      <text>
        <r>
          <rPr>
            <sz val="8"/>
            <color indexed="81"/>
            <rFont val="楷体_GB2312"/>
            <family val="3"/>
            <charset val="134"/>
          </rPr>
          <t>振华港机/路桥国际</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it</author>
  </authors>
  <commentList>
    <comment ref="B7" authorId="0" shapeId="0" xr:uid="{00000000-0006-0000-2B00-000001000000}">
      <text>
        <r>
          <rPr>
            <b/>
            <sz val="10"/>
            <color indexed="81"/>
            <rFont val="宋体"/>
            <family val="3"/>
            <charset val="134"/>
          </rPr>
          <t>it:</t>
        </r>
        <r>
          <rPr>
            <sz val="10"/>
            <color indexed="81"/>
            <rFont val="宋体"/>
            <family val="3"/>
            <charset val="134"/>
          </rPr>
          <t xml:space="preserve">
</t>
        </r>
        <r>
          <rPr>
            <sz val="8"/>
            <color indexed="81"/>
            <rFont val="楷体_GB2312"/>
            <family val="3"/>
            <charset val="134"/>
          </rPr>
          <t>需要加入长期资产与负债调整</t>
        </r>
      </text>
    </comment>
  </commentList>
</comments>
</file>

<file path=xl/sharedStrings.xml><?xml version="1.0" encoding="utf-8"?>
<sst xmlns="http://schemas.openxmlformats.org/spreadsheetml/2006/main" count="6312" uniqueCount="3165">
  <si>
    <t>可结算面积</t>
  </si>
  <si>
    <t>净利润率</t>
  </si>
  <si>
    <t>Total contract value            (HK$ mn)</t>
  </si>
  <si>
    <t xml:space="preserve">The client is the Hangzhou Government </t>
  </si>
  <si>
    <t>The client is the Wuxi Government</t>
  </si>
  <si>
    <t>The client is the Hangzhou Xiaoshan District Government</t>
  </si>
  <si>
    <t>n.a.</t>
  </si>
  <si>
    <t>The client is the Zhangzhou Government</t>
  </si>
  <si>
    <t>The client is the Tianjin Government</t>
  </si>
  <si>
    <t>Rmb90mn</t>
  </si>
  <si>
    <t>Rmb225mn</t>
  </si>
  <si>
    <t>Wuhan Second Circle Line</t>
  </si>
  <si>
    <t>EBIT</t>
  </si>
  <si>
    <t>Long-term</t>
  </si>
  <si>
    <t>@HKINDU220</t>
  </si>
  <si>
    <t>EV Adjusted coefficient</t>
  </si>
  <si>
    <t>Aggregated Items</t>
  </si>
  <si>
    <t>现金及现金等价物净增加额</t>
  </si>
  <si>
    <t>期初现金及现金等价物余额</t>
  </si>
  <si>
    <t>期末现金及现金等价物余额</t>
  </si>
  <si>
    <t>Gross profit</t>
  </si>
  <si>
    <t>2009A</t>
  </si>
  <si>
    <t>净利润</t>
  </si>
  <si>
    <t>assets</t>
  </si>
  <si>
    <t>毛利合计</t>
  </si>
  <si>
    <t>gross profit</t>
  </si>
  <si>
    <t>毛利润</t>
  </si>
  <si>
    <t>分部利润占比</t>
  </si>
  <si>
    <t>毛利润占比</t>
  </si>
  <si>
    <t>毛利率</t>
  </si>
  <si>
    <t>Operating profit margin (%)</t>
  </si>
  <si>
    <t>Net profit margin (%)</t>
  </si>
  <si>
    <t>FCF per share (Rmb)</t>
  </si>
  <si>
    <t>每股经营现金流</t>
  </si>
  <si>
    <t>土地综合整理之投资</t>
  </si>
  <si>
    <t>基建项目投资权益</t>
  </si>
  <si>
    <t>预付租金</t>
  </si>
  <si>
    <t>于联营公司之权益</t>
  </si>
  <si>
    <t>可供出售之投资</t>
  </si>
  <si>
    <t>应收投资公司款</t>
  </si>
  <si>
    <t>递延收入</t>
  </si>
  <si>
    <t>Deferred income</t>
  </si>
  <si>
    <t>递延税项</t>
  </si>
  <si>
    <t>Deferred Tax Liability</t>
  </si>
  <si>
    <t>借款</t>
  </si>
  <si>
    <t>borrowings</t>
  </si>
  <si>
    <t>融资租赁承担</t>
  </si>
  <si>
    <t>Obligations under finance leases</t>
  </si>
  <si>
    <t>Tax liabilities</t>
  </si>
  <si>
    <t>其他负债</t>
  </si>
  <si>
    <r>
      <t>企业价值</t>
    </r>
    <r>
      <rPr>
        <sz val="8"/>
        <rFont val="Arial"/>
        <family val="2"/>
      </rPr>
      <t>/</t>
    </r>
    <r>
      <rPr>
        <sz val="8"/>
        <rFont val="楷体_GB2312"/>
        <family val="3"/>
        <charset val="134"/>
      </rPr>
      <t>息税摊销折旧前利润</t>
    </r>
  </si>
  <si>
    <t>EV/EBITDA (x)</t>
  </si>
  <si>
    <t>DPS (Rmb)</t>
  </si>
  <si>
    <t>ROA (%)</t>
  </si>
  <si>
    <t>BPS (Rmb)</t>
  </si>
  <si>
    <t>24 months</t>
  </si>
  <si>
    <t>2009A</t>
  </si>
  <si>
    <t>Others liability</t>
  </si>
  <si>
    <t>2009E</t>
  </si>
  <si>
    <t>适用寿命</t>
  </si>
  <si>
    <t>预计净残值率</t>
  </si>
  <si>
    <t>年折旧率</t>
  </si>
  <si>
    <t>利润总额</t>
  </si>
  <si>
    <t>减：所得税</t>
  </si>
  <si>
    <t xml:space="preserve">  有效税率</t>
  </si>
  <si>
    <t>减：少数股东损益</t>
  </si>
  <si>
    <t>净利润</t>
  </si>
  <si>
    <t xml:space="preserve">  净利润率</t>
  </si>
  <si>
    <t>摊薄每股收益</t>
  </si>
  <si>
    <t>diluted EPS</t>
  </si>
  <si>
    <t>PE</t>
  </si>
  <si>
    <t>摊薄每股市盈率</t>
  </si>
  <si>
    <t>Diluted PE</t>
  </si>
  <si>
    <t>市净率</t>
  </si>
  <si>
    <t>PB</t>
  </si>
  <si>
    <t>股利</t>
  </si>
  <si>
    <t>Dividend</t>
  </si>
  <si>
    <t>每股分红</t>
  </si>
  <si>
    <t>Dividend per share</t>
  </si>
  <si>
    <t>Payout ratio</t>
  </si>
  <si>
    <t>股息收益率</t>
  </si>
  <si>
    <t>Dividend yield</t>
  </si>
  <si>
    <r>
      <t xml:space="preserve">EBITDA </t>
    </r>
    <r>
      <rPr>
        <sz val="8"/>
        <rFont val="楷体_GB2312"/>
        <family val="3"/>
        <charset val="134"/>
      </rPr>
      <t>利润率</t>
    </r>
  </si>
  <si>
    <t>EBITDA Margin</t>
  </si>
  <si>
    <t>EV/EBITDA</t>
  </si>
  <si>
    <t>Net Margin</t>
  </si>
  <si>
    <t>ROE</t>
  </si>
  <si>
    <t>ROA</t>
  </si>
  <si>
    <t>Check</t>
  </si>
  <si>
    <t>总资产</t>
  </si>
  <si>
    <t>普通股股份总数（百万股）</t>
  </si>
  <si>
    <t>负债及股东权益</t>
  </si>
  <si>
    <t>分部收入结构</t>
  </si>
  <si>
    <t>分部利润率</t>
  </si>
  <si>
    <t>单位：百万元</t>
  </si>
  <si>
    <t>项目</t>
  </si>
  <si>
    <t>合计</t>
  </si>
  <si>
    <t>E</t>
  </si>
  <si>
    <t>P</t>
  </si>
  <si>
    <t>市盈率</t>
  </si>
  <si>
    <t>经营活动现金流：</t>
  </si>
  <si>
    <t>投资活动现金流：</t>
  </si>
  <si>
    <t>融资活动现金流：</t>
  </si>
  <si>
    <t>（人民币百万元）</t>
  </si>
  <si>
    <t>主营业务收入</t>
  </si>
  <si>
    <t>(+/-%)</t>
  </si>
  <si>
    <t>净利润</t>
  </si>
  <si>
    <t>项目</t>
  </si>
  <si>
    <t>Don't delete rows</t>
  </si>
  <si>
    <t>可出租面积</t>
  </si>
  <si>
    <t>折旧</t>
  </si>
  <si>
    <t>流动负债合计</t>
  </si>
  <si>
    <t>inter-segment revenue</t>
  </si>
  <si>
    <t>segment result</t>
  </si>
  <si>
    <t>非流动资产：</t>
  </si>
  <si>
    <t>物业、厂房及设备</t>
  </si>
  <si>
    <t>按公允价值计量且其变动计入损益的金融资产</t>
  </si>
  <si>
    <t>D/C</t>
  </si>
  <si>
    <t>Total Assets</t>
  </si>
  <si>
    <t>Current Assets</t>
  </si>
  <si>
    <t>非流动负债：</t>
  </si>
  <si>
    <t>借款</t>
  </si>
  <si>
    <t>递延所得税负债</t>
  </si>
  <si>
    <t>Non-current Liabilities</t>
  </si>
  <si>
    <t>Borrowings</t>
  </si>
  <si>
    <t>Subtotal Receivables</t>
  </si>
  <si>
    <t>Ratio/Valuation</t>
  </si>
  <si>
    <t>@DATAEND</t>
  </si>
  <si>
    <t>EBITDA</t>
  </si>
  <si>
    <t>摊薄每股收益(元)</t>
  </si>
  <si>
    <t>摊薄每股净资产(元)</t>
  </si>
  <si>
    <t>净资产收益率</t>
  </si>
  <si>
    <t>净负债</t>
  </si>
  <si>
    <t>资本开支</t>
  </si>
  <si>
    <t>毛利</t>
  </si>
  <si>
    <t>Gross margin</t>
  </si>
  <si>
    <t>毛利率</t>
  </si>
  <si>
    <t>香港市场</t>
  </si>
  <si>
    <t>香港市场</t>
  </si>
  <si>
    <t>澳门市场</t>
  </si>
  <si>
    <t>澳门市场</t>
  </si>
  <si>
    <t>阿联酋</t>
  </si>
  <si>
    <t>阿联酋</t>
  </si>
  <si>
    <t>中国内地</t>
  </si>
  <si>
    <t>中国内地</t>
  </si>
  <si>
    <t>印度</t>
  </si>
  <si>
    <t>印度</t>
  </si>
  <si>
    <t>澳门</t>
  </si>
  <si>
    <t>抵消</t>
  </si>
  <si>
    <t>应占联营公司盈利</t>
  </si>
  <si>
    <t>折旧摊销</t>
  </si>
  <si>
    <t>于联营公司之权益</t>
  </si>
  <si>
    <t>出售物业厂房及设备收益（亏损）</t>
  </si>
  <si>
    <t>Hong Kong</t>
  </si>
  <si>
    <t>Macau</t>
  </si>
  <si>
    <t>UAE</t>
  </si>
  <si>
    <t>China Mainland</t>
  </si>
  <si>
    <t>China Mainland</t>
  </si>
  <si>
    <t>India</t>
  </si>
  <si>
    <t>India</t>
  </si>
  <si>
    <t>Share of profi ts of associates</t>
  </si>
  <si>
    <t>Share of profi ts of associates</t>
  </si>
  <si>
    <t>Interests in associates</t>
  </si>
  <si>
    <t>Gain (loss) on disposal of property, plant and equipment</t>
  </si>
  <si>
    <t xml:space="preserve">Depreciation </t>
  </si>
  <si>
    <t>Capital additions</t>
  </si>
  <si>
    <t>Capital additions</t>
  </si>
  <si>
    <t>香港</t>
  </si>
  <si>
    <t>Buildings</t>
  </si>
  <si>
    <t>Heat and electricity 
supply facilities</t>
  </si>
  <si>
    <t>Plant and
machinery</t>
  </si>
  <si>
    <t>Furniture, fixtures
and equipment</t>
  </si>
  <si>
    <t>Motor
vehicles</t>
  </si>
  <si>
    <t>Construction
in progress</t>
  </si>
  <si>
    <t>Exchange adjustments</t>
  </si>
  <si>
    <t>Transfer from CIP</t>
  </si>
  <si>
    <t>Open balance</t>
  </si>
  <si>
    <t>Exchange adjustments</t>
  </si>
  <si>
    <t>Provided for the year</t>
  </si>
  <si>
    <t>Eliminated on disposals</t>
  </si>
  <si>
    <t>Close balance</t>
  </si>
  <si>
    <t>1H2010</t>
  </si>
  <si>
    <r>
      <t>截至</t>
    </r>
    <r>
      <rPr>
        <b/>
        <sz val="10"/>
        <rFont val="Arial"/>
        <family val="2"/>
      </rPr>
      <t>2008</t>
    </r>
    <r>
      <rPr>
        <b/>
        <sz val="10"/>
        <rFont val="楷体_GB2312"/>
        <family val="3"/>
        <charset val="134"/>
      </rPr>
      <t>年</t>
    </r>
    <r>
      <rPr>
        <b/>
        <sz val="10"/>
        <rFont val="Arial"/>
        <family val="2"/>
      </rPr>
      <t>12</t>
    </r>
    <r>
      <rPr>
        <b/>
        <sz val="10"/>
        <rFont val="楷体_GB2312"/>
        <family val="3"/>
        <charset val="134"/>
      </rPr>
      <t>月</t>
    </r>
    <r>
      <rPr>
        <b/>
        <sz val="10"/>
        <rFont val="Arial"/>
        <family val="2"/>
      </rPr>
      <t>31</t>
    </r>
    <r>
      <rPr>
        <b/>
        <sz val="10"/>
        <rFont val="楷体_GB2312"/>
        <family val="3"/>
        <charset val="134"/>
      </rPr>
      <t>日</t>
    </r>
  </si>
  <si>
    <r>
      <t>于</t>
    </r>
    <r>
      <rPr>
        <b/>
        <sz val="10"/>
        <rFont val="Arial"/>
        <family val="2"/>
      </rPr>
      <t>2008</t>
    </r>
    <r>
      <rPr>
        <b/>
        <sz val="10"/>
        <rFont val="楷体_GB2312"/>
        <family val="3"/>
        <charset val="134"/>
      </rPr>
      <t>年</t>
    </r>
    <r>
      <rPr>
        <b/>
        <sz val="10"/>
        <rFont val="Arial"/>
        <family val="2"/>
      </rPr>
      <t>12</t>
    </r>
    <r>
      <rPr>
        <b/>
        <sz val="10"/>
        <rFont val="楷体_GB2312"/>
        <family val="3"/>
        <charset val="134"/>
      </rPr>
      <t>月</t>
    </r>
    <r>
      <rPr>
        <b/>
        <sz val="10"/>
        <rFont val="Arial"/>
        <family val="2"/>
      </rPr>
      <t>31</t>
    </r>
    <r>
      <rPr>
        <b/>
        <sz val="10"/>
        <rFont val="楷体_GB2312"/>
        <family val="3"/>
        <charset val="134"/>
      </rPr>
      <t>日</t>
    </r>
  </si>
  <si>
    <t>1H2008</t>
  </si>
  <si>
    <t>1H2009</t>
  </si>
  <si>
    <t>n.a.</t>
  </si>
  <si>
    <t>流动资产：</t>
  </si>
  <si>
    <t>Debt cost before tax</t>
  </si>
  <si>
    <t>Tax rate</t>
  </si>
  <si>
    <t>Target D/E</t>
  </si>
  <si>
    <t>Attributable to Equity Holders of Company</t>
  </si>
  <si>
    <t>2009</t>
  </si>
  <si>
    <t>资产负债率</t>
  </si>
  <si>
    <t>Construction</t>
  </si>
  <si>
    <t>Infrastructure investment</t>
  </si>
  <si>
    <t>Supply of heat and electricity and provision of connection service</t>
  </si>
  <si>
    <t>Supply of heat and electricity</t>
  </si>
  <si>
    <t>2007A</t>
  </si>
  <si>
    <t>无评级</t>
  </si>
  <si>
    <t>Hold</t>
  </si>
  <si>
    <t>n.a.</t>
  </si>
  <si>
    <t>2H2010</t>
  </si>
  <si>
    <t>军粮城示范镇还迁房</t>
  </si>
  <si>
    <t>HK$0.7bn</t>
  </si>
  <si>
    <t>HK$40mn</t>
  </si>
  <si>
    <t>HK$1.4bn</t>
  </si>
  <si>
    <t>HK$3.56bn</t>
  </si>
  <si>
    <t>HK$100mn</t>
  </si>
  <si>
    <t>项目</t>
  </si>
  <si>
    <t>权益</t>
  </si>
  <si>
    <t>总投资</t>
  </si>
  <si>
    <t>中国建筑国际投资</t>
  </si>
  <si>
    <t>工期</t>
  </si>
  <si>
    <t>简介</t>
  </si>
  <si>
    <t>HK$2.65bn</t>
  </si>
  <si>
    <t>RMB90m</t>
  </si>
  <si>
    <t>HK$3.7bn</t>
  </si>
  <si>
    <t>RMB225m</t>
  </si>
  <si>
    <t>阳泉阳五高速公路</t>
  </si>
  <si>
    <t>Purchased from</t>
  </si>
  <si>
    <t>形式</t>
  </si>
  <si>
    <t>中国建筑国际权益</t>
  </si>
  <si>
    <t>运营期</t>
  </si>
  <si>
    <t>2009E</t>
  </si>
  <si>
    <t>2010E</t>
  </si>
  <si>
    <t>2011E</t>
  </si>
  <si>
    <t>2012E</t>
  </si>
  <si>
    <t>南昌大桥</t>
  </si>
  <si>
    <t>COLI</t>
  </si>
  <si>
    <t>合资</t>
  </si>
  <si>
    <r>
      <t>截止</t>
    </r>
    <r>
      <rPr>
        <sz val="8"/>
        <rFont val="Arial"/>
        <family val="2"/>
      </rPr>
      <t>2023</t>
    </r>
    <r>
      <rPr>
        <sz val="8"/>
        <rFont val="楷体_GB2312"/>
        <family val="3"/>
        <charset val="134"/>
      </rPr>
      <t>年</t>
    </r>
    <r>
      <rPr>
        <sz val="8"/>
        <rFont val="Arial"/>
        <family val="2"/>
      </rPr>
      <t>12</t>
    </r>
    <r>
      <rPr>
        <sz val="8"/>
        <rFont val="楷体_GB2312"/>
        <family val="3"/>
        <charset val="134"/>
      </rPr>
      <t>月</t>
    </r>
    <r>
      <rPr>
        <sz val="8"/>
        <rFont val="Arial"/>
        <family val="2"/>
      </rPr>
      <t>31</t>
    </r>
    <r>
      <rPr>
        <sz val="8"/>
        <rFont val="楷体_GB2312"/>
        <family val="3"/>
        <charset val="134"/>
      </rPr>
      <t>日</t>
    </r>
  </si>
  <si>
    <t>南昌新八一大桥</t>
  </si>
  <si>
    <t>COHL</t>
  </si>
  <si>
    <r>
      <t>截止</t>
    </r>
    <r>
      <rPr>
        <sz val="8"/>
        <rFont val="Arial"/>
        <family val="2"/>
      </rPr>
      <t>2025</t>
    </r>
    <r>
      <rPr>
        <sz val="8"/>
        <rFont val="楷体_GB2312"/>
        <family val="3"/>
        <charset val="134"/>
      </rPr>
      <t>年</t>
    </r>
    <r>
      <rPr>
        <sz val="8"/>
        <rFont val="Arial"/>
        <family val="2"/>
      </rPr>
      <t>6</t>
    </r>
    <r>
      <rPr>
        <sz val="8"/>
        <rFont val="楷体_GB2312"/>
        <family val="3"/>
        <charset val="134"/>
      </rPr>
      <t>月</t>
    </r>
    <r>
      <rPr>
        <sz val="8"/>
        <rFont val="Arial"/>
        <family val="2"/>
      </rPr>
      <t>30</t>
    </r>
    <r>
      <rPr>
        <sz val="8"/>
        <rFont val="楷体_GB2312"/>
        <family val="3"/>
        <charset val="134"/>
      </rPr>
      <t>日</t>
    </r>
  </si>
  <si>
    <t>全资</t>
  </si>
  <si>
    <r>
      <t>两年建设期，</t>
    </r>
    <r>
      <rPr>
        <sz val="8"/>
        <rFont val="Arial"/>
        <family val="2"/>
      </rPr>
      <t>30</t>
    </r>
    <r>
      <rPr>
        <sz val="8"/>
        <rFont val="楷体_GB2312"/>
        <family val="3"/>
        <charset val="134"/>
      </rPr>
      <t>年运营期</t>
    </r>
  </si>
  <si>
    <t>n.a.</t>
  </si>
  <si>
    <t>2H2008</t>
  </si>
  <si>
    <t>存货</t>
  </si>
  <si>
    <t>财务费用</t>
  </si>
  <si>
    <r>
      <t>净利润</t>
    </r>
    <r>
      <rPr>
        <sz val="8"/>
        <rFont val="Arial"/>
        <family val="2"/>
      </rPr>
      <t xml:space="preserve"> </t>
    </r>
  </si>
  <si>
    <t>加：少数股东损益</t>
  </si>
  <si>
    <r>
      <t>加：折旧和摊销</t>
    </r>
    <r>
      <rPr>
        <sz val="8"/>
        <rFont val="Arial"/>
        <family val="2"/>
      </rPr>
      <t xml:space="preserve"> </t>
    </r>
  </si>
  <si>
    <r>
      <t>加：营运资本减少</t>
    </r>
    <r>
      <rPr>
        <sz val="8"/>
        <rFont val="Arial"/>
        <family val="2"/>
      </rPr>
      <t xml:space="preserve"> </t>
    </r>
  </si>
  <si>
    <r>
      <t>加：财务费用</t>
    </r>
    <r>
      <rPr>
        <sz val="8"/>
        <rFont val="Arial"/>
        <family val="2"/>
      </rPr>
      <t xml:space="preserve"> </t>
    </r>
  </si>
  <si>
    <r>
      <t>加：投资损失</t>
    </r>
    <r>
      <rPr>
        <sz val="8"/>
        <rFont val="Arial"/>
        <family val="2"/>
      </rPr>
      <t xml:space="preserve"> </t>
    </r>
  </si>
  <si>
    <t>其它</t>
  </si>
  <si>
    <t>经营活动产生的现金流量净额</t>
  </si>
  <si>
    <t>购、建固定资产投资及其他资产</t>
  </si>
  <si>
    <r>
      <t>长期及短期投资变动</t>
    </r>
    <r>
      <rPr>
        <sz val="8"/>
        <rFont val="Arial"/>
        <family val="2"/>
      </rPr>
      <t xml:space="preserve"> </t>
    </r>
  </si>
  <si>
    <t>EBIT Margin</t>
  </si>
  <si>
    <t>人民币百万元</t>
  </si>
  <si>
    <t>年初账面净值</t>
  </si>
  <si>
    <r>
      <t>截至</t>
    </r>
    <r>
      <rPr>
        <b/>
        <sz val="10"/>
        <rFont val="Arial"/>
        <family val="2"/>
      </rPr>
      <t>2006</t>
    </r>
    <r>
      <rPr>
        <b/>
        <sz val="10"/>
        <rFont val="楷体_GB2312"/>
        <family val="3"/>
        <charset val="134"/>
      </rPr>
      <t>年</t>
    </r>
    <r>
      <rPr>
        <b/>
        <sz val="10"/>
        <rFont val="Arial"/>
        <family val="2"/>
      </rPr>
      <t>12</t>
    </r>
    <r>
      <rPr>
        <b/>
        <sz val="10"/>
        <rFont val="楷体_GB2312"/>
        <family val="3"/>
        <charset val="134"/>
      </rPr>
      <t>月</t>
    </r>
    <r>
      <rPr>
        <b/>
        <sz val="10"/>
        <rFont val="Arial"/>
        <family val="2"/>
      </rPr>
      <t>31</t>
    </r>
    <r>
      <rPr>
        <b/>
        <sz val="10"/>
        <rFont val="楷体_GB2312"/>
        <family val="3"/>
        <charset val="134"/>
      </rPr>
      <t>日</t>
    </r>
  </si>
  <si>
    <t>年末账面净值</t>
  </si>
  <si>
    <r>
      <t>截至</t>
    </r>
    <r>
      <rPr>
        <b/>
        <sz val="10"/>
        <rFont val="Arial"/>
        <family val="2"/>
      </rPr>
      <t>2007</t>
    </r>
    <r>
      <rPr>
        <b/>
        <sz val="10"/>
        <rFont val="楷体_GB2312"/>
        <family val="3"/>
        <charset val="134"/>
      </rPr>
      <t>年</t>
    </r>
    <r>
      <rPr>
        <b/>
        <sz val="10"/>
        <rFont val="Arial"/>
        <family val="2"/>
      </rPr>
      <t>12</t>
    </r>
    <r>
      <rPr>
        <b/>
        <sz val="10"/>
        <rFont val="楷体_GB2312"/>
        <family val="3"/>
        <charset val="134"/>
      </rPr>
      <t>月</t>
    </r>
    <r>
      <rPr>
        <b/>
        <sz val="10"/>
        <rFont val="Arial"/>
        <family val="2"/>
      </rPr>
      <t>31</t>
    </r>
    <r>
      <rPr>
        <b/>
        <sz val="10"/>
        <rFont val="楷体_GB2312"/>
        <family val="3"/>
        <charset val="134"/>
      </rPr>
      <t>日</t>
    </r>
  </si>
  <si>
    <t>累计值统计</t>
  </si>
  <si>
    <r>
      <t>于</t>
    </r>
    <r>
      <rPr>
        <b/>
        <sz val="10"/>
        <rFont val="Arial"/>
        <family val="2"/>
      </rPr>
      <t>2006</t>
    </r>
    <r>
      <rPr>
        <b/>
        <sz val="10"/>
        <rFont val="楷体_GB2312"/>
        <family val="3"/>
        <charset val="134"/>
      </rPr>
      <t>年</t>
    </r>
    <r>
      <rPr>
        <b/>
        <sz val="10"/>
        <rFont val="Arial"/>
        <family val="2"/>
      </rPr>
      <t>12</t>
    </r>
    <r>
      <rPr>
        <b/>
        <sz val="10"/>
        <rFont val="楷体_GB2312"/>
        <family val="3"/>
        <charset val="134"/>
      </rPr>
      <t>月</t>
    </r>
    <r>
      <rPr>
        <b/>
        <sz val="10"/>
        <rFont val="Arial"/>
        <family val="2"/>
      </rPr>
      <t>31</t>
    </r>
    <r>
      <rPr>
        <b/>
        <sz val="10"/>
        <rFont val="楷体_GB2312"/>
        <family val="3"/>
        <charset val="134"/>
      </rPr>
      <t>日</t>
    </r>
  </si>
  <si>
    <r>
      <t>于</t>
    </r>
    <r>
      <rPr>
        <b/>
        <sz val="10"/>
        <rFont val="Arial"/>
        <family val="2"/>
      </rPr>
      <t>2007</t>
    </r>
    <r>
      <rPr>
        <b/>
        <sz val="10"/>
        <rFont val="楷体_GB2312"/>
        <family val="3"/>
        <charset val="134"/>
      </rPr>
      <t>年</t>
    </r>
    <r>
      <rPr>
        <b/>
        <sz val="10"/>
        <rFont val="Arial"/>
        <family val="2"/>
      </rPr>
      <t>12</t>
    </r>
    <r>
      <rPr>
        <b/>
        <sz val="10"/>
        <rFont val="楷体_GB2312"/>
        <family val="3"/>
        <charset val="134"/>
      </rPr>
      <t>月</t>
    </r>
    <r>
      <rPr>
        <b/>
        <sz val="10"/>
        <rFont val="Arial"/>
        <family val="2"/>
      </rPr>
      <t>31</t>
    </r>
    <r>
      <rPr>
        <b/>
        <sz val="10"/>
        <rFont val="楷体_GB2312"/>
        <family val="3"/>
        <charset val="134"/>
      </rPr>
      <t>日</t>
    </r>
  </si>
  <si>
    <r>
      <t>（</t>
    </r>
    <r>
      <rPr>
        <b/>
        <sz val="10"/>
        <rFont val="Arial"/>
        <family val="2"/>
      </rPr>
      <t>1</t>
    </r>
    <r>
      <rPr>
        <b/>
        <sz val="10"/>
        <rFont val="楷体_GB2312"/>
        <family val="3"/>
        <charset val="134"/>
      </rPr>
      <t>）物业/厂房/设备</t>
    </r>
  </si>
  <si>
    <t>摊销</t>
  </si>
  <si>
    <t>Revenue</t>
  </si>
  <si>
    <t>Revenue structure</t>
  </si>
  <si>
    <t>1H2008</t>
  </si>
  <si>
    <t>Investment Change</t>
  </si>
  <si>
    <t>Cash Flow of Investing Activities</t>
  </si>
  <si>
    <t>Financing Activities</t>
  </si>
  <si>
    <t>Issuing Shares</t>
  </si>
  <si>
    <t>Borrowing Change</t>
  </si>
  <si>
    <t>Investment Received</t>
  </si>
  <si>
    <t>Dividend &amp; Interes Paid</t>
  </si>
  <si>
    <t>Cash Flow of Financing Activities</t>
  </si>
  <si>
    <t>Net Increase</t>
  </si>
  <si>
    <t>2008E</t>
  </si>
  <si>
    <t>Net gearing</t>
  </si>
  <si>
    <t>现金及现金等价物</t>
  </si>
  <si>
    <r>
      <t>所有者权益合计（包括</t>
    </r>
    <r>
      <rPr>
        <sz val="8"/>
        <rFont val="Arial"/>
        <family val="2"/>
      </rPr>
      <t>MI</t>
    </r>
    <r>
      <rPr>
        <sz val="8"/>
        <rFont val="楷体_GB2312"/>
        <family val="3"/>
        <charset val="134"/>
      </rPr>
      <t>）</t>
    </r>
  </si>
  <si>
    <t>经营现金净流量</t>
  </si>
  <si>
    <t>应占联营公司利润</t>
  </si>
  <si>
    <t>储备</t>
  </si>
  <si>
    <t>保障房</t>
  </si>
  <si>
    <t>城市</t>
  </si>
  <si>
    <t>公告日</t>
  </si>
  <si>
    <t>工期</t>
  </si>
  <si>
    <t>附注</t>
  </si>
  <si>
    <t>天津市东丽区签订关于军粮城示范镇还迁房</t>
  </si>
  <si>
    <t>天津</t>
  </si>
  <si>
    <t>天津</t>
  </si>
  <si>
    <t>金钟街还迁安置房</t>
  </si>
  <si>
    <t>重庆合川还迁安置房和公共租赁房项目</t>
  </si>
  <si>
    <t>重庆</t>
  </si>
  <si>
    <t>漳州</t>
  </si>
  <si>
    <t>YoY</t>
  </si>
  <si>
    <t>The effective tax rate increased in the period</t>
  </si>
  <si>
    <t>杭州</t>
  </si>
  <si>
    <t>业主为杭州市政府、</t>
  </si>
  <si>
    <t>无锡市惠山区职教园还迁安置房项目</t>
  </si>
  <si>
    <t>业主为无锡市政府</t>
  </si>
  <si>
    <t>杭州市萧山区北干街道还迁安置房</t>
  </si>
  <si>
    <t>杭州</t>
  </si>
  <si>
    <t>业主为杭州萧山市政府</t>
  </si>
  <si>
    <t>杭州市萧山区新塘街道还迁安置房</t>
  </si>
  <si>
    <t>合计</t>
  </si>
  <si>
    <t>建筑面积
（平方米）</t>
  </si>
  <si>
    <t>合同额
（百万港币）</t>
  </si>
  <si>
    <t>无锡</t>
  </si>
  <si>
    <t xml:space="preserve">   其他收入及收益/（费用)</t>
  </si>
  <si>
    <t>Finance costs</t>
  </si>
  <si>
    <t>Share of profits of associates</t>
  </si>
  <si>
    <t>Non-controlling interests</t>
  </si>
  <si>
    <t>Total equity and liabilities</t>
  </si>
  <si>
    <t>Cash and cash equivalents at beginning of the year/period</t>
  </si>
  <si>
    <t>Cash and cash equivalents at end of the year/period.</t>
  </si>
  <si>
    <t>Operating Activities</t>
  </si>
  <si>
    <t>Cash Flow of Operating Activities</t>
  </si>
  <si>
    <t>Investing Activities</t>
  </si>
  <si>
    <t>Purchase of Fixed Assets</t>
  </si>
  <si>
    <t>Relocation Housing Project in Jinzhong Street, Dongli District, Tianjin</t>
  </si>
  <si>
    <t xml:space="preserve">18 months </t>
  </si>
  <si>
    <t xml:space="preserve">  财务用率</t>
  </si>
  <si>
    <t>少数股东权益</t>
  </si>
  <si>
    <r>
      <t xml:space="preserve">             流通</t>
    </r>
    <r>
      <rPr>
        <sz val="8"/>
        <rFont val="Arial"/>
        <family val="2"/>
      </rPr>
      <t>H</t>
    </r>
    <r>
      <rPr>
        <sz val="8"/>
        <rFont val="楷体_GB2312"/>
        <family val="3"/>
        <charset val="134"/>
      </rPr>
      <t>股</t>
    </r>
  </si>
  <si>
    <t>2006A</t>
  </si>
  <si>
    <t>2012E</t>
  </si>
  <si>
    <t>2013E</t>
  </si>
  <si>
    <t>2014E</t>
  </si>
  <si>
    <t>（人民币百万元）</t>
  </si>
  <si>
    <t>2005A</t>
  </si>
  <si>
    <t>2006A</t>
  </si>
  <si>
    <t>2007A</t>
  </si>
  <si>
    <t>2008A</t>
  </si>
  <si>
    <t>2012E</t>
  </si>
  <si>
    <t>2013E</t>
  </si>
  <si>
    <t>2014E</t>
  </si>
  <si>
    <t>2015E</t>
  </si>
  <si>
    <t>2016E</t>
  </si>
  <si>
    <t>2017E</t>
  </si>
  <si>
    <t>2018E</t>
  </si>
  <si>
    <t>主营业务收入</t>
  </si>
  <si>
    <t>Revenue</t>
  </si>
  <si>
    <t xml:space="preserve">    YoY %</t>
  </si>
  <si>
    <t>基础设施建设</t>
  </si>
  <si>
    <t>Hong Kong</t>
  </si>
  <si>
    <t>设计勘察</t>
  </si>
  <si>
    <t>疏浚</t>
  </si>
  <si>
    <t>UAE</t>
  </si>
  <si>
    <t>港口机械</t>
  </si>
  <si>
    <t>China Mainland</t>
  </si>
  <si>
    <t>其它</t>
  </si>
  <si>
    <t>India</t>
  </si>
  <si>
    <t>分部间抵消</t>
  </si>
  <si>
    <t>Offset</t>
  </si>
  <si>
    <t>占全部收入比重</t>
  </si>
  <si>
    <t>% of revenue</t>
  </si>
  <si>
    <t>销售成本</t>
  </si>
  <si>
    <t>Cost of Sales</t>
  </si>
  <si>
    <t xml:space="preserve">  成本率</t>
  </si>
  <si>
    <r>
      <t xml:space="preserve">  </t>
    </r>
    <r>
      <rPr>
        <i/>
        <sz val="8"/>
        <color indexed="17"/>
        <rFont val="楷体_GB2312"/>
        <family val="3"/>
        <charset val="134"/>
      </rPr>
      <t>成本率</t>
    </r>
  </si>
  <si>
    <t>Macau</t>
  </si>
  <si>
    <t>占全部成本比重</t>
  </si>
  <si>
    <t>% of cost</t>
  </si>
  <si>
    <t>毛利</t>
  </si>
  <si>
    <t>Gross Profit</t>
  </si>
  <si>
    <t xml:space="preserve">  毛利率</t>
  </si>
  <si>
    <t xml:space="preserve"> Gross Margin</t>
  </si>
  <si>
    <r>
      <t xml:space="preserve">  </t>
    </r>
    <r>
      <rPr>
        <i/>
        <sz val="8"/>
        <color indexed="17"/>
        <rFont val="楷体_GB2312"/>
        <family val="3"/>
        <charset val="134"/>
      </rPr>
      <t>毛利率</t>
    </r>
  </si>
  <si>
    <t>Gross Margin</t>
  </si>
  <si>
    <t>China mainland</t>
  </si>
  <si>
    <r>
      <t xml:space="preserve">      </t>
    </r>
    <r>
      <rPr>
        <sz val="8"/>
        <rFont val="楷体_GB2312"/>
        <family val="3"/>
        <charset val="134"/>
      </rPr>
      <t>销售及营销费用</t>
    </r>
  </si>
  <si>
    <t>Investment income</t>
  </si>
  <si>
    <t xml:space="preserve">   营业费用率</t>
  </si>
  <si>
    <t>Other income and expense</t>
  </si>
  <si>
    <t>Distribution and selling expenses</t>
  </si>
  <si>
    <t xml:space="preserve">   管理费用</t>
  </si>
  <si>
    <t>Administrative Expenses</t>
  </si>
  <si>
    <t xml:space="preserve">   管理费用率</t>
  </si>
  <si>
    <t xml:space="preserve">   其他收入及费用净额</t>
  </si>
  <si>
    <t>Impairment</t>
  </si>
  <si>
    <t>财务费用净额</t>
  </si>
  <si>
    <t>Finance Costs</t>
  </si>
  <si>
    <t xml:space="preserve">  财务用率</t>
  </si>
  <si>
    <t>应占联营企业利润</t>
  </si>
  <si>
    <t>利润总额</t>
  </si>
  <si>
    <t>Profit Before Income Tax</t>
  </si>
  <si>
    <t>减：所得税</t>
  </si>
  <si>
    <t>Income Tax Expense</t>
  </si>
  <si>
    <t xml:space="preserve">  有效税率</t>
  </si>
  <si>
    <t>Effective Rate</t>
  </si>
  <si>
    <t>减：少数股东损益</t>
  </si>
  <si>
    <t>Minority Interests</t>
  </si>
  <si>
    <t>净利润</t>
  </si>
  <si>
    <t>Company Net Profit</t>
  </si>
  <si>
    <t xml:space="preserve">  净利润率</t>
  </si>
  <si>
    <t>Net Profit Margin</t>
  </si>
  <si>
    <t>摊薄每股收益</t>
  </si>
  <si>
    <t>diluted EPS</t>
  </si>
  <si>
    <t>PE</t>
  </si>
  <si>
    <t>摊薄每股市盈率</t>
  </si>
  <si>
    <t>Diluted PE</t>
  </si>
  <si>
    <t>市净率</t>
  </si>
  <si>
    <t>PB</t>
  </si>
  <si>
    <t>股利</t>
  </si>
  <si>
    <t>Dividend</t>
  </si>
  <si>
    <t>每股分红</t>
  </si>
  <si>
    <t>Dividend per share</t>
  </si>
  <si>
    <t>Payout ratio</t>
  </si>
  <si>
    <t>股息收益率</t>
  </si>
  <si>
    <t>Dividend yield</t>
  </si>
  <si>
    <t>EBIT</t>
  </si>
  <si>
    <t>EBIT Margin</t>
  </si>
  <si>
    <t>EBITDA</t>
  </si>
  <si>
    <r>
      <t xml:space="preserve">EBITDA </t>
    </r>
    <r>
      <rPr>
        <sz val="8"/>
        <rFont val="楷体_GB2312"/>
        <family val="3"/>
        <charset val="134"/>
      </rPr>
      <t>利润率</t>
    </r>
  </si>
  <si>
    <t>EBITDA Margin</t>
  </si>
  <si>
    <t>EV</t>
  </si>
  <si>
    <t>EV/EBITDA</t>
  </si>
  <si>
    <t>净利润率</t>
  </si>
  <si>
    <t>Net Margin</t>
  </si>
  <si>
    <t>ROE</t>
  </si>
  <si>
    <t>ROA</t>
  </si>
  <si>
    <t>2015E</t>
  </si>
  <si>
    <t>2016E</t>
  </si>
  <si>
    <t>2017E</t>
  </si>
  <si>
    <t>主营业务收入</t>
  </si>
  <si>
    <t xml:space="preserve">    YoY %</t>
  </si>
  <si>
    <t>销售成本</t>
  </si>
  <si>
    <t xml:space="preserve">  成本率</t>
  </si>
  <si>
    <t xml:space="preserve">  毛利率</t>
  </si>
  <si>
    <r>
      <t xml:space="preserve">      </t>
    </r>
    <r>
      <rPr>
        <sz val="8"/>
        <rFont val="楷体_GB2312"/>
        <family val="3"/>
        <charset val="134"/>
      </rPr>
      <t>销售及营销费用</t>
    </r>
  </si>
  <si>
    <t xml:space="preserve">   营业费用率</t>
  </si>
  <si>
    <t xml:space="preserve">   管理费用</t>
  </si>
  <si>
    <t xml:space="preserve">   管理费用率</t>
  </si>
  <si>
    <t>1H07</t>
  </si>
  <si>
    <t>1Q08</t>
  </si>
  <si>
    <t>1H08</t>
  </si>
  <si>
    <t>1-3Q08</t>
  </si>
  <si>
    <t>1Q07</t>
  </si>
  <si>
    <t>1-3Q07</t>
  </si>
  <si>
    <t>2009E</t>
  </si>
  <si>
    <r>
      <t xml:space="preserve">土地储备 </t>
    </r>
    <r>
      <rPr>
        <sz val="6"/>
        <rFont val="楷体_GB2312"/>
        <family val="3"/>
        <charset val="134"/>
      </rPr>
      <t>(平方米）</t>
    </r>
  </si>
  <si>
    <t>权益土地储备</t>
  </si>
  <si>
    <t>2010E</t>
  </si>
  <si>
    <t>2010E</t>
  </si>
  <si>
    <t>2011E</t>
  </si>
  <si>
    <t>2012E</t>
  </si>
  <si>
    <t>2013E</t>
  </si>
  <si>
    <t>2014E</t>
  </si>
  <si>
    <t>2015E</t>
  </si>
  <si>
    <t>2016E</t>
  </si>
  <si>
    <t>2017E</t>
  </si>
  <si>
    <t>净负债率</t>
  </si>
  <si>
    <t>毛利率</t>
  </si>
  <si>
    <t>每股股利</t>
  </si>
  <si>
    <t>投资性物业</t>
  </si>
  <si>
    <t>其他非流动资产</t>
  </si>
  <si>
    <t>预收客户合同工程款项</t>
  </si>
  <si>
    <t>应交所得税</t>
  </si>
  <si>
    <t>流动资产合计</t>
  </si>
  <si>
    <t>非流动资产合计</t>
  </si>
  <si>
    <t>应付款项合计</t>
  </si>
  <si>
    <t>应收款项合计</t>
  </si>
  <si>
    <t>单位：百万元</t>
  </si>
  <si>
    <t>The client is the Shanxi Provincial Government</t>
  </si>
  <si>
    <t xml:space="preserve">The project has a GFA of 200,000 sqm and the client is the Hangzhou Government. </t>
  </si>
  <si>
    <t xml:space="preserve">The project has a GFA of 500,000 sqm and the client is the Hangzhou Government. </t>
  </si>
  <si>
    <t xml:space="preserve">The project has a GFA of 310,000 sqm and the client is the Hangzhou Government. </t>
  </si>
  <si>
    <t>The client is the Wuhan Government</t>
  </si>
  <si>
    <t>Revenue (HK$ mn)</t>
  </si>
  <si>
    <t>Ending  Dec. 31, 2023</t>
  </si>
  <si>
    <t>Ending June 30, 2025</t>
  </si>
  <si>
    <t>Operating period:                               Feb. 22, 1999~Mar. 25, 2031</t>
  </si>
  <si>
    <t>Profit Before Income Tax</t>
  </si>
  <si>
    <t>Income Tax Expense</t>
  </si>
  <si>
    <t>Effective Rate</t>
  </si>
  <si>
    <t>Company Net Profit</t>
  </si>
  <si>
    <t>Net Profit Margin</t>
  </si>
  <si>
    <t>2005A</t>
  </si>
  <si>
    <t>2005A</t>
  </si>
  <si>
    <t>FY</t>
  </si>
  <si>
    <t>1H</t>
  </si>
  <si>
    <t>3Q</t>
  </si>
  <si>
    <t>Balance Sheet</t>
  </si>
  <si>
    <t>P/B (x)</t>
  </si>
  <si>
    <t>Current ratio</t>
  </si>
  <si>
    <t>Gearing ratio</t>
  </si>
  <si>
    <t>分部资产</t>
  </si>
  <si>
    <t>分部负债</t>
  </si>
  <si>
    <t>资本性支出</t>
  </si>
  <si>
    <t>分部利润</t>
  </si>
  <si>
    <t>分部资本性支出</t>
  </si>
  <si>
    <t>分部折旧和摊销</t>
  </si>
  <si>
    <t>地区分部</t>
  </si>
  <si>
    <t>外部营业收入</t>
  </si>
  <si>
    <t>2006A</t>
  </si>
  <si>
    <t>2006A</t>
  </si>
  <si>
    <t>2006A</t>
  </si>
  <si>
    <t>Non-current Assets</t>
  </si>
  <si>
    <t>Non-current Assets:</t>
  </si>
  <si>
    <t>Current Assets:</t>
  </si>
  <si>
    <r>
      <t>Gross  Profit Margin</t>
    </r>
    <r>
      <rPr>
        <sz val="8"/>
        <rFont val="宋体"/>
        <family val="3"/>
        <charset val="134"/>
      </rPr>
      <t>（</t>
    </r>
    <r>
      <rPr>
        <sz val="8"/>
        <rFont val="Arial"/>
        <family val="2"/>
      </rPr>
      <t>%</t>
    </r>
    <r>
      <rPr>
        <sz val="8"/>
        <rFont val="宋体"/>
        <family val="3"/>
        <charset val="134"/>
      </rPr>
      <t>）</t>
    </r>
  </si>
  <si>
    <t>S&amp;M expense ratio</t>
  </si>
  <si>
    <t>2018E</t>
  </si>
  <si>
    <t xml:space="preserve">Total Liabilities </t>
  </si>
  <si>
    <t>本公司权益：</t>
  </si>
  <si>
    <t>Equity</t>
  </si>
  <si>
    <t>Other Reserves</t>
  </si>
  <si>
    <t>Proposed Final Dividend</t>
  </si>
  <si>
    <t>权益合计</t>
  </si>
  <si>
    <t>Total Equity</t>
  </si>
  <si>
    <t>股本</t>
  </si>
  <si>
    <t>其他储备</t>
  </si>
  <si>
    <t>摊派期末股息</t>
  </si>
  <si>
    <t>Total</t>
  </si>
  <si>
    <t>Additions</t>
  </si>
  <si>
    <t>Cost</t>
  </si>
  <si>
    <t>Disposals/write-off</t>
  </si>
  <si>
    <t>Transfer to investment properties</t>
  </si>
  <si>
    <t>At 31 December 2006</t>
  </si>
  <si>
    <t>应占联营公司利润</t>
  </si>
  <si>
    <t>Elimination</t>
  </si>
  <si>
    <r>
      <t>NAV</t>
    </r>
    <r>
      <rPr>
        <sz val="8"/>
        <rFont val="楷体_GB2312"/>
        <family val="3"/>
        <charset val="134"/>
      </rPr>
      <t>每股净资产值(元)</t>
    </r>
  </si>
  <si>
    <t>Inventory turnover</t>
  </si>
  <si>
    <t>Assets turnover</t>
  </si>
  <si>
    <t>2009E</t>
  </si>
  <si>
    <t>合计</t>
  </si>
  <si>
    <t>2007A</t>
  </si>
  <si>
    <t>资产周转率</t>
  </si>
  <si>
    <t>liabilities</t>
  </si>
  <si>
    <t>EPS</t>
  </si>
  <si>
    <t>2006A</t>
  </si>
  <si>
    <t>2007A</t>
  </si>
  <si>
    <t>2010E</t>
  </si>
  <si>
    <t>Revenue</t>
  </si>
  <si>
    <t xml:space="preserve">    YoY %</t>
  </si>
  <si>
    <t xml:space="preserve">    YoY %</t>
  </si>
  <si>
    <t>% of revenue</t>
  </si>
  <si>
    <t>Cost of Sales</t>
  </si>
  <si>
    <t>Gross Profit</t>
  </si>
  <si>
    <t xml:space="preserve"> Gross Margin</t>
  </si>
  <si>
    <t>EV</t>
  </si>
  <si>
    <t>息税摊销折旧前利润</t>
  </si>
  <si>
    <t>EBITDA</t>
  </si>
  <si>
    <t xml:space="preserve"> Loss of JC Entities</t>
  </si>
  <si>
    <t>摊薄普通股基数</t>
  </si>
  <si>
    <t>其中：</t>
  </si>
  <si>
    <t xml:space="preserve">             非流通股（内资股）</t>
  </si>
  <si>
    <t>每股净资产</t>
  </si>
  <si>
    <r>
      <t>总借款</t>
    </r>
    <r>
      <rPr>
        <sz val="8"/>
        <rFont val="Arial"/>
        <family val="2"/>
      </rPr>
      <t xml:space="preserve"> / </t>
    </r>
    <r>
      <rPr>
        <sz val="8"/>
        <rFont val="楷体_GB2312"/>
        <family val="3"/>
        <charset val="134"/>
      </rPr>
      <t>净资产</t>
    </r>
  </si>
  <si>
    <r>
      <t>总借款</t>
    </r>
    <r>
      <rPr>
        <sz val="8"/>
        <rFont val="Arial"/>
        <family val="2"/>
      </rPr>
      <t xml:space="preserve"> / </t>
    </r>
    <r>
      <rPr>
        <sz val="8"/>
        <rFont val="楷体_GB2312"/>
        <family val="3"/>
        <charset val="134"/>
      </rPr>
      <t>总资产</t>
    </r>
  </si>
  <si>
    <t>净债务</t>
  </si>
  <si>
    <r>
      <t>净债务</t>
    </r>
    <r>
      <rPr>
        <sz val="8"/>
        <rFont val="Arial"/>
        <family val="2"/>
      </rPr>
      <t>+</t>
    </r>
    <r>
      <rPr>
        <sz val="8"/>
        <rFont val="楷体_GB2312"/>
        <family val="3"/>
        <charset val="134"/>
      </rPr>
      <t>少数股东权益</t>
    </r>
  </si>
  <si>
    <t>其他</t>
  </si>
  <si>
    <r>
      <t>占比</t>
    </r>
    <r>
      <rPr>
        <i/>
        <sz val="10"/>
        <rFont val="Arial"/>
        <family val="2"/>
      </rPr>
      <t>%</t>
    </r>
  </si>
  <si>
    <t>非流动负债合计</t>
  </si>
  <si>
    <t>流动负债：</t>
  </si>
  <si>
    <t>贸易及其他应付款</t>
  </si>
  <si>
    <t>Current Liabilities</t>
  </si>
  <si>
    <t>Non-current Liabilities:</t>
  </si>
  <si>
    <t>Current Liabilities:</t>
  </si>
  <si>
    <t>2001</t>
  </si>
  <si>
    <t>Reduce</t>
  </si>
  <si>
    <t>2002</t>
  </si>
  <si>
    <t>Direction</t>
  </si>
  <si>
    <t>@REC_DIRECTION</t>
  </si>
  <si>
    <t>EV/EBITDA</t>
  </si>
  <si>
    <t>主营业务利润</t>
  </si>
  <si>
    <t>Cash Flow Statement</t>
  </si>
  <si>
    <t>Admin expense ratio</t>
  </si>
  <si>
    <t>Wholly owned</t>
  </si>
  <si>
    <t>CSCEC</t>
  </si>
  <si>
    <t>Interst cost ratio</t>
  </si>
  <si>
    <t>D/A</t>
  </si>
  <si>
    <t>D/E</t>
  </si>
  <si>
    <t>AR turnover</t>
  </si>
  <si>
    <t xml:space="preserve">Interest Coverage ratio </t>
  </si>
  <si>
    <t>Subtotal Payables</t>
  </si>
  <si>
    <t>Quick ratio</t>
  </si>
  <si>
    <t>YoY%</t>
  </si>
  <si>
    <t>2011E</t>
  </si>
  <si>
    <t>2012E</t>
  </si>
  <si>
    <t>2013E</t>
  </si>
  <si>
    <t>2014E</t>
  </si>
  <si>
    <t>2015E</t>
  </si>
  <si>
    <t>2016E</t>
  </si>
  <si>
    <t>2017E</t>
  </si>
  <si>
    <t>负债合计</t>
  </si>
  <si>
    <t>Segment revenue</t>
  </si>
  <si>
    <t>Sell</t>
  </si>
  <si>
    <t>2003</t>
  </si>
  <si>
    <t>2004</t>
  </si>
  <si>
    <t>2005</t>
  </si>
  <si>
    <t>Not Rated</t>
  </si>
  <si>
    <t>2006</t>
  </si>
  <si>
    <t>2007</t>
  </si>
  <si>
    <t>2008</t>
  </si>
  <si>
    <t>A</t>
  </si>
  <si>
    <t>RMB</t>
  </si>
  <si>
    <t>@DATABEGIN</t>
  </si>
  <si>
    <t>Income Statement</t>
  </si>
  <si>
    <t>本公司股东权益</t>
  </si>
  <si>
    <t>Others</t>
  </si>
  <si>
    <r>
      <t>加：投资收益</t>
    </r>
    <r>
      <rPr>
        <sz val="8"/>
        <rFont val="Arial"/>
        <family val="2"/>
      </rPr>
      <t xml:space="preserve"> </t>
    </r>
  </si>
  <si>
    <t>投资活动产生的现金流量净额</t>
  </si>
  <si>
    <t>股权融资</t>
  </si>
  <si>
    <r>
      <t>公司借款变动</t>
    </r>
    <r>
      <rPr>
        <sz val="8"/>
        <rFont val="Arial"/>
        <family val="2"/>
      </rPr>
      <t xml:space="preserve"> </t>
    </r>
  </si>
  <si>
    <t>吸收投资</t>
  </si>
  <si>
    <t>筹资活动产生的现金流量净额</t>
  </si>
  <si>
    <t>汇率变动对现金的影响额</t>
  </si>
  <si>
    <t>收入占比</t>
  </si>
  <si>
    <t>收入</t>
  </si>
  <si>
    <t>分部利润</t>
  </si>
  <si>
    <t>Investment income</t>
  </si>
  <si>
    <t>Distribution and selling expenses</t>
  </si>
  <si>
    <t>Reversal of impairment loss of properties held for sales</t>
  </si>
  <si>
    <t>Impairment loss of investment properties</t>
  </si>
  <si>
    <t>Impairment loss of available-for-sale investments</t>
  </si>
  <si>
    <t>Property, plant and equipment</t>
  </si>
  <si>
    <t>Investment properties</t>
  </si>
  <si>
    <t>Investment in lands consolidation</t>
  </si>
  <si>
    <t>Interests in infrastructure project investment</t>
  </si>
  <si>
    <t>Prepaid lease payments</t>
  </si>
  <si>
    <t>Interests in associates</t>
  </si>
  <si>
    <t>Available-for-sale investments</t>
  </si>
  <si>
    <t>Amounts due from investee companies</t>
  </si>
  <si>
    <t>Inventories</t>
  </si>
  <si>
    <t>Properties held for sale</t>
  </si>
  <si>
    <t>Amounts due from customers for contract work</t>
  </si>
  <si>
    <t>Trade and other receivables</t>
  </si>
  <si>
    <t>Deposits and prepayments</t>
  </si>
  <si>
    <t>Amounts due from the partners of jointly controlled entities</t>
  </si>
  <si>
    <t>Amounts due from fellow subsidiaries</t>
  </si>
  <si>
    <t>Amount due from immediate holding company</t>
  </si>
  <si>
    <t>Tax recoverable</t>
  </si>
  <si>
    <t>Pledged bank deposits</t>
  </si>
  <si>
    <t>Bank balances and cash</t>
  </si>
  <si>
    <t>36 months</t>
  </si>
  <si>
    <t>银行结存与现金</t>
  </si>
  <si>
    <t xml:space="preserve">DCF </t>
  </si>
  <si>
    <t>WACC</t>
  </si>
  <si>
    <t>权益资本成本</t>
  </si>
  <si>
    <t>Cost of equity</t>
  </si>
  <si>
    <t>Debt cost before tax</t>
  </si>
  <si>
    <t>税前债务资本成本</t>
  </si>
  <si>
    <t>税率</t>
  </si>
  <si>
    <t>目标债务权益比</t>
  </si>
  <si>
    <t>无风险收益率</t>
  </si>
  <si>
    <t>Risk free rate</t>
  </si>
  <si>
    <t>Tax rate</t>
  </si>
  <si>
    <t>风险溢价</t>
  </si>
  <si>
    <t>Risk premiun</t>
  </si>
  <si>
    <t>Target D/E</t>
  </si>
  <si>
    <t>贝塔系数</t>
  </si>
  <si>
    <t>Beta</t>
  </si>
  <si>
    <t>永续增长率</t>
  </si>
  <si>
    <t xml:space="preserve">Perpetual growth rate </t>
  </si>
  <si>
    <t>自由现金流（百万港币）</t>
  </si>
  <si>
    <r>
      <t xml:space="preserve">FCF     </t>
    </r>
    <r>
      <rPr>
        <sz val="8"/>
        <rFont val="Arial"/>
        <family val="2"/>
      </rPr>
      <t>(mn HKD)</t>
    </r>
  </si>
  <si>
    <t>2010E</t>
  </si>
  <si>
    <t>2011E</t>
  </si>
  <si>
    <t>2012E</t>
  </si>
  <si>
    <t>2013E</t>
  </si>
  <si>
    <t>2014E</t>
  </si>
  <si>
    <t>2015E</t>
  </si>
  <si>
    <t>2016E</t>
  </si>
  <si>
    <t>2017E</t>
  </si>
  <si>
    <t>收入</t>
  </si>
  <si>
    <t>Revenue</t>
  </si>
  <si>
    <t>YoY%</t>
  </si>
  <si>
    <t xml:space="preserve">EBIT </t>
  </si>
  <si>
    <t>EBIT Margin</t>
  </si>
  <si>
    <t>EBIT*(1-Tax Rate)</t>
  </si>
  <si>
    <t>折旧和摊销</t>
  </si>
  <si>
    <t>D&amp;A</t>
  </si>
  <si>
    <t>EBITDA</t>
  </si>
  <si>
    <t>营运资金变化</t>
  </si>
  <si>
    <t>(+/-)Working Capital</t>
  </si>
  <si>
    <t>资本支出</t>
  </si>
  <si>
    <t>Capex</t>
  </si>
  <si>
    <t xml:space="preserve">FCF </t>
  </si>
  <si>
    <t>Free Cash Flow</t>
  </si>
  <si>
    <t>估值分析</t>
  </si>
  <si>
    <r>
      <t>DCF</t>
    </r>
    <r>
      <rPr>
        <b/>
        <sz val="8"/>
        <rFont val="楷体_GB2312"/>
        <family val="3"/>
        <charset val="134"/>
      </rPr>
      <t>结果</t>
    </r>
  </si>
  <si>
    <t>mn HKD</t>
  </si>
  <si>
    <t>预测期自由现金流现值</t>
  </si>
  <si>
    <t xml:space="preserve">PV of Future FCF </t>
  </si>
  <si>
    <t>自由现金流终值</t>
  </si>
  <si>
    <t>永续自由现金流现值</t>
  </si>
  <si>
    <t xml:space="preserve">PV of terminal value </t>
  </si>
  <si>
    <t>内在价值</t>
  </si>
  <si>
    <t xml:space="preserve">Enterprise value </t>
  </si>
  <si>
    <r>
      <t>净债务</t>
    </r>
    <r>
      <rPr>
        <sz val="8"/>
        <rFont val="Arial"/>
        <family val="2"/>
      </rPr>
      <t xml:space="preserve"> </t>
    </r>
  </si>
  <si>
    <t xml:space="preserve">Net debt </t>
  </si>
  <si>
    <t>少数股东权益</t>
  </si>
  <si>
    <t xml:space="preserve">Minority interest </t>
  </si>
  <si>
    <t>权益价值</t>
  </si>
  <si>
    <t xml:space="preserve">Net Present Value </t>
  </si>
  <si>
    <r>
      <t>总股本</t>
    </r>
    <r>
      <rPr>
        <sz val="8"/>
        <rFont val="Arial"/>
        <family val="2"/>
      </rPr>
      <t>(</t>
    </r>
    <r>
      <rPr>
        <sz val="8"/>
        <rFont val="楷体_GB2312"/>
        <family val="3"/>
        <charset val="134"/>
      </rPr>
      <t>百万股）</t>
    </r>
  </si>
  <si>
    <t>每股价值（元）</t>
  </si>
  <si>
    <t>NPV per share  (Rmb)</t>
  </si>
  <si>
    <t>每股价值（港元）</t>
  </si>
  <si>
    <t>NPV per share  (HK$)</t>
  </si>
  <si>
    <t>每股收益（元）</t>
  </si>
  <si>
    <t>Earning per share (HKD) 2009</t>
  </si>
  <si>
    <t>Earning per share (HKD) 2010</t>
  </si>
  <si>
    <r>
      <t>隐含市盈率</t>
    </r>
    <r>
      <rPr>
        <sz val="8"/>
        <rFont val="Arial"/>
        <family val="2"/>
      </rPr>
      <t>(09)</t>
    </r>
    <r>
      <rPr>
        <sz val="8"/>
        <rFont val="楷体_GB2312"/>
        <family val="3"/>
        <charset val="134"/>
      </rPr>
      <t xml:space="preserve"> </t>
    </r>
  </si>
  <si>
    <t>Implied PE (09)</t>
  </si>
  <si>
    <r>
      <t>隐含市盈率</t>
    </r>
    <r>
      <rPr>
        <sz val="8"/>
        <rFont val="Arial"/>
        <family val="2"/>
      </rPr>
      <t>(10)</t>
    </r>
    <r>
      <rPr>
        <sz val="8"/>
        <rFont val="楷体_GB2312"/>
        <family val="3"/>
        <charset val="134"/>
      </rPr>
      <t xml:space="preserve"> </t>
    </r>
  </si>
  <si>
    <t>Implied PE (10)</t>
  </si>
  <si>
    <t>敏感性分析</t>
  </si>
  <si>
    <t>Perpetual growth</t>
  </si>
  <si>
    <t>权益资本成本</t>
  </si>
  <si>
    <t>无风险收益率</t>
  </si>
  <si>
    <t>风险溢价</t>
  </si>
  <si>
    <t>贝塔系数</t>
  </si>
  <si>
    <t>税前债务资本成本</t>
  </si>
  <si>
    <t>税率</t>
  </si>
  <si>
    <t>目标债务权益比</t>
  </si>
  <si>
    <t>假设</t>
  </si>
  <si>
    <t>Overseas</t>
  </si>
  <si>
    <t>Relocation Housing Project in Junliang City, Tianjin, China</t>
  </si>
  <si>
    <t>HK$3.0bn</t>
  </si>
  <si>
    <t>2010A</t>
  </si>
  <si>
    <t>其他应收款</t>
  </si>
  <si>
    <t xml:space="preserve">Nanjing Second Bridge </t>
  </si>
  <si>
    <t>Joint Venture</t>
  </si>
  <si>
    <t>阳泉至娘子关高速公路</t>
  </si>
  <si>
    <t>已抵押银行存款</t>
  </si>
  <si>
    <t>Deposits with financial institutions</t>
  </si>
  <si>
    <t>金融机构之存款</t>
  </si>
  <si>
    <t>银行结余及现金</t>
  </si>
  <si>
    <t>银行透支</t>
  </si>
  <si>
    <t>Bank overdrafts</t>
  </si>
  <si>
    <t>Bank balances and cash</t>
  </si>
  <si>
    <t>The vendor</t>
  </si>
  <si>
    <t>Directors</t>
  </si>
  <si>
    <t>Public Shareholders</t>
  </si>
  <si>
    <t>Before placing and subscription</t>
  </si>
  <si>
    <t>After placing and subscription</t>
  </si>
  <si>
    <t>建筑工程</t>
  </si>
  <si>
    <t>基建项目投资</t>
  </si>
  <si>
    <t>Construction activities</t>
  </si>
  <si>
    <t>供应热电及提供接驳服务</t>
  </si>
  <si>
    <t>Supply of heat and electricity and provision of connection service</t>
  </si>
  <si>
    <t>Infrastructure project investment</t>
  </si>
  <si>
    <t>Total</t>
  </si>
  <si>
    <t>分部资产</t>
  </si>
  <si>
    <t>Financial cost rate</t>
  </si>
  <si>
    <t>2011A</t>
  </si>
  <si>
    <t>毛利</t>
  </si>
  <si>
    <t>(+/-%)</t>
  </si>
  <si>
    <r>
      <t>总债务</t>
    </r>
    <r>
      <rPr>
        <sz val="8"/>
        <rFont val="Arial"/>
        <family val="2"/>
      </rPr>
      <t>/</t>
    </r>
    <r>
      <rPr>
        <sz val="8"/>
        <rFont val="楷体_GB2312"/>
        <family val="3"/>
        <charset val="134"/>
      </rPr>
      <t>债务</t>
    </r>
    <r>
      <rPr>
        <sz val="8"/>
        <rFont val="Arial"/>
        <family val="2"/>
      </rPr>
      <t>+</t>
    </r>
    <r>
      <rPr>
        <sz val="8"/>
        <rFont val="楷体_GB2312"/>
        <family val="3"/>
        <charset val="134"/>
      </rPr>
      <t>净资产</t>
    </r>
  </si>
  <si>
    <t>其他与投资活动有关的现金</t>
  </si>
  <si>
    <t>分配股利及偿付利息等</t>
  </si>
  <si>
    <t>Other income and expenses</t>
  </si>
  <si>
    <t xml:space="preserve">   投资收入</t>
  </si>
  <si>
    <t>Administrative Expenses</t>
  </si>
  <si>
    <t xml:space="preserve">   资产减值</t>
  </si>
  <si>
    <t>Trade &amp; Other Receivables</t>
  </si>
  <si>
    <t>（百万港币）</t>
  </si>
  <si>
    <t>HKD mn</t>
  </si>
  <si>
    <t>due from Customers for Contract Work</t>
  </si>
  <si>
    <t>Other receivables</t>
  </si>
  <si>
    <t>已落成待售物业</t>
  </si>
  <si>
    <t>贸易及其他应收款</t>
  </si>
  <si>
    <t>应收客户合同工程款项</t>
  </si>
  <si>
    <t>Other Current Assets</t>
  </si>
  <si>
    <t>预付税项</t>
  </si>
  <si>
    <t>Trade and Other Payables</t>
  </si>
  <si>
    <t>Other payable</t>
  </si>
  <si>
    <t>Due to Customers for Contract Work</t>
  </si>
  <si>
    <t>Other liability</t>
  </si>
  <si>
    <t>其他应付</t>
  </si>
  <si>
    <t>Share Capital</t>
  </si>
  <si>
    <t>Share Premium  and reserves</t>
  </si>
  <si>
    <t>Net Profit</t>
  </si>
  <si>
    <t>Minority Interest</t>
  </si>
  <si>
    <t>Depreciation &amp; Amortization</t>
  </si>
  <si>
    <t>Change in Working Capital</t>
  </si>
  <si>
    <t>Financal expense</t>
  </si>
  <si>
    <t>Investment Income/loss</t>
  </si>
  <si>
    <t>Exchange losses</t>
  </si>
  <si>
    <t>Others</t>
  </si>
  <si>
    <t>In line with our expectation</t>
  </si>
  <si>
    <t>The gross margin from BT projects in PRC improved</t>
  </si>
  <si>
    <t>Dividend Yield</t>
  </si>
  <si>
    <t>(Rmb mn)</t>
  </si>
  <si>
    <t>Growth (%)</t>
  </si>
  <si>
    <t>PE(x)</t>
  </si>
  <si>
    <t>Revenue</t>
  </si>
  <si>
    <t>CF(x)</t>
  </si>
  <si>
    <t>Yield (%)</t>
  </si>
  <si>
    <t>ROE (%)</t>
  </si>
  <si>
    <t>2008E</t>
  </si>
  <si>
    <t>收盘价</t>
  </si>
  <si>
    <t>2004A</t>
  </si>
  <si>
    <t>主营业务收入</t>
  </si>
  <si>
    <t xml:space="preserve">Revenue </t>
  </si>
  <si>
    <t>增长率</t>
  </si>
  <si>
    <t xml:space="preserve">Net profit  </t>
  </si>
  <si>
    <t>每股收益</t>
  </si>
  <si>
    <t>EPS (Rmb)</t>
  </si>
  <si>
    <t>EPS growth (%)</t>
  </si>
  <si>
    <t>市盈率</t>
  </si>
  <si>
    <t>企业价值</t>
  </si>
  <si>
    <t>1H2009</t>
  </si>
  <si>
    <t>2H2009</t>
  </si>
  <si>
    <t>Revenue</t>
  </si>
  <si>
    <t>2008A</t>
  </si>
  <si>
    <t>存货周转率</t>
  </si>
  <si>
    <t>Total</t>
  </si>
  <si>
    <t xml:space="preserve">      分部营业额</t>
  </si>
  <si>
    <t xml:space="preserve">      分部间营业额</t>
  </si>
  <si>
    <t>营业额</t>
  </si>
  <si>
    <t>分部业绩</t>
  </si>
  <si>
    <t xml:space="preserve">2 years </t>
  </si>
  <si>
    <t>Business type</t>
  </si>
  <si>
    <t>CSC's interest</t>
  </si>
  <si>
    <t>Joint Venture</t>
  </si>
  <si>
    <t>BOT</t>
  </si>
  <si>
    <t>Bridge concession terms</t>
  </si>
  <si>
    <t>Wholly owned</t>
  </si>
  <si>
    <t xml:space="preserve">East Lake Passageway and Yangtze-River Avenue BT project </t>
  </si>
  <si>
    <t>Limin Jiayuan Affordable Housing BT project in Zhangzhou</t>
  </si>
  <si>
    <t>HK$2,260mn</t>
  </si>
  <si>
    <t>HK$2,840mn</t>
  </si>
  <si>
    <t>Loan from intermediate holding company</t>
  </si>
  <si>
    <t xml:space="preserve">    2010A</t>
  </si>
  <si>
    <t xml:space="preserve">    2011A</t>
  </si>
  <si>
    <t>Long term Investment Change</t>
  </si>
  <si>
    <t>永续增长率</t>
  </si>
  <si>
    <t>三项费用率</t>
  </si>
  <si>
    <t>2012A</t>
  </si>
  <si>
    <t>2011A</t>
  </si>
  <si>
    <t>EPS</t>
  </si>
  <si>
    <t>ROE</t>
  </si>
  <si>
    <t>Asset/Liability Ratio</t>
  </si>
  <si>
    <t>Book Value/Equity</t>
  </si>
  <si>
    <t>gross margin</t>
  </si>
  <si>
    <t>Equity</t>
  </si>
  <si>
    <t>Net profit</t>
  </si>
  <si>
    <t>net margin</t>
  </si>
  <si>
    <t>Revenue</t>
  </si>
  <si>
    <t>Revenue</t>
  </si>
  <si>
    <t>2013E</t>
  </si>
  <si>
    <t>2014E</t>
  </si>
  <si>
    <t>2015E</t>
  </si>
  <si>
    <t>cash construction</t>
  </si>
  <si>
    <t>net margin</t>
  </si>
  <si>
    <t>Leasing Business</t>
  </si>
  <si>
    <r>
      <rPr>
        <sz val="10"/>
        <rFont val="宋体"/>
        <family val="3"/>
        <charset val="134"/>
      </rPr>
      <t>不能划分的费用</t>
    </r>
  </si>
  <si>
    <r>
      <rPr>
        <sz val="10"/>
        <rFont val="宋体"/>
        <family val="3"/>
        <charset val="134"/>
      </rPr>
      <t>税率</t>
    </r>
  </si>
  <si>
    <r>
      <rPr>
        <sz val="10"/>
        <rFont val="宋体"/>
        <family val="3"/>
        <charset val="134"/>
      </rPr>
      <t>实际利率</t>
    </r>
  </si>
  <si>
    <r>
      <rPr>
        <sz val="10"/>
        <rFont val="宋体"/>
        <family val="3"/>
        <charset val="134"/>
      </rPr>
      <t>机会成本</t>
    </r>
  </si>
  <si>
    <t>segment margin</t>
  </si>
  <si>
    <t>Gross profit</t>
  </si>
  <si>
    <t>Segment profit</t>
  </si>
  <si>
    <t>Net profit</t>
  </si>
  <si>
    <t>Target PB</t>
  </si>
  <si>
    <t>Total company</t>
  </si>
  <si>
    <t>Sum of parts</t>
  </si>
  <si>
    <t>Valuation</t>
  </si>
  <si>
    <t>8x Target PE Value</t>
  </si>
  <si>
    <t>Value</t>
  </si>
  <si>
    <t>@STOCK_CNAME</t>
  </si>
  <si>
    <t>Company Name</t>
  </si>
  <si>
    <t>China State Construction</t>
  </si>
  <si>
    <t>1995</t>
  </si>
  <si>
    <t>@STOCK_CODE</t>
  </si>
  <si>
    <t>Ticker</t>
  </si>
  <si>
    <t>3311</t>
  </si>
  <si>
    <t>1Q</t>
  </si>
  <si>
    <t>1996</t>
  </si>
  <si>
    <t>@INSTTYPE</t>
  </si>
  <si>
    <t>Instrument Type</t>
  </si>
  <si>
    <t>HKINDU</t>
  </si>
  <si>
    <t>1997</t>
  </si>
  <si>
    <t>HOLD</t>
  </si>
  <si>
    <t>1998</t>
  </si>
  <si>
    <t>@REC</t>
  </si>
  <si>
    <t>Recommendation</t>
  </si>
  <si>
    <t>1999</t>
  </si>
  <si>
    <t>SELL</t>
  </si>
  <si>
    <t>@TARGET</t>
  </si>
  <si>
    <t>Share Price Target</t>
  </si>
  <si>
    <t>2000</t>
  </si>
  <si>
    <t>Not rated</t>
  </si>
  <si>
    <t>@FINA_YEAR</t>
  </si>
  <si>
    <t>Reporting Year</t>
  </si>
  <si>
    <t>@FINA_PERIOD</t>
  </si>
  <si>
    <t>Reporting Period</t>
  </si>
  <si>
    <t>@ACCOUNTS_STATUS</t>
  </si>
  <si>
    <t>Accounts Status</t>
  </si>
  <si>
    <t>@MULTIPLIER</t>
  </si>
  <si>
    <t>Unit</t>
  </si>
  <si>
    <t>@CURRENCY_ENAME</t>
  </si>
  <si>
    <t>Fundamental Currency</t>
  </si>
  <si>
    <t>Buy</t>
  </si>
  <si>
    <t>HK</t>
  </si>
  <si>
    <t>Accumulate</t>
  </si>
  <si>
    <t>@HKINDU001</t>
  </si>
  <si>
    <t>@HKINDU002</t>
  </si>
  <si>
    <t>Cost of goods sold (-)</t>
  </si>
  <si>
    <t>2010</t>
  </si>
  <si>
    <t>@HKINDU028</t>
  </si>
  <si>
    <t>Gross profit</t>
  </si>
  <si>
    <t>Short-term</t>
  </si>
  <si>
    <t>2011</t>
  </si>
  <si>
    <t>@HKINDU026</t>
  </si>
  <si>
    <t>Other gains, net</t>
  </si>
  <si>
    <t>2012</t>
  </si>
  <si>
    <t>@HKINDU008</t>
  </si>
  <si>
    <t>Total Operating Expenses (-)</t>
  </si>
  <si>
    <t>2013</t>
  </si>
  <si>
    <t>@HKINDU004</t>
  </si>
  <si>
    <t>Selling expenses</t>
  </si>
  <si>
    <t>Consolidated</t>
  </si>
  <si>
    <t>2014</t>
  </si>
  <si>
    <t>@HKINDU005</t>
  </si>
  <si>
    <t>General and administrative expenses</t>
  </si>
  <si>
    <t>HKD</t>
  </si>
  <si>
    <t>2016</t>
  </si>
  <si>
    <t>@HKINDU006</t>
  </si>
  <si>
    <t>R&amp;D expenses</t>
  </si>
  <si>
    <t>USD</t>
  </si>
  <si>
    <t>2017</t>
  </si>
  <si>
    <t>@HKINDU003</t>
  </si>
  <si>
    <t>Other Operating Expenses (-)</t>
  </si>
  <si>
    <t>SGD</t>
  </si>
  <si>
    <t>2015</t>
  </si>
  <si>
    <t>@HKINDU027</t>
  </si>
  <si>
    <t>Operating profit</t>
  </si>
  <si>
    <t>CAD</t>
  </si>
  <si>
    <t>2018</t>
  </si>
  <si>
    <t>@HKINDU007</t>
  </si>
  <si>
    <t>Financial costs (-)</t>
  </si>
  <si>
    <t>2019</t>
  </si>
  <si>
    <t>@HKINDU010</t>
  </si>
  <si>
    <t>Interest Expense (-)</t>
  </si>
  <si>
    <t>2020</t>
  </si>
  <si>
    <t>@HKINDU009</t>
  </si>
  <si>
    <t>Interest Income (+)</t>
  </si>
  <si>
    <t>@HKINDU012</t>
  </si>
  <si>
    <t>Foreign Exchange Gain/Loss (+/-)</t>
  </si>
  <si>
    <t>@HKINDU014</t>
  </si>
  <si>
    <t>Net Participation Income/Associates Profits (+/-)</t>
  </si>
  <si>
    <t>@HKINDU013</t>
  </si>
  <si>
    <t>Other Income/ Expense (+/-)</t>
  </si>
  <si>
    <t>@HKINDU017</t>
  </si>
  <si>
    <t>Profit before taxes</t>
  </si>
  <si>
    <t>@HKINDU018</t>
  </si>
  <si>
    <t>Taxes on Profit (-)</t>
  </si>
  <si>
    <t>@HKINDU019</t>
  </si>
  <si>
    <t>Minority Interests (+/-)</t>
  </si>
  <si>
    <t>@HKINDU020</t>
  </si>
  <si>
    <t>Preference Dividends (-)</t>
  </si>
  <si>
    <t>@HKINDU022</t>
  </si>
  <si>
    <t>@HKINDU023</t>
  </si>
  <si>
    <t>Adjustments (Non Recurrent Items) (+/-)</t>
  </si>
  <si>
    <t>@HKINDU024</t>
  </si>
  <si>
    <t>Recurrent Net Profit</t>
  </si>
  <si>
    <t>@HKINDU021</t>
  </si>
  <si>
    <t>Dividends</t>
  </si>
  <si>
    <t>@HKINDU089</t>
  </si>
  <si>
    <t>Assets</t>
  </si>
  <si>
    <t>@HKINDU050</t>
  </si>
  <si>
    <t>Total Non Current Assets</t>
  </si>
  <si>
    <t>@HKINDU051</t>
  </si>
  <si>
    <t>Property plant and equipment, net</t>
  </si>
  <si>
    <t>@HKINDU090</t>
  </si>
  <si>
    <t>Gross Value (+)</t>
  </si>
  <si>
    <t>@HKINDU052</t>
  </si>
  <si>
    <t>Accumulated Depreciation (-)</t>
  </si>
  <si>
    <t>@HKINDU053</t>
  </si>
  <si>
    <t>Construction in Process</t>
  </si>
  <si>
    <t>@HKINDU054</t>
  </si>
  <si>
    <t>Long-term Investments</t>
  </si>
  <si>
    <t>@HKINDU056</t>
  </si>
  <si>
    <t>Goodwill, net</t>
  </si>
  <si>
    <t>@HKINDU057</t>
  </si>
  <si>
    <t>Other Intangible Asset, net</t>
  </si>
  <si>
    <t>@HKINDU058</t>
  </si>
  <si>
    <t>Deferred Tax Asset</t>
  </si>
  <si>
    <t>@HKINDU059</t>
  </si>
  <si>
    <t>Deferred Charges</t>
  </si>
  <si>
    <t>@HKINDU055</t>
  </si>
  <si>
    <t>Other non-current Asset</t>
  </si>
  <si>
    <t>@HKINDU068</t>
  </si>
  <si>
    <t>Total Current Assets</t>
  </si>
  <si>
    <t>@HKINDU061</t>
  </si>
  <si>
    <t>Cash and cash equivalents</t>
  </si>
  <si>
    <t>@HKINDU063</t>
  </si>
  <si>
    <t>Short-term Investment in securities</t>
  </si>
  <si>
    <t>@HKINDU064</t>
  </si>
  <si>
    <t>Inventories, net</t>
  </si>
  <si>
    <t>@HKINDU066</t>
  </si>
  <si>
    <t>Account Receivables, net</t>
  </si>
  <si>
    <t>@HKINDU067</t>
  </si>
  <si>
    <t>@HKINDU069</t>
  </si>
  <si>
    <t>Total Assets</t>
  </si>
  <si>
    <t>@HKINDU091</t>
  </si>
  <si>
    <t>Liabilities</t>
  </si>
  <si>
    <t>@HKINDU076</t>
  </si>
  <si>
    <t>Total Non Current Liabilities</t>
  </si>
  <si>
    <t>@HKINDU077</t>
  </si>
  <si>
    <t>Long Term Debt</t>
  </si>
  <si>
    <t>@HKINDU079</t>
  </si>
  <si>
    <t>Deferred Tax Liabilities</t>
  </si>
  <si>
    <t>@HKINDU078</t>
  </si>
  <si>
    <t>Other LT Liabilities</t>
  </si>
  <si>
    <t>@HKINDU070</t>
  </si>
  <si>
    <t>Total Current Liabilities</t>
  </si>
  <si>
    <t>@HKINDU071</t>
  </si>
  <si>
    <t>Short Term Debt</t>
  </si>
  <si>
    <t>@HKINDU074</t>
  </si>
  <si>
    <t>Current portion of long-term debt</t>
  </si>
  <si>
    <t>@HKINDU072</t>
  </si>
  <si>
    <t>Accounts Payable</t>
  </si>
  <si>
    <t>@HKINDU065</t>
  </si>
  <si>
    <t>Taxation Payable</t>
  </si>
  <si>
    <t>@HKINDU060</t>
  </si>
  <si>
    <t>Other payables and accruals</t>
  </si>
  <si>
    <t>@HKINDU073</t>
  </si>
  <si>
    <t>Other Current Liabilities</t>
  </si>
  <si>
    <t>@HKINDU080</t>
  </si>
  <si>
    <t>Total Liabilities</t>
  </si>
  <si>
    <t>@HKINDU085</t>
  </si>
  <si>
    <t>Minority Interests</t>
  </si>
  <si>
    <t>@HKINDU092</t>
  </si>
  <si>
    <t>Equity</t>
  </si>
  <si>
    <t>@HKINDU082</t>
  </si>
  <si>
    <t>@HKINDU083</t>
  </si>
  <si>
    <t>Reserves (Including Retained Earnings)</t>
  </si>
  <si>
    <t>@HKINDU086</t>
  </si>
  <si>
    <t>Total Equity</t>
  </si>
  <si>
    <t>@HKINDU088</t>
  </si>
  <si>
    <t>Total Equity and Liabilities</t>
  </si>
  <si>
    <t>@HKINDU150</t>
  </si>
  <si>
    <t>Cash flows from operating activities</t>
  </si>
  <si>
    <t>@HKINDU151</t>
  </si>
  <si>
    <t>Profit Before Tax (After-extraordinaries)</t>
  </si>
  <si>
    <t>@HKINDU152</t>
  </si>
  <si>
    <t>Associates Profit (+/-)</t>
  </si>
  <si>
    <t>@HKINDU153</t>
  </si>
  <si>
    <t>Associates Dividends (+)</t>
  </si>
  <si>
    <t>@HKINDU154</t>
  </si>
  <si>
    <t>Depreciation (+)</t>
  </si>
  <si>
    <t>@HKINDU155</t>
  </si>
  <si>
    <t>Amortization (+)</t>
  </si>
  <si>
    <t>@HKINDU156</t>
  </si>
  <si>
    <t>Tax Paid (-)</t>
  </si>
  <si>
    <t>@HKINDU157</t>
  </si>
  <si>
    <t>Change in Working Capital (-/+)</t>
  </si>
  <si>
    <t>@HKINDU158</t>
  </si>
  <si>
    <t>Change in Provisions (+/-)</t>
  </si>
  <si>
    <t>@HKINDU159</t>
  </si>
  <si>
    <t>Profit on disposal of FAs/Subsidiaries/Investments (-)</t>
  </si>
  <si>
    <t>@HKINDU160</t>
  </si>
  <si>
    <t>Other Items</t>
  </si>
  <si>
    <t>@HKINDU161</t>
  </si>
  <si>
    <t>Cash flows from investing activities</t>
  </si>
  <si>
    <t>@HKINDU162</t>
  </si>
  <si>
    <t>Capital Expenditure</t>
  </si>
  <si>
    <t>@HKINDU163</t>
  </si>
  <si>
    <t>Change in long-term investment</t>
  </si>
  <si>
    <t>@HKINDU164</t>
  </si>
  <si>
    <t>Acquisition of Subsidiaries/ Investments</t>
  </si>
  <si>
    <t>@HKINDU165</t>
  </si>
  <si>
    <t>@HKINDU166</t>
  </si>
  <si>
    <t>Cash flows from financing activities</t>
  </si>
  <si>
    <t>@HKINDU167</t>
  </si>
  <si>
    <t>Proceeds from Share Issues</t>
  </si>
  <si>
    <t>@HKINDU168</t>
  </si>
  <si>
    <t>Dividends Paid</t>
  </si>
  <si>
    <t>@HKINDU169</t>
  </si>
  <si>
    <t>Change in bankloan</t>
  </si>
  <si>
    <t>@HKINDU170</t>
  </si>
  <si>
    <t>Contribution from Minorities</t>
  </si>
  <si>
    <t>@HKINDU171</t>
  </si>
  <si>
    <t>@HKINDU172</t>
  </si>
  <si>
    <t>Gain/Loss from Currency Adjustments</t>
  </si>
  <si>
    <t>@HKINDU173</t>
  </si>
  <si>
    <t>Net Cash Flow</t>
  </si>
  <si>
    <t>@HKINDU174</t>
  </si>
  <si>
    <t>Cash and cash equivalents at beginning of the year</t>
  </si>
  <si>
    <t>@HKINDU175</t>
  </si>
  <si>
    <t>Cash and cash equivalents at end of the year</t>
  </si>
  <si>
    <t>@HKINDU200</t>
  </si>
  <si>
    <t>P/L Items</t>
  </si>
  <si>
    <t>@HKINDU201</t>
  </si>
  <si>
    <t>EBIT</t>
  </si>
  <si>
    <t>@HKINDU202</t>
  </si>
  <si>
    <t>EBITDA</t>
  </si>
  <si>
    <t>@HKINDU204</t>
  </si>
  <si>
    <t>Net Operating Profit Less Adjusted Tax (NOPLAT)</t>
  </si>
  <si>
    <t>@HKINDU206</t>
  </si>
  <si>
    <t>@HKINDU207</t>
  </si>
  <si>
    <t>Net interest expenses</t>
  </si>
  <si>
    <t>@HKINDU208</t>
  </si>
  <si>
    <t>Balance Sheet Items</t>
  </si>
  <si>
    <t>@HKINDU209</t>
  </si>
  <si>
    <t>Unadjusted Issued Common Shares (Nos.)</t>
  </si>
  <si>
    <t>@HKINDU213</t>
  </si>
  <si>
    <t>Fully Diluted Common shares (Nos.)</t>
  </si>
  <si>
    <t>@HKINDU210</t>
  </si>
  <si>
    <t>Tradable A-shares</t>
  </si>
  <si>
    <t>@HKINDU211</t>
  </si>
  <si>
    <t>Tradable B-shares</t>
  </si>
  <si>
    <t>@HKINDU212</t>
  </si>
  <si>
    <t>Tradable H-shares</t>
  </si>
  <si>
    <t>@HKINDU224</t>
  </si>
  <si>
    <t>Average Asset</t>
  </si>
  <si>
    <t>@HKINDU217</t>
  </si>
  <si>
    <t>Average Net Asset</t>
  </si>
  <si>
    <t>@HKINDU218</t>
  </si>
  <si>
    <t>Capital Employed</t>
  </si>
  <si>
    <t>@HKINDU225</t>
  </si>
  <si>
    <t>Average Capital Employed</t>
  </si>
  <si>
    <t>@HKINDU219</t>
  </si>
  <si>
    <t>Cash Flow Items</t>
  </si>
  <si>
    <t>@HKINDU222</t>
  </si>
  <si>
    <t>Free Cash Flow</t>
  </si>
  <si>
    <t>@HKINDU240</t>
  </si>
  <si>
    <t>Profitability Ratios</t>
  </si>
  <si>
    <t>@HKINDU252</t>
  </si>
  <si>
    <t>Gearing Ratios</t>
  </si>
  <si>
    <t>@HKINDU258</t>
  </si>
  <si>
    <t>Liquidity Ratios</t>
  </si>
  <si>
    <t>@HKINDU262</t>
  </si>
  <si>
    <t>Per Share Ratios</t>
  </si>
  <si>
    <t>@HKINDU272</t>
  </si>
  <si>
    <t>Debt Service/Coverage Ratios</t>
  </si>
  <si>
    <t>@HKINDU278</t>
  </si>
  <si>
    <t>Activity Ratios</t>
  </si>
  <si>
    <t>@HKINDU283</t>
  </si>
  <si>
    <t>Valuation Data</t>
  </si>
  <si>
    <t>@HKINDU284</t>
  </si>
  <si>
    <t>Long Term Net Gearing Target</t>
  </si>
  <si>
    <t>@HKINDU285</t>
  </si>
  <si>
    <t>Net Asset Value/Share</t>
  </si>
  <si>
    <t>@HKINDU286</t>
  </si>
  <si>
    <t>Net Present Value/Share</t>
  </si>
  <si>
    <t>@HKINDU287</t>
  </si>
  <si>
    <t>WACC</t>
  </si>
  <si>
    <t>@HKINDU288</t>
  </si>
  <si>
    <t>Risk Free Rate</t>
  </si>
  <si>
    <t>@HKINDU289</t>
  </si>
  <si>
    <t>Equity Risk Premium</t>
  </si>
  <si>
    <t>@HKINDU290</t>
  </si>
  <si>
    <t>Company Risk Adjustment (Beta)</t>
  </si>
  <si>
    <t>@HKINDU291</t>
  </si>
  <si>
    <t>Cost Of Equity</t>
  </si>
  <si>
    <t>@HKINDU292</t>
  </si>
  <si>
    <t>Pre-Tax Cost Of Long-Term Debt</t>
  </si>
  <si>
    <t>@HKINDU293</t>
  </si>
  <si>
    <t>After Tax Cost Of Debt</t>
  </si>
  <si>
    <t>@HKINDU294</t>
  </si>
  <si>
    <t>Market Valuation</t>
  </si>
  <si>
    <t>@HKINDU300</t>
  </si>
  <si>
    <t>Growth</t>
  </si>
  <si>
    <t>@HKINDU310</t>
  </si>
  <si>
    <t>@HKINDU330</t>
  </si>
  <si>
    <t>No items</t>
  </si>
  <si>
    <t>The client is Wenzhou Lucheng District People’s Government</t>
  </si>
  <si>
    <t>BT Contract of Phase III of Affordable Housing Construction in Lucheng District, Wenzhou, Zhejiang Province</t>
  </si>
  <si>
    <t>2022E</t>
  </si>
  <si>
    <t>Relocation Housing BT project in Pinghu of Jiaxing City, Zhejiang Province</t>
  </si>
  <si>
    <t>The client is Jiaxing Pinghu Municipality Government</t>
  </si>
  <si>
    <t>Nanchang Bridge</t>
  </si>
  <si>
    <t>Nanchang Zhonghai Xinbayi Bridge</t>
  </si>
  <si>
    <t>Yangquan-Ningziguan highway project</t>
  </si>
  <si>
    <t>Two years for construction and a 30-year term of
operation</t>
  </si>
  <si>
    <t>Yangquan-Yuxian Expressway</t>
  </si>
  <si>
    <t>Policy housing</t>
  </si>
  <si>
    <t>City</t>
  </si>
  <si>
    <t>Announcement date</t>
  </si>
  <si>
    <t>Construction period</t>
  </si>
  <si>
    <t>GFA (sqm)</t>
  </si>
  <si>
    <t>Notes</t>
  </si>
  <si>
    <t>Tianjin</t>
  </si>
  <si>
    <t xml:space="preserve">The client is the Tianjin government and the project is located in the city's Dongli District. CSCI will construct two sections of the project in two years. </t>
  </si>
  <si>
    <t xml:space="preserve">The project has a construction period of ~18 months. </t>
  </si>
  <si>
    <t>Affordable housing projects in Hechuan District, Chongqing</t>
  </si>
  <si>
    <t>Chongqing</t>
  </si>
  <si>
    <t>The project comprises of a relocation housing project (GFA: 375,000sqm) and a public rental housing project (GFA: 400,000sqm); their construction is due to start in 1Q11 and 2H11 respectively.</t>
  </si>
  <si>
    <t>Affordable Housing in Zhangzhou</t>
  </si>
  <si>
    <t>Zhangzhou</t>
  </si>
  <si>
    <t>Relocation housing project with a contract value of HK$1.84bn and a construction period of 2.5 years</t>
  </si>
  <si>
    <t>BT Contract of Relocation Housing in Xiaoshan District of Hangzhou</t>
  </si>
  <si>
    <t>Hangzhou</t>
  </si>
  <si>
    <t>24 months</t>
  </si>
  <si>
    <t>BT Contract of Relocation Housing in Wuxi</t>
  </si>
  <si>
    <t>Wuxi</t>
  </si>
  <si>
    <t>24 months</t>
  </si>
  <si>
    <t>BT Project of Relocation Housing in Beigan Street of Xiaoshan District, Hangzhou</t>
  </si>
  <si>
    <t>Hangzhou</t>
  </si>
  <si>
    <t>BT Project of Relocation Housing in Xintang Street of Xiaoshan District, Hangzhou</t>
  </si>
  <si>
    <t>Zhangzhou</t>
  </si>
  <si>
    <t>n.a.</t>
  </si>
  <si>
    <t>Affordable Housing BT Project at Tianjin Tuanbohu Health Industrial Park</t>
  </si>
  <si>
    <t xml:space="preserve">Tianjin </t>
  </si>
  <si>
    <t>BT Contract of Phase I of Affordable Housing Construction in Lucheng District, Wenzhou, Zhejiang Province</t>
  </si>
  <si>
    <t>Wenzhou</t>
  </si>
  <si>
    <t>36 months</t>
  </si>
  <si>
    <t>n.a.</t>
  </si>
  <si>
    <t>The client is the Wenzhou Government</t>
  </si>
  <si>
    <t xml:space="preserve">Affordable Housing Project in Tieshan Street of Lvshunkou District, Dalian, Liaoning Province </t>
  </si>
  <si>
    <t>Dalian</t>
  </si>
  <si>
    <t>36 months</t>
  </si>
  <si>
    <t>n.a.</t>
  </si>
  <si>
    <t>The client is the Dalian Government</t>
  </si>
  <si>
    <t xml:space="preserve">Affordable Housing BT project in Jingkou District, Zhenjiang, Jiangsu Province </t>
  </si>
  <si>
    <t>Zhenjiang</t>
  </si>
  <si>
    <t>24 months</t>
  </si>
  <si>
    <t xml:space="preserve">The client is Jingkou District Government of Zhenjiang </t>
  </si>
  <si>
    <t>BT Contract of Phase II of Affordable Housing Construction in Lucheng District, Wenzhou, Zhejiang Province</t>
  </si>
  <si>
    <t>30 months</t>
  </si>
  <si>
    <t>The client is Wenzhou Lucheng District People’s Government</t>
  </si>
  <si>
    <t>Wenzhou</t>
  </si>
  <si>
    <t>Relocation Housing BT project in New District of Zhenjiang, Jiangsu Province</t>
  </si>
  <si>
    <t>The client is Zhenjiang government</t>
  </si>
  <si>
    <t>Jiaxing</t>
  </si>
  <si>
    <t>Total</t>
  </si>
  <si>
    <t>BT</t>
  </si>
  <si>
    <t>Equity</t>
  </si>
  <si>
    <t>Total contract value</t>
  </si>
  <si>
    <t>Attributable to CSCI</t>
  </si>
  <si>
    <t>CSCI investment</t>
  </si>
  <si>
    <t>East Lake Passageway and Yangtze-River Avenue BT project, Wuhan</t>
  </si>
  <si>
    <t>N/A</t>
  </si>
  <si>
    <t>HK$2.26bn</t>
  </si>
  <si>
    <t>3 years</t>
  </si>
  <si>
    <t>The client is Wuhan government</t>
  </si>
  <si>
    <t>Wuhan BT</t>
  </si>
  <si>
    <t>CSCI30%, 
CSCEC 70%</t>
  </si>
  <si>
    <t>HK$2.65bn</t>
  </si>
  <si>
    <t>HK$795mn</t>
  </si>
  <si>
    <t>2 years</t>
  </si>
  <si>
    <t>Project includes reconstruction of Wuxian Highway and construction of Shahu Passageway; government buyback period is three years (30%,30%,40%). Payment of Rmb300mn was received in Aug 2012.</t>
  </si>
  <si>
    <t>Tangshan BT</t>
  </si>
  <si>
    <t>CSCI 50%, 
CSCEC 50%</t>
  </si>
  <si>
    <t>HK$3.7bn</t>
  </si>
  <si>
    <t>HK$1.85bn</t>
  </si>
  <si>
    <t>CSCI signed first project in May 31, 2009; project will be completed by mid-2011</t>
  </si>
  <si>
    <t>Wusong Bridge and People’s Theatre in Jilin City (BT)</t>
  </si>
  <si>
    <t>CSCI 70%, 
CSCEC 30%</t>
  </si>
  <si>
    <t>HK$0.7bn</t>
  </si>
  <si>
    <t>HK$490mn</t>
  </si>
  <si>
    <t>HK$40mn</t>
  </si>
  <si>
    <t>Jilin government will repurchase the projects at 5 intervals within 5yrs of completion</t>
  </si>
  <si>
    <t>Relocation housing project in Junliang City, Tianjin</t>
  </si>
  <si>
    <t>HK$1.4bn</t>
  </si>
  <si>
    <t xml:space="preserve">The client is Tianjin government.  The project is located in Tianjin's  Dongli District. CSCI will construct two of the project's two sections within 2 years, with total GFA of 500,000sqm. </t>
  </si>
  <si>
    <t>CSCI 30%, 
CSCEC 70%</t>
  </si>
  <si>
    <t>HK$3.56bn</t>
  </si>
  <si>
    <t>HK$1.1bn</t>
  </si>
  <si>
    <t>HK$100mn</t>
  </si>
  <si>
    <t>15 months</t>
  </si>
  <si>
    <t>Wuchang &amp; Hanyang sections of Wuhan’s second circle line</t>
  </si>
  <si>
    <t>Taiyuan South Station West Front Square</t>
  </si>
  <si>
    <t>CSCI 40%, 
CSCEC 60%</t>
  </si>
  <si>
    <t>HK$2.8bn</t>
  </si>
  <si>
    <t>HK$52mn</t>
  </si>
  <si>
    <t>The project will be repurchased by the developer within four years from the date of completion</t>
  </si>
  <si>
    <t>HK$2.0bn</t>
  </si>
  <si>
    <t>The project comprises of a 375,000 sqm GFA relocation housing project and a 400,000 sqm GFA public rental housing project; they will start construction in 1Q11 and 2H11 respectively.</t>
  </si>
  <si>
    <t>Eco park infrastructure and affordable housing BT project</t>
  </si>
  <si>
    <t>HK$3.0bn</t>
  </si>
  <si>
    <t>This project comprises of: Relocation Housing project (contract value: HK$1.84bn); Eco park &amp; exhibition hall project (HK$560mn); Municipal road project (HK$280mn); Greenlake middle &amp; primary schools (HK$320mn).</t>
  </si>
  <si>
    <t>Wuyu (Wutaishan to Yuxian) Expressway</t>
  </si>
  <si>
    <t>HK$7.17bn</t>
  </si>
  <si>
    <t>30 months</t>
  </si>
  <si>
    <t>BT contract for relocation housing in Hangzhou's Xiaoshan district.</t>
  </si>
  <si>
    <t>HK$670mn</t>
  </si>
  <si>
    <t>24 months</t>
  </si>
  <si>
    <t>BT contract for relocation housing and infrastructure in Huishan Vocational Education Park, Wuxi</t>
  </si>
  <si>
    <t>HK$1.98bn</t>
  </si>
  <si>
    <t>The project comprises of the construction of a relocation housing project (GFA: 450,000sqm; contract value: HK$1.35bn) and the construction of an 8.53km road, a 400 acre artificial island, and a leisure square with a contract value of HK$630mn.</t>
  </si>
  <si>
    <t>BT contract for relocation housing  in Beigan St., Xiaoshan District, Hangzhou</t>
  </si>
  <si>
    <t>HK$1.74bn</t>
  </si>
  <si>
    <t>BT contract for relocation housing  in Xintang St., Xiaoshan District, Hangzhou</t>
  </si>
  <si>
    <t>HK$1.08bn</t>
  </si>
  <si>
    <t>Additional BT project for Wuhan's second circle line</t>
  </si>
  <si>
    <t>HK$410mn</t>
  </si>
  <si>
    <t>HK$2,260mn</t>
  </si>
  <si>
    <t>Limin Jiayuan affordable housing BT project in Zhangzhou</t>
  </si>
  <si>
    <t>HK$2,840mn</t>
  </si>
  <si>
    <t>Affordable housing BT Project in Tianjin Tuanbohu Health Industrial Park</t>
  </si>
  <si>
    <t>HK$3,830mn</t>
  </si>
  <si>
    <t>BT contract for Phase I of affordable housing construction in Lucheng District, Wenzhou</t>
  </si>
  <si>
    <t>HK$2,960mn</t>
  </si>
  <si>
    <t>36 months</t>
  </si>
  <si>
    <t>The client is Wenzhou Lucheng District People’s Government</t>
  </si>
  <si>
    <t>Affordable housing project in Tieshan St., Lvshunkou district, Dalian</t>
  </si>
  <si>
    <t>HK$2,500mn</t>
  </si>
  <si>
    <t>N/A</t>
  </si>
  <si>
    <t xml:space="preserve">Affordable housing BT project in Jingkou District, Zhenjiang, Jiangsu </t>
  </si>
  <si>
    <t>HK$1,630mn</t>
  </si>
  <si>
    <t xml:space="preserve">The client is Jingkou District Government of Zhenjiang </t>
  </si>
  <si>
    <t xml:space="preserve">BT Contract of Phase II of affordable housing construction in Lucheng District, Wenzhou, Zhejiang </t>
  </si>
  <si>
    <t>HK$4,530mn</t>
  </si>
  <si>
    <t>BT contracts for alterations to S323 highway Xinmi Junction to Zhang’s Village in Dengfeng and construction of western extension of Zhongyuan Rd Fast Lane (Shangjie Luba slope to Gongyi S327 section)</t>
  </si>
  <si>
    <t>HK$4,860mn</t>
  </si>
  <si>
    <t>BT contract for Phase III of affordable housing construction in Lucheng District, Wenzhou, Zhejiang</t>
  </si>
  <si>
    <t>HK$4,470mn</t>
  </si>
  <si>
    <t xml:space="preserve">Relocation housing BT project in New District of Zhenjiang, Jiangsu </t>
  </si>
  <si>
    <t>HK$2,810mn</t>
  </si>
  <si>
    <t>The client is Zhenjiang government</t>
  </si>
  <si>
    <t>Relocation housing BT project in Pinghu, Jiaxing City, Zhejiang</t>
  </si>
  <si>
    <t>HK$1,640mn</t>
  </si>
  <si>
    <t>The client is Jiaxing Pinghu Municipality Government</t>
  </si>
  <si>
    <r>
      <rPr>
        <b/>
        <sz val="9"/>
        <color indexed="9"/>
        <rFont val="楷体_GB2312"/>
        <family val="3"/>
        <charset val="134"/>
      </rPr>
      <t>证券简称</t>
    </r>
  </si>
  <si>
    <r>
      <rPr>
        <sz val="9"/>
        <color indexed="9"/>
        <rFont val="楷体_GB2312"/>
        <family val="3"/>
        <charset val="134"/>
      </rPr>
      <t>北京市</t>
    </r>
  </si>
  <si>
    <r>
      <rPr>
        <sz val="9"/>
        <color indexed="9"/>
        <rFont val="楷体_GB2312"/>
        <family val="3"/>
        <charset val="134"/>
      </rPr>
      <t>推荐</t>
    </r>
  </si>
  <si>
    <r>
      <rPr>
        <b/>
        <sz val="9"/>
        <color indexed="9"/>
        <rFont val="楷体_GB2312"/>
        <family val="3"/>
        <charset val="134"/>
      </rPr>
      <t>证券代码</t>
    </r>
  </si>
  <si>
    <r>
      <rPr>
        <sz val="9"/>
        <color indexed="9"/>
        <rFont val="楷体_GB2312"/>
        <family val="3"/>
        <charset val="134"/>
      </rPr>
      <t>上海市</t>
    </r>
  </si>
  <si>
    <r>
      <rPr>
        <sz val="9"/>
        <color indexed="9"/>
        <rFont val="楷体_GB2312"/>
        <family val="3"/>
        <charset val="134"/>
      </rPr>
      <t>审慎推荐</t>
    </r>
  </si>
  <si>
    <r>
      <rPr>
        <b/>
        <sz val="9"/>
        <color indexed="8"/>
        <rFont val="楷体_GB2312"/>
        <family val="3"/>
        <charset val="134"/>
      </rPr>
      <t>模板类型</t>
    </r>
  </si>
  <si>
    <r>
      <rPr>
        <sz val="9"/>
        <color indexed="9"/>
        <rFont val="楷体_GB2312"/>
        <family val="3"/>
        <charset val="134"/>
      </rPr>
      <t>广东省</t>
    </r>
  </si>
  <si>
    <r>
      <rPr>
        <sz val="9"/>
        <color indexed="9"/>
        <rFont val="楷体_GB2312"/>
        <family val="3"/>
        <charset val="134"/>
      </rPr>
      <t>中性</t>
    </r>
  </si>
  <si>
    <r>
      <rPr>
        <b/>
        <sz val="9"/>
        <color indexed="8"/>
        <rFont val="楷体_GB2312"/>
        <family val="3"/>
        <charset val="134"/>
      </rPr>
      <t>评级方向</t>
    </r>
  </si>
  <si>
    <r>
      <rPr>
        <sz val="9"/>
        <color indexed="9"/>
        <rFont val="楷体_GB2312"/>
        <family val="3"/>
        <charset val="134"/>
      </rPr>
      <t>天津市</t>
    </r>
  </si>
  <si>
    <r>
      <rPr>
        <sz val="9"/>
        <color indexed="9"/>
        <rFont val="楷体_GB2312"/>
        <family val="3"/>
        <charset val="134"/>
      </rPr>
      <t>回避</t>
    </r>
  </si>
  <si>
    <r>
      <rPr>
        <sz val="9"/>
        <color indexed="9"/>
        <rFont val="楷体_GB2312"/>
        <family val="3"/>
        <charset val="134"/>
      </rPr>
      <t>减持</t>
    </r>
  </si>
  <si>
    <r>
      <rPr>
        <b/>
        <sz val="9"/>
        <color indexed="8"/>
        <rFont val="楷体_GB2312"/>
        <family val="3"/>
        <charset val="134"/>
      </rPr>
      <t>投资评级</t>
    </r>
  </si>
  <si>
    <r>
      <rPr>
        <sz val="9"/>
        <color indexed="9"/>
        <rFont val="楷体_GB2312"/>
        <family val="3"/>
        <charset val="134"/>
      </rPr>
      <t>重庆市</t>
    </r>
  </si>
  <si>
    <r>
      <rPr>
        <sz val="9"/>
        <color indexed="9"/>
        <rFont val="楷体_GB2312"/>
        <family val="3"/>
        <charset val="134"/>
      </rPr>
      <t>长期</t>
    </r>
  </si>
  <si>
    <r>
      <rPr>
        <b/>
        <sz val="9"/>
        <color indexed="8"/>
        <rFont val="楷体_GB2312"/>
        <family val="3"/>
        <charset val="134"/>
      </rPr>
      <t>目标价格</t>
    </r>
  </si>
  <si>
    <r>
      <rPr>
        <sz val="9"/>
        <color indexed="9"/>
        <rFont val="楷体_GB2312"/>
        <family val="3"/>
        <charset val="134"/>
      </rPr>
      <t>江苏省</t>
    </r>
  </si>
  <si>
    <r>
      <rPr>
        <sz val="9"/>
        <color indexed="9"/>
        <rFont val="楷体_GB2312"/>
        <family val="3"/>
        <charset val="134"/>
      </rPr>
      <t>短期</t>
    </r>
  </si>
  <si>
    <r>
      <rPr>
        <sz val="9"/>
        <color indexed="9"/>
        <rFont val="楷体_GB2312"/>
        <family val="3"/>
        <charset val="134"/>
      </rPr>
      <t>无评级</t>
    </r>
  </si>
  <si>
    <r>
      <rPr>
        <b/>
        <sz val="9"/>
        <color indexed="8"/>
        <rFont val="楷体_GB2312"/>
        <family val="3"/>
        <charset val="134"/>
      </rPr>
      <t>报表年份</t>
    </r>
  </si>
  <si>
    <r>
      <rPr>
        <sz val="9"/>
        <color indexed="9"/>
        <rFont val="楷体_GB2312"/>
        <family val="3"/>
        <charset val="134"/>
      </rPr>
      <t>浙江省</t>
    </r>
  </si>
  <si>
    <r>
      <rPr>
        <b/>
        <sz val="9"/>
        <color indexed="8"/>
        <rFont val="楷体_GB2312"/>
        <family val="3"/>
        <charset val="134"/>
      </rPr>
      <t>报表周期</t>
    </r>
  </si>
  <si>
    <r>
      <rPr>
        <sz val="9"/>
        <color indexed="9"/>
        <rFont val="楷体_GB2312"/>
        <family val="3"/>
        <charset val="134"/>
      </rPr>
      <t>四川省</t>
    </r>
  </si>
  <si>
    <r>
      <rPr>
        <b/>
        <sz val="9"/>
        <color indexed="8"/>
        <rFont val="楷体_GB2312"/>
        <family val="3"/>
        <charset val="134"/>
      </rPr>
      <t>报表状态</t>
    </r>
  </si>
  <si>
    <r>
      <rPr>
        <sz val="9"/>
        <color indexed="9"/>
        <rFont val="楷体_GB2312"/>
        <family val="3"/>
        <charset val="134"/>
      </rPr>
      <t>海南省</t>
    </r>
  </si>
  <si>
    <r>
      <rPr>
        <b/>
        <sz val="9"/>
        <color indexed="8"/>
        <rFont val="楷体_GB2312"/>
        <family val="3"/>
        <charset val="134"/>
      </rPr>
      <t>报表单位</t>
    </r>
  </si>
  <si>
    <r>
      <rPr>
        <b/>
        <sz val="9"/>
        <color indexed="8"/>
        <rFont val="楷体_GB2312"/>
        <family val="3"/>
        <charset val="134"/>
      </rPr>
      <t>百万</t>
    </r>
  </si>
  <si>
    <r>
      <rPr>
        <sz val="9"/>
        <color indexed="9"/>
        <rFont val="楷体_GB2312"/>
        <family val="3"/>
        <charset val="134"/>
      </rPr>
      <t>福建省</t>
    </r>
  </si>
  <si>
    <r>
      <rPr>
        <b/>
        <sz val="9"/>
        <color indexed="8"/>
        <rFont val="楷体_GB2312"/>
        <family val="3"/>
        <charset val="134"/>
      </rPr>
      <t>报表货币单位</t>
    </r>
  </si>
  <si>
    <r>
      <rPr>
        <sz val="9"/>
        <color indexed="9"/>
        <rFont val="楷体_GB2312"/>
        <family val="3"/>
        <charset val="134"/>
      </rPr>
      <t>山东省</t>
    </r>
  </si>
  <si>
    <r>
      <rPr>
        <sz val="9"/>
        <color indexed="9"/>
        <rFont val="楷体_GB2312"/>
        <family val="3"/>
        <charset val="134"/>
      </rPr>
      <t>江西省</t>
    </r>
  </si>
  <si>
    <r>
      <rPr>
        <b/>
        <sz val="9"/>
        <color indexed="9"/>
        <rFont val="楷体_GB2312"/>
        <family val="3"/>
        <charset val="134"/>
      </rPr>
      <t>损益表</t>
    </r>
  </si>
  <si>
    <r>
      <rPr>
        <sz val="9"/>
        <color indexed="9"/>
        <rFont val="楷体_GB2312"/>
        <family val="3"/>
        <charset val="134"/>
      </rPr>
      <t>广西省</t>
    </r>
  </si>
  <si>
    <r>
      <rPr>
        <sz val="9"/>
        <color indexed="9"/>
        <rFont val="楷体_GB2312"/>
        <family val="3"/>
        <charset val="134"/>
      </rPr>
      <t>安徽省</t>
    </r>
  </si>
  <si>
    <r>
      <rPr>
        <sz val="9"/>
        <color indexed="9"/>
        <rFont val="楷体_GB2312"/>
        <family val="3"/>
        <charset val="134"/>
      </rPr>
      <t>河北省</t>
    </r>
  </si>
  <si>
    <r>
      <rPr>
        <sz val="9"/>
        <color indexed="9"/>
        <rFont val="楷体_GB2312"/>
        <family val="3"/>
        <charset val="134"/>
      </rPr>
      <t>河南省</t>
    </r>
  </si>
  <si>
    <r>
      <rPr>
        <sz val="9"/>
        <color indexed="9"/>
        <rFont val="楷体_GB2312"/>
        <family val="3"/>
        <charset val="134"/>
      </rPr>
      <t>湖北省</t>
    </r>
  </si>
  <si>
    <r>
      <rPr>
        <sz val="9"/>
        <color indexed="9"/>
        <rFont val="楷体_GB2312"/>
        <family val="3"/>
        <charset val="134"/>
      </rPr>
      <t>湖南省</t>
    </r>
  </si>
  <si>
    <r>
      <rPr>
        <sz val="9"/>
        <color indexed="9"/>
        <rFont val="楷体_GB2312"/>
        <family val="3"/>
        <charset val="134"/>
      </rPr>
      <t>陕西省</t>
    </r>
  </si>
  <si>
    <r>
      <rPr>
        <sz val="9"/>
        <color indexed="9"/>
        <rFont val="楷体_GB2312"/>
        <family val="3"/>
        <charset val="134"/>
      </rPr>
      <t>山西省</t>
    </r>
  </si>
  <si>
    <r>
      <rPr>
        <sz val="9"/>
        <color indexed="9"/>
        <rFont val="楷体_GB2312"/>
        <family val="3"/>
        <charset val="134"/>
      </rPr>
      <t>黑龙江省</t>
    </r>
  </si>
  <si>
    <r>
      <rPr>
        <sz val="9"/>
        <color indexed="9"/>
        <rFont val="楷体_GB2312"/>
        <family val="3"/>
        <charset val="134"/>
      </rPr>
      <t>辽宁省</t>
    </r>
  </si>
  <si>
    <r>
      <rPr>
        <sz val="9"/>
        <color indexed="9"/>
        <rFont val="楷体_GB2312"/>
        <family val="3"/>
        <charset val="134"/>
      </rPr>
      <t>吉林省</t>
    </r>
  </si>
  <si>
    <r>
      <rPr>
        <sz val="9"/>
        <color indexed="9"/>
        <rFont val="楷体_GB2312"/>
        <family val="3"/>
        <charset val="134"/>
      </rPr>
      <t>云南省</t>
    </r>
  </si>
  <si>
    <r>
      <rPr>
        <sz val="9"/>
        <color indexed="9"/>
        <rFont val="楷体_GB2312"/>
        <family val="3"/>
        <charset val="134"/>
      </rPr>
      <t>贵州省</t>
    </r>
  </si>
  <si>
    <r>
      <rPr>
        <sz val="9"/>
        <color indexed="9"/>
        <rFont val="楷体_GB2312"/>
        <family val="3"/>
        <charset val="134"/>
      </rPr>
      <t>甘肃省</t>
    </r>
  </si>
  <si>
    <r>
      <rPr>
        <sz val="9"/>
        <color indexed="9"/>
        <rFont val="楷体_GB2312"/>
        <family val="3"/>
        <charset val="134"/>
      </rPr>
      <t>内蒙古</t>
    </r>
  </si>
  <si>
    <r>
      <rPr>
        <sz val="9"/>
        <color indexed="9"/>
        <rFont val="楷体_GB2312"/>
        <family val="3"/>
        <charset val="134"/>
      </rPr>
      <t>宁夏</t>
    </r>
  </si>
  <si>
    <r>
      <rPr>
        <sz val="9"/>
        <color indexed="9"/>
        <rFont val="楷体_GB2312"/>
        <family val="3"/>
        <charset val="134"/>
      </rPr>
      <t>西藏</t>
    </r>
  </si>
  <si>
    <r>
      <rPr>
        <sz val="9"/>
        <color indexed="9"/>
        <rFont val="楷体_GB2312"/>
        <family val="3"/>
        <charset val="134"/>
      </rPr>
      <t>新疆</t>
    </r>
  </si>
  <si>
    <r>
      <rPr>
        <sz val="9"/>
        <color indexed="9"/>
        <rFont val="楷体_GB2312"/>
        <family val="3"/>
        <charset val="134"/>
      </rPr>
      <t>合并</t>
    </r>
  </si>
  <si>
    <r>
      <rPr>
        <sz val="9"/>
        <color indexed="9"/>
        <rFont val="楷体_GB2312"/>
        <family val="3"/>
        <charset val="134"/>
      </rPr>
      <t>青海省</t>
    </r>
  </si>
  <si>
    <r>
      <rPr>
        <sz val="9"/>
        <color indexed="9"/>
        <rFont val="楷体_GB2312"/>
        <family val="3"/>
        <charset val="134"/>
      </rPr>
      <t>香港</t>
    </r>
  </si>
  <si>
    <r>
      <rPr>
        <sz val="9"/>
        <color indexed="9"/>
        <rFont val="楷体_GB2312"/>
        <family val="3"/>
        <charset val="134"/>
      </rPr>
      <t>澳门</t>
    </r>
  </si>
  <si>
    <r>
      <rPr>
        <sz val="9"/>
        <color indexed="9"/>
        <rFont val="楷体_GB2312"/>
        <family val="3"/>
        <charset val="134"/>
      </rPr>
      <t>台湾</t>
    </r>
  </si>
  <si>
    <r>
      <rPr>
        <sz val="9"/>
        <color indexed="9"/>
        <rFont val="楷体_GB2312"/>
        <family val="3"/>
        <charset val="134"/>
      </rPr>
      <t>国外</t>
    </r>
  </si>
  <si>
    <r>
      <rPr>
        <sz val="9"/>
        <color indexed="9"/>
        <rFont val="楷体_GB2312"/>
        <family val="3"/>
        <charset val="134"/>
      </rPr>
      <t>其他</t>
    </r>
  </si>
  <si>
    <r>
      <rPr>
        <b/>
        <sz val="9"/>
        <color indexed="9"/>
        <rFont val="楷体_GB2312"/>
        <family val="3"/>
        <charset val="134"/>
      </rPr>
      <t>资产负债表</t>
    </r>
  </si>
  <si>
    <r>
      <rPr>
        <b/>
        <sz val="9"/>
        <color indexed="9"/>
        <rFont val="楷体_GB2312"/>
        <family val="3"/>
        <charset val="134"/>
      </rPr>
      <t>现金流量表</t>
    </r>
  </si>
  <si>
    <r>
      <rPr>
        <b/>
        <sz val="9"/>
        <color indexed="9"/>
        <rFont val="楷体_GB2312"/>
        <family val="3"/>
        <charset val="134"/>
      </rPr>
      <t>可选数据</t>
    </r>
  </si>
  <si>
    <r>
      <rPr>
        <b/>
        <sz val="9"/>
        <color indexed="9"/>
        <rFont val="楷体_GB2312"/>
        <family val="3"/>
        <charset val="134"/>
      </rPr>
      <t>比率估值</t>
    </r>
  </si>
  <si>
    <r>
      <rPr>
        <b/>
        <sz val="9"/>
        <color indexed="9"/>
        <rFont val="楷体_GB2312"/>
        <family val="3"/>
        <charset val="134"/>
      </rPr>
      <t>汇总项</t>
    </r>
  </si>
  <si>
    <t>Relocation Housing Build-Transfer Project in Pingyang County, Wenzhou City, Zhejiang Province</t>
  </si>
  <si>
    <t>HK$3,970mn</t>
  </si>
  <si>
    <t>The client of such project is the People's Government of Pingyang County, Wenzhou City</t>
  </si>
  <si>
    <t>2013A</t>
  </si>
  <si>
    <t>中国建筑国际3311_140115.xls 兼容性报表</t>
  </si>
  <si>
    <t>运行环境: 2014-3-17 14:13</t>
  </si>
  <si>
    <t>早期版本的 Excel 不支持此工作簿中的以下功能。如果以早期版本的 Excel 打开此工作簿，或将此工作簿保存为早期版本文件格式，则这些功能可能会丢失或降级。</t>
  </si>
  <si>
    <t>显著功能损失</t>
  </si>
  <si>
    <t>发生次数</t>
  </si>
  <si>
    <t>版本</t>
  </si>
  <si>
    <t>此工作簿中的一个或多个单元格包含引用其他工作表上的值的数据验证规则。这些数据验证规则将无法保存。</t>
  </si>
  <si>
    <t>RAWS'!D4:D6</t>
  </si>
  <si>
    <t>RAWS'!D7:AZ11</t>
  </si>
  <si>
    <t>Excel 97-2003</t>
  </si>
  <si>
    <t>轻微保真损失</t>
  </si>
  <si>
    <t>此工作簿中的某些公式链接到了其他已关闭的工作簿。 如果链接的工作簿未打开，则在早期版本的 Excel 中重新计算这些公式时，最多只能返回 255 个字符。</t>
  </si>
  <si>
    <t>Policy housing'!G39</t>
  </si>
  <si>
    <t>500
已定义名称</t>
  </si>
  <si>
    <t>所选文件格式不支持此工作簿中某些单元格或样式包含的格式。这些格式将被转换为最相近的可用格式。</t>
  </si>
  <si>
    <t xml:space="preserve">    2013A</t>
  </si>
  <si>
    <t>Proportion</t>
  </si>
  <si>
    <r>
      <t>收入</t>
    </r>
    <r>
      <rPr>
        <b/>
        <sz val="8"/>
        <color indexed="9"/>
        <rFont val="Arial"/>
        <family val="2"/>
      </rPr>
      <t xml:space="preserve"> </t>
    </r>
    <r>
      <rPr>
        <b/>
        <sz val="8"/>
        <color indexed="9"/>
        <rFont val="楷体_GB2312"/>
        <family val="3"/>
        <charset val="134"/>
      </rPr>
      <t>（百万港币）</t>
    </r>
  </si>
  <si>
    <t>Affordable Housing Phase IV, Shushan District Industrial Park, Hefei, Anhui</t>
  </si>
  <si>
    <t>HK$980mn</t>
  </si>
  <si>
    <t>N/A</t>
  </si>
  <si>
    <t>The client of such project is the Hefei People’s Government</t>
  </si>
  <si>
    <t>Relocation Housing Build-Transfer Project in Pingyang County, Wenzhou City, Zhejiang Province</t>
  </si>
  <si>
    <t>Wenzhou</t>
  </si>
  <si>
    <t>n.a.</t>
  </si>
  <si>
    <t>The client of such project is the People's Government of Pingyang County, Wenzhou City</t>
  </si>
  <si>
    <t>Affordable Housing Phase IV, Shushan District Industrial Park, Hefei, Anhui</t>
  </si>
  <si>
    <t>Hefei</t>
  </si>
  <si>
    <t>The client of such project is the Hefei People’s Government</t>
  </si>
  <si>
    <t>Phase II of the Relocation Housing BT Project in Pinghu</t>
  </si>
  <si>
    <t>Jiaxing</t>
  </si>
  <si>
    <t>Phase II of the Relocation Housing BT Project in Pinghu</t>
  </si>
  <si>
    <t>HK$4,670mn</t>
  </si>
  <si>
    <t>The client of such project is Jiaxing Pinghu Municipal Government</t>
  </si>
  <si>
    <t>The client of such project is Jiaxing Pinghu Municipal Government</t>
  </si>
  <si>
    <t>BT project for rerouting Lianjiang-Jin’an section of National Highway G104 in Fuzhou, Fujian Province</t>
  </si>
  <si>
    <t>HK$4,180mn</t>
  </si>
  <si>
    <t>N/A</t>
  </si>
  <si>
    <t xml:space="preserve">The client of such project is Fuzhou Municipal Government </t>
  </si>
  <si>
    <t>首次覆盖</t>
  </si>
  <si>
    <t>再次覆盖</t>
  </si>
  <si>
    <t>Resume at</t>
  </si>
  <si>
    <t>中性</t>
  </si>
  <si>
    <t>回避</t>
  </si>
  <si>
    <t>@COMPROFILE_CN</t>
  </si>
  <si>
    <t>公司概述 - 中文</t>
  </si>
  <si>
    <t>Company Desc - Chinese</t>
  </si>
  <si>
    <t>@COMPROFILE_EN</t>
  </si>
  <si>
    <t>公司概述 - 英文</t>
  </si>
  <si>
    <t>Company Desc - English</t>
  </si>
  <si>
    <r>
      <t>武汉</t>
    </r>
    <r>
      <rPr>
        <sz val="8"/>
        <rFont val="Arial"/>
        <family val="2"/>
      </rPr>
      <t>BT</t>
    </r>
    <r>
      <rPr>
        <sz val="8"/>
        <rFont val="楷体_GB2312"/>
        <family val="3"/>
        <charset val="134"/>
      </rPr>
      <t>项目</t>
    </r>
  </si>
  <si>
    <r>
      <t>中国建筑国际</t>
    </r>
    <r>
      <rPr>
        <sz val="8"/>
        <rFont val="Arial"/>
        <family val="2"/>
      </rPr>
      <t xml:space="preserve">30%, 
</t>
    </r>
    <r>
      <rPr>
        <sz val="8"/>
        <rFont val="楷体_GB2312"/>
        <family val="3"/>
        <charset val="134"/>
      </rPr>
      <t>中国建筑</t>
    </r>
    <r>
      <rPr>
        <sz val="8"/>
        <rFont val="Arial"/>
        <family val="2"/>
      </rPr>
      <t xml:space="preserve"> 70%</t>
    </r>
  </si>
  <si>
    <r>
      <t xml:space="preserve">2 </t>
    </r>
    <r>
      <rPr>
        <sz val="8"/>
        <rFont val="楷体_GB2312"/>
        <family val="3"/>
        <charset val="134"/>
      </rPr>
      <t>年</t>
    </r>
  </si>
  <si>
    <r>
      <t>包括重建武咸公路及建造沙湖通道</t>
    </r>
    <r>
      <rPr>
        <sz val="8"/>
        <rFont val="Arial"/>
        <family val="2"/>
      </rPr>
      <t xml:space="preserve">, </t>
    </r>
    <r>
      <rPr>
        <sz val="8"/>
        <rFont val="楷体_GB2312"/>
        <family val="3"/>
        <charset val="134"/>
      </rPr>
      <t>政府分</t>
    </r>
    <r>
      <rPr>
        <sz val="8"/>
        <rFont val="Arial"/>
        <family val="2"/>
      </rPr>
      <t>3</t>
    </r>
    <r>
      <rPr>
        <sz val="8"/>
        <rFont val="楷体_GB2312"/>
        <family val="3"/>
        <charset val="134"/>
      </rPr>
      <t>年回购</t>
    </r>
    <r>
      <rPr>
        <sz val="8"/>
        <rFont val="Arial"/>
        <family val="2"/>
      </rPr>
      <t xml:space="preserve"> (30%,30%,40%)</t>
    </r>
  </si>
  <si>
    <r>
      <t>唐山</t>
    </r>
    <r>
      <rPr>
        <sz val="8"/>
        <rFont val="Arial"/>
        <family val="2"/>
      </rPr>
      <t>BT</t>
    </r>
    <r>
      <rPr>
        <sz val="8"/>
        <rFont val="楷体_GB2312"/>
        <family val="3"/>
        <charset val="134"/>
      </rPr>
      <t>项目</t>
    </r>
  </si>
  <si>
    <r>
      <t>中国建筑国际</t>
    </r>
    <r>
      <rPr>
        <sz val="8"/>
        <rFont val="Arial"/>
        <family val="2"/>
      </rPr>
      <t xml:space="preserve"> 50%, </t>
    </r>
    <r>
      <rPr>
        <sz val="8"/>
        <rFont val="楷体_GB2312"/>
        <family val="3"/>
        <charset val="134"/>
      </rPr>
      <t>中国建筑</t>
    </r>
    <r>
      <rPr>
        <sz val="8"/>
        <rFont val="Arial"/>
        <family val="2"/>
      </rPr>
      <t xml:space="preserve"> 50%</t>
    </r>
  </si>
  <si>
    <r>
      <t>此项目于</t>
    </r>
    <r>
      <rPr>
        <sz val="8"/>
        <rFont val="Arial"/>
        <family val="2"/>
      </rPr>
      <t>2009</t>
    </r>
    <r>
      <rPr>
        <sz val="8"/>
        <rFont val="楷体_GB2312"/>
        <family val="3"/>
        <charset val="134"/>
      </rPr>
      <t>年</t>
    </r>
    <r>
      <rPr>
        <sz val="8"/>
        <rFont val="Arial"/>
        <family val="2"/>
      </rPr>
      <t>5</t>
    </r>
    <r>
      <rPr>
        <sz val="8"/>
        <rFont val="楷体_GB2312"/>
        <family val="3"/>
        <charset val="134"/>
      </rPr>
      <t>月签订，预计将于</t>
    </r>
    <r>
      <rPr>
        <sz val="8"/>
        <rFont val="Arial"/>
        <family val="2"/>
      </rPr>
      <t>2011</t>
    </r>
    <r>
      <rPr>
        <sz val="8"/>
        <rFont val="楷体_GB2312"/>
        <family val="3"/>
        <charset val="134"/>
      </rPr>
      <t>年中期完成</t>
    </r>
  </si>
  <si>
    <r>
      <t>雾凇高架桥和人民剧院项目</t>
    </r>
    <r>
      <rPr>
        <sz val="8"/>
        <rFont val="Arial"/>
        <family val="2"/>
      </rPr>
      <t xml:space="preserve"> </t>
    </r>
  </si>
  <si>
    <r>
      <t>中国建筑国际</t>
    </r>
    <r>
      <rPr>
        <sz val="8"/>
        <rFont val="Arial"/>
        <family val="2"/>
      </rPr>
      <t xml:space="preserve"> 70%, </t>
    </r>
    <r>
      <rPr>
        <sz val="8"/>
        <rFont val="楷体_GB2312"/>
        <family val="3"/>
        <charset val="134"/>
      </rPr>
      <t>中国建筑</t>
    </r>
    <r>
      <rPr>
        <sz val="8"/>
        <rFont val="Arial"/>
        <family val="2"/>
      </rPr>
      <t xml:space="preserve"> 30%</t>
    </r>
  </si>
  <si>
    <r>
      <t xml:space="preserve">2 </t>
    </r>
    <r>
      <rPr>
        <sz val="8"/>
        <rFont val="楷体_GB2312"/>
        <family val="3"/>
        <charset val="134"/>
      </rPr>
      <t>年</t>
    </r>
  </si>
  <si>
    <r>
      <t>项目建成后，吉林市政府将在</t>
    </r>
    <r>
      <rPr>
        <sz val="8"/>
        <rFont val="Arial"/>
        <family val="2"/>
      </rPr>
      <t>5</t>
    </r>
    <r>
      <rPr>
        <sz val="8"/>
        <rFont val="楷体_GB2312"/>
        <family val="3"/>
        <charset val="134"/>
      </rPr>
      <t>年内分</t>
    </r>
    <r>
      <rPr>
        <sz val="8"/>
        <rFont val="Arial"/>
        <family val="2"/>
      </rPr>
      <t>5</t>
    </r>
    <r>
      <rPr>
        <sz val="8"/>
        <rFont val="楷体_GB2312"/>
        <family val="3"/>
        <charset val="134"/>
      </rPr>
      <t>次等额回购</t>
    </r>
  </si>
  <si>
    <r>
      <t>该项目位于天津市东丽区。公司负责以</t>
    </r>
    <r>
      <rPr>
        <sz val="8"/>
        <rFont val="Arial"/>
        <family val="2"/>
      </rPr>
      <t>BT</t>
    </r>
    <r>
      <rPr>
        <sz val="8"/>
        <rFont val="楷体_GB2312"/>
        <family val="3"/>
        <charset val="134"/>
      </rPr>
      <t>模式兴建其中两个标段，总建筑面积为</t>
    </r>
    <r>
      <rPr>
        <sz val="8"/>
        <rFont val="Arial"/>
        <family val="2"/>
      </rPr>
      <t>50</t>
    </r>
    <r>
      <rPr>
        <sz val="8"/>
        <rFont val="楷体_GB2312"/>
        <family val="3"/>
        <charset val="134"/>
      </rPr>
      <t>万平方米，建设期为两年</t>
    </r>
  </si>
  <si>
    <r>
      <t>武汉市二环线武昌段和汉阳段</t>
    </r>
    <r>
      <rPr>
        <sz val="8"/>
        <rFont val="Arial"/>
        <family val="2"/>
      </rPr>
      <t xml:space="preserve"> </t>
    </r>
  </si>
  <si>
    <r>
      <t>中国建筑国际</t>
    </r>
    <r>
      <rPr>
        <sz val="8"/>
        <rFont val="Arial"/>
        <family val="2"/>
      </rPr>
      <t xml:space="preserve"> 30%, </t>
    </r>
    <r>
      <rPr>
        <sz val="8"/>
        <rFont val="楷体_GB2312"/>
        <family val="3"/>
        <charset val="134"/>
      </rPr>
      <t>中国建筑</t>
    </r>
    <r>
      <rPr>
        <sz val="8"/>
        <rFont val="Arial"/>
        <family val="2"/>
      </rPr>
      <t xml:space="preserve"> 70%</t>
    </r>
  </si>
  <si>
    <r>
      <t>15</t>
    </r>
    <r>
      <rPr>
        <sz val="8"/>
        <rFont val="楷体_GB2312"/>
        <family val="3"/>
        <charset val="134"/>
      </rPr>
      <t>个月</t>
    </r>
  </si>
  <si>
    <r>
      <t>项目建设期内，公司实际投入资本金为</t>
    </r>
    <r>
      <rPr>
        <sz val="8"/>
        <rFont val="Arial"/>
        <family val="2"/>
      </rPr>
      <t>1</t>
    </r>
    <r>
      <rPr>
        <sz val="8"/>
        <rFont val="楷体_GB2312"/>
        <family val="3"/>
        <charset val="134"/>
      </rPr>
      <t>亿港元，资本金以外所需项目资金将由武汉项目公司向银行筹集</t>
    </r>
  </si>
  <si>
    <t>Relocation Housing Project Phase1 in residents public service core district of Zhengzhou, Henan Province</t>
  </si>
  <si>
    <t>HK$2,350mn</t>
  </si>
  <si>
    <t>N/A</t>
  </si>
  <si>
    <t>The client of such project is Zhengzhou Municipal Government</t>
  </si>
  <si>
    <r>
      <t xml:space="preserve">2 </t>
    </r>
    <r>
      <rPr>
        <sz val="8"/>
        <rFont val="楷体_GB2312"/>
        <family val="3"/>
        <charset val="134"/>
      </rPr>
      <t>年</t>
    </r>
  </si>
  <si>
    <r>
      <t>项目位于天津市东丽区。公司负责以</t>
    </r>
    <r>
      <rPr>
        <sz val="8"/>
        <rFont val="Arial"/>
        <family val="2"/>
      </rPr>
      <t>BT</t>
    </r>
    <r>
      <rPr>
        <sz val="8"/>
        <rFont val="楷体_GB2312"/>
        <family val="3"/>
        <charset val="134"/>
      </rPr>
      <t>模式兴建其中两个标段，总建筑面积为</t>
    </r>
    <r>
      <rPr>
        <sz val="8"/>
        <rFont val="Arial"/>
        <family val="2"/>
      </rPr>
      <t>50</t>
    </r>
    <r>
      <rPr>
        <sz val="8"/>
        <rFont val="楷体_GB2312"/>
        <family val="3"/>
        <charset val="134"/>
      </rPr>
      <t>万平方米，建设期为两年</t>
    </r>
  </si>
  <si>
    <r>
      <t xml:space="preserve">18 </t>
    </r>
    <r>
      <rPr>
        <sz val="8"/>
        <rFont val="楷体_GB2312"/>
        <family val="3"/>
        <charset val="134"/>
      </rPr>
      <t>个月</t>
    </r>
  </si>
  <si>
    <r>
      <t>该项目位于天津市东丽区金钟街，总建筑面积为</t>
    </r>
    <r>
      <rPr>
        <sz val="8"/>
        <rFont val="Arial"/>
        <family val="2"/>
      </rPr>
      <t>30</t>
    </r>
    <r>
      <rPr>
        <sz val="8"/>
        <rFont val="楷体_GB2312"/>
        <family val="3"/>
        <charset val="134"/>
      </rPr>
      <t>万平方米，建设期约为</t>
    </r>
    <r>
      <rPr>
        <sz val="8"/>
        <rFont val="Arial"/>
        <family val="2"/>
      </rPr>
      <t>18</t>
    </r>
    <r>
      <rPr>
        <sz val="8"/>
        <rFont val="楷体_GB2312"/>
        <family val="3"/>
        <charset val="134"/>
      </rPr>
      <t>个月</t>
    </r>
  </si>
  <si>
    <r>
      <t>该项目位于重庆市合川区，包括建筑面积为</t>
    </r>
    <r>
      <rPr>
        <sz val="8"/>
        <rFont val="Arial"/>
        <family val="2"/>
      </rPr>
      <t>37.5</t>
    </r>
    <r>
      <rPr>
        <sz val="8"/>
        <rFont val="楷体_GB2312"/>
        <family val="3"/>
        <charset val="134"/>
      </rPr>
      <t>万平方米的还迁安置房和建筑面积为</t>
    </r>
    <r>
      <rPr>
        <sz val="8"/>
        <rFont val="Arial"/>
        <family val="2"/>
      </rPr>
      <t>40.0</t>
    </r>
    <r>
      <rPr>
        <sz val="8"/>
        <rFont val="楷体_GB2312"/>
        <family val="3"/>
        <charset val="134"/>
      </rPr>
      <t>万平方米的公共租赁房及配套工程。还迁安置房与公共租赁房将分别于</t>
    </r>
    <r>
      <rPr>
        <sz val="8"/>
        <rFont val="Arial"/>
        <family val="2"/>
      </rPr>
      <t>2011</t>
    </r>
    <r>
      <rPr>
        <sz val="8"/>
        <rFont val="楷体_GB2312"/>
        <family val="3"/>
        <charset val="134"/>
      </rPr>
      <t>年第一季度和下半年开工，建设期均约为</t>
    </r>
    <r>
      <rPr>
        <sz val="8"/>
        <rFont val="Arial"/>
        <family val="2"/>
      </rPr>
      <t>24</t>
    </r>
    <r>
      <rPr>
        <sz val="8"/>
        <rFont val="楷体_GB2312"/>
        <family val="3"/>
        <charset val="134"/>
      </rPr>
      <t>个月</t>
    </r>
  </si>
  <si>
    <r>
      <t>漳州保障性住房</t>
    </r>
    <r>
      <rPr>
        <sz val="8"/>
        <rFont val="Arial"/>
        <family val="2"/>
      </rPr>
      <t>BT</t>
    </r>
    <r>
      <rPr>
        <sz val="8"/>
        <rFont val="楷体_GB2312"/>
        <family val="3"/>
        <charset val="134"/>
      </rPr>
      <t>项目</t>
    </r>
  </si>
  <si>
    <r>
      <t>保障性住房项目楼面面积约为</t>
    </r>
    <r>
      <rPr>
        <sz val="8"/>
        <rFont val="Arial"/>
        <family val="2"/>
      </rPr>
      <t>77</t>
    </r>
    <r>
      <rPr>
        <sz val="8"/>
        <rFont val="楷体_GB2312"/>
        <family val="3"/>
        <charset val="134"/>
      </rPr>
      <t>万平方米，合约额约为</t>
    </r>
    <r>
      <rPr>
        <sz val="8"/>
        <rFont val="Arial"/>
        <family val="2"/>
      </rPr>
      <t>18.4</t>
    </r>
    <r>
      <rPr>
        <sz val="8"/>
        <rFont val="楷体_GB2312"/>
        <family val="3"/>
        <charset val="134"/>
      </rPr>
      <t>亿港元，建设期</t>
    </r>
    <r>
      <rPr>
        <sz val="8"/>
        <rFont val="Arial"/>
        <family val="2"/>
      </rPr>
      <t>2.5</t>
    </r>
    <r>
      <rPr>
        <sz val="8"/>
        <rFont val="楷体_GB2312"/>
        <family val="3"/>
        <charset val="134"/>
      </rPr>
      <t>年</t>
    </r>
  </si>
  <si>
    <r>
      <t>杭州市萧山区还迁安置房</t>
    </r>
    <r>
      <rPr>
        <sz val="8"/>
        <rFont val="Arial"/>
        <family val="2"/>
      </rPr>
      <t>BT</t>
    </r>
    <r>
      <rPr>
        <sz val="8"/>
        <rFont val="楷体_GB2312"/>
        <family val="3"/>
        <charset val="134"/>
      </rPr>
      <t>项目</t>
    </r>
  </si>
  <si>
    <r>
      <t xml:space="preserve">24 </t>
    </r>
    <r>
      <rPr>
        <sz val="8"/>
        <rFont val="楷体_GB2312"/>
        <family val="3"/>
        <charset val="134"/>
      </rPr>
      <t>个月</t>
    </r>
  </si>
  <si>
    <t>Relocation Housing Project Phase1 in residents public service core district of Zhengzhou, Henan Province</t>
  </si>
  <si>
    <t>Zhengzhou</t>
  </si>
  <si>
    <t>n.a.</t>
  </si>
  <si>
    <t>Zhengzhou Municipal Government</t>
  </si>
  <si>
    <t>Macau</t>
  </si>
  <si>
    <t>Overseas</t>
  </si>
  <si>
    <t>FEG Group</t>
  </si>
  <si>
    <t>Total</t>
  </si>
  <si>
    <t>Gross profit margin</t>
  </si>
  <si>
    <t>Change</t>
  </si>
  <si>
    <t>Revenue</t>
  </si>
  <si>
    <t>Proportion</t>
  </si>
  <si>
    <t>Segment</t>
  </si>
  <si>
    <t>1H14</t>
  </si>
  <si>
    <t>1H13</t>
  </si>
  <si>
    <t>HK</t>
  </si>
  <si>
    <t>Mainland China</t>
  </si>
  <si>
    <t>n.a</t>
  </si>
  <si>
    <t>New contracts</t>
  </si>
  <si>
    <t>HK</t>
  </si>
  <si>
    <t>Affordable housing project in Chengyang District, Qingdao,Shandong Province</t>
  </si>
  <si>
    <t>Qingdao</t>
  </si>
  <si>
    <t>n.a.</t>
  </si>
  <si>
    <t>Qingdao Municipal Government</t>
  </si>
  <si>
    <t>Affordable housing project in Chengyang District, Qingdao,Shandong Province</t>
  </si>
  <si>
    <t>HK$2,500mn</t>
  </si>
  <si>
    <t>N/A</t>
  </si>
  <si>
    <t>The client of such project is Qingdao Municipal Government</t>
  </si>
  <si>
    <t>Affordable housing project Phase II in residents public service core district of Zhengzhou, Henan Province</t>
  </si>
  <si>
    <t>Zhengzhou</t>
  </si>
  <si>
    <t>n.a.</t>
  </si>
  <si>
    <t>Zhengzhou Municipal Government</t>
  </si>
  <si>
    <t>Affordable housing project Phase II in residents public service core district of Zhengzhou, Henan Province</t>
  </si>
  <si>
    <t>HK$1,550mn</t>
  </si>
  <si>
    <t>N/A</t>
  </si>
  <si>
    <t>The client of such project is Zhengzhou Municipal Government</t>
  </si>
  <si>
    <t>Affordable housing Build-Transfer Project in Wuxing District of Huzhou, Zhejiang Province</t>
  </si>
  <si>
    <t>HK$3,750mn</t>
  </si>
  <si>
    <t>N/A</t>
  </si>
  <si>
    <t>The client of such project is Huzhou Municipal Government</t>
  </si>
  <si>
    <t>Affordable housing Build-Transfer Project in Wuxing District of Huzhou, Zhejiang Province</t>
  </si>
  <si>
    <t>Huzhou</t>
  </si>
  <si>
    <t>n.a.</t>
  </si>
  <si>
    <t>Huzhou Municipal Government</t>
  </si>
  <si>
    <t>Affordable housing Build-Transfer Project in Huangyan District of Taizhou, Zhejiang Province</t>
  </si>
  <si>
    <t>Taizhou</t>
  </si>
  <si>
    <t>n.a.</t>
  </si>
  <si>
    <t>Taizhou Municipal Government</t>
  </si>
  <si>
    <t>Affordable housing Build-Transfer Project in Huangyan District of Taizhou, Zhejiang Province</t>
  </si>
  <si>
    <t>HK$7,500mn</t>
  </si>
  <si>
    <t>N/A</t>
  </si>
  <si>
    <t>The client of such project is Taizhou Municipal Government</t>
  </si>
  <si>
    <t>Amounts due from related companies</t>
  </si>
  <si>
    <t>Bank overdrafts, unsecured</t>
  </si>
  <si>
    <t>2014A</t>
  </si>
  <si>
    <t xml:space="preserve">    2012A</t>
  </si>
  <si>
    <t xml:space="preserve">    2014A</t>
  </si>
  <si>
    <t>before
 Adj.</t>
  </si>
  <si>
    <t>after
 Adj.</t>
  </si>
  <si>
    <t>%</t>
  </si>
  <si>
    <t>Revenue</t>
  </si>
  <si>
    <t>Net profit</t>
  </si>
  <si>
    <t>1H15</t>
  </si>
  <si>
    <t>1H2015</t>
  </si>
  <si>
    <t>1H2014</t>
  </si>
  <si>
    <t>n.a</t>
  </si>
  <si>
    <t>2023E</t>
  </si>
  <si>
    <t>2024E</t>
  </si>
  <si>
    <t>2025E</t>
  </si>
  <si>
    <r>
      <rPr>
        <b/>
        <sz val="9"/>
        <rFont val="楷体_GB2312"/>
        <family val="3"/>
        <charset val="134"/>
      </rPr>
      <t>长期借款</t>
    </r>
  </si>
  <si>
    <r>
      <rPr>
        <sz val="9"/>
        <rFont val="楷体_GB2312"/>
        <family val="3"/>
        <charset val="134"/>
      </rPr>
      <t>期初余额</t>
    </r>
  </si>
  <si>
    <r>
      <rPr>
        <sz val="9"/>
        <rFont val="楷体_GB2312"/>
        <family val="3"/>
        <charset val="134"/>
      </rPr>
      <t>当期新借款</t>
    </r>
  </si>
  <si>
    <r>
      <rPr>
        <b/>
        <sz val="9"/>
        <rFont val="楷体_GB2312"/>
        <family val="3"/>
        <charset val="134"/>
      </rPr>
      <t>期末余额</t>
    </r>
  </si>
  <si>
    <r>
      <rPr>
        <b/>
        <sz val="9"/>
        <rFont val="楷体_GB2312"/>
        <family val="3"/>
        <charset val="134"/>
      </rPr>
      <t>短期借款</t>
    </r>
  </si>
  <si>
    <t>Cash Flows From Operating Activities</t>
  </si>
  <si>
    <t>Cash Generated From Operations</t>
  </si>
  <si>
    <t/>
  </si>
  <si>
    <t>Income Tax Paid</t>
  </si>
  <si>
    <t>Outflows</t>
  </si>
  <si>
    <t>Cash Flows From Investing Activities</t>
  </si>
  <si>
    <t>Interest Received</t>
  </si>
  <si>
    <t>Purchase Of Property, Plant And Equipment</t>
  </si>
  <si>
    <t>Advance To Jointly Controlled Entities</t>
  </si>
  <si>
    <t>Loan To A Joint Venture</t>
  </si>
  <si>
    <t>Advance To Immediate Holding Company</t>
  </si>
  <si>
    <t>Net Decrease In Pledged Bank Deposits</t>
  </si>
  <si>
    <t>Decrease (Increase) In Deposits With Financial Institutions</t>
  </si>
  <si>
    <t>Dividends Received From Associates Or Joint Ventures</t>
  </si>
  <si>
    <t>Dividends Received From Unlisted Available-For-Sale Investments</t>
  </si>
  <si>
    <t>Dividends Received From Listed Available-For-Sale Investments</t>
  </si>
  <si>
    <t>Acquisition Of Listed Available-For-Sale Investments</t>
  </si>
  <si>
    <t>Proceeds From Disposal Of Listed Available-For-Sale Investments</t>
  </si>
  <si>
    <t>Increase In Prepaid Lease Payments</t>
  </si>
  <si>
    <t>Increase In Investment In Lands Consolidation</t>
  </si>
  <si>
    <t>Advance To Investee Companies</t>
  </si>
  <si>
    <t>Increase In Long Term Receivables</t>
  </si>
  <si>
    <t>Proceeds From Issue Of Ordinary Shares</t>
  </si>
  <si>
    <t>Share Issue Expenses</t>
  </si>
  <si>
    <t>Advance From Jointly Controlled Entities</t>
  </si>
  <si>
    <t>(Repayment To) Advance From The Partners Of Jointly Controlled Entities</t>
  </si>
  <si>
    <t>Distribution Of Reserve To A Former Shareholder</t>
  </si>
  <si>
    <t>Payment To Fellow Subsidiaries Pursuant To Common Control Combination</t>
  </si>
  <si>
    <t>Payment To Intermediate Holding Company Pursuant To Common Control Combination</t>
  </si>
  <si>
    <t>Advance From (Repayment To) Intermediate Holding Company</t>
  </si>
  <si>
    <t>Repayment Of Other Borrowings</t>
  </si>
  <si>
    <t>Payment Of Share Buy-Back</t>
  </si>
  <si>
    <t>Repayment Of Finance Lease</t>
  </si>
  <si>
    <t>Net Cash Generated From Financing Activities</t>
  </si>
  <si>
    <t>Net Increase In Cash And Cash Equivalents</t>
  </si>
  <si>
    <t>Cash And Cash Equivalents At Beginning Of The Year</t>
  </si>
  <si>
    <t>Effect Of Foreign Exchange Rate Changes</t>
  </si>
  <si>
    <t>Cash And Cash Equivalents At End Of The Year</t>
  </si>
  <si>
    <t>Income Tax Expense</t>
  </si>
  <si>
    <t>Finance Costs</t>
  </si>
  <si>
    <t>Investment Income</t>
  </si>
  <si>
    <t>Gain On Disposal Of Property, Plant And Equipment</t>
  </si>
  <si>
    <t>Impairment Loss Of Investment Properties</t>
  </si>
  <si>
    <t>Impairment Loss Of Available-For-Sale Investments</t>
  </si>
  <si>
    <t>Reversal Of Impairment Loss Of Properties Held For Sales</t>
  </si>
  <si>
    <t>Share-Based Payment Expenses</t>
  </si>
  <si>
    <t>Operating Cash Flows Before Movements In Working Capital</t>
  </si>
  <si>
    <t>Increase In Trade And Other Receivables, Deposits And Prepayments</t>
  </si>
  <si>
    <t>(Decrease) Increase In Amounts Due To Customers For Contract Work</t>
  </si>
  <si>
    <t>Decrease In Trade And Other Payables, Deposits Received And Receipt In Advance</t>
  </si>
  <si>
    <t>Decrease (Increase) In Amounts Due From Fellow Subsidiaries</t>
  </si>
  <si>
    <t>Increase (Decrease) In Amounts Due To Fellow Subsidiaries</t>
  </si>
  <si>
    <t>(Decrease) Increase In Amount Due To An Associate</t>
  </si>
  <si>
    <t>Increase In Deferred Income</t>
  </si>
  <si>
    <t>Cash Generated From (Used In) Operations</t>
  </si>
  <si>
    <t>Income Taxes Paid</t>
  </si>
  <si>
    <t>Income Taxes Refunded</t>
  </si>
  <si>
    <t>2015A</t>
  </si>
  <si>
    <t>Cost of sales</t>
  </si>
  <si>
    <t>Investment income, other income and other gains, net</t>
  </si>
  <si>
    <t>Investment income</t>
  </si>
  <si>
    <t>Other income</t>
  </si>
  <si>
    <t>Administrative, selling and other operating expenses</t>
  </si>
  <si>
    <t>Administrative expenses</t>
  </si>
  <si>
    <t>Other expenses</t>
  </si>
  <si>
    <t>Share of profit of jointly controlled entities</t>
  </si>
  <si>
    <t>Share of profit of associates</t>
  </si>
  <si>
    <t>Finance costs, net</t>
  </si>
  <si>
    <t>Profit before income tax</t>
  </si>
  <si>
    <t>Income tax expense</t>
  </si>
  <si>
    <t>Profif for the year</t>
  </si>
  <si>
    <t>Attributable to: equity holders of the company</t>
  </si>
  <si>
    <t>EPS</t>
  </si>
  <si>
    <t>Basic (HK cent)</t>
  </si>
  <si>
    <t>Diluted (HK cent)</t>
  </si>
  <si>
    <t>Dividens</t>
  </si>
  <si>
    <t>Non-current assets</t>
  </si>
  <si>
    <t>Concession operating rights</t>
  </si>
  <si>
    <t>Goodwill</t>
  </si>
  <si>
    <t>Deferred tax assets</t>
  </si>
  <si>
    <t>Current assets</t>
  </si>
  <si>
    <t>Amounts due from associates</t>
  </si>
  <si>
    <t xml:space="preserve">Current assets </t>
  </si>
  <si>
    <t>Total assets</t>
  </si>
  <si>
    <t>Non-current liabilities</t>
  </si>
  <si>
    <t>Borrowings</t>
  </si>
  <si>
    <t xml:space="preserve">Current liabilities </t>
  </si>
  <si>
    <t>Amounts due to customers for contract work</t>
  </si>
  <si>
    <t>Amounts due to the partners of jointly controlled entities</t>
  </si>
  <si>
    <t>Amount due to holding companies</t>
  </si>
  <si>
    <t>Amounts due to fellow subsidiaries</t>
  </si>
  <si>
    <t>Amount due to an associate</t>
  </si>
  <si>
    <t>Total liabilities</t>
  </si>
  <si>
    <t>Attributable to equity holders of the company</t>
  </si>
  <si>
    <t>Share capital</t>
  </si>
  <si>
    <t>Share premium and reserves</t>
  </si>
  <si>
    <t>Other reserves</t>
  </si>
  <si>
    <t>Proposed final dividend</t>
  </si>
  <si>
    <t>Total equity</t>
  </si>
  <si>
    <t>Total equity and liabilities</t>
  </si>
  <si>
    <t>Net current assets</t>
  </si>
  <si>
    <t>Total assets less current liabilities</t>
  </si>
  <si>
    <t>Interests in joint ventures</t>
  </si>
  <si>
    <t>Trademark, project backlogs and licenses</t>
  </si>
  <si>
    <t>Deposit paid for an investment</t>
  </si>
  <si>
    <t>Loan to a joint venture</t>
  </si>
  <si>
    <t>YoY%</t>
  </si>
  <si>
    <t>Addition</t>
  </si>
  <si>
    <t>Interest cost</t>
  </si>
  <si>
    <t>——Bank loans</t>
  </si>
  <si>
    <r>
      <rPr>
        <sz val="8"/>
        <rFont val="楷体_GB2312"/>
        <family val="3"/>
        <charset val="134"/>
      </rPr>
      <t>净利润</t>
    </r>
  </si>
  <si>
    <r>
      <rPr>
        <sz val="8"/>
        <rFont val="楷体_GB2312"/>
        <family val="3"/>
        <charset val="134"/>
      </rPr>
      <t>应占联营企业利润</t>
    </r>
  </si>
  <si>
    <r>
      <rPr>
        <b/>
        <sz val="8"/>
        <rFont val="楷体_GB2312"/>
        <family val="3"/>
        <charset val="134"/>
      </rPr>
      <t>净利润</t>
    </r>
  </si>
  <si>
    <r>
      <rPr>
        <sz val="8"/>
        <rFont val="楷体_GB2312"/>
        <family val="3"/>
        <charset val="134"/>
      </rPr>
      <t>财务费用</t>
    </r>
  </si>
  <si>
    <t>HKD mn</t>
  </si>
  <si>
    <t>收购怡茂影响</t>
  </si>
  <si>
    <t>投资物业的计量变化影响</t>
  </si>
  <si>
    <t>合并后报表显示</t>
  </si>
  <si>
    <t>集团营业额</t>
  </si>
  <si>
    <t>建筑及销售成本</t>
  </si>
  <si>
    <t>1H2016</t>
  </si>
  <si>
    <t>假设未收购</t>
  </si>
  <si>
    <t>投资收入、其他收入及其他收益</t>
  </si>
  <si>
    <t>毛利</t>
  </si>
  <si>
    <t>销售和管理费用</t>
  </si>
  <si>
    <r>
      <rPr>
        <b/>
        <sz val="8"/>
        <rFont val="楷体_GB2312"/>
        <family val="3"/>
        <charset val="134"/>
      </rPr>
      <t>利润总额</t>
    </r>
  </si>
  <si>
    <t>所得税净额</t>
  </si>
  <si>
    <t>少数股东权益</t>
  </si>
  <si>
    <t>1H2015</t>
  </si>
  <si>
    <t>利润表影响</t>
  </si>
  <si>
    <t>资产负债表影响</t>
  </si>
  <si>
    <t>物业、厂房及设备</t>
  </si>
  <si>
    <t>投资物业</t>
  </si>
  <si>
    <t>非流动资产</t>
  </si>
  <si>
    <t>非流动资产总计</t>
  </si>
  <si>
    <t>流动资产</t>
  </si>
  <si>
    <t>贸易及其他应收款</t>
  </si>
  <si>
    <t>按金及预付款</t>
  </si>
  <si>
    <t>银行结余及现金</t>
  </si>
  <si>
    <t>流动资产总计</t>
  </si>
  <si>
    <t>流动负债</t>
  </si>
  <si>
    <t>贸易应付款、其他应付款及预提费用</t>
  </si>
  <si>
    <t>已收按金及预收客户款</t>
  </si>
  <si>
    <t>当期应付税款</t>
  </si>
  <si>
    <t>流动负债总计</t>
  </si>
  <si>
    <t>非流动负债</t>
  </si>
  <si>
    <t>递延税项负债</t>
  </si>
  <si>
    <t>总非流动负债</t>
  </si>
  <si>
    <t>股本及储备</t>
  </si>
  <si>
    <t>股本溢价及储备</t>
  </si>
  <si>
    <t>总权益</t>
  </si>
  <si>
    <t>应付集团内公司款</t>
  </si>
  <si>
    <t>现金流量表影响</t>
  </si>
  <si>
    <t>投资业务现金流量净额</t>
  </si>
  <si>
    <t>经营业务现金流量净额</t>
  </si>
  <si>
    <t>融资业务现金流量净额</t>
  </si>
  <si>
    <t>2015.12.31</t>
  </si>
  <si>
    <t>2016.6.30</t>
  </si>
  <si>
    <t>收购怡茂影响</t>
  </si>
  <si>
    <t>收购怡茂影响</t>
  </si>
  <si>
    <t>怡茂数据</t>
  </si>
  <si>
    <t>收购后数据</t>
  </si>
  <si>
    <t>发行股数</t>
  </si>
  <si>
    <t>中国海外集团有限公司</t>
  </si>
  <si>
    <t>董事</t>
  </si>
  <si>
    <t>公众股东</t>
  </si>
  <si>
    <t>总计</t>
  </si>
  <si>
    <r>
      <rPr>
        <b/>
        <sz val="8"/>
        <color rgb="FFFFFFFF"/>
        <rFont val="楷体_GB2312"/>
        <family val="3"/>
        <charset val="134"/>
      </rPr>
      <t>股东</t>
    </r>
  </si>
  <si>
    <r>
      <rPr>
        <b/>
        <sz val="8"/>
        <color rgb="FFFFFFFF"/>
        <rFont val="楷体_GB2312"/>
        <family val="3"/>
        <charset val="134"/>
      </rPr>
      <t>于公告日（</t>
    </r>
    <r>
      <rPr>
        <b/>
        <sz val="8"/>
        <color rgb="FFFFFFFF"/>
        <rFont val="Arial"/>
        <family val="2"/>
      </rPr>
      <t>2016</t>
    </r>
    <r>
      <rPr>
        <b/>
        <sz val="8"/>
        <color rgb="FFFFFFFF"/>
        <rFont val="楷体_GB2312"/>
        <family val="3"/>
        <charset val="134"/>
      </rPr>
      <t>年</t>
    </r>
    <r>
      <rPr>
        <b/>
        <sz val="8"/>
        <color rgb="FFFFFFFF"/>
        <rFont val="Arial"/>
        <family val="2"/>
      </rPr>
      <t>5</t>
    </r>
    <r>
      <rPr>
        <b/>
        <sz val="8"/>
        <color rgb="FFFFFFFF"/>
        <rFont val="楷体_GB2312"/>
        <family val="3"/>
        <charset val="134"/>
      </rPr>
      <t>月</t>
    </r>
    <r>
      <rPr>
        <b/>
        <sz val="8"/>
        <color rgb="FFFFFFFF"/>
        <rFont val="Arial"/>
        <family val="2"/>
      </rPr>
      <t>11</t>
    </r>
    <r>
      <rPr>
        <b/>
        <sz val="8"/>
        <color rgb="FFFFFFFF"/>
        <rFont val="楷体_GB2312"/>
        <family val="3"/>
        <charset val="134"/>
      </rPr>
      <t>日）</t>
    </r>
  </si>
  <si>
    <r>
      <rPr>
        <b/>
        <sz val="8"/>
        <color rgb="FFFFFFFF"/>
        <rFont val="楷体_GB2312"/>
        <family val="3"/>
        <charset val="134"/>
      </rPr>
      <t>紧随认购完成后</t>
    </r>
  </si>
  <si>
    <r>
      <rPr>
        <b/>
        <sz val="8"/>
        <color rgb="FFFFFFFF"/>
        <rFont val="楷体_GB2312"/>
        <family val="3"/>
        <charset val="134"/>
      </rPr>
      <t>股份数目变动比例</t>
    </r>
    <r>
      <rPr>
        <b/>
        <sz val="8"/>
        <color rgb="FFFFFFFF"/>
        <rFont val="Arial"/>
        <family val="2"/>
      </rPr>
      <t>%</t>
    </r>
  </si>
  <si>
    <r>
      <rPr>
        <b/>
        <sz val="8"/>
        <color rgb="FFFFFFFF"/>
        <rFont val="楷体_GB2312"/>
        <family val="3"/>
        <charset val="134"/>
      </rPr>
      <t>占比</t>
    </r>
    <r>
      <rPr>
        <b/>
        <sz val="8"/>
        <color rgb="FFFFFFFF"/>
        <rFont val="Arial"/>
        <family val="2"/>
      </rPr>
      <t xml:space="preserve">% </t>
    </r>
  </si>
  <si>
    <t>股份数目
（百万股）</t>
  </si>
  <si>
    <t>每股净利润</t>
  </si>
  <si>
    <t>对利润表影响</t>
  </si>
  <si>
    <t>1H2015</t>
  </si>
  <si>
    <t>1H2016</t>
  </si>
  <si>
    <t>收购前</t>
  </si>
  <si>
    <t>收购后</t>
  </si>
  <si>
    <t>变动</t>
  </si>
  <si>
    <t>毛利润</t>
  </si>
  <si>
    <t>EPS</t>
  </si>
  <si>
    <t>HKD mn</t>
  </si>
  <si>
    <t>对资产负债表影响</t>
  </si>
  <si>
    <t>2015.12.31</t>
  </si>
  <si>
    <t>2016.6.30</t>
  </si>
  <si>
    <t>非流动资产</t>
  </si>
  <si>
    <t>流动资产</t>
  </si>
  <si>
    <t>总资产</t>
  </si>
  <si>
    <t>总负债</t>
  </si>
  <si>
    <t>总股东权益</t>
  </si>
  <si>
    <r>
      <rPr>
        <sz val="8"/>
        <rFont val="楷体_GB2312"/>
        <family val="3"/>
        <charset val="134"/>
      </rPr>
      <t>主营业务收入</t>
    </r>
  </si>
  <si>
    <r>
      <rPr>
        <sz val="8"/>
        <rFont val="楷体_GB2312"/>
        <family val="3"/>
        <charset val="134"/>
      </rPr>
      <t>市盈率</t>
    </r>
  </si>
  <si>
    <t>Net Revenue</t>
  </si>
  <si>
    <t>YoY</t>
  </si>
  <si>
    <t>+</t>
  </si>
  <si>
    <t>-</t>
  </si>
  <si>
    <t>Change in working capital</t>
  </si>
  <si>
    <t>Capex</t>
  </si>
  <si>
    <t>Free Cash Flows</t>
  </si>
  <si>
    <t>PV of FCF</t>
  </si>
  <si>
    <t>Debt ratio</t>
  </si>
  <si>
    <t>Beta</t>
  </si>
  <si>
    <t>Risk free rate</t>
  </si>
  <si>
    <t>Equity cost</t>
  </si>
  <si>
    <t>Debt cost</t>
  </si>
  <si>
    <t>Debt cost (After tax)</t>
  </si>
  <si>
    <t>% of total D&amp;A</t>
  </si>
  <si>
    <t>Segment profit margin</t>
  </si>
  <si>
    <t>2016A</t>
  </si>
  <si>
    <t>1H16</t>
  </si>
  <si>
    <t>Core earnings</t>
  </si>
  <si>
    <t>2H08</t>
  </si>
  <si>
    <t>1H10</t>
  </si>
  <si>
    <t>1H11</t>
  </si>
  <si>
    <t>2H11</t>
  </si>
  <si>
    <t>1H12</t>
  </si>
  <si>
    <t>2015A</t>
  </si>
  <si>
    <t>2012A</t>
  </si>
  <si>
    <t>1H17</t>
  </si>
  <si>
    <r>
      <rPr>
        <sz val="8"/>
        <rFont val="楷体_GB2312"/>
        <family val="3"/>
        <charset val="134"/>
      </rPr>
      <t>营业收入</t>
    </r>
  </si>
  <si>
    <r>
      <rPr>
        <sz val="8"/>
        <rFont val="楷体_GB2312"/>
        <family val="3"/>
        <charset val="134"/>
      </rPr>
      <t>息税前利润率</t>
    </r>
    <r>
      <rPr>
        <sz val="8"/>
        <rFont val="Calibri"/>
        <family val="2"/>
      </rPr>
      <t xml:space="preserve"> </t>
    </r>
  </si>
  <si>
    <r>
      <rPr>
        <sz val="8"/>
        <rFont val="楷体_GB2312"/>
        <family val="3"/>
        <charset val="134"/>
      </rPr>
      <t>折旧及摊销</t>
    </r>
  </si>
  <si>
    <r>
      <rPr>
        <sz val="8"/>
        <rFont val="楷体_GB2312"/>
        <family val="3"/>
        <charset val="134"/>
      </rPr>
      <t>营运资金变化</t>
    </r>
  </si>
  <si>
    <r>
      <rPr>
        <sz val="8"/>
        <rFont val="楷体_GB2312"/>
        <family val="3"/>
        <charset val="134"/>
      </rPr>
      <t>资本支出</t>
    </r>
  </si>
  <si>
    <r>
      <rPr>
        <sz val="8"/>
        <rFont val="楷体_GB2312"/>
        <family val="3"/>
        <charset val="134"/>
      </rPr>
      <t>税率</t>
    </r>
  </si>
  <si>
    <r>
      <rPr>
        <sz val="8"/>
        <rFont val="楷体_GB2312"/>
        <family val="3"/>
        <charset val="134"/>
      </rPr>
      <t>贝塔系数</t>
    </r>
  </si>
  <si>
    <r>
      <rPr>
        <sz val="8"/>
        <rFont val="楷体_GB2312"/>
        <family val="3"/>
        <charset val="134"/>
      </rPr>
      <t>企业价值</t>
    </r>
  </si>
  <si>
    <r>
      <rPr>
        <sz val="8"/>
        <rFont val="楷体_GB2312"/>
        <family val="3"/>
        <charset val="134"/>
      </rPr>
      <t>无风险收益率</t>
    </r>
  </si>
  <si>
    <r>
      <rPr>
        <sz val="8"/>
        <rFont val="楷体_GB2312"/>
        <family val="3"/>
        <charset val="134"/>
      </rPr>
      <t>风险溢价</t>
    </r>
  </si>
  <si>
    <r>
      <rPr>
        <sz val="8"/>
        <rFont val="楷体_GB2312"/>
        <family val="3"/>
        <charset val="134"/>
      </rPr>
      <t>权益价值</t>
    </r>
  </si>
  <si>
    <r>
      <rPr>
        <sz val="8"/>
        <rFont val="楷体_GB2312"/>
        <family val="3"/>
        <charset val="134"/>
      </rPr>
      <t>权益资本成本</t>
    </r>
  </si>
  <si>
    <r>
      <rPr>
        <sz val="8"/>
        <rFont val="楷体_GB2312"/>
        <family val="3"/>
        <charset val="134"/>
      </rPr>
      <t>永续增长率</t>
    </r>
  </si>
  <si>
    <r>
      <rPr>
        <sz val="9"/>
        <rFont val="楷体_GB2312"/>
        <family val="3"/>
        <charset val="134"/>
      </rPr>
      <t>配平检查</t>
    </r>
  </si>
  <si>
    <r>
      <rPr>
        <sz val="8"/>
        <rFont val="楷体_GB2312"/>
        <family val="3"/>
        <charset val="134"/>
      </rPr>
      <t>毛利率</t>
    </r>
  </si>
  <si>
    <r>
      <rPr>
        <sz val="8"/>
        <rFont val="楷体_GB2312"/>
        <family val="3"/>
        <charset val="134"/>
      </rPr>
      <t>净利率</t>
    </r>
  </si>
  <si>
    <r>
      <rPr>
        <b/>
        <sz val="9"/>
        <color rgb="FFFFFFFF"/>
        <rFont val="楷体_GB2312"/>
        <family val="3"/>
        <charset val="134"/>
      </rPr>
      <t>港币</t>
    </r>
    <r>
      <rPr>
        <b/>
        <sz val="9"/>
        <color rgb="FFFFFFFF"/>
        <rFont val="Calibri"/>
        <family val="2"/>
      </rPr>
      <t xml:space="preserve"> </t>
    </r>
    <r>
      <rPr>
        <b/>
        <sz val="9"/>
        <color rgb="FFFFFFFF"/>
        <rFont val="楷体_GB2312"/>
        <family val="3"/>
        <charset val="134"/>
      </rPr>
      <t>百万元</t>
    </r>
  </si>
  <si>
    <r>
      <rPr>
        <b/>
        <sz val="9"/>
        <rFont val="楷体_GB2312"/>
        <family val="3"/>
        <charset val="134"/>
      </rPr>
      <t>毛利</t>
    </r>
  </si>
  <si>
    <r>
      <t xml:space="preserve">  </t>
    </r>
    <r>
      <rPr>
        <sz val="8"/>
        <rFont val="楷体_GB2312"/>
        <family val="3"/>
        <charset val="134"/>
      </rPr>
      <t>租售房代理费</t>
    </r>
  </si>
  <si>
    <r>
      <t xml:space="preserve">  </t>
    </r>
    <r>
      <rPr>
        <sz val="8"/>
        <rFont val="楷体_GB2312"/>
        <family val="3"/>
        <charset val="134"/>
      </rPr>
      <t>其他业务</t>
    </r>
  </si>
  <si>
    <r>
      <rPr>
        <sz val="8"/>
        <rFont val="楷体_GB2312"/>
        <family val="3"/>
        <charset val="134"/>
      </rPr>
      <t>主营业务利润</t>
    </r>
  </si>
  <si>
    <r>
      <rPr>
        <sz val="8"/>
        <rFont val="楷体_GB2312"/>
        <family val="3"/>
        <charset val="134"/>
      </rPr>
      <t>营业利润</t>
    </r>
  </si>
  <si>
    <r>
      <rPr>
        <sz val="8"/>
        <rFont val="楷体_GB2312"/>
        <family val="3"/>
        <charset val="134"/>
      </rPr>
      <t>投资收益</t>
    </r>
  </si>
  <si>
    <r>
      <rPr>
        <sz val="8"/>
        <rFont val="楷体_GB2312"/>
        <family val="3"/>
        <charset val="134"/>
      </rPr>
      <t>补贴收入</t>
    </r>
  </si>
  <si>
    <r>
      <rPr>
        <sz val="8"/>
        <rFont val="楷体_GB2312"/>
        <family val="3"/>
        <charset val="134"/>
      </rPr>
      <t>营业外收入</t>
    </r>
  </si>
  <si>
    <r>
      <rPr>
        <sz val="8"/>
        <rFont val="楷体_GB2312"/>
        <family val="3"/>
        <charset val="134"/>
      </rPr>
      <t>减：营业外支出</t>
    </r>
  </si>
  <si>
    <r>
      <rPr>
        <sz val="8"/>
        <rFont val="楷体_GB2312"/>
        <family val="3"/>
        <charset val="134"/>
      </rPr>
      <t>减：所得税</t>
    </r>
  </si>
  <si>
    <r>
      <rPr>
        <b/>
        <sz val="8"/>
        <rFont val="楷体_GB2312"/>
        <family val="3"/>
        <charset val="134"/>
      </rPr>
      <t>流动资产：</t>
    </r>
  </si>
  <si>
    <r>
      <rPr>
        <sz val="8"/>
        <rFont val="楷体_GB2312"/>
        <family val="3"/>
        <charset val="134"/>
      </rPr>
      <t>长期投资合计</t>
    </r>
  </si>
  <si>
    <r>
      <rPr>
        <sz val="8"/>
        <rFont val="楷体_GB2312"/>
        <family val="3"/>
        <charset val="134"/>
      </rPr>
      <t>流动资产合计</t>
    </r>
  </si>
  <si>
    <r>
      <rPr>
        <sz val="8"/>
        <rFont val="楷体_GB2312"/>
        <family val="3"/>
        <charset val="134"/>
      </rPr>
      <t>无形资产</t>
    </r>
  </si>
  <si>
    <r>
      <rPr>
        <sz val="8"/>
        <rFont val="楷体_GB2312"/>
        <family val="3"/>
        <charset val="134"/>
      </rPr>
      <t>长期待摊费用</t>
    </r>
  </si>
  <si>
    <r>
      <rPr>
        <b/>
        <sz val="8"/>
        <rFont val="楷体_GB2312"/>
        <family val="3"/>
        <charset val="134"/>
      </rPr>
      <t>流动负债：</t>
    </r>
  </si>
  <si>
    <r>
      <rPr>
        <sz val="8"/>
        <rFont val="楷体_GB2312"/>
        <family val="3"/>
        <charset val="134"/>
      </rPr>
      <t>流动负债合计</t>
    </r>
  </si>
  <si>
    <r>
      <rPr>
        <sz val="8"/>
        <rFont val="楷体_GB2312"/>
        <family val="3"/>
        <charset val="134"/>
      </rPr>
      <t>负债合计</t>
    </r>
  </si>
  <si>
    <r>
      <rPr>
        <sz val="8"/>
        <rFont val="楷体_GB2312"/>
        <family val="3"/>
        <charset val="134"/>
      </rPr>
      <t>少数股东权益</t>
    </r>
  </si>
  <si>
    <r>
      <rPr>
        <sz val="8"/>
        <rFont val="楷体_GB2312"/>
        <family val="3"/>
        <charset val="134"/>
      </rPr>
      <t>股东权益</t>
    </r>
  </si>
  <si>
    <r>
      <rPr>
        <sz val="8"/>
        <rFont val="楷体_GB2312"/>
        <family val="3"/>
        <charset val="134"/>
      </rPr>
      <t>负债及股东权益</t>
    </r>
  </si>
  <si>
    <r>
      <rPr>
        <sz val="8"/>
        <rFont val="楷体_GB2312"/>
        <family val="3"/>
        <charset val="134"/>
      </rPr>
      <t>总资产</t>
    </r>
  </si>
  <si>
    <r>
      <rPr>
        <sz val="8"/>
        <rFont val="楷体_GB2312"/>
        <family val="3"/>
        <charset val="134"/>
      </rPr>
      <t>净利润</t>
    </r>
    <r>
      <rPr>
        <sz val="8"/>
        <rFont val="Calibri"/>
        <family val="2"/>
      </rPr>
      <t xml:space="preserve"> </t>
    </r>
  </si>
  <si>
    <r>
      <rPr>
        <sz val="8"/>
        <rFont val="楷体_GB2312"/>
        <family val="3"/>
        <charset val="134"/>
      </rPr>
      <t>加：少数股东损益</t>
    </r>
  </si>
  <si>
    <r>
      <rPr>
        <sz val="8"/>
        <rFont val="楷体_GB2312"/>
        <family val="3"/>
        <charset val="134"/>
      </rPr>
      <t>加：折旧和摊销</t>
    </r>
    <r>
      <rPr>
        <sz val="8"/>
        <rFont val="Calibri"/>
        <family val="2"/>
      </rPr>
      <t xml:space="preserve"> </t>
    </r>
  </si>
  <si>
    <r>
      <rPr>
        <sz val="8"/>
        <rFont val="楷体_GB2312"/>
        <family val="3"/>
        <charset val="134"/>
      </rPr>
      <t>减：营运资本增加</t>
    </r>
    <r>
      <rPr>
        <sz val="8"/>
        <rFont val="Calibri"/>
        <family val="2"/>
      </rPr>
      <t xml:space="preserve"> </t>
    </r>
  </si>
  <si>
    <r>
      <rPr>
        <sz val="8"/>
        <rFont val="楷体_GB2312"/>
        <family val="3"/>
        <charset val="134"/>
      </rPr>
      <t>加：财务费用</t>
    </r>
    <r>
      <rPr>
        <sz val="8"/>
        <rFont val="Calibri"/>
        <family val="2"/>
      </rPr>
      <t xml:space="preserve"> </t>
    </r>
  </si>
  <si>
    <r>
      <rPr>
        <sz val="8"/>
        <rFont val="楷体_GB2312"/>
        <family val="3"/>
        <charset val="134"/>
      </rPr>
      <t>减：投资收益</t>
    </r>
    <r>
      <rPr>
        <sz val="8"/>
        <rFont val="Calibri"/>
        <family val="2"/>
      </rPr>
      <t xml:space="preserve"> </t>
    </r>
  </si>
  <si>
    <r>
      <rPr>
        <sz val="8"/>
        <rFont val="楷体_GB2312"/>
        <family val="3"/>
        <charset val="134"/>
      </rPr>
      <t>减：待摊费用增加</t>
    </r>
    <r>
      <rPr>
        <sz val="8"/>
        <rFont val="Calibri"/>
        <family val="2"/>
      </rPr>
      <t xml:space="preserve"> (</t>
    </r>
    <r>
      <rPr>
        <sz val="8"/>
        <rFont val="楷体_GB2312"/>
        <family val="3"/>
        <charset val="134"/>
      </rPr>
      <t>加：减少</t>
    </r>
    <r>
      <rPr>
        <sz val="8"/>
        <rFont val="Calibri"/>
        <family val="2"/>
      </rPr>
      <t>)</t>
    </r>
  </si>
  <si>
    <r>
      <rPr>
        <sz val="8"/>
        <rFont val="楷体_GB2312"/>
        <family val="3"/>
        <charset val="134"/>
      </rPr>
      <t>购、建固定资产投资及其他资产</t>
    </r>
  </si>
  <si>
    <r>
      <rPr>
        <sz val="8"/>
        <rFont val="楷体_GB2312"/>
        <family val="3"/>
        <charset val="134"/>
      </rPr>
      <t>长期及短期投资变动</t>
    </r>
    <r>
      <rPr>
        <sz val="8"/>
        <rFont val="Calibri"/>
        <family val="2"/>
      </rPr>
      <t xml:space="preserve"> </t>
    </r>
  </si>
  <si>
    <r>
      <rPr>
        <sz val="8"/>
        <rFont val="楷体_GB2312"/>
        <family val="3"/>
        <charset val="134"/>
      </rPr>
      <t>加：投资收益</t>
    </r>
    <r>
      <rPr>
        <sz val="8"/>
        <rFont val="Calibri"/>
        <family val="2"/>
      </rPr>
      <t xml:space="preserve"> </t>
    </r>
  </si>
  <si>
    <r>
      <rPr>
        <sz val="8"/>
        <rFont val="楷体_GB2312"/>
        <family val="3"/>
        <charset val="134"/>
      </rPr>
      <t>股权融资</t>
    </r>
  </si>
  <si>
    <r>
      <rPr>
        <sz val="8"/>
        <rFont val="楷体_GB2312"/>
        <family val="3"/>
        <charset val="134"/>
      </rPr>
      <t>公司借款变动</t>
    </r>
    <r>
      <rPr>
        <sz val="8"/>
        <rFont val="Calibri"/>
        <family val="2"/>
      </rPr>
      <t xml:space="preserve"> </t>
    </r>
  </si>
  <si>
    <r>
      <rPr>
        <sz val="8"/>
        <rFont val="楷体_GB2312"/>
        <family val="3"/>
        <charset val="134"/>
      </rPr>
      <t>分配股利</t>
    </r>
  </si>
  <si>
    <r>
      <rPr>
        <sz val="8"/>
        <rFont val="楷体_GB2312"/>
        <family val="3"/>
        <charset val="134"/>
      </rPr>
      <t>汇率变动对现金的影响额</t>
    </r>
  </si>
  <si>
    <r>
      <rPr>
        <sz val="8"/>
        <rFont val="楷体_GB2312"/>
        <family val="3"/>
        <charset val="134"/>
      </rPr>
      <t>现金及现金等价物净增加额</t>
    </r>
  </si>
  <si>
    <r>
      <rPr>
        <sz val="8"/>
        <rFont val="楷体_GB2312"/>
        <family val="3"/>
        <charset val="134"/>
      </rPr>
      <t>期初现金及现金等价物余额</t>
    </r>
  </si>
  <si>
    <r>
      <rPr>
        <sz val="8"/>
        <rFont val="楷体_GB2312"/>
        <family val="3"/>
        <charset val="134"/>
      </rPr>
      <t>期末现金及现金等价物余额</t>
    </r>
  </si>
  <si>
    <r>
      <rPr>
        <sz val="8"/>
        <rFont val="楷体_GB2312"/>
        <family val="3"/>
        <charset val="134"/>
      </rPr>
      <t>股息收益率</t>
    </r>
  </si>
  <si>
    <r>
      <rPr>
        <sz val="8"/>
        <rFont val="楷体_GB2312"/>
        <family val="3"/>
        <charset val="134"/>
      </rPr>
      <t>净资产收益率</t>
    </r>
  </si>
  <si>
    <t>2027E</t>
  </si>
  <si>
    <t xml:space="preserve"> </t>
  </si>
  <si>
    <t>2017A</t>
  </si>
  <si>
    <t>2H17</t>
  </si>
  <si>
    <t>百万</t>
  </si>
  <si>
    <t>1H18</t>
  </si>
  <si>
    <r>
      <rPr>
        <sz val="9"/>
        <rFont val="楷体_GB2312"/>
        <family val="3"/>
        <charset val="134"/>
      </rPr>
      <t>隐含利率</t>
    </r>
  </si>
  <si>
    <r>
      <rPr>
        <b/>
        <sz val="9"/>
        <rFont val="楷体_GB2312"/>
        <family val="3"/>
        <charset val="134"/>
      </rPr>
      <t>财务费用</t>
    </r>
  </si>
  <si>
    <r>
      <rPr>
        <sz val="9"/>
        <rFont val="楷体_GB2312"/>
        <family val="3"/>
        <charset val="134"/>
      </rPr>
      <t>利息费用</t>
    </r>
  </si>
  <si>
    <t>按公平值列入其他全面收益之金融资产</t>
  </si>
  <si>
    <t>2018A</t>
  </si>
  <si>
    <t>2H18</t>
  </si>
  <si>
    <t>OUTPERFORM</t>
  </si>
  <si>
    <t xml:space="preserve">法律声明
一般声明
本资料由中国国际金融股份有限公司（已具备中国证监会批复的证券投资咨询业务资格）制作。本资料中的信息均来源于我们认为可靠的已公开资料，但中国国际金融股份有限公司及其关联机构（以下统称“中金公司”）对这些信息的准确性及完整性不作任何保证。本资料中的信息、意见等均仅供投资者参考之用，不构成对买卖任何证券或其他金融工具的出价或征价或提供任何投资决策建议的服务。该等信息、意见并未考虑到获取本资料人员的具体投资目的、财务状况以及特定需求，在任何时候均不构成对任何人的个人推荐或投资操作性建议。投资者应当对本资料中的信息和意见进行独立评估，自主审慎做出决策并自行承担风险。投资者在依据本资料涉及的内容进行任何决策前，应同时考量各自的投资目的、财务状况和特定需求，并就相关决策咨询专业顾问的意见对依据或者使用本资料所造成的一切后果，中金公司及/或其关联人员均不承担任何责任。 
本资料所载的意见、评估及预测仅为本资料出具日的观点和判断。该等意见、评估及预测无需通知即可随时更改。在不同时期，中金公司可能会发出与本资料所载意见、评估及预测不一致的研究资料。
本资料署名分析师可能会不时与中金公司的客户、销售交易人员、其他业务人员或在本资料中针对可能对本资料所涉及的标的证券或其他金融工具的市场价格产生短期影响的催化剂或事件进行交易策略的讨论。这种短期影响的分析可能与分析师已发布的关于相关证券或其他金融工具的目标价、评级、估值、预测等观点相反或不一致，相关的交易策略不同于且也不影响分析师关于其所研究标的证券或其他金融工具的基本面评级。
中金公司的销售人员、交易人员以及其他专业人士可能会依据不同假设和标准、采用不同的分析方法而口头或书面发表与本资料意见及建议不一致的市场评论和/或交易观点。中金公司没有将此意见及建议向资料所有接收者进行更新的义务。中金公司的资产管理部门、自营部门以及其他投资业务部门可能独立做出与本资料中的意见不一致的投资决策。
除非另行说明，本资料中所引用的关于业绩的数据代表过往表现。过往的业绩表现亦不应作为日后回报的预示。我们不承诺也不保证，任何所预示的回报会得以实现。分析中所做的预测可能是基于相应的假设。任何假设的变化可能会显著地影响所预测的回报。
本资料提供给某接收人是基于该接收人被认为有能力独立评估投资风险并就投资决策能行使独立判断。投资的独立判断是指，投资决策是投资者自身基于对潜在投资的目标、需求、机会、风险、市场因素及其他投资考虑而独立做出的。
本资料由受香港证券和期货委员会监管的中国国际金融香港证券有限公司（“中金香港”）于香港提供。香港的投资者若有任何关于中金公司研究资料的问题请直接联系中金香港的销售交易代表。
本资料由受新加坡金融管理局监管的中国国际金融（新加坡）有限公司 (“中金新加坡”) 于新加坡向符合新加坡《证券期货法》定义下的认可投资者及/或机构投资者提供。提供本资料于此类投资者, 有关财务顾问将无需根据新加坡之《财务顾问法》第36 条就任何利益及/或其代表就任何证券利益进行披露。有关本资料之任何查询，在新加坡获得本资料的人员可联系中金新加坡销售交易代表。
本资料由受金融服务监管局监管的中国国际金融（英国）有限公司（“中金英国”）于英国提供。本资料有关的投资和服务仅向符合《2000年金融服务和市场法2005年（金融推介）令》第19（5）条、 38条、 47条以及 49条规定的人士提供。本资料并未打算提供给零售客户使用。在其他欧洲经济区国家，本资料向被其本国认定为专业投资者（或相当性质）的人士提供。
本资料将依据其他国家或地区的法律法规和监管要求于该国家或地区提供。
特别声明
在法律许可的情况下，中金公司可能与本资料中提及公司正在建立或争取建立业务关系或服务关系。因此，投资者应当考虑到中金公司及/或其相关人员可能存在影响本资料观点客观性的潜在利益冲突。
与本资料所含具体公司相关的披露信息请访https://research.cicc.com/footer/disclosures，亦可参见近期已发布的关于该等公司的具体研究资料。
中金研究基本评级体系说明：
分析师采用相对评级体系，股票评级分为跑赢行业、中性、跑输行业（定义见下文）。
除了股票评级外，中金公司对覆盖行业的未来市场表现提供行业评级观点，行业评级分为超配、标配、低配（定义见下文）。
我们在此提醒您，中金公司对研究覆盖的股票不提供买入、卖出评级。跑赢行业、跑输行业不等同于买入、卖出。投资者应仔细阅读中金公司研究报告中的所有评级定义。请投资者仔细阅读研究报告全文，以获取比较完整的观点与信息，不应仅仅依靠评级来推断结论。在任何情形下，评级（或研究观点）都不应被视为或作为投资建议。投资者买卖证券或其他金融产品的决定应基于自身实际具体情况（比如当前的持仓结构）及其他需要考虑的因素。
股票评级定义：
 跑赢行业（OUTPERFORM）：未来6~12个月，分析师预计个股表现超过同期其所属的中金行业指数；
 中性（NEUTRAL）：未来6~12个月，分析师预计个股表现与同期其所属的中金行业指数相比持平；
 跑输行业（UNDERPERFORM）：未来6~12个月，分析师预计个股表现不及同期其所属的中金行业指数。
行业评级定义：
 超配（OVERWEIGHT）：未来6~12个月，分析师预计某行业会跑赢大盘10%以上；
 标配（EQUAL-WEIGHT）：未来6~12个月，分析师预计某行业表现与大盘的关系在-10%与10%之间；
 低配（UNDERWEIGHT）：未来6~12个月，分析师预计某行业会跑输大盘10%以上。
研究报告评级分布可从https://research.cicc.com/footer/disclosures 获悉。
本报告的版权仅为中金公司所有，未经书面许可任何机构和个人不得以任何形式转发、翻版、复制、刊登、发表或引用。
</t>
  </si>
  <si>
    <t>资料来源：万得，彭博，中金公司研究部</t>
  </si>
  <si>
    <t>更新日期：</t>
  </si>
  <si>
    <t>中国建筑国际(03311.HK)</t>
  </si>
  <si>
    <t xml:space="preserve">General Disclosures
This document has been produced by China International Capital Corporation Hong Kong Securities Limited (CICCHKS). This document is based on information available to the public that we consider reliable, but CICCHKS and its associated company(ies)(collectively, hereinafter “CICC”) do not represent that it is accurate or complete. The information and opinions contained herein are for investors’ reference only and do not take into account the particular investment objectives, financial situation, or needs of any client, and are not an offer to buy or sell or a solicitation of an offer to buy or sell any securities/financial products or to participate in any particular trading strategy. Under no circumstances shall the information contained herein or the opinions expressed herein constitute a personal recommendation to anyone. Investors should make their own independent evaluation of the information contained in this research document, consider their own individual investment objectives, financial situation and particular needs. CICC does not provide tax, accounting, or legal advice to our clients, and all investors are advised to consult with their tax, accounting, or legal advisers regarding any potential investment. Neither CICC nor its related persons shall be liable in any manner whatsoever for any consequences of any reliance thereon or usage thereof.
The performance information (including any expression of opinion or forecast) herein reflect the most up-to-date opinions, speculations and forecasts at the time of the document’s production and publication. Such opinions, speculations and forecasts are subject to change and may be amended without any notification. At different periods, CICC may release documents which are inconsistent with the opinions, speculations and forecasts contained herein. 
The analysts named in this document may have from time to time discussed with our clients, including CICC salespeople, traders, and other professionals, or may discuss in this document, trading strategies that reference catalysts or events that may have a near-term impact on the market price of the equity securities discussed in this document, which impact may be directionally counter to the analysts' published price target expectations for such stocks. Any such trading strategies are distinct from and do not affect the analysts' fundamental equity rating for such stocks as described herein.
CICC’s salespeople, traders, and other professionals may provide oral or written market commentary or trading ideas that may be inconsistent with, and reach different conclusions from, the recommendations and opinions presented in this document. Such ideas or recommendations reflect the different assumptions, views and analytical methods of the persons who prepared them, and CICC is under no obligation to ensure that such other trading ideas or recommendations are brought to the attention of any recipient of this document. CICC’s asset management area, proprietary trading desks and other investing businesses may make investment decisions that are inconsistent with the recommendations or opinions expressed in this document.
Unless stated otherwise, any performance data quoted represents past performance. Past performance is not an indicator of future performance. No representation or warranty is made that any returns indicated will be achieved. Certain assumptions may have been made in this analysis which has resulted in any returns detailed herein. Changes to the assumptions may have a material impact on any returns detailed.
To the extent this material is provided to any recipient, this material is provided solely on the basis that the recipient has the capability to independently evaluate investment risk and is exercising independent judgment in evaluating investment decisions in that its investment decisions will be based on its own independent assessment of the opportunities and risks presented by a potential investment, market factors and other investment considerations.
This document is distributed in Hong Kong by CICCHKS, which is regulated by the Securities and Futures Commission. Queries concerning CICC Research from readers in Hong Kong should be directed to our Hong Kong sales representatives.
This document is distributed in Singapore only to accredited investors and/or institutional investors, as defined in the Securities and Futures Act, by China International Capital Corporation (Singapore) Pte. Limited (“CICCSG”), which is regulated by the Monetary Authority of Singapore. By virtue of distribution by CICCSG to these categories of investors in Singapore, disclosure under Section 36 of the Financial Adviser Act (which relates to disclosure of a financial adviser’s interest and/or its representative’s interest in securities) is not required. Recipients of this document in Singapore should contact CICCSG in respect of any matter arising from or in connection with this document. This document is not intended for and should not be distributed or passed on, directly or indirectly, to any other person in the jurisdiction of Singapore.
This document is distributed in the United Kingdom by China International Capital Corporation (UK) Limited (“CICCUK”), which is authorized and regulated by the Financial Conduct Authority. The investments and services to which this document relates are only available to persons of a kind described in Article 19 (5), 38, 47 and 49 of the Financial Services and Markets Act 2000 (Financial Promotion) Order 2005. This document is not intended for retail clients. In other EEA countries, the document is issued to persons regarded as professional investors (or equivalent) in their home jurisdiction.
This document will be made available in other jurisdictions pursuant to the applicable laws and regulations in those particular jurisdictions.
Special Disclosures
CICC does and seeks to do business with companies covered in CICC Research. As a result, investors should be aware that CICC and/or its associated persons may have a conflict of interest that could affect the objectivity of this document.
Disclosures in relation to the Companies contained this document could be found at https://research.cicc.com/footer/disclosures, or in the published latest company-specific research. 
Guide to the CICC Fundamental Equity Research Rating System:
Our analysts use a stock rating framework in which they rate stocks as OUTPERFORM, NEUTRAL or UNDERPERFORM (see definitions below). 
In addition to the stock rating, we provide industry views which rate the outlook for the industry coverage universe as OVERWEIGHT, EQUAL-WEIGHT or UNDERWEIGHT (see definitions below). 
CICC does not assign ratings of BUY, HOLD or SELL to the stocks we cover. OUTPERFORM, NEUTRAL or UNDERPERFORM are not the equivalent of BUY, HOLD or SELL. Investors should carefully read the definitions of all ratings used in CICC Research. In addition, since CICC Research contains more complete information concerning the analyst's views, investors should carefully read CICC Research, in its entirety, and not infer the contents from the rating alone. In any case, ratings (or research) should not be used or relied upon as investment advice. An investor's decision to buy or sell a stock should depend on individual circumstances (such as the investor's existing holdings) and other considerations.
Explanation of Stock Ratings:
 OUTPERFORM: Our analysts expect the stock’s return to exceed the return of the corresponding CICC sector index over the next 6~12 months;
 NEUTRAL: Our analysts expect the stock’s return to be in line with the return of the corresponding CICC sector index over the next 6~12 months;
 UNDERPERFORM: Our analysts expect the stock’s return to be below the return of the corresponding CICC sector index over the next 6~12 months.
Explanation of Industry Ratings:
 OVERWEIGHT: Our analysts expect the sector to outperform the market by 10% or more over the next 6~12 months;
 EQUAL-WEIGHT: Our analysts expect the sector to end up between 10% below and 10% above the market over the next 6~12 months;
 UNDERWEIGHT: Our analysts expect the sector to fall behind the market by 10% or more over the next 6~12 months.
Distribution of ratings is available at https://research.cicc.com/footer/disclosures.
Copyright of this document belongs to CICC. Any form of unauthorized distribution, reproduction, publication, release or quotation is prohibited without CICC’s written permission.
</t>
  </si>
  <si>
    <t>Source: Wind, Bloomberg, CICC Research</t>
  </si>
  <si>
    <t>update as of</t>
  </si>
  <si>
    <t>China State Construction Int'l(03311.HK)</t>
  </si>
  <si>
    <t xml:space="preserve">General Disclosures
This document has been produced by China International Capital Corporation Hong Kong Securities Limited (CICCHKS). This document is based on information available to the public that we consider reliable, but CICCHKS and its associated company(ies)(collectively, hereinafter “CICC”) do not represent that it is accurate or complete. The information and opinions contained herein are for investors’ reference only and do not take into account the particular investment objectives, financial situation, or needs of any client, and are not an offer to buy or sell or a solicitation of an offer to buy or sell any securities/ financial products or to participate in any particular trading strategy. Under no circumstances shall the information contained herein or the opinions expressed herein constitute a personal recommendation to anyone. Investors should make their own independent evaluation of the information contained in this research document, consider their own individual investment objectives, financial situation and particular needs. CICC does not provide tax, accounting, or legal advice to our clients, and all investors are advised to consult with their tax, accounting, or legal advisers regarding any potential investment. Neither CICC nor its related persons shall be liable in any manner whatsoever for any consequences of any reliance thereon or usage thereof.
The performance information (including any expression of opinion or forecast) herein reflect the most up-to-date opinions, speculations and forecasts at the time of the document’s production and publication. Such opinions, speculations and forecasts are subject to change and may be amended without any notification. At different periods, CICC may release documents which are inconsistent with the opinions, speculations and forecasts contained herein. 
The analysts named in this document may have from time to time discussed with our clients, including CICC salespeople, traders, and other professionals, or may discuss in this document, trading strategies that reference catalysts or events that may have a near-term impact on the market price of the equity securities discussed in this document, which impact may be directionally counter to the analysts' published price target expectations for such stocks. Any such trading strategies are distinct from and do not affect the analysts' fundamental equity rating for such stocks as described herein.
CICC’s salespeople, traders, and other professionals may provide oral or written market commentary or trading ideas that may be inconsistent with, and reach different conclusions from, the recommendations and opinions presented in this document. Such ideas or recommendations reflect the different assumptions, views and analytical methods of the persons who prepared them, and CICC is under no obligation to ensure that such other trading ideas or recommendations are brought to the attention of any recipient of this document. CICC’s asset management area, proprietary trading desks and other investing businesses may make investment decisions that are inconsistent with the recommendations or opinions expressed in this document.
Unless stated otherwise, any performance data quoted represents past performance. Past performance is not an indicator of future performance. No representation or warranty is made that any returns indicated will be achieved. Certain assumptions may have been made in this analysis which has resulted in any returns detailed herein. Changes to the assumptions may have a material impact on any returns detailed.
To the extent this material is provided to any recipient, this material is provided solely on the basis that the recipient has the capability to independently evaluate investment risk and is exercising independent judgment in evaluating investment decisions in that its investment decisions will be based on its own independent assessment of the opportunities and risks presented by a potential investment, market factors and other investment considerations.
This document is distributed in Hong Kong by CICCHKS, which is regulated by the Securities and Futures Commission. Queries concerning CICC Research from readers in Hong Kong should be directed to our Hong Kong sales representatives.
This document is distributed in Singapore only to accredited investors and/or institutional investors, as defined in the Securities and Futures Act, by China International Capital Corporation (Singapore) Pte. Limited (“CICCSG”), which is regulated by the Monetary Authority of Singapore. By virtue of distribution by CICCSG to these categories of investors in Singapore, disclosure under Section 36 of the Financial Adviser Act (which relates to disclosure of a financial adviser’s interest and/or its representative’s interest in securities) is not required. Recipients of this document in Singapore should contact CICCSG in respect of any matter arising from or in connection with this document. This document is not intended for and should not be distributed or passed on, directly or indirectly, to any other person in the jurisdiction of Singapore.
This document is distributed in the United Kingdom by China International Capital Corporation (UK) Limited (“CICCUK”), which is authorized and regulated by the Financial Conduct Authority. The investments and services to which this document relates are only available to persons of a kind described in Article 19 (5), 38, 47 and 49 of the Financial Services and Markets Act 2000 (Financial Promotion) Order 2005. This document is not intended for retail clients. In other EEA countries, the document is issued to persons regarded as professional investors (or equivalent) in their home jurisdiction.
This document will be made available in other jurisdictions pursuant to the applicable laws and regulations in those particular jurisdictions.
Special Disclosures
CICC does and seeks to do business with companies covered in CICC Research. As a result, investors should be aware that CICC and/or its associated persons may have a conflict of interest that could affect the objectivity of this document.
Disclosures in relation to the Companies contained this document could be found at https://research.cicc.com/footer/disclosures, or in the published latest company-specific research. 
Guide to the CICC Fundamental Equity Research Rating System:
Our analysts use a stock rating framework in which they rate stocks as OUTPERFORM, NEUTRAL or UNDERPERFORM (see definitions below). 
In addition to the stock rating, we provide industry views which rate the outlook for the industry coverage universe as OVERWEIGHT, EQUAL-WEIGHT or UNDERWEIGHT (see definitions below). 
CICC does not assign ratings of BUY, HOLD or SELL to the stocks we cover. OUTPERFORM, NEUTRAL or UNDERPERFORM are not the equivalent of BUY, HOLD or SELL. Investors should carefully read the definitions of all ratings used in CICC Research. In addition, since CICC Research contains more complete information concerning the analyst's views, investors should carefully read CICC Research, in its entirety, and not infer the contents from the rating alone. In any case, ratings (or research) should not be used or relied upon as investment advice. An investor's decision to buy or sell a stock should depend on individual circumstances (such as the investor's existing holdings) and other considerations.
Explanation of Stock Ratings:
 OUTPERFORM: Our analysts expect the stock’s return to exceed the return of the corresponding CICC sector index over the next 6~12 months;
 NEUTRAL: Our analysts expect the stock’s return to be in line with the return of the corresponding CICC sector index over the next 6~12 months;
 UNDERPERFORM: Our analysts expect the stock’s return to be below the return of the corresponding CICC sector index over the next 6~12 months.
Explanation of Industry Ratings:
 OVERWEIGHT: Our analysts expect the sector to outperform the market by 10% or more over the next 6~12 months;
 EQUAL-WEIGHT: Our analysts expect the sector to end up between 10% below and 10% above the market over the next 6~12 months;
 UNDERWEIGHT: Our analysts expect the sector to fall behind the market by 10% or more over the next 6~12 months.
Distribution of ratings is available at https://research.cicc.com/footer/disclosures.
Copyright of this document belongs to CICC. Any form of unauthorized distribution, reproduction, publication, release or quotation is prohibited without CICC’s written permission.
US Regulatory Disclosures
Analyst Certification
The analysts who prepared the research document contained herein hereby certify pursuant to Regulation AC of the U.S. Securities and Exchange Commission (the "SEC") that: (i) the views expressed in this research document accurately reflect my personal views about the subject securities and issuers; and (ii) no part of my compensation was, is, or will be, directly or indirectly, related to the specific recommendations or views expressed in this research document. 
Foreign Broker-Dealer Disclosure 
This research document was prepared by China International Capital Corporation Limited and China International Capital Corporation Hong Kong Securities Limited (hereinafter "CICC"). CICC is not a registered broker-dealer in the United States and, therefore, is not subject to U.S. rules regarding the preparation of research documents and the independence of research analysts. This research document is provided for distribution to “major U.S. institutional investors” in reliance on the exemption from registration provided by Rule 15a-6 of the U.S. Securities Exchange Act of 1934, as amended (the “Exchange Act”). Any U.S. recipient of this research document wishing to effect any transaction to buy or sell securities or related financial instruments based on the information provided in this research document should do so only through CICC US Securities, Inc. (hereinafter "CICC US"), a registered broker-dealer in the United States. Under no circumstances should any recipient of this research document effect any transaction to buy or sell securities or related financial instruments through CICC. CICC US accepts responsibility for the contents of this research document, subject to the terms set out below, to the extent that it is delivered to a U.S. person other than a major U.S. institutional investor. The analyst whose name appears in this research document is not registered or qualified as a research analyst with the Financial Industry Regulatory Authority (“FINRA”) and may not be an associated person of CICC US and, therefore, may not be subject to applicable restrictions under FINRA Rules on communications with a subject company, public appearances and trading securities held by a research analyst account.
</t>
  </si>
  <si>
    <t>归属永续资本持有人的净利润</t>
  </si>
  <si>
    <t>开发中物业增加</t>
  </si>
  <si>
    <t>合约资产/负债变动净额</t>
  </si>
  <si>
    <t>担保票据之偿还</t>
  </si>
  <si>
    <t>新增银行贷款</t>
  </si>
  <si>
    <t>发行永续担保证券净额</t>
  </si>
  <si>
    <t>Chinese mainland</t>
  </si>
  <si>
    <t>CSCD</t>
  </si>
  <si>
    <t>2021</t>
  </si>
  <si>
    <t>Turnover rate</t>
  </si>
  <si>
    <t>Accounts payable</t>
  </si>
  <si>
    <t>Beginning</t>
  </si>
  <si>
    <t>Acc. Depr.</t>
  </si>
  <si>
    <t>PPE</t>
  </si>
  <si>
    <t>Depr. Per year</t>
  </si>
  <si>
    <t>Company's depr.&amp; amor.</t>
  </si>
  <si>
    <t>Proportiopn of segment revenue</t>
  </si>
  <si>
    <t>Proportion of total capex</t>
  </si>
  <si>
    <t>Total Capex</t>
  </si>
  <si>
    <r>
      <t>BT</t>
    </r>
    <r>
      <rPr>
        <b/>
        <sz val="9"/>
        <rFont val="楷体_GB2312"/>
        <family val="3"/>
        <charset val="134"/>
      </rPr>
      <t>项目利息收益（计入主营收入）</t>
    </r>
  </si>
  <si>
    <r>
      <rPr>
        <b/>
        <sz val="9"/>
        <rFont val="楷体_GB2312"/>
        <family val="3"/>
        <charset val="134"/>
      </rPr>
      <t>净值</t>
    </r>
  </si>
  <si>
    <t>net value</t>
  </si>
  <si>
    <r>
      <rPr>
        <sz val="9"/>
        <rFont val="楷体_GB2312"/>
        <family val="3"/>
        <charset val="134"/>
      </rPr>
      <t>客户工程合同款和应收款利息</t>
    </r>
  </si>
  <si>
    <t>interest from contracts and receivables(BT)</t>
  </si>
  <si>
    <r>
      <rPr>
        <sz val="9"/>
        <rFont val="楷体_GB2312"/>
        <family val="3"/>
        <charset val="134"/>
      </rPr>
      <t>其他利息收入</t>
    </r>
  </si>
  <si>
    <t>other interest income</t>
  </si>
  <si>
    <r>
      <rPr>
        <sz val="9"/>
        <rFont val="楷体_GB2312"/>
        <family val="3"/>
        <charset val="134"/>
      </rPr>
      <t>隐含存款利率</t>
    </r>
  </si>
  <si>
    <t xml:space="preserve">implicit interest rate
</t>
  </si>
  <si>
    <r>
      <rPr>
        <sz val="9"/>
        <rFont val="楷体_GB2312"/>
        <family val="3"/>
        <charset val="134"/>
      </rPr>
      <t>减：资本化金额</t>
    </r>
  </si>
  <si>
    <t>less:capitalization</t>
  </si>
  <si>
    <r>
      <rPr>
        <sz val="9"/>
        <rFont val="楷体_GB2312"/>
        <family val="3"/>
        <charset val="134"/>
      </rPr>
      <t>隐含实际利率</t>
    </r>
  </si>
  <si>
    <r>
      <t>——</t>
    </r>
    <r>
      <rPr>
        <sz val="9"/>
        <rFont val="楷体_GB2312"/>
        <family val="3"/>
        <charset val="134"/>
      </rPr>
      <t>银行借款利息</t>
    </r>
  </si>
  <si>
    <t>beginning</t>
  </si>
  <si>
    <t>new addition</t>
  </si>
  <si>
    <t>short-term loans</t>
  </si>
  <si>
    <t>2H16</t>
  </si>
  <si>
    <t>2H15</t>
  </si>
  <si>
    <t>Segment profit  (HKD mn)</t>
  </si>
  <si>
    <t>Change +/-</t>
  </si>
  <si>
    <t>CSCD</t>
  </si>
  <si>
    <t>Gross profit  (HKD mn)</t>
  </si>
  <si>
    <t>HK+Macau</t>
  </si>
  <si>
    <t>Revenue  (HKD mn)</t>
  </si>
  <si>
    <t>Conversion ratio</t>
  </si>
  <si>
    <t>Backlog/Revenue</t>
  </si>
  <si>
    <t>Backlog  (HKD mn)</t>
  </si>
  <si>
    <t>2H19</t>
  </si>
  <si>
    <t>1H19</t>
  </si>
  <si>
    <t>Infrastructure</t>
  </si>
  <si>
    <t>ICF</t>
  </si>
  <si>
    <t>OCF</t>
  </si>
  <si>
    <t>Total shars</t>
  </si>
  <si>
    <t>Effective tax rate</t>
  </si>
  <si>
    <t>Management efficiency improved</t>
  </si>
  <si>
    <t>Administrative expense rate</t>
  </si>
  <si>
    <t>Distribution,selling and adminstrative expenses</t>
  </si>
  <si>
    <t>Total shares (mn)</t>
  </si>
  <si>
    <t>Associates</t>
  </si>
  <si>
    <t>JV</t>
  </si>
  <si>
    <t>HoH</t>
  </si>
  <si>
    <t>2H14</t>
  </si>
  <si>
    <t>2H13</t>
  </si>
  <si>
    <t>2H12</t>
  </si>
  <si>
    <t>2H10</t>
  </si>
  <si>
    <t>2H09</t>
  </si>
  <si>
    <t>1H09</t>
  </si>
  <si>
    <t>CICC Comments</t>
  </si>
  <si>
    <t>Operating profit &amp; share of profits of JVs</t>
  </si>
  <si>
    <t>Share of results of JVs</t>
  </si>
  <si>
    <t>Group results</t>
  </si>
  <si>
    <t>Group revenue &amp; share of revenue of JVs</t>
  </si>
  <si>
    <t>Share of revenue of JVs</t>
  </si>
  <si>
    <t>Group revenue</t>
  </si>
  <si>
    <t>Amount</t>
  </si>
  <si>
    <t>3Q19</t>
  </si>
  <si>
    <t>2Q19</t>
  </si>
  <si>
    <t>1Q19</t>
  </si>
  <si>
    <t>4Q18</t>
  </si>
  <si>
    <t>3Q18</t>
  </si>
  <si>
    <t>2Q18</t>
  </si>
  <si>
    <t>1Q18</t>
  </si>
  <si>
    <t>4Q17</t>
  </si>
  <si>
    <t>3Q17</t>
  </si>
  <si>
    <t>2Q17</t>
  </si>
  <si>
    <t>1Q17</t>
  </si>
  <si>
    <t>4Q16</t>
  </si>
  <si>
    <t>3Q16</t>
  </si>
  <si>
    <t>2Q16</t>
  </si>
  <si>
    <t>1Q16</t>
  </si>
  <si>
    <t>4Q15</t>
  </si>
  <si>
    <t>3Q15</t>
  </si>
  <si>
    <t>2Q15</t>
  </si>
  <si>
    <t>1Q15</t>
  </si>
  <si>
    <t>4Q14</t>
  </si>
  <si>
    <t>3Q14</t>
  </si>
  <si>
    <t>2Q14</t>
  </si>
  <si>
    <t>1Q14</t>
  </si>
  <si>
    <t>4Q13</t>
  </si>
  <si>
    <t>3Q13</t>
  </si>
  <si>
    <t>2Q13</t>
  </si>
  <si>
    <t>1Q13</t>
  </si>
  <si>
    <t>1-3Q19</t>
  </si>
  <si>
    <t>1-2Q19</t>
  </si>
  <si>
    <t>1-4Q18</t>
  </si>
  <si>
    <t>1-3Q18</t>
  </si>
  <si>
    <t>1-2Q18</t>
  </si>
  <si>
    <t>1-4Q17</t>
  </si>
  <si>
    <t>1-3Q17</t>
  </si>
  <si>
    <t>1-2Q17</t>
  </si>
  <si>
    <t>1~4Q16</t>
  </si>
  <si>
    <t>1~3Q16</t>
  </si>
  <si>
    <t>1~2Q16</t>
  </si>
  <si>
    <t>1~4Q15</t>
  </si>
  <si>
    <t>1~3Q15</t>
  </si>
  <si>
    <t>1~2Q15</t>
  </si>
  <si>
    <t>1~4Q14</t>
  </si>
  <si>
    <t>1~3Q14</t>
  </si>
  <si>
    <t>1~2Q14</t>
  </si>
  <si>
    <t>1~4Q13</t>
  </si>
  <si>
    <t>1~3Q13</t>
  </si>
  <si>
    <t>1~2Q13</t>
  </si>
  <si>
    <t>error test</t>
  </si>
  <si>
    <r>
      <rPr>
        <sz val="9"/>
        <rFont val="楷体_GB2312"/>
        <family val="3"/>
        <charset val="134"/>
      </rPr>
      <t>每股</t>
    </r>
    <r>
      <rPr>
        <sz val="9"/>
        <rFont val="Calibri"/>
        <family val="2"/>
      </rPr>
      <t>35</t>
    </r>
    <r>
      <rPr>
        <sz val="9"/>
        <rFont val="楷体_GB2312"/>
        <family val="3"/>
        <charset val="134"/>
      </rPr>
      <t>仙</t>
    </r>
  </si>
  <si>
    <r>
      <rPr>
        <sz val="9"/>
        <rFont val="楷体_GB2312"/>
        <family val="3"/>
        <charset val="134"/>
      </rPr>
      <t>每股</t>
    </r>
    <r>
      <rPr>
        <sz val="9"/>
        <rFont val="Calibri"/>
        <family val="2"/>
      </rPr>
      <t>33</t>
    </r>
    <r>
      <rPr>
        <sz val="9"/>
        <rFont val="楷体_GB2312"/>
        <family val="3"/>
        <charset val="134"/>
      </rPr>
      <t>仙</t>
    </r>
  </si>
  <si>
    <r>
      <rPr>
        <sz val="9"/>
        <rFont val="楷体_GB2312"/>
        <family val="3"/>
        <charset val="134"/>
      </rPr>
      <t>每股</t>
    </r>
    <r>
      <rPr>
        <sz val="9"/>
        <rFont val="Calibri"/>
        <family val="2"/>
      </rPr>
      <t>18</t>
    </r>
    <r>
      <rPr>
        <sz val="9"/>
        <rFont val="楷体_GB2312"/>
        <family val="3"/>
        <charset val="134"/>
      </rPr>
      <t>仙</t>
    </r>
  </si>
  <si>
    <r>
      <rPr>
        <sz val="9"/>
        <rFont val="楷体_GB2312"/>
        <family val="3"/>
        <charset val="134"/>
      </rPr>
      <t>每股</t>
    </r>
    <r>
      <rPr>
        <sz val="9"/>
        <rFont val="Calibri"/>
        <family val="2"/>
      </rPr>
      <t>12</t>
    </r>
    <r>
      <rPr>
        <sz val="9"/>
        <rFont val="楷体_GB2312"/>
        <family val="3"/>
        <charset val="134"/>
      </rPr>
      <t>仙</t>
    </r>
  </si>
  <si>
    <r>
      <rPr>
        <sz val="9"/>
        <rFont val="楷体_GB2312"/>
        <family val="3"/>
        <charset val="134"/>
      </rPr>
      <t>股息</t>
    </r>
  </si>
  <si>
    <r>
      <rPr>
        <sz val="9"/>
        <rFont val="楷体_GB2312"/>
        <family val="3"/>
        <charset val="134"/>
      </rPr>
      <t>（二）稀释每股收益</t>
    </r>
  </si>
  <si>
    <r>
      <rPr>
        <sz val="9"/>
        <rFont val="楷体_GB2312"/>
        <family val="3"/>
        <charset val="134"/>
      </rPr>
      <t>（一）基本每股收益</t>
    </r>
  </si>
  <si>
    <r>
      <rPr>
        <sz val="9"/>
        <rFont val="楷体_GB2312"/>
        <family val="3"/>
        <charset val="134"/>
      </rPr>
      <t>每股收益</t>
    </r>
  </si>
  <si>
    <r>
      <rPr>
        <sz val="9"/>
        <rFont val="楷体_GB2312"/>
        <family val="3"/>
        <charset val="134"/>
      </rPr>
      <t>归属少数股东权益</t>
    </r>
  </si>
  <si>
    <t>Minority interests</t>
  </si>
  <si>
    <t>归属永续债持有人</t>
  </si>
  <si>
    <r>
      <rPr>
        <sz val="9"/>
        <rFont val="楷体_GB2312"/>
        <family val="3"/>
        <charset val="134"/>
      </rPr>
      <t>其中：</t>
    </r>
    <r>
      <rPr>
        <sz val="9"/>
        <rFont val="Calibri"/>
        <family val="2"/>
      </rPr>
      <t xml:space="preserve">  </t>
    </r>
    <r>
      <rPr>
        <sz val="9"/>
        <rFont val="楷体_GB2312"/>
        <family val="3"/>
        <charset val="134"/>
      </rPr>
      <t>归属本公司股东</t>
    </r>
  </si>
  <si>
    <r>
      <rPr>
        <sz val="9"/>
        <rFont val="楷体_GB2312"/>
        <family val="3"/>
        <charset val="134"/>
      </rPr>
      <t>减：所得税费用</t>
    </r>
  </si>
  <si>
    <r>
      <rPr>
        <b/>
        <sz val="9"/>
        <rFont val="楷体_GB2312"/>
        <family val="3"/>
        <charset val="134"/>
      </rPr>
      <t>除所得税前利润</t>
    </r>
  </si>
  <si>
    <r>
      <rPr>
        <sz val="9"/>
        <rFont val="楷体_GB2312"/>
        <family val="3"/>
        <charset val="134"/>
      </rPr>
      <t>应占共同控制实体损益</t>
    </r>
  </si>
  <si>
    <r>
      <rPr>
        <sz val="9"/>
        <rFont val="楷体_GB2312"/>
        <family val="3"/>
        <charset val="134"/>
      </rPr>
      <t>可供出售投资之减值亏损</t>
    </r>
  </si>
  <si>
    <r>
      <rPr>
        <sz val="9"/>
        <rFont val="楷体_GB2312"/>
        <family val="3"/>
        <charset val="134"/>
      </rPr>
      <t>投资物业之减值亏损</t>
    </r>
  </si>
  <si>
    <r>
      <rPr>
        <sz val="9"/>
        <rFont val="楷体_GB2312"/>
        <family val="3"/>
        <charset val="134"/>
      </rPr>
      <t>待售物业之减值亏损回拨</t>
    </r>
  </si>
  <si>
    <r>
      <rPr>
        <sz val="9"/>
        <rFont val="楷体_GB2312"/>
        <family val="3"/>
        <charset val="134"/>
      </rPr>
      <t>其它费用</t>
    </r>
  </si>
  <si>
    <r>
      <rPr>
        <sz val="9"/>
        <rFont val="楷体_GB2312"/>
        <family val="3"/>
        <charset val="134"/>
      </rPr>
      <t>销售及营销费用</t>
    </r>
  </si>
  <si>
    <r>
      <rPr>
        <sz val="9"/>
        <rFont val="楷体_GB2312"/>
        <family val="3"/>
        <charset val="134"/>
      </rPr>
      <t>管理费用</t>
    </r>
  </si>
  <si>
    <t>行政、销售及其他经营费用</t>
  </si>
  <si>
    <r>
      <rPr>
        <sz val="9"/>
        <rFont val="楷体_GB2312"/>
        <family val="3"/>
        <charset val="134"/>
      </rPr>
      <t>其它收入</t>
    </r>
  </si>
  <si>
    <r>
      <rPr>
        <sz val="9"/>
        <rFont val="楷体_GB2312"/>
        <family val="3"/>
        <charset val="134"/>
      </rPr>
      <t>投资收入</t>
    </r>
  </si>
  <si>
    <r>
      <rPr>
        <sz val="9"/>
        <rFont val="楷体_GB2312"/>
        <family val="3"/>
        <charset val="134"/>
      </rPr>
      <t>减：营业成本</t>
    </r>
  </si>
  <si>
    <t>1H19A</t>
  </si>
  <si>
    <t>2H18A</t>
  </si>
  <si>
    <t>1H18A</t>
  </si>
  <si>
    <t>DPS</t>
  </si>
  <si>
    <t>Income tax expense</t>
  </si>
  <si>
    <t>Profit before income tax</t>
  </si>
  <si>
    <t>4Q</t>
  </si>
  <si>
    <t>Attributable to perpetual securities</t>
  </si>
  <si>
    <r>
      <t>Backlog contribution from Chinese mainland</t>
    </r>
    <r>
      <rPr>
        <b/>
        <sz val="8"/>
        <color rgb="FFFFFFFF"/>
        <rFont val="Calibri"/>
        <family val="2"/>
      </rPr>
      <t xml:space="preserve"> (right axis)</t>
    </r>
  </si>
  <si>
    <t>2026E</t>
  </si>
  <si>
    <t>2028E</t>
  </si>
  <si>
    <t>2029E</t>
  </si>
  <si>
    <t>2030E</t>
  </si>
  <si>
    <t>1Q20</t>
  </si>
  <si>
    <t>4Q19</t>
  </si>
  <si>
    <r>
      <rPr>
        <sz val="9"/>
        <color indexed="9"/>
        <rFont val="楷体_GB2312"/>
        <family val="3"/>
        <charset val="134"/>
      </rPr>
      <t>千万</t>
    </r>
  </si>
  <si>
    <t>Version2.0</t>
  </si>
  <si>
    <t>上调至</t>
  </si>
  <si>
    <t>Upgrade to</t>
  </si>
  <si>
    <t>推荐</t>
  </si>
  <si>
    <t>BUY</t>
  </si>
  <si>
    <r>
      <rPr>
        <sz val="9"/>
        <color indexed="9"/>
        <rFont val="楷体_GB2312"/>
        <family val="3"/>
        <charset val="134"/>
      </rPr>
      <t>百万</t>
    </r>
  </si>
  <si>
    <t>下调至</t>
  </si>
  <si>
    <t>Downgrade to</t>
  </si>
  <si>
    <r>
      <rPr>
        <sz val="9"/>
        <color indexed="9"/>
        <rFont val="楷体_GB2312"/>
        <family val="3"/>
        <charset val="134"/>
      </rPr>
      <t>万</t>
    </r>
  </si>
  <si>
    <t>维持</t>
  </si>
  <si>
    <t>Maintain</t>
  </si>
  <si>
    <r>
      <rPr>
        <sz val="9"/>
        <color indexed="9"/>
        <rFont val="楷体_GB2312"/>
        <family val="3"/>
        <charset val="134"/>
      </rPr>
      <t>千</t>
    </r>
  </si>
  <si>
    <t>Initiate with</t>
  </si>
  <si>
    <r>
      <rPr>
        <sz val="9"/>
        <color rgb="FF000000"/>
        <rFont val="楷体_GB2312"/>
        <family val="3"/>
        <charset val="134"/>
      </rPr>
      <t>中建国际是中国建筑</t>
    </r>
    <r>
      <rPr>
        <sz val="9"/>
        <color rgb="FF000000"/>
        <rFont val="Calibri"/>
        <family val="2"/>
      </rPr>
      <t>(601668.SH)</t>
    </r>
    <r>
      <rPr>
        <sz val="9"/>
        <color rgb="FF000000"/>
        <rFont val="楷体_GB2312"/>
        <family val="3"/>
        <charset val="134"/>
      </rPr>
      <t>旗下子公司，</t>
    </r>
    <r>
      <rPr>
        <sz val="9"/>
        <color rgb="FF000000"/>
        <rFont val="Calibri"/>
        <family val="2"/>
      </rPr>
      <t>2005</t>
    </r>
    <r>
      <rPr>
        <sz val="9"/>
        <color rgb="FF000000"/>
        <rFont val="楷体_GB2312"/>
        <family val="3"/>
        <charset val="134"/>
      </rPr>
      <t>年于联交所主板上市。公司经营范围包括房屋工程如公营房屋、私人住宅楼宇、商业、工业、医疗机械、教育文化设施、酒店、公共建设</t>
    </r>
    <r>
      <rPr>
        <sz val="9"/>
        <color rgb="FF000000"/>
        <rFont val="Calibri"/>
        <family val="2"/>
      </rPr>
      <t>(</t>
    </r>
    <r>
      <rPr>
        <sz val="9"/>
        <color rgb="FF000000"/>
        <rFont val="楷体_GB2312"/>
        <family val="3"/>
        <charset val="134"/>
      </rPr>
      <t>机场等</t>
    </r>
    <r>
      <rPr>
        <sz val="9"/>
        <color rgb="FF000000"/>
        <rFont val="Calibri"/>
        <family val="2"/>
      </rPr>
      <t>)</t>
    </r>
    <r>
      <rPr>
        <sz val="9"/>
        <color rgb="FF000000"/>
        <rFont val="楷体_GB2312"/>
        <family val="3"/>
        <charset val="134"/>
      </rPr>
      <t>；土木工程如土地平整、公路、桥梁、填海、隧道等；以及机电工程等周边业务。目前已打造成港澳、内地及海外</t>
    </r>
    <r>
      <rPr>
        <sz val="9"/>
        <color rgb="FF000000"/>
        <rFont val="Calibri"/>
        <family val="2"/>
      </rPr>
      <t>(</t>
    </r>
    <r>
      <rPr>
        <sz val="9"/>
        <color rgb="FF000000"/>
        <rFont val="楷体_GB2312"/>
        <family val="3"/>
        <charset val="134"/>
      </rPr>
      <t>远东环球</t>
    </r>
    <r>
      <rPr>
        <sz val="9"/>
        <color rgb="FF000000"/>
        <rFont val="Calibri"/>
        <family val="2"/>
      </rPr>
      <t>830.HK)</t>
    </r>
    <r>
      <rPr>
        <sz val="9"/>
        <color rgb="FF000000"/>
        <rFont val="楷体_GB2312"/>
        <family val="3"/>
        <charset val="134"/>
      </rPr>
      <t>三大区域平台。</t>
    </r>
  </si>
  <si>
    <t>China State Construction International (CSCI), a subsidiary of CSCEC (601668.SH), was listed on the main board of the Hong Kong Stock Exchange in 2005. The company has built three regional business platforms: mainland China, Hong Kong-Macau and overseas. In Hong Kong and Macau, it is one of the largest housing and infrastructure construction contractors, while in mainland China, it focuses on investing in infrastructure and affordable housing (BT). Its overseas platform is operated by Far East (830.HK), an affiliate whose main business is curtain walls.</t>
  </si>
  <si>
    <t>Gross interest expenses</t>
  </si>
  <si>
    <t>Net Profit</t>
  </si>
  <si>
    <t>ROE (%)</t>
  </si>
  <si>
    <t>Balance check</t>
  </si>
  <si>
    <t>2019A</t>
  </si>
  <si>
    <r>
      <rPr>
        <b/>
        <sz val="9"/>
        <rFont val="楷体_GB2312"/>
        <family val="3"/>
        <charset val="134"/>
      </rPr>
      <t>营业收入</t>
    </r>
  </si>
  <si>
    <t>Company net profit</t>
  </si>
  <si>
    <r>
      <rPr>
        <b/>
        <sz val="9"/>
        <rFont val="楷体_GB2312"/>
        <family val="3"/>
        <charset val="134"/>
      </rPr>
      <t>净利润</t>
    </r>
  </si>
  <si>
    <t>Net profit margin</t>
  </si>
  <si>
    <t xml:space="preserve">Convertible bonds 
</t>
  </si>
  <si>
    <t>开发中之物业</t>
  </si>
  <si>
    <t>Other receivables</t>
  </si>
  <si>
    <t>合约负债</t>
  </si>
  <si>
    <t>Deferred tax liability</t>
  </si>
  <si>
    <r>
      <rPr>
        <sz val="9"/>
        <rFont val="楷体_GB2312"/>
        <family val="3"/>
        <charset val="134"/>
      </rPr>
      <t>其它</t>
    </r>
  </si>
  <si>
    <t>Cash And Cash Equivalents Beginning Balance</t>
  </si>
  <si>
    <t>Accounts receivable</t>
  </si>
  <si>
    <t xml:space="preserve">Inventory, property in development, properties for sale
</t>
  </si>
  <si>
    <t xml:space="preserve">Trade and other receivables
</t>
  </si>
  <si>
    <t>周转天数</t>
  </si>
  <si>
    <t>Inventory</t>
  </si>
  <si>
    <t>应收合营企业借款</t>
  </si>
  <si>
    <t>预付税款</t>
  </si>
  <si>
    <t>其他流动资产</t>
  </si>
  <si>
    <t>properties for sale</t>
  </si>
  <si>
    <t xml:space="preserve">Trade and other payables
</t>
  </si>
  <si>
    <t>Contract payable</t>
  </si>
  <si>
    <t>Non-current assets</t>
  </si>
  <si>
    <t>合约负债（非流动负债）</t>
  </si>
  <si>
    <t xml:space="preserve">Current income tax liabilities
</t>
  </si>
  <si>
    <t>Other libilities</t>
  </si>
  <si>
    <t>Other payables</t>
  </si>
  <si>
    <t>贸易及其他应收款-非流动</t>
  </si>
  <si>
    <t>应收投资公司款</t>
  </si>
  <si>
    <t>2013A</t>
  </si>
  <si>
    <t>2014A</t>
  </si>
  <si>
    <t>Proportion%</t>
  </si>
  <si>
    <t>Deduction</t>
  </si>
  <si>
    <t>Ending</t>
  </si>
  <si>
    <r>
      <rPr>
        <b/>
        <sz val="9"/>
        <rFont val="楷体_GB2312"/>
        <family val="3"/>
        <charset val="134"/>
      </rPr>
      <t>债务</t>
    </r>
  </si>
  <si>
    <t>long-term borrowings</t>
  </si>
  <si>
    <t>paid</t>
  </si>
  <si>
    <r>
      <rPr>
        <sz val="9"/>
        <rFont val="楷体_GB2312"/>
        <family val="3"/>
        <charset val="134"/>
      </rPr>
      <t>偿还款项</t>
    </r>
  </si>
  <si>
    <t>ending</t>
  </si>
  <si>
    <t>Short-term + long-term borrowings</t>
  </si>
  <si>
    <r>
      <rPr>
        <b/>
        <sz val="9"/>
        <rFont val="楷体_GB2312"/>
        <family val="3"/>
        <charset val="134"/>
      </rPr>
      <t>短期</t>
    </r>
    <r>
      <rPr>
        <b/>
        <sz val="9"/>
        <rFont val="Calibri"/>
        <family val="2"/>
      </rPr>
      <t>+</t>
    </r>
    <r>
      <rPr>
        <b/>
        <sz val="9"/>
        <rFont val="楷体_GB2312"/>
        <family val="3"/>
        <charset val="134"/>
      </rPr>
      <t>长期借款余额</t>
    </r>
  </si>
  <si>
    <t>Implied borrowing interest rate</t>
  </si>
  <si>
    <r>
      <rPr>
        <i/>
        <sz val="9"/>
        <rFont val="楷体_GB2312"/>
        <family val="3"/>
        <charset val="134"/>
      </rPr>
      <t>隐含借款利率</t>
    </r>
  </si>
  <si>
    <t>Bonds payable</t>
  </si>
  <si>
    <r>
      <rPr>
        <b/>
        <sz val="9"/>
        <rFont val="楷体_GB2312"/>
        <family val="3"/>
        <charset val="134"/>
      </rPr>
      <t>应付担保票据</t>
    </r>
  </si>
  <si>
    <r>
      <rPr>
        <sz val="9"/>
        <rFont val="楷体_GB2312"/>
        <family val="3"/>
        <charset val="134"/>
      </rPr>
      <t>当期变动</t>
    </r>
  </si>
  <si>
    <t>Implicit interest rate</t>
  </si>
  <si>
    <t>Controller's loan payble</t>
  </si>
  <si>
    <r>
      <rPr>
        <b/>
        <sz val="9"/>
        <rFont val="楷体_GB2312"/>
        <family val="3"/>
        <charset val="134"/>
      </rPr>
      <t>控股股东借款</t>
    </r>
  </si>
  <si>
    <t>Paid</t>
  </si>
  <si>
    <t>New addition</t>
  </si>
  <si>
    <t>Cost of long term loan interest</t>
  </si>
  <si>
    <r>
      <rPr>
        <sz val="9"/>
        <rFont val="楷体_GB2312"/>
        <family val="3"/>
        <charset val="134"/>
      </rPr>
      <t>短期借款利息费用</t>
    </r>
  </si>
  <si>
    <r>
      <rPr>
        <b/>
        <sz val="9"/>
        <rFont val="楷体_GB2312"/>
        <family val="3"/>
        <charset val="134"/>
      </rPr>
      <t>银行存款</t>
    </r>
  </si>
  <si>
    <t xml:space="preserve">Restricted deposits
</t>
  </si>
  <si>
    <r>
      <rPr>
        <b/>
        <sz val="9"/>
        <rFont val="楷体_GB2312"/>
        <family val="3"/>
        <charset val="134"/>
      </rPr>
      <t>限制性存款</t>
    </r>
  </si>
  <si>
    <t>change</t>
  </si>
  <si>
    <t xml:space="preserve">Cash and cash equivalents
</t>
  </si>
  <si>
    <r>
      <rPr>
        <b/>
        <sz val="9"/>
        <rFont val="楷体_GB2312"/>
        <family val="3"/>
        <charset val="134"/>
      </rPr>
      <t>现金及现金等价物存款</t>
    </r>
  </si>
  <si>
    <r>
      <t>——</t>
    </r>
    <r>
      <rPr>
        <sz val="9"/>
        <rFont val="楷体_GB2312"/>
        <family val="3"/>
        <charset val="134"/>
      </rPr>
      <t>融资租赁费用</t>
    </r>
    <r>
      <rPr>
        <sz val="9"/>
        <rFont val="Calibri"/>
        <family val="2"/>
      </rPr>
      <t>+</t>
    </r>
    <r>
      <rPr>
        <sz val="9"/>
        <rFont val="楷体_GB2312"/>
        <family val="3"/>
        <charset val="134"/>
      </rPr>
      <t>其他借款利息</t>
    </r>
  </si>
  <si>
    <r>
      <t>——</t>
    </r>
    <r>
      <rPr>
        <sz val="9"/>
        <rFont val="楷体_GB2312"/>
        <family val="3"/>
        <charset val="134"/>
      </rPr>
      <t>应付担保票据利息</t>
    </r>
  </si>
  <si>
    <t>others</t>
  </si>
  <si>
    <t>1H20</t>
  </si>
  <si>
    <t>Building</t>
  </si>
  <si>
    <t>New Contract breakdown</t>
  </si>
  <si>
    <t>Gross profit structure</t>
  </si>
  <si>
    <t>Segment margin</t>
  </si>
  <si>
    <t>Segment profit structure</t>
  </si>
  <si>
    <t>Conversion rate</t>
  </si>
  <si>
    <r>
      <rPr>
        <b/>
        <sz val="9"/>
        <rFont val="楷体_GB2312"/>
        <family val="3"/>
        <charset val="134"/>
      </rPr>
      <t>合同转化率</t>
    </r>
  </si>
  <si>
    <r>
      <rPr>
        <b/>
        <sz val="9"/>
        <rFont val="楷体_GB2312"/>
        <family val="3"/>
        <charset val="134"/>
      </rPr>
      <t>新签合同额</t>
    </r>
  </si>
  <si>
    <t>Cash construction</t>
  </si>
  <si>
    <t xml:space="preserve">Infrastructure </t>
  </si>
  <si>
    <t>Affordable housing BT</t>
  </si>
  <si>
    <t>Backlog</t>
  </si>
  <si>
    <r>
      <rPr>
        <b/>
        <sz val="9"/>
        <rFont val="楷体_GB2312"/>
        <family val="3"/>
        <charset val="134"/>
      </rPr>
      <t>待施工合同额</t>
    </r>
  </si>
  <si>
    <t>Backlog v.s. revenue ratio</t>
  </si>
  <si>
    <r>
      <rPr>
        <b/>
        <sz val="9"/>
        <rFont val="楷体_GB2312"/>
        <family val="3"/>
        <charset val="134"/>
      </rPr>
      <t>营业收入合计</t>
    </r>
  </si>
  <si>
    <t>Investment</t>
  </si>
  <si>
    <t>Operation</t>
  </si>
  <si>
    <t>Materials</t>
  </si>
  <si>
    <t>less: costs</t>
  </si>
  <si>
    <r>
      <rPr>
        <b/>
        <sz val="9"/>
        <rFont val="楷体_GB2312"/>
        <family val="3"/>
        <charset val="134"/>
      </rPr>
      <t>减：成本</t>
    </r>
  </si>
  <si>
    <t>cost rate%</t>
  </si>
  <si>
    <t>GPM</t>
  </si>
  <si>
    <t>GPM%</t>
  </si>
  <si>
    <r>
      <rPr>
        <sz val="9"/>
        <rFont val="楷体_GB2312"/>
        <family val="3"/>
        <charset val="134"/>
      </rPr>
      <t>其他可拆分收入费用净额</t>
    </r>
  </si>
  <si>
    <t>Segment  profit</t>
  </si>
  <si>
    <r>
      <rPr>
        <b/>
        <sz val="9"/>
        <rFont val="楷体_GB2312"/>
        <family val="3"/>
        <charset val="134"/>
      </rPr>
      <t>分部利润</t>
    </r>
  </si>
  <si>
    <t>Segment profit/revenue</t>
  </si>
  <si>
    <r>
      <rPr>
        <sz val="9"/>
        <rFont val="楷体_GB2312"/>
        <family val="3"/>
        <charset val="134"/>
      </rPr>
      <t>折旧和摊销费用</t>
    </r>
  </si>
  <si>
    <t>Net gains on disposal of property, plant and equipment</t>
  </si>
  <si>
    <r>
      <rPr>
        <sz val="9"/>
        <rFont val="楷体_GB2312"/>
        <family val="3"/>
        <charset val="134"/>
      </rPr>
      <t>出售物业、厂房及设备之净收益</t>
    </r>
  </si>
  <si>
    <t>CAPEX</t>
  </si>
  <si>
    <r>
      <rPr>
        <sz val="9"/>
        <rFont val="楷体_GB2312"/>
        <family val="3"/>
        <charset val="134"/>
      </rPr>
      <t>资本性支出</t>
    </r>
  </si>
  <si>
    <r>
      <rPr>
        <i/>
        <sz val="9"/>
        <rFont val="楷体_GB2312"/>
        <family val="3"/>
        <charset val="134"/>
      </rPr>
      <t>占收入比重</t>
    </r>
    <r>
      <rPr>
        <i/>
        <sz val="9"/>
        <rFont val="Calibri"/>
        <family val="2"/>
      </rPr>
      <t>%</t>
    </r>
  </si>
  <si>
    <t>GP</t>
  </si>
  <si>
    <t>segment profit/revenue</t>
  </si>
  <si>
    <t>Segment profit margin</t>
  </si>
  <si>
    <t>% of total revenue</t>
  </si>
  <si>
    <t>as % of total revenue</t>
  </si>
  <si>
    <t>Core earnings YoY growth</t>
  </si>
  <si>
    <t>(HKD mn)</t>
  </si>
  <si>
    <t>PRC market pushed a high growth of revenue</t>
  </si>
  <si>
    <t>Cost of sales</t>
  </si>
  <si>
    <t>Dividend income from unlisted AFS investment in Macau, and interest of BT projects</t>
  </si>
  <si>
    <t>Other income and other gains</t>
  </si>
  <si>
    <t>Due to more bank loans</t>
  </si>
  <si>
    <t>Share of profits of JV/associates</t>
  </si>
  <si>
    <t>Price</t>
  </si>
  <si>
    <t>Yield</t>
  </si>
  <si>
    <t>1-2Q20</t>
  </si>
  <si>
    <t>2Q20</t>
  </si>
  <si>
    <t>投资收入、其他收入及其他损益净额</t>
  </si>
  <si>
    <t>Amounts due from joint ventures</t>
  </si>
  <si>
    <t>出售投资物业</t>
  </si>
  <si>
    <t>Proceeds from properties held for sale</t>
  </si>
  <si>
    <r>
      <rPr>
        <sz val="9"/>
        <rFont val="楷体_GB2312"/>
        <family val="3"/>
        <charset val="134"/>
      </rPr>
      <t>出售持作出售物业</t>
    </r>
  </si>
  <si>
    <r>
      <rPr>
        <sz val="9"/>
        <rFont val="楷体_GB2312"/>
        <family val="3"/>
        <charset val="134"/>
      </rPr>
      <t>合营企业预收款</t>
    </r>
  </si>
  <si>
    <r>
      <rPr>
        <sz val="9"/>
        <rFont val="楷体_GB2312"/>
        <family val="3"/>
        <charset val="134"/>
      </rPr>
      <t>金融机构存款减少（增加）</t>
    </r>
  </si>
  <si>
    <t>合营企业往来款变动净额</t>
  </si>
  <si>
    <t>联营公司往来款变动净额</t>
  </si>
  <si>
    <t>应收合营企业借款变动净额</t>
  </si>
  <si>
    <r>
      <rPr>
        <sz val="9"/>
        <rFont val="楷体_GB2312"/>
        <family val="3"/>
        <charset val="134"/>
      </rPr>
      <t>已收联营和合营企业之股息</t>
    </r>
  </si>
  <si>
    <r>
      <rPr>
        <sz val="9"/>
        <rFont val="楷体_GB2312"/>
        <family val="3"/>
        <charset val="134"/>
      </rPr>
      <t>已收非上市可供出售之投资股息</t>
    </r>
  </si>
  <si>
    <r>
      <rPr>
        <sz val="9"/>
        <rFont val="楷体_GB2312"/>
        <family val="3"/>
        <charset val="134"/>
      </rPr>
      <t>上市可供出售之投资之股息</t>
    </r>
  </si>
  <si>
    <t>已收公平值列入其他全面收益之权益证券之股息</t>
  </si>
  <si>
    <t>已收公平值列入其他全面收益之债务证券</t>
  </si>
  <si>
    <t>已收公平值列入其他全面收益之权益证券所得款项</t>
  </si>
  <si>
    <r>
      <rPr>
        <sz val="9"/>
        <rFont val="楷体_GB2312"/>
        <family val="3"/>
        <charset val="134"/>
      </rPr>
      <t>联营公司之权益增加</t>
    </r>
  </si>
  <si>
    <r>
      <rPr>
        <sz val="9"/>
        <rFont val="楷体_GB2312"/>
        <family val="3"/>
        <charset val="134"/>
      </rPr>
      <t>偿还集团系内公司款</t>
    </r>
  </si>
  <si>
    <r>
      <rPr>
        <sz val="9"/>
        <rFont val="楷体_GB2312"/>
        <family val="3"/>
        <charset val="134"/>
      </rPr>
      <t>其他借款之偿还</t>
    </r>
  </si>
  <si>
    <t>Repayment of bank loans</t>
  </si>
  <si>
    <r>
      <rPr>
        <sz val="9"/>
        <rFont val="楷体_GB2312"/>
        <family val="3"/>
        <charset val="134"/>
      </rPr>
      <t>银行贷款之偿还</t>
    </r>
  </si>
  <si>
    <r>
      <rPr>
        <sz val="9"/>
        <rFont val="楷体_GB2312"/>
        <family val="3"/>
        <charset val="134"/>
      </rPr>
      <t>股份回购款项</t>
    </r>
  </si>
  <si>
    <r>
      <rPr>
        <sz val="9"/>
        <rFont val="楷体_GB2312"/>
        <family val="3"/>
        <charset val="134"/>
      </rPr>
      <t>融资租赁之偿还</t>
    </r>
  </si>
  <si>
    <r>
      <rPr>
        <sz val="9"/>
        <rFont val="楷体_GB2312"/>
        <family val="3"/>
        <charset val="134"/>
      </rPr>
      <t>所得税费用</t>
    </r>
  </si>
  <si>
    <t>2H19A</t>
  </si>
  <si>
    <t>1H20A</t>
  </si>
  <si>
    <t>Total assets</t>
  </si>
  <si>
    <r>
      <rPr>
        <b/>
        <sz val="8"/>
        <rFont val="楷体_GB2312"/>
        <family val="3"/>
        <charset val="134"/>
      </rPr>
      <t>现金流量表（百万港币）</t>
    </r>
  </si>
  <si>
    <t>C/F (HKD mn)</t>
  </si>
  <si>
    <r>
      <rPr>
        <sz val="8"/>
        <rFont val="楷体_GB2312"/>
        <family val="3"/>
        <charset val="134"/>
      </rPr>
      <t>经营活动现金流</t>
    </r>
  </si>
  <si>
    <t>Cash flows from operating activities</t>
  </si>
  <si>
    <r>
      <rPr>
        <sz val="8"/>
        <rFont val="楷体_GB2312"/>
        <family val="3"/>
        <charset val="134"/>
      </rPr>
      <t>投资活动现金流</t>
    </r>
  </si>
  <si>
    <t>Cash flows from investing activities</t>
  </si>
  <si>
    <r>
      <rPr>
        <sz val="8"/>
        <rFont val="楷体_GB2312"/>
        <family val="3"/>
        <charset val="134"/>
      </rPr>
      <t>筹资活动现金流</t>
    </r>
  </si>
  <si>
    <t>Cash flows from financing activities</t>
  </si>
  <si>
    <t>Net increase in cash and cash equivalents</t>
  </si>
  <si>
    <t>Cash and cash equivalents at end of the year/period</t>
  </si>
  <si>
    <r>
      <rPr>
        <b/>
        <sz val="8"/>
        <rFont val="楷体_GB2312"/>
        <family val="3"/>
        <charset val="134"/>
      </rPr>
      <t>财务指标</t>
    </r>
  </si>
  <si>
    <t>Ratios</t>
  </si>
  <si>
    <r>
      <rPr>
        <sz val="8"/>
        <rFont val="楷体_GB2312"/>
        <family val="3"/>
        <charset val="134"/>
      </rPr>
      <t>经营利润率</t>
    </r>
  </si>
  <si>
    <t>Operating profit margin</t>
  </si>
  <si>
    <r>
      <rPr>
        <sz val="8"/>
        <rFont val="楷体_GB2312"/>
        <family val="3"/>
        <charset val="134"/>
      </rPr>
      <t>资产收益率</t>
    </r>
  </si>
  <si>
    <r>
      <rPr>
        <sz val="8"/>
        <rFont val="楷体_GB2312"/>
        <family val="3"/>
        <charset val="134"/>
      </rPr>
      <t>资产负债率</t>
    </r>
  </si>
  <si>
    <t>Total Liab./total assets</t>
  </si>
  <si>
    <r>
      <rPr>
        <sz val="8"/>
        <rFont val="楷体_GB2312"/>
        <family val="3"/>
        <charset val="134"/>
      </rPr>
      <t>净现金</t>
    </r>
    <r>
      <rPr>
        <sz val="8"/>
        <rFont val="Calibri"/>
        <family val="2"/>
      </rPr>
      <t>/</t>
    </r>
    <r>
      <rPr>
        <sz val="8"/>
        <rFont val="楷体_GB2312"/>
        <family val="3"/>
        <charset val="134"/>
      </rPr>
      <t>股东权益</t>
    </r>
  </si>
  <si>
    <t>Net gearings</t>
  </si>
  <si>
    <r>
      <rPr>
        <sz val="8"/>
        <rFont val="楷体_GB2312"/>
        <family val="3"/>
        <charset val="134"/>
      </rPr>
      <t>每股分红</t>
    </r>
  </si>
  <si>
    <r>
      <rPr>
        <sz val="8"/>
        <rFont val="楷体_GB2312"/>
        <family val="3"/>
        <charset val="134"/>
      </rPr>
      <t>每股净资产</t>
    </r>
  </si>
  <si>
    <t>1-3Q20</t>
  </si>
  <si>
    <t>3Q20</t>
  </si>
  <si>
    <t>2022</t>
  </si>
  <si>
    <t>Selective Data</t>
  </si>
  <si>
    <t>Discounted Cash Flow</t>
  </si>
  <si>
    <t>Free cashflow forecast</t>
  </si>
  <si>
    <t>EBIT Margin</t>
  </si>
  <si>
    <t>EBIT*(1 - t)</t>
  </si>
  <si>
    <t>Depreciation and Amortization</t>
  </si>
  <si>
    <t>DCF Analysis</t>
  </si>
  <si>
    <t>Terminal value</t>
  </si>
  <si>
    <t>PV of terminal value</t>
  </si>
  <si>
    <t xml:space="preserve">Enterprise Value </t>
  </si>
  <si>
    <t>Net Cash/(Debt), Minority interests</t>
  </si>
  <si>
    <t>Risk permium</t>
  </si>
  <si>
    <t>Equity Value</t>
  </si>
  <si>
    <t>Equity value per share (HK$)</t>
  </si>
  <si>
    <t>Perpetual Growth</t>
  </si>
  <si>
    <t>Equity value per share (HK$)</t>
  </si>
  <si>
    <t>Perpetual Growth</t>
  </si>
  <si>
    <t>WACC</t>
  </si>
  <si>
    <t>% change from DCF TP upon WACC/perpetual growth change</t>
  </si>
  <si>
    <r>
      <t xml:space="preserve">DCF </t>
    </r>
    <r>
      <rPr>
        <b/>
        <sz val="8"/>
        <rFont val="楷体_GB2312"/>
        <family val="3"/>
        <charset val="134"/>
      </rPr>
      <t>模型</t>
    </r>
  </si>
  <si>
    <r>
      <rPr>
        <b/>
        <sz val="8"/>
        <rFont val="楷体_GB2312"/>
        <family val="3"/>
        <charset val="134"/>
      </rPr>
      <t>港币</t>
    </r>
    <r>
      <rPr>
        <b/>
        <sz val="8"/>
        <rFont val="Calibri"/>
        <family val="2"/>
      </rPr>
      <t xml:space="preserve"> </t>
    </r>
    <r>
      <rPr>
        <b/>
        <sz val="8"/>
        <rFont val="楷体_GB2312"/>
        <family val="3"/>
        <charset val="134"/>
      </rPr>
      <t>百万元</t>
    </r>
  </si>
  <si>
    <r>
      <rPr>
        <b/>
        <sz val="8"/>
        <color indexed="9"/>
        <rFont val="楷体_GB2312"/>
        <family val="3"/>
        <charset val="134"/>
      </rPr>
      <t>自由现金流预测</t>
    </r>
  </si>
  <si>
    <t>EBIT*(1-t)</t>
  </si>
  <si>
    <r>
      <t xml:space="preserve">DCF </t>
    </r>
    <r>
      <rPr>
        <b/>
        <sz val="8"/>
        <color indexed="9"/>
        <rFont val="楷体_GB2312"/>
        <family val="3"/>
        <charset val="134"/>
      </rPr>
      <t>分析</t>
    </r>
  </si>
  <si>
    <r>
      <rPr>
        <sz val="8"/>
        <rFont val="楷体_GB2312"/>
        <family val="3"/>
        <charset val="134"/>
      </rPr>
      <t>预测期自由现金流现值</t>
    </r>
  </si>
  <si>
    <r>
      <rPr>
        <sz val="8"/>
        <rFont val="楷体_GB2312"/>
        <family val="3"/>
        <charset val="134"/>
      </rPr>
      <t>自由现金流终值</t>
    </r>
  </si>
  <si>
    <r>
      <rPr>
        <sz val="8"/>
        <rFont val="楷体_GB2312"/>
        <family val="3"/>
        <charset val="134"/>
      </rPr>
      <t>永续自由现金流现值</t>
    </r>
  </si>
  <si>
    <r>
      <rPr>
        <sz val="8"/>
        <rFont val="楷体_GB2312"/>
        <family val="3"/>
        <charset val="134"/>
      </rPr>
      <t>净现金</t>
    </r>
  </si>
  <si>
    <r>
      <rPr>
        <sz val="8"/>
        <rFont val="楷体_GB2312"/>
        <family val="3"/>
        <charset val="134"/>
      </rPr>
      <t>每股权益价值（港元）</t>
    </r>
  </si>
  <si>
    <r>
      <rPr>
        <sz val="8"/>
        <rFont val="楷体_GB2312"/>
        <family val="3"/>
        <charset val="134"/>
      </rPr>
      <t>债务资本成本</t>
    </r>
  </si>
  <si>
    <r>
      <rPr>
        <sz val="8"/>
        <rFont val="楷体_GB2312"/>
        <family val="3"/>
        <charset val="134"/>
      </rPr>
      <t>税后债务资本成本</t>
    </r>
  </si>
  <si>
    <r>
      <rPr>
        <b/>
        <sz val="8"/>
        <color indexed="9"/>
        <rFont val="楷体_GB2312"/>
        <family val="3"/>
        <charset val="134"/>
      </rPr>
      <t>每股权益价值（港元）</t>
    </r>
  </si>
  <si>
    <r>
      <rPr>
        <sz val="8"/>
        <rFont val="楷体_GB2312"/>
        <family val="3"/>
        <charset val="134"/>
      </rPr>
      <t>永续增长率</t>
    </r>
  </si>
  <si>
    <r>
      <rPr>
        <b/>
        <sz val="8"/>
        <color indexed="9"/>
        <rFont val="楷体_GB2312"/>
        <family val="3"/>
        <charset val="134"/>
      </rPr>
      <t>基于</t>
    </r>
    <r>
      <rPr>
        <b/>
        <sz val="8"/>
        <color indexed="9"/>
        <rFont val="Calibri"/>
        <family val="2"/>
      </rPr>
      <t>WACC/</t>
    </r>
    <r>
      <rPr>
        <b/>
        <sz val="8"/>
        <color indexed="9"/>
        <rFont val="楷体_GB2312"/>
        <family val="3"/>
        <charset val="134"/>
      </rPr>
      <t>永续增长率变化的</t>
    </r>
    <r>
      <rPr>
        <b/>
        <sz val="8"/>
        <color indexed="9"/>
        <rFont val="Calibri"/>
        <family val="2"/>
      </rPr>
      <t>DCF</t>
    </r>
    <r>
      <rPr>
        <b/>
        <sz val="8"/>
        <color indexed="9"/>
        <rFont val="楷体_GB2312"/>
        <family val="3"/>
        <charset val="134"/>
      </rPr>
      <t>目标价敏感性分析（</t>
    </r>
    <r>
      <rPr>
        <b/>
        <sz val="8"/>
        <color indexed="9"/>
        <rFont val="Calibri"/>
        <family val="2"/>
      </rPr>
      <t>%</t>
    </r>
    <r>
      <rPr>
        <b/>
        <sz val="8"/>
        <color indexed="9"/>
        <rFont val="楷体_GB2312"/>
        <family val="3"/>
        <charset val="134"/>
      </rPr>
      <t>）</t>
    </r>
    <r>
      <rPr>
        <b/>
        <sz val="8"/>
        <color indexed="9"/>
        <rFont val="Calibri"/>
        <family val="2"/>
      </rPr>
      <t xml:space="preserve"> </t>
    </r>
  </si>
  <si>
    <r>
      <rPr>
        <sz val="8"/>
        <rFont val="楷体_GB2312"/>
        <family val="3"/>
        <charset val="134"/>
      </rPr>
      <t>永续增长率</t>
    </r>
  </si>
  <si>
    <r>
      <rPr>
        <b/>
        <sz val="8"/>
        <rFont val="楷体_GB2312"/>
        <family val="3"/>
        <charset val="134"/>
      </rPr>
      <t>主要财务数据</t>
    </r>
  </si>
  <si>
    <t xml:space="preserve">    2005A</t>
  </si>
  <si>
    <t xml:space="preserve">    2006A</t>
  </si>
  <si>
    <t xml:space="preserve">    2007A</t>
  </si>
  <si>
    <t xml:space="preserve">    2008A</t>
  </si>
  <si>
    <t xml:space="preserve">    2009A</t>
  </si>
  <si>
    <t xml:space="preserve">    2015A</t>
  </si>
  <si>
    <t xml:space="preserve">    2016A</t>
  </si>
  <si>
    <t xml:space="preserve">    2017A</t>
  </si>
  <si>
    <r>
      <rPr>
        <sz val="8"/>
        <rFont val="楷体_GB2312"/>
        <family val="3"/>
        <charset val="134"/>
      </rPr>
      <t>税前利润</t>
    </r>
  </si>
  <si>
    <r>
      <rPr>
        <sz val="8"/>
        <rFont val="楷体_GB2312"/>
        <family val="3"/>
        <charset val="134"/>
      </rPr>
      <t>摊薄每股盈利</t>
    </r>
    <r>
      <rPr>
        <sz val="8"/>
        <rFont val="Calibri"/>
        <family val="2"/>
      </rPr>
      <t>(HK$)</t>
    </r>
  </si>
  <si>
    <r>
      <rPr>
        <sz val="8"/>
        <rFont val="楷体_GB2312"/>
        <family val="3"/>
        <charset val="134"/>
      </rPr>
      <t>市净率</t>
    </r>
  </si>
  <si>
    <r>
      <rPr>
        <sz val="8"/>
        <rFont val="楷体_GB2312"/>
        <family val="3"/>
        <charset val="134"/>
      </rPr>
      <t>净资产收益率</t>
    </r>
    <r>
      <rPr>
        <sz val="8"/>
        <rFont val="Calibri"/>
        <family val="2"/>
      </rPr>
      <t>(%)</t>
    </r>
  </si>
  <si>
    <r>
      <rPr>
        <sz val="8"/>
        <rFont val="楷体_GB2312"/>
        <family val="3"/>
        <charset val="134"/>
      </rPr>
      <t>现金分红收益率</t>
    </r>
    <r>
      <rPr>
        <sz val="8"/>
        <rFont val="Calibri"/>
        <family val="2"/>
      </rPr>
      <t>(%)</t>
    </r>
  </si>
  <si>
    <r>
      <rPr>
        <sz val="8"/>
        <rFont val="楷体_GB2312"/>
        <family val="3"/>
        <charset val="134"/>
      </rPr>
      <t>净利润率</t>
    </r>
  </si>
  <si>
    <r>
      <rPr>
        <sz val="8"/>
        <rFont val="楷体_GB2312"/>
        <family val="3"/>
        <charset val="134"/>
      </rPr>
      <t>总资产回报率</t>
    </r>
  </si>
  <si>
    <r>
      <rPr>
        <sz val="8"/>
        <rFont val="楷体_GB2312"/>
        <family val="3"/>
        <charset val="134"/>
      </rPr>
      <t>资产负债率</t>
    </r>
  </si>
  <si>
    <t>Profit Before Tax</t>
  </si>
  <si>
    <t>EPS (HK$ per share)</t>
  </si>
  <si>
    <t xml:space="preserve">P/E (x) </t>
  </si>
  <si>
    <t>EV/EBITDA (X)</t>
  </si>
  <si>
    <t>ROA (%)</t>
  </si>
  <si>
    <t>D/A</t>
  </si>
  <si>
    <t>CPS (HK$/sh)</t>
  </si>
  <si>
    <t>EPS (HK$/sh)</t>
  </si>
  <si>
    <t>Exchange rate (HKD/CNY)</t>
  </si>
  <si>
    <t>2026E</t>
  </si>
  <si>
    <t>2028E</t>
  </si>
  <si>
    <t>2031E</t>
  </si>
  <si>
    <t>Oversea</t>
  </si>
  <si>
    <t>FEG</t>
  </si>
  <si>
    <t>Investment income, other income and other gains, net</t>
  </si>
  <si>
    <r>
      <rPr>
        <sz val="9"/>
        <rFont val="楷体_GB2312"/>
        <family val="3"/>
        <charset val="134"/>
      </rPr>
      <t>利息收入</t>
    </r>
  </si>
  <si>
    <r>
      <rPr>
        <i/>
        <sz val="9"/>
        <rFont val="楷体_GB2312"/>
        <family val="3"/>
        <charset val="134"/>
      </rPr>
      <t>占收入比重</t>
    </r>
  </si>
  <si>
    <t>Administrative, selling and other operating expenses</t>
  </si>
  <si>
    <t>Other Expenses</t>
  </si>
  <si>
    <t>Inpairment</t>
  </si>
  <si>
    <r>
      <rPr>
        <sz val="9"/>
        <rFont val="楷体_GB2312"/>
        <family val="3"/>
        <charset val="134"/>
      </rPr>
      <t>财务费用净额</t>
    </r>
  </si>
  <si>
    <t>Share of profits of associates/jointly controlled entities</t>
  </si>
  <si>
    <t>Income Tax</t>
  </si>
  <si>
    <t>Perpetual securities interests</t>
  </si>
  <si>
    <t>as % of PBT</t>
  </si>
  <si>
    <t>YoY(%)</t>
  </si>
  <si>
    <t>One-off gain/loss</t>
  </si>
  <si>
    <t>Core net profit</t>
  </si>
  <si>
    <t>Core net profit margin</t>
  </si>
  <si>
    <t>Diluted EPS (HK$ per share)</t>
  </si>
  <si>
    <t>Core earnings per share (HK$ per share)</t>
  </si>
  <si>
    <t>Core earnings PE</t>
  </si>
  <si>
    <t>Dividend per share (HK$ per share)</t>
  </si>
  <si>
    <t>ROIC</t>
  </si>
  <si>
    <t>Trademark, project backlogs and licenses</t>
  </si>
  <si>
    <t>Interests in joint ventures</t>
  </si>
  <si>
    <t>Deferred tax assets</t>
  </si>
  <si>
    <t>Loans receivable from a JV</t>
  </si>
  <si>
    <t>Concession operating rights</t>
  </si>
  <si>
    <t>Goodwill</t>
  </si>
  <si>
    <t>Inventories</t>
  </si>
  <si>
    <t>合约资产</t>
  </si>
  <si>
    <t>Held for sale assets</t>
  </si>
  <si>
    <t>Other Current Assets</t>
  </si>
  <si>
    <t>Loan to a joint venture</t>
  </si>
  <si>
    <t>Loan from intermediate holding company</t>
  </si>
  <si>
    <t>Guaranteed notes payables</t>
  </si>
  <si>
    <r>
      <rPr>
        <sz val="9"/>
        <rFont val="楷体_GB2312"/>
        <family val="3"/>
        <charset val="134"/>
      </rPr>
      <t>应付担保票据</t>
    </r>
  </si>
  <si>
    <t>Trade payables, other payables and accruals</t>
  </si>
  <si>
    <t>Amounts due to joint ventures and others</t>
  </si>
  <si>
    <t>Current tax payables</t>
  </si>
  <si>
    <t>Deposits received, advances from customers and others</t>
  </si>
  <si>
    <t>Held for sale liability</t>
  </si>
  <si>
    <t>Total Liabilities</t>
  </si>
  <si>
    <t>Share Capital</t>
  </si>
  <si>
    <t>Share Premium  and reserves</t>
  </si>
  <si>
    <t>归属永续资本证券持有者</t>
  </si>
  <si>
    <r>
      <rPr>
        <sz val="9"/>
        <rFont val="楷体_GB2312"/>
        <family val="3"/>
        <charset val="134"/>
      </rPr>
      <t>少数股东权益</t>
    </r>
  </si>
  <si>
    <t>Liabilities &amp; Equity</t>
  </si>
  <si>
    <r>
      <rPr>
        <sz val="9"/>
        <rFont val="楷体_GB2312"/>
        <family val="3"/>
        <charset val="134"/>
      </rPr>
      <t>普通股股份总数（百万股）</t>
    </r>
  </si>
  <si>
    <r>
      <rPr>
        <b/>
        <sz val="9"/>
        <rFont val="楷体_GB2312"/>
        <family val="3"/>
        <charset val="134"/>
      </rPr>
      <t>摊薄普通股基数</t>
    </r>
  </si>
  <si>
    <r>
      <rPr>
        <sz val="9"/>
        <rFont val="楷体_GB2312"/>
        <family val="3"/>
        <charset val="134"/>
      </rPr>
      <t>每股净资产</t>
    </r>
    <r>
      <rPr>
        <sz val="9"/>
        <rFont val="Calibri"/>
        <family val="2"/>
      </rPr>
      <t>(HKD/sh)</t>
    </r>
  </si>
  <si>
    <r>
      <rPr>
        <sz val="9"/>
        <rFont val="楷体_GB2312"/>
        <family val="3"/>
        <charset val="134"/>
      </rPr>
      <t>总借款</t>
    </r>
    <r>
      <rPr>
        <sz val="9"/>
        <rFont val="Calibri"/>
        <family val="2"/>
      </rPr>
      <t xml:space="preserve"> / </t>
    </r>
    <r>
      <rPr>
        <sz val="9"/>
        <rFont val="楷体_GB2312"/>
        <family val="3"/>
        <charset val="134"/>
      </rPr>
      <t>净资产</t>
    </r>
  </si>
  <si>
    <r>
      <rPr>
        <sz val="9"/>
        <rFont val="楷体_GB2312"/>
        <family val="3"/>
        <charset val="134"/>
      </rPr>
      <t>总借款</t>
    </r>
    <r>
      <rPr>
        <sz val="9"/>
        <rFont val="Calibri"/>
        <family val="2"/>
      </rPr>
      <t xml:space="preserve"> / </t>
    </r>
    <r>
      <rPr>
        <sz val="9"/>
        <rFont val="楷体_GB2312"/>
        <family val="3"/>
        <charset val="134"/>
      </rPr>
      <t>总资产</t>
    </r>
  </si>
  <si>
    <r>
      <rPr>
        <sz val="9"/>
        <rFont val="楷体_GB2312"/>
        <family val="3"/>
        <charset val="134"/>
      </rPr>
      <t>总债务</t>
    </r>
    <r>
      <rPr>
        <sz val="9"/>
        <rFont val="Calibri"/>
        <family val="2"/>
      </rPr>
      <t>/</t>
    </r>
    <r>
      <rPr>
        <sz val="9"/>
        <rFont val="楷体_GB2312"/>
        <family val="3"/>
        <charset val="134"/>
      </rPr>
      <t>债务</t>
    </r>
    <r>
      <rPr>
        <sz val="9"/>
        <rFont val="Calibri"/>
        <family val="2"/>
      </rPr>
      <t>+</t>
    </r>
    <r>
      <rPr>
        <sz val="9"/>
        <rFont val="楷体_GB2312"/>
        <family val="3"/>
        <charset val="134"/>
      </rPr>
      <t>净资产</t>
    </r>
  </si>
  <si>
    <r>
      <rPr>
        <b/>
        <sz val="9"/>
        <rFont val="楷体_GB2312"/>
        <family val="3"/>
        <charset val="134"/>
      </rPr>
      <t>资产负债率</t>
    </r>
  </si>
  <si>
    <t>Interest-bearing debt</t>
  </si>
  <si>
    <t>Cash</t>
  </si>
  <si>
    <t>Net debt</t>
  </si>
  <si>
    <t>Net debt+minority interest</t>
  </si>
  <si>
    <t>Net gearing (considering perpetual securities)</t>
  </si>
  <si>
    <t>Net working capital</t>
  </si>
  <si>
    <t>Revenue/net working capital</t>
  </si>
  <si>
    <t>Minority Interest</t>
  </si>
  <si>
    <t>Depreciation &amp; Amortization</t>
  </si>
  <si>
    <t>Change in Working Capital</t>
  </si>
  <si>
    <t>Financal expense</t>
  </si>
  <si>
    <t>Investment Income/loss</t>
  </si>
  <si>
    <r>
      <rPr>
        <b/>
        <sz val="9"/>
        <rFont val="楷体_GB2312"/>
        <family val="3"/>
        <charset val="134"/>
      </rPr>
      <t>经营活动产生的现金流量净额</t>
    </r>
  </si>
  <si>
    <t>Purchase of Fixed Assets and other assets</t>
  </si>
  <si>
    <r>
      <rPr>
        <b/>
        <sz val="9"/>
        <rFont val="楷体_GB2312"/>
        <family val="3"/>
        <charset val="134"/>
      </rPr>
      <t>投资活动产生的现金流量净额</t>
    </r>
  </si>
  <si>
    <r>
      <rPr>
        <b/>
        <sz val="9"/>
        <rFont val="楷体_GB2312"/>
        <family val="3"/>
        <charset val="134"/>
      </rPr>
      <t>筹资活动产生的现金流量净额</t>
    </r>
  </si>
  <si>
    <t>Exchange Loss</t>
  </si>
  <si>
    <t>Cash And Cash Equivalents Ending Balance</t>
  </si>
  <si>
    <t>Cash check</t>
  </si>
  <si>
    <t>WC</t>
  </si>
  <si>
    <t>Change in WC</t>
  </si>
  <si>
    <t>Contract receivable</t>
  </si>
  <si>
    <t>应收合营企业借款-非流动</t>
  </si>
  <si>
    <t>递延税项资产</t>
  </si>
  <si>
    <t>Segment's depr.&amp;amor.</t>
  </si>
  <si>
    <t>proportion of depr.</t>
  </si>
  <si>
    <t>proportion of amor.</t>
  </si>
  <si>
    <t>% of total D&amp;A</t>
  </si>
  <si>
    <t>Investment property</t>
  </si>
  <si>
    <t>Amor. Per year</t>
  </si>
  <si>
    <t>Franchise</t>
  </si>
  <si>
    <t>Amortization of intangible assets</t>
  </si>
  <si>
    <t>PP&amp;E</t>
  </si>
  <si>
    <t>Comprehensive depr.</t>
  </si>
  <si>
    <t>depr. per year</t>
  </si>
  <si>
    <t>Original cost</t>
  </si>
  <si>
    <t>Net value</t>
  </si>
  <si>
    <t>depr./ending original cost</t>
  </si>
  <si>
    <t>Investment property (use fair value method after 2015)</t>
  </si>
  <si>
    <t>Acc. Depr./Fair value gain (after 2015)</t>
  </si>
  <si>
    <r>
      <rPr>
        <sz val="9"/>
        <rFont val="楷体_GB2312"/>
        <family val="3"/>
        <charset val="134"/>
      </rPr>
      <t>已运营</t>
    </r>
  </si>
  <si>
    <r>
      <t>2011</t>
    </r>
    <r>
      <rPr>
        <sz val="9"/>
        <rFont val="楷体_GB2312"/>
        <family val="3"/>
        <charset val="134"/>
      </rPr>
      <t>竣工</t>
    </r>
  </si>
  <si>
    <r>
      <rPr>
        <sz val="9"/>
        <rFont val="楷体_GB2312"/>
        <family val="3"/>
        <charset val="134"/>
      </rPr>
      <t>在建</t>
    </r>
  </si>
  <si>
    <r>
      <t>2013</t>
    </r>
    <r>
      <rPr>
        <sz val="9"/>
        <rFont val="楷体_GB2312"/>
        <family val="3"/>
        <charset val="134"/>
      </rPr>
      <t>竣工</t>
    </r>
  </si>
  <si>
    <t>amor. per year</t>
  </si>
  <si>
    <t>amor./ending original cost</t>
  </si>
  <si>
    <t>Trademark,contracts,license</t>
  </si>
  <si>
    <t>Amortization per year</t>
  </si>
  <si>
    <t>Accumulated amortization</t>
  </si>
  <si>
    <t>Amor./ending original cost</t>
  </si>
  <si>
    <t xml:space="preserve">2008A </t>
  </si>
  <si>
    <r>
      <t>——</t>
    </r>
    <r>
      <rPr>
        <sz val="9"/>
        <rFont val="楷体_GB2312"/>
        <family val="3"/>
        <charset val="134"/>
      </rPr>
      <t>其他</t>
    </r>
  </si>
  <si>
    <r>
      <rPr>
        <b/>
        <sz val="9"/>
        <rFont val="楷体_GB2312"/>
        <family val="3"/>
        <charset val="134"/>
      </rPr>
      <t>利息收入</t>
    </r>
  </si>
  <si>
    <t>interest income from deposit</t>
  </si>
  <si>
    <r>
      <rPr>
        <sz val="9"/>
        <rFont val="楷体_GB2312"/>
        <family val="3"/>
        <charset val="134"/>
      </rPr>
      <t>银行利息收入</t>
    </r>
  </si>
  <si>
    <t>New Contract (HKD mn)</t>
  </si>
  <si>
    <t>segment  profit</t>
  </si>
  <si>
    <t>Revenue YoY growth</t>
  </si>
  <si>
    <t>Gross profit YoY growth</t>
  </si>
  <si>
    <t>Half year core earnings as % of full year</t>
  </si>
  <si>
    <t>Gross margin improved</t>
  </si>
  <si>
    <t>Investment income, other income and other gains</t>
  </si>
  <si>
    <r>
      <rPr>
        <sz val="9"/>
        <rFont val="楷体_GB2312"/>
        <family val="3"/>
        <charset val="134"/>
      </rPr>
      <t>应占联营与合营企业利润</t>
    </r>
  </si>
  <si>
    <t>按公平值列入其他全面收益之金融资产</t>
  </si>
  <si>
    <t>Assets held for sale</t>
  </si>
  <si>
    <t>Deposits received and advances from customers</t>
  </si>
  <si>
    <t>Amounts due to joint ventures</t>
  </si>
  <si>
    <t>Liabilities directly associated with assets classified as held for sale</t>
  </si>
  <si>
    <t>永续资本证券</t>
  </si>
  <si>
    <r>
      <rPr>
        <b/>
        <sz val="9"/>
        <rFont val="楷体_GB2312"/>
        <family val="3"/>
        <charset val="134"/>
      </rPr>
      <t>经营活动产生的现金流量</t>
    </r>
  </si>
  <si>
    <r>
      <rPr>
        <b/>
        <sz val="9"/>
        <rFont val="楷体_GB2312"/>
        <family val="3"/>
        <charset val="134"/>
      </rPr>
      <t>经营现金流净额小计</t>
    </r>
  </si>
  <si>
    <r>
      <rPr>
        <sz val="9"/>
        <rFont val="楷体_GB2312"/>
        <family val="3"/>
        <charset val="134"/>
      </rPr>
      <t>已付所得税</t>
    </r>
    <r>
      <rPr>
        <sz val="9"/>
        <rFont val="Calibri"/>
        <family val="2"/>
      </rPr>
      <t xml:space="preserve"> </t>
    </r>
  </si>
  <si>
    <r>
      <rPr>
        <b/>
        <sz val="9"/>
        <rFont val="楷体_GB2312"/>
        <family val="3"/>
        <charset val="134"/>
      </rPr>
      <t>其他现金流出小计</t>
    </r>
  </si>
  <si>
    <t>Net Cash Generated From Operating Activities</t>
  </si>
  <si>
    <r>
      <rPr>
        <b/>
        <sz val="9"/>
        <rFont val="楷体_GB2312"/>
        <family val="3"/>
        <charset val="134"/>
      </rPr>
      <t>投资活动产生的现金流量</t>
    </r>
  </si>
  <si>
    <r>
      <rPr>
        <sz val="9"/>
        <rFont val="楷体_GB2312"/>
        <family val="3"/>
        <charset val="134"/>
      </rPr>
      <t>购买物业</t>
    </r>
    <r>
      <rPr>
        <sz val="9"/>
        <rFont val="Calibri"/>
        <family val="2"/>
      </rPr>
      <t xml:space="preserve"> </t>
    </r>
    <r>
      <rPr>
        <sz val="9"/>
        <rFont val="楷体_GB2312"/>
        <family val="3"/>
        <charset val="134"/>
      </rPr>
      <t>厂房及设备</t>
    </r>
  </si>
  <si>
    <r>
      <rPr>
        <sz val="9"/>
        <rFont val="楷体_GB2312"/>
        <family val="3"/>
        <charset val="134"/>
      </rPr>
      <t>购买持有待售物业</t>
    </r>
  </si>
  <si>
    <t>Proceeds from disposal of property, plant and equipment</t>
  </si>
  <si>
    <r>
      <rPr>
        <sz val="9"/>
        <rFont val="楷体_GB2312"/>
        <family val="3"/>
        <charset val="134"/>
      </rPr>
      <t>出售物业厂房及设备</t>
    </r>
  </si>
  <si>
    <r>
      <rPr>
        <sz val="9"/>
        <rFont val="楷体_GB2312"/>
        <family val="3"/>
        <charset val="134"/>
      </rPr>
      <t>合营企业借款</t>
    </r>
  </si>
  <si>
    <r>
      <rPr>
        <sz val="9"/>
        <rFont val="楷体_GB2312"/>
        <family val="3"/>
        <charset val="134"/>
      </rPr>
      <t>直接控股公司之垫款</t>
    </r>
  </si>
  <si>
    <r>
      <rPr>
        <sz val="9"/>
        <rFont val="楷体_GB2312"/>
        <family val="3"/>
        <charset val="134"/>
      </rPr>
      <t>已抵押银行存款减少</t>
    </r>
  </si>
  <si>
    <r>
      <rPr>
        <sz val="9"/>
        <rFont val="楷体_GB2312"/>
        <family val="3"/>
        <charset val="134"/>
      </rPr>
      <t>购买上市可供出售之投资</t>
    </r>
  </si>
  <si>
    <r>
      <rPr>
        <sz val="9"/>
        <rFont val="楷体_GB2312"/>
        <family val="3"/>
        <charset val="134"/>
      </rPr>
      <t>出售上市</t>
    </r>
    <r>
      <rPr>
        <sz val="9"/>
        <rFont val="Calibri"/>
        <family val="2"/>
      </rPr>
      <t>(</t>
    </r>
    <r>
      <rPr>
        <sz val="9"/>
        <rFont val="楷体_GB2312"/>
        <family val="3"/>
        <charset val="134"/>
      </rPr>
      <t>或非上市</t>
    </r>
    <r>
      <rPr>
        <sz val="9"/>
        <rFont val="Calibri"/>
        <family val="2"/>
      </rPr>
      <t>)</t>
    </r>
    <r>
      <rPr>
        <sz val="9"/>
        <rFont val="楷体_GB2312"/>
        <family val="3"/>
        <charset val="134"/>
      </rPr>
      <t>可供出售之投资所得款项</t>
    </r>
  </si>
  <si>
    <r>
      <rPr>
        <sz val="9"/>
        <rFont val="楷体_GB2312"/>
        <family val="3"/>
        <charset val="134"/>
      </rPr>
      <t>预付租金增加</t>
    </r>
  </si>
  <si>
    <r>
      <rPr>
        <sz val="9"/>
        <rFont val="楷体_GB2312"/>
        <family val="3"/>
        <charset val="134"/>
      </rPr>
      <t>土地综合整理之投资增加</t>
    </r>
  </si>
  <si>
    <r>
      <rPr>
        <sz val="9"/>
        <rFont val="楷体_GB2312"/>
        <family val="3"/>
        <charset val="134"/>
      </rPr>
      <t>给予投资公司垫款</t>
    </r>
  </si>
  <si>
    <t>Increase in interests in infrastructure project investments</t>
  </si>
  <si>
    <r>
      <rPr>
        <sz val="9"/>
        <rFont val="楷体_GB2312"/>
        <family val="3"/>
        <charset val="134"/>
      </rPr>
      <t>基建项目投资权益增加</t>
    </r>
  </si>
  <si>
    <r>
      <rPr>
        <sz val="9"/>
        <rFont val="楷体_GB2312"/>
        <family val="3"/>
        <charset val="134"/>
      </rPr>
      <t>收购附属公司</t>
    </r>
  </si>
  <si>
    <r>
      <rPr>
        <sz val="9"/>
        <rFont val="楷体_GB2312"/>
        <family val="3"/>
        <charset val="134"/>
      </rPr>
      <t>可转换债券之投资</t>
    </r>
  </si>
  <si>
    <r>
      <rPr>
        <sz val="9"/>
        <rFont val="楷体_GB2312"/>
        <family val="3"/>
        <charset val="134"/>
      </rPr>
      <t>其他应收款之偿还</t>
    </r>
  </si>
  <si>
    <r>
      <rPr>
        <sz val="9"/>
        <rFont val="楷体_GB2312"/>
        <family val="3"/>
        <charset val="134"/>
      </rPr>
      <t>其他应收款增加</t>
    </r>
  </si>
  <si>
    <r>
      <rPr>
        <sz val="9"/>
        <rFont val="楷体_GB2312"/>
        <family val="3"/>
        <charset val="134"/>
      </rPr>
      <t>长期应收款项的增加</t>
    </r>
  </si>
  <si>
    <t>Repayment from investee company</t>
  </si>
  <si>
    <r>
      <rPr>
        <sz val="9"/>
        <rFont val="楷体_GB2312"/>
        <family val="3"/>
        <charset val="134"/>
      </rPr>
      <t>投资公司偿还款项</t>
    </r>
  </si>
  <si>
    <t>Capital investments in joint ventures</t>
  </si>
  <si>
    <r>
      <rPr>
        <sz val="9"/>
        <rFont val="楷体_GB2312"/>
        <family val="3"/>
        <charset val="134"/>
      </rPr>
      <t>于合营企业的资本投资</t>
    </r>
  </si>
  <si>
    <t>Deposit paid for an investment</t>
  </si>
  <si>
    <r>
      <rPr>
        <sz val="9"/>
        <rFont val="楷体_GB2312"/>
        <family val="3"/>
        <charset val="134"/>
      </rPr>
      <t>已付</t>
    </r>
    <r>
      <rPr>
        <sz val="9"/>
        <rFont val="Calibri"/>
        <family val="2"/>
      </rPr>
      <t>——</t>
    </r>
    <r>
      <rPr>
        <sz val="9"/>
        <rFont val="楷体_GB2312"/>
        <family val="3"/>
        <charset val="134"/>
      </rPr>
      <t>投资之按金</t>
    </r>
  </si>
  <si>
    <r>
      <rPr>
        <sz val="9"/>
        <rFont val="楷体_GB2312"/>
        <family val="3"/>
        <charset val="134"/>
      </rPr>
      <t>出售可换股债券所得款项</t>
    </r>
  </si>
  <si>
    <r>
      <rPr>
        <sz val="9"/>
        <rFont val="楷体_GB2312"/>
        <family val="3"/>
        <charset val="134"/>
      </rPr>
      <t>其他投资活动产生的现金流量净额</t>
    </r>
  </si>
  <si>
    <t>Net cash used In investing activities</t>
  </si>
  <si>
    <r>
      <rPr>
        <b/>
        <sz val="9"/>
        <rFont val="楷体_GB2312"/>
        <family val="3"/>
        <charset val="134"/>
      </rPr>
      <t>筹资活动产生的现金流量</t>
    </r>
  </si>
  <si>
    <t>Finance cost paid</t>
  </si>
  <si>
    <r>
      <rPr>
        <sz val="9"/>
        <rFont val="楷体_GB2312"/>
        <family val="3"/>
        <charset val="134"/>
      </rPr>
      <t>财务费用</t>
    </r>
  </si>
  <si>
    <r>
      <rPr>
        <sz val="9"/>
        <rFont val="楷体_GB2312"/>
        <family val="3"/>
        <charset val="134"/>
      </rPr>
      <t>发行普通股所得款项</t>
    </r>
  </si>
  <si>
    <r>
      <rPr>
        <sz val="9"/>
        <rFont val="楷体_GB2312"/>
        <family val="3"/>
        <charset val="134"/>
      </rPr>
      <t>发行股票之费用</t>
    </r>
  </si>
  <si>
    <t>Dividends paied to owners of the Company</t>
  </si>
  <si>
    <r>
      <rPr>
        <sz val="9"/>
        <rFont val="楷体_GB2312"/>
        <family val="3"/>
        <charset val="134"/>
      </rPr>
      <t>已付本公司股东股息</t>
    </r>
  </si>
  <si>
    <r>
      <rPr>
        <sz val="9"/>
        <rFont val="楷体_GB2312"/>
        <family val="3"/>
        <charset val="134"/>
      </rPr>
      <t>已付－原股东股息</t>
    </r>
  </si>
  <si>
    <r>
      <t>-</t>
    </r>
    <r>
      <rPr>
        <sz val="9"/>
        <rFont val="楷体_GB2312"/>
        <family val="3"/>
        <charset val="134"/>
      </rPr>
      <t>原股东之投入</t>
    </r>
  </si>
  <si>
    <t>Contribution from non-controlling interests</t>
  </si>
  <si>
    <r>
      <rPr>
        <sz val="9"/>
        <rFont val="楷体_GB2312"/>
        <family val="3"/>
        <charset val="134"/>
      </rPr>
      <t>非控股权益之投入</t>
    </r>
  </si>
  <si>
    <r>
      <rPr>
        <sz val="9"/>
        <rFont val="楷体_GB2312"/>
        <family val="3"/>
        <charset val="134"/>
      </rPr>
      <t>源于共同控制实体之垫款</t>
    </r>
  </si>
  <si>
    <r>
      <rPr>
        <sz val="9"/>
        <rFont val="楷体_GB2312"/>
        <family val="3"/>
        <charset val="134"/>
      </rPr>
      <t>（偿还）源自共同控制实体之合作伙伴之垫款</t>
    </r>
  </si>
  <si>
    <r>
      <rPr>
        <sz val="9"/>
        <rFont val="楷体_GB2312"/>
        <family val="3"/>
        <charset val="134"/>
      </rPr>
      <t>发行储备于原股东</t>
    </r>
  </si>
  <si>
    <r>
      <rPr>
        <sz val="9"/>
        <rFont val="楷体_GB2312"/>
        <family val="3"/>
        <charset val="134"/>
      </rPr>
      <t>根据共同控制下之合并支付集团系内公司</t>
    </r>
  </si>
  <si>
    <r>
      <rPr>
        <sz val="9"/>
        <rFont val="楷体_GB2312"/>
        <family val="3"/>
        <charset val="134"/>
      </rPr>
      <t>根据共同控制下之合并支付中介控股公司</t>
    </r>
  </si>
  <si>
    <r>
      <rPr>
        <sz val="9"/>
        <rFont val="楷体_GB2312"/>
        <family val="3"/>
        <charset val="134"/>
      </rPr>
      <t>源自（偿还）中介控股公司之垫款</t>
    </r>
  </si>
  <si>
    <r>
      <rPr>
        <sz val="9"/>
        <rFont val="楷体_GB2312"/>
        <family val="3"/>
        <charset val="134"/>
      </rPr>
      <t>源自直接控股公司款</t>
    </r>
  </si>
  <si>
    <t>New bank loan raised</t>
  </si>
  <si>
    <t>合营企业借款</t>
  </si>
  <si>
    <t>集团系内公司借款</t>
  </si>
  <si>
    <t>租赁付款的本金部分</t>
  </si>
  <si>
    <r>
      <rPr>
        <sz val="9"/>
        <rFont val="楷体_GB2312"/>
        <family val="3"/>
        <charset val="134"/>
      </rPr>
      <t>出售附属公司部分权益所得款项</t>
    </r>
  </si>
  <si>
    <t>Dividends paied to non-controlling interests</t>
  </si>
  <si>
    <r>
      <rPr>
        <sz val="9"/>
        <rFont val="楷体_GB2312"/>
        <family val="3"/>
        <charset val="134"/>
      </rPr>
      <t>已付非控股权益股息</t>
    </r>
  </si>
  <si>
    <t>支付永续资本证券的分配</t>
  </si>
  <si>
    <r>
      <rPr>
        <sz val="9"/>
        <rFont val="楷体_GB2312"/>
        <family val="3"/>
        <charset val="134"/>
      </rPr>
      <t>发行应付担保票据</t>
    </r>
  </si>
  <si>
    <r>
      <rPr>
        <b/>
        <sz val="9"/>
        <rFont val="楷体_GB2312"/>
        <family val="3"/>
        <charset val="134"/>
      </rPr>
      <t>现金及现金等价物净增加额</t>
    </r>
  </si>
  <si>
    <r>
      <rPr>
        <sz val="9"/>
        <rFont val="楷体_GB2312"/>
        <family val="3"/>
        <charset val="134"/>
      </rPr>
      <t>加：年初现金及现金等价物余额</t>
    </r>
  </si>
  <si>
    <r>
      <rPr>
        <sz val="9"/>
        <rFont val="楷体_GB2312"/>
        <family val="3"/>
        <charset val="134"/>
      </rPr>
      <t>现金及现金等价物的汇兑亏损</t>
    </r>
  </si>
  <si>
    <r>
      <rPr>
        <b/>
        <sz val="9"/>
        <rFont val="楷体_GB2312"/>
        <family val="3"/>
        <charset val="134"/>
      </rPr>
      <t>年末现金及现金等价物余额</t>
    </r>
  </si>
  <si>
    <r>
      <rPr>
        <b/>
        <sz val="9"/>
        <rFont val="楷体_GB2312"/>
        <family val="3"/>
        <charset val="134"/>
      </rPr>
      <t>将净利润调节为经营活动的现金流量</t>
    </r>
  </si>
  <si>
    <r>
      <rPr>
        <sz val="9"/>
        <rFont val="楷体_GB2312"/>
        <family val="3"/>
        <charset val="134"/>
      </rPr>
      <t>调整：</t>
    </r>
  </si>
  <si>
    <t>出售公平值列入其他全面收益之债务证券之收益税后净额</t>
  </si>
  <si>
    <t>投资物业之公平值变动之收益</t>
  </si>
  <si>
    <r>
      <rPr>
        <sz val="9"/>
        <rFont val="楷体_GB2312"/>
        <family val="3"/>
        <charset val="134"/>
      </rPr>
      <t>出售物业厂房及设备之盈利</t>
    </r>
  </si>
  <si>
    <t>出售投资物业之收益</t>
  </si>
  <si>
    <t>出售附属公司之亏损</t>
  </si>
  <si>
    <t>特许经营权的减值亏损</t>
  </si>
  <si>
    <r>
      <rPr>
        <sz val="9"/>
        <rFont val="楷体_GB2312"/>
        <family val="3"/>
        <charset val="134"/>
      </rPr>
      <t>可转债公允价值变动</t>
    </r>
  </si>
  <si>
    <t>Allowance of doubtful debts on trade and other receivables</t>
  </si>
  <si>
    <r>
      <rPr>
        <sz val="9"/>
        <rFont val="楷体_GB2312"/>
        <family val="3"/>
        <charset val="134"/>
      </rPr>
      <t>贸易及其他应收款项之呆账拨备</t>
    </r>
  </si>
  <si>
    <t>Share Of Profit Of Associates</t>
  </si>
  <si>
    <r>
      <rPr>
        <sz val="9"/>
        <rFont val="楷体_GB2312"/>
        <family val="3"/>
        <charset val="134"/>
      </rPr>
      <t>应占合营联营公司之盈利</t>
    </r>
  </si>
  <si>
    <t>Depreciation of property, plant and equipment</t>
  </si>
  <si>
    <r>
      <rPr>
        <sz val="9"/>
        <rFont val="楷体_GB2312"/>
        <family val="3"/>
        <charset val="134"/>
      </rPr>
      <t>物业厂房设备之折旧</t>
    </r>
  </si>
  <si>
    <t>Depreciation of investment properties</t>
  </si>
  <si>
    <r>
      <rPr>
        <sz val="9"/>
        <rFont val="楷体_GB2312"/>
        <family val="3"/>
        <charset val="134"/>
      </rPr>
      <t>投资物业之折旧</t>
    </r>
  </si>
  <si>
    <t>Amortization Of prepaid lease payments</t>
  </si>
  <si>
    <r>
      <rPr>
        <sz val="9"/>
        <rFont val="楷体_GB2312"/>
        <family val="3"/>
        <charset val="134"/>
      </rPr>
      <t>预付租金之摊销</t>
    </r>
  </si>
  <si>
    <t>Amortization of concession operating rights</t>
  </si>
  <si>
    <r>
      <rPr>
        <sz val="9"/>
        <rFont val="楷体_GB2312"/>
        <family val="3"/>
        <charset val="134"/>
      </rPr>
      <t>特许经营权之摊销</t>
    </r>
  </si>
  <si>
    <t>Amortization of trademark and projects backlogs</t>
  </si>
  <si>
    <r>
      <rPr>
        <sz val="9"/>
        <rFont val="楷体_GB2312"/>
        <family val="3"/>
        <charset val="134"/>
      </rPr>
      <t>商标及未完成工程合同之摊销</t>
    </r>
  </si>
  <si>
    <r>
      <rPr>
        <sz val="9"/>
        <rFont val="楷体_GB2312"/>
        <family val="3"/>
        <charset val="134"/>
      </rPr>
      <t>汇兑净收益</t>
    </r>
  </si>
  <si>
    <r>
      <rPr>
        <sz val="9"/>
        <rFont val="楷体_GB2312"/>
        <family val="3"/>
        <charset val="134"/>
      </rPr>
      <t>以股份为基础之付款费用</t>
    </r>
  </si>
  <si>
    <r>
      <rPr>
        <b/>
        <sz val="9"/>
        <rFont val="楷体_GB2312"/>
        <family val="3"/>
        <charset val="134"/>
      </rPr>
      <t>未计流动资金变动前之经营现金流量</t>
    </r>
  </si>
  <si>
    <t>Increase in income receivables from infrastructure project investments</t>
  </si>
  <si>
    <r>
      <rPr>
        <sz val="9"/>
        <rFont val="楷体_GB2312"/>
        <family val="3"/>
        <charset val="134"/>
      </rPr>
      <t>基建项目投资权益减少</t>
    </r>
  </si>
  <si>
    <r>
      <rPr>
        <sz val="9"/>
        <rFont val="楷体_GB2312"/>
        <family val="3"/>
        <charset val="134"/>
      </rPr>
      <t>特许经营权增加</t>
    </r>
  </si>
  <si>
    <r>
      <rPr>
        <sz val="9"/>
        <rFont val="楷体_GB2312"/>
        <family val="3"/>
        <charset val="134"/>
      </rPr>
      <t>贸易及其他应收款、按金及预付款增加</t>
    </r>
  </si>
  <si>
    <t>Decrease in inventories</t>
  </si>
  <si>
    <r>
      <rPr>
        <sz val="9"/>
        <rFont val="楷体_GB2312"/>
        <family val="3"/>
        <charset val="134"/>
      </rPr>
      <t>存货增加</t>
    </r>
  </si>
  <si>
    <r>
      <rPr>
        <sz val="9"/>
        <rFont val="楷体_GB2312"/>
        <family val="3"/>
        <charset val="134"/>
      </rPr>
      <t>待售物业减少</t>
    </r>
  </si>
  <si>
    <t>Changes in net balances with customers for contract work</t>
  </si>
  <si>
    <r>
      <rPr>
        <sz val="9"/>
        <rFont val="楷体_GB2312"/>
        <family val="3"/>
        <charset val="134"/>
      </rPr>
      <t>客户合约工程欠款减少（增加）</t>
    </r>
  </si>
  <si>
    <r>
      <rPr>
        <sz val="9"/>
        <rFont val="楷体_GB2312"/>
        <family val="3"/>
        <charset val="134"/>
      </rPr>
      <t>欠客户合约工程款（减少）增加</t>
    </r>
  </si>
  <si>
    <r>
      <rPr>
        <sz val="9"/>
        <rFont val="楷体_GB2312"/>
        <family val="3"/>
        <charset val="134"/>
      </rPr>
      <t>贸易及其他应付款、已收按金及预收款减少</t>
    </r>
  </si>
  <si>
    <t>Changes in net balances with an associate</t>
  </si>
  <si>
    <r>
      <rPr>
        <sz val="9"/>
        <rFont val="楷体_GB2312"/>
        <family val="3"/>
        <charset val="134"/>
      </rPr>
      <t>联营公司款变动净额</t>
    </r>
  </si>
  <si>
    <t>Changes in net balances with a joint venture</t>
  </si>
  <si>
    <r>
      <rPr>
        <sz val="9"/>
        <rFont val="楷体_GB2312"/>
        <family val="3"/>
        <charset val="134"/>
      </rPr>
      <t>合营公司款变动净额</t>
    </r>
  </si>
  <si>
    <r>
      <rPr>
        <sz val="9"/>
        <rFont val="楷体_GB2312"/>
        <family val="3"/>
        <charset val="134"/>
      </rPr>
      <t>应收集团系内公司款减少（增加）</t>
    </r>
  </si>
  <si>
    <r>
      <rPr>
        <sz val="9"/>
        <rFont val="楷体_GB2312"/>
        <family val="3"/>
        <charset val="134"/>
      </rPr>
      <t>应付集团系内公司款增加（减少）</t>
    </r>
  </si>
  <si>
    <r>
      <rPr>
        <sz val="9"/>
        <rFont val="楷体_GB2312"/>
        <family val="3"/>
        <charset val="134"/>
      </rPr>
      <t>应付联营公司款减少（增加）</t>
    </r>
  </si>
  <si>
    <r>
      <rPr>
        <sz val="9"/>
        <rFont val="楷体_GB2312"/>
        <family val="3"/>
        <charset val="134"/>
      </rPr>
      <t>应付直接控股公司款增加</t>
    </r>
  </si>
  <si>
    <r>
      <rPr>
        <sz val="9"/>
        <rFont val="楷体_GB2312"/>
        <family val="3"/>
        <charset val="134"/>
      </rPr>
      <t>递延收入增加</t>
    </r>
  </si>
  <si>
    <r>
      <rPr>
        <b/>
        <sz val="9"/>
        <rFont val="楷体_GB2312"/>
        <family val="3"/>
        <charset val="134"/>
      </rPr>
      <t>源于（用于）经营业务之现金</t>
    </r>
  </si>
  <si>
    <r>
      <rPr>
        <sz val="9"/>
        <rFont val="楷体_GB2312"/>
        <family val="3"/>
        <charset val="134"/>
      </rPr>
      <t>已付所得税</t>
    </r>
  </si>
  <si>
    <r>
      <rPr>
        <sz val="9"/>
        <rFont val="楷体_GB2312"/>
        <family val="3"/>
        <charset val="134"/>
      </rPr>
      <t>所得税退回</t>
    </r>
  </si>
  <si>
    <t>Error test</t>
  </si>
  <si>
    <r>
      <rPr>
        <b/>
        <sz val="9"/>
        <rFont val="楷体_GB2312"/>
        <family val="3"/>
        <charset val="134"/>
      </rPr>
      <t>误差检验</t>
    </r>
  </si>
  <si>
    <r>
      <rPr>
        <b/>
        <sz val="9"/>
        <rFont val="楷体_GB2312"/>
        <family val="3"/>
        <charset val="134"/>
      </rPr>
      <t>固定资产</t>
    </r>
  </si>
  <si>
    <r>
      <rPr>
        <sz val="9"/>
        <rFont val="楷体_GB2312"/>
        <family val="3"/>
        <charset val="134"/>
      </rPr>
      <t>原值</t>
    </r>
  </si>
  <si>
    <t>Accumulated depreciation</t>
  </si>
  <si>
    <r>
      <rPr>
        <sz val="9"/>
        <rFont val="楷体_GB2312"/>
        <family val="3"/>
        <charset val="134"/>
      </rPr>
      <t>累计折旧</t>
    </r>
  </si>
  <si>
    <r>
      <rPr>
        <sz val="9"/>
        <rFont val="楷体_GB2312"/>
        <family val="3"/>
        <charset val="134"/>
      </rPr>
      <t>减值准备</t>
    </r>
  </si>
  <si>
    <t>使用权资产</t>
  </si>
  <si>
    <t>Investible property</t>
  </si>
  <si>
    <r>
      <rPr>
        <b/>
        <sz val="9"/>
        <rFont val="楷体_GB2312"/>
        <family val="3"/>
        <charset val="134"/>
      </rPr>
      <t>投资物业</t>
    </r>
  </si>
  <si>
    <t>Accumulated depreciation/fair value change (after 2015)</t>
  </si>
  <si>
    <r>
      <rPr>
        <sz val="9"/>
        <rFont val="楷体_GB2312"/>
        <family val="3"/>
        <charset val="134"/>
      </rPr>
      <t>累计折旧</t>
    </r>
    <r>
      <rPr>
        <sz val="9"/>
        <rFont val="Calibri"/>
        <family val="2"/>
      </rPr>
      <t>/</t>
    </r>
    <r>
      <rPr>
        <sz val="9"/>
        <rFont val="楷体_GB2312"/>
        <family val="3"/>
        <charset val="134"/>
      </rPr>
      <t>公允价值变动（</t>
    </r>
    <r>
      <rPr>
        <sz val="9"/>
        <rFont val="Calibri"/>
        <family val="2"/>
      </rPr>
      <t>2015</t>
    </r>
    <r>
      <rPr>
        <sz val="9"/>
        <rFont val="楷体_GB2312"/>
        <family val="3"/>
        <charset val="134"/>
      </rPr>
      <t>年以后）</t>
    </r>
  </si>
  <si>
    <t>2017A</t>
  </si>
  <si>
    <t>2018A</t>
  </si>
  <si>
    <t>2019E</t>
  </si>
  <si>
    <t>2019A</t>
  </si>
  <si>
    <t>2020E</t>
  </si>
  <si>
    <t>Net profit before tax</t>
  </si>
  <si>
    <t>Fully-diluted EPS (HKD)</t>
  </si>
  <si>
    <t>Operating margin</t>
  </si>
  <si>
    <t>Net margin</t>
  </si>
  <si>
    <t>(HK$ mn)</t>
  </si>
  <si>
    <t>1H16A</t>
  </si>
  <si>
    <t>2H16A</t>
  </si>
  <si>
    <t>1H17A</t>
  </si>
  <si>
    <t>2H17A</t>
  </si>
  <si>
    <r>
      <rPr>
        <sz val="8"/>
        <rFont val="楷体_GB2312"/>
        <family val="3"/>
        <charset val="134"/>
      </rPr>
      <t>税前利润</t>
    </r>
  </si>
  <si>
    <t>Profit before tax</t>
  </si>
  <si>
    <t>Profit before tax/ revenue</t>
  </si>
  <si>
    <t>2019E</t>
  </si>
  <si>
    <t>2021E</t>
  </si>
  <si>
    <t>EPS (HK$)</t>
  </si>
  <si>
    <r>
      <rPr>
        <b/>
        <sz val="8"/>
        <color indexed="9"/>
        <rFont val="楷体_GB2312"/>
        <family val="3"/>
        <charset val="134"/>
      </rPr>
      <t>截至</t>
    </r>
    <r>
      <rPr>
        <b/>
        <sz val="8"/>
        <color indexed="9"/>
        <rFont val="Calibri"/>
        <family val="2"/>
      </rPr>
      <t>12</t>
    </r>
    <r>
      <rPr>
        <b/>
        <sz val="8"/>
        <color indexed="9"/>
        <rFont val="楷体_GB2312"/>
        <family val="3"/>
        <charset val="134"/>
      </rPr>
      <t>月</t>
    </r>
    <r>
      <rPr>
        <b/>
        <sz val="8"/>
        <color indexed="9"/>
        <rFont val="Calibri"/>
        <family val="2"/>
      </rPr>
      <t>31</t>
    </r>
    <r>
      <rPr>
        <b/>
        <sz val="8"/>
        <color indexed="9"/>
        <rFont val="楷体_GB2312"/>
        <family val="3"/>
        <charset val="134"/>
      </rPr>
      <t>日</t>
    </r>
  </si>
  <si>
    <t>Year ended</t>
  </si>
  <si>
    <t>1H2009A</t>
  </si>
  <si>
    <r>
      <rPr>
        <b/>
        <sz val="8"/>
        <rFont val="楷体_GB2312"/>
        <family val="3"/>
        <charset val="134"/>
      </rPr>
      <t>损益表（百万港币）</t>
    </r>
  </si>
  <si>
    <t>P/L (HKD mn)</t>
  </si>
  <si>
    <r>
      <t xml:space="preserve">  </t>
    </r>
    <r>
      <rPr>
        <sz val="8"/>
        <rFont val="楷体_GB2312"/>
        <family val="3"/>
        <charset val="134"/>
      </rPr>
      <t>房地产开发</t>
    </r>
  </si>
  <si>
    <r>
      <t xml:space="preserve">  </t>
    </r>
    <r>
      <rPr>
        <sz val="8"/>
        <rFont val="楷体_GB2312"/>
        <family val="3"/>
        <charset val="134"/>
      </rPr>
      <t>房屋出租</t>
    </r>
  </si>
  <si>
    <r>
      <t xml:space="preserve">  </t>
    </r>
    <r>
      <rPr>
        <sz val="8"/>
        <rFont val="楷体_GB2312"/>
        <family val="3"/>
        <charset val="134"/>
      </rPr>
      <t>拆迁费</t>
    </r>
  </si>
  <si>
    <r>
      <rPr>
        <sz val="8"/>
        <rFont val="楷体_GB2312"/>
        <family val="3"/>
        <charset val="134"/>
      </rPr>
      <t>营业收入</t>
    </r>
  </si>
  <si>
    <r>
      <rPr>
        <sz val="8"/>
        <rFont val="楷体_GB2312"/>
        <family val="3"/>
        <charset val="134"/>
      </rPr>
      <t>加：其他业务利润</t>
    </r>
  </si>
  <si>
    <r>
      <rPr>
        <sz val="8"/>
        <rFont val="楷体_GB2312"/>
        <family val="3"/>
        <charset val="134"/>
      </rPr>
      <t>减：营业费用</t>
    </r>
  </si>
  <si>
    <t>Selling and marketing expenses</t>
  </si>
  <si>
    <r>
      <t xml:space="preserve">        </t>
    </r>
    <r>
      <rPr>
        <sz val="8"/>
        <rFont val="楷体_GB2312"/>
        <family val="3"/>
        <charset val="134"/>
      </rPr>
      <t>管理费用</t>
    </r>
  </si>
  <si>
    <t>Administrative expenses</t>
  </si>
  <si>
    <t>Operating profit</t>
  </si>
  <si>
    <r>
      <t xml:space="preserve">    </t>
    </r>
    <r>
      <rPr>
        <sz val="8"/>
        <rFont val="楷体_GB2312"/>
        <family val="3"/>
        <charset val="134"/>
      </rPr>
      <t>利息收入</t>
    </r>
  </si>
  <si>
    <t>Finance income</t>
  </si>
  <si>
    <r>
      <t xml:space="preserve">    </t>
    </r>
    <r>
      <rPr>
        <sz val="8"/>
        <rFont val="楷体_GB2312"/>
        <family val="3"/>
        <charset val="134"/>
      </rPr>
      <t>利息费用</t>
    </r>
  </si>
  <si>
    <r>
      <rPr>
        <i/>
        <sz val="8"/>
        <rFont val="楷体_GB2312"/>
        <family val="3"/>
        <charset val="134"/>
      </rPr>
      <t>实际税率</t>
    </r>
  </si>
  <si>
    <r>
      <rPr>
        <sz val="8"/>
        <rFont val="楷体_GB2312"/>
        <family val="3"/>
        <charset val="134"/>
      </rPr>
      <t>年内利润</t>
    </r>
  </si>
  <si>
    <t>Profit for the year/period</t>
  </si>
  <si>
    <r>
      <rPr>
        <i/>
        <sz val="8"/>
        <rFont val="楷体_GB2312"/>
        <family val="3"/>
        <charset val="134"/>
      </rPr>
      <t>下列人士应占</t>
    </r>
  </si>
  <si>
    <t>Attributable to</t>
  </si>
  <si>
    <r>
      <rPr>
        <sz val="8"/>
        <rFont val="楷体_GB2312"/>
        <family val="3"/>
        <charset val="134"/>
      </rPr>
      <t>非控制性权益</t>
    </r>
  </si>
  <si>
    <r>
      <rPr>
        <sz val="8"/>
        <rFont val="楷体_GB2312"/>
        <family val="3"/>
        <charset val="134"/>
      </rPr>
      <t>贵公司权益所有人</t>
    </r>
  </si>
  <si>
    <t>Attributable to equity holders of the Company</t>
  </si>
  <si>
    <r>
      <rPr>
        <b/>
        <sz val="8"/>
        <rFont val="楷体_GB2312"/>
        <family val="3"/>
        <charset val="134"/>
      </rPr>
      <t>资产负债表（百万港币）</t>
    </r>
  </si>
  <si>
    <t>B/S (HKD mn)</t>
  </si>
  <si>
    <r>
      <t xml:space="preserve">  </t>
    </r>
    <r>
      <rPr>
        <sz val="8"/>
        <rFont val="楷体_GB2312"/>
        <family val="3"/>
        <charset val="134"/>
      </rPr>
      <t>短期投资</t>
    </r>
  </si>
  <si>
    <r>
      <t xml:space="preserve">    </t>
    </r>
    <r>
      <rPr>
        <sz val="8"/>
        <rFont val="楷体_GB2312"/>
        <family val="3"/>
        <charset val="134"/>
      </rPr>
      <t>应收帐款</t>
    </r>
  </si>
  <si>
    <r>
      <t xml:space="preserve">    </t>
    </r>
    <r>
      <rPr>
        <sz val="8"/>
        <rFont val="楷体_GB2312"/>
        <family val="3"/>
        <charset val="134"/>
      </rPr>
      <t>其它应收款</t>
    </r>
  </si>
  <si>
    <r>
      <t xml:space="preserve">    </t>
    </r>
    <r>
      <rPr>
        <sz val="8"/>
        <rFont val="楷体_GB2312"/>
        <family val="3"/>
        <charset val="134"/>
      </rPr>
      <t>预付帐款</t>
    </r>
  </si>
  <si>
    <r>
      <rPr>
        <sz val="8"/>
        <rFont val="楷体_GB2312"/>
        <family val="3"/>
        <charset val="134"/>
      </rPr>
      <t>贸易及其他应收款项</t>
    </r>
  </si>
  <si>
    <t>Trade and other receivables</t>
  </si>
  <si>
    <r>
      <rPr>
        <sz val="8"/>
        <rFont val="楷体_GB2312"/>
        <family val="3"/>
        <charset val="134"/>
      </rPr>
      <t>存货</t>
    </r>
  </si>
  <si>
    <r>
      <t xml:space="preserve">  </t>
    </r>
    <r>
      <rPr>
        <sz val="8"/>
        <rFont val="楷体_GB2312"/>
        <family val="3"/>
        <charset val="134"/>
      </rPr>
      <t>待摊费用</t>
    </r>
  </si>
  <si>
    <r>
      <rPr>
        <sz val="8"/>
        <rFont val="楷体_GB2312"/>
        <family val="3"/>
        <charset val="134"/>
      </rPr>
      <t>货币资金</t>
    </r>
  </si>
  <si>
    <t>Cash and cash equivalents</t>
  </si>
  <si>
    <t>Current assets</t>
  </si>
  <si>
    <r>
      <rPr>
        <sz val="8"/>
        <rFont val="楷体_GB2312"/>
        <family val="3"/>
        <charset val="134"/>
      </rPr>
      <t>物业、厂房及设备</t>
    </r>
  </si>
  <si>
    <t>Property, plant and equipment</t>
  </si>
  <si>
    <r>
      <rPr>
        <sz val="8"/>
        <rFont val="楷体_GB2312"/>
        <family val="3"/>
        <charset val="134"/>
      </rPr>
      <t>贸易及其他应付款</t>
    </r>
  </si>
  <si>
    <t>Trade and other payables</t>
  </si>
  <si>
    <r>
      <rPr>
        <sz val="8"/>
        <rFont val="楷体_GB2312"/>
        <family val="3"/>
        <charset val="134"/>
      </rPr>
      <t>借款</t>
    </r>
  </si>
  <si>
    <r>
      <t xml:space="preserve">  </t>
    </r>
    <r>
      <rPr>
        <sz val="8"/>
        <rFont val="楷体_GB2312"/>
        <family val="3"/>
        <charset val="134"/>
      </rPr>
      <t>一年内到期的长期借款</t>
    </r>
  </si>
  <si>
    <r>
      <t xml:space="preserve">    </t>
    </r>
    <r>
      <rPr>
        <sz val="8"/>
        <rFont val="楷体_GB2312"/>
        <family val="3"/>
        <charset val="134"/>
      </rPr>
      <t>应付帐款</t>
    </r>
  </si>
  <si>
    <r>
      <t xml:space="preserve">    </t>
    </r>
    <r>
      <rPr>
        <sz val="8"/>
        <rFont val="楷体_GB2312"/>
        <family val="3"/>
        <charset val="134"/>
      </rPr>
      <t>预收帐款</t>
    </r>
  </si>
  <si>
    <r>
      <t xml:space="preserve">    </t>
    </r>
    <r>
      <rPr>
        <sz val="8"/>
        <rFont val="楷体_GB2312"/>
        <family val="3"/>
        <charset val="134"/>
      </rPr>
      <t>应付工资</t>
    </r>
  </si>
  <si>
    <r>
      <t xml:space="preserve">    </t>
    </r>
    <r>
      <rPr>
        <sz val="8"/>
        <rFont val="楷体_GB2312"/>
        <family val="3"/>
        <charset val="134"/>
      </rPr>
      <t>应付福利费</t>
    </r>
  </si>
  <si>
    <r>
      <t xml:space="preserve">    </t>
    </r>
    <r>
      <rPr>
        <sz val="8"/>
        <rFont val="楷体_GB2312"/>
        <family val="3"/>
        <charset val="134"/>
      </rPr>
      <t>应交税金</t>
    </r>
  </si>
  <si>
    <r>
      <t xml:space="preserve">    </t>
    </r>
    <r>
      <rPr>
        <sz val="8"/>
        <rFont val="楷体_GB2312"/>
        <family val="3"/>
        <charset val="134"/>
      </rPr>
      <t>其它应交款</t>
    </r>
  </si>
  <si>
    <r>
      <t xml:space="preserve">    </t>
    </r>
    <r>
      <rPr>
        <sz val="8"/>
        <rFont val="楷体_GB2312"/>
        <family val="3"/>
        <charset val="134"/>
      </rPr>
      <t>其它应付款</t>
    </r>
  </si>
  <si>
    <r>
      <t xml:space="preserve">  </t>
    </r>
    <r>
      <rPr>
        <sz val="8"/>
        <rFont val="楷体_GB2312"/>
        <family val="3"/>
        <charset val="134"/>
      </rPr>
      <t>预提费用</t>
    </r>
  </si>
  <si>
    <r>
      <t xml:space="preserve">  </t>
    </r>
    <r>
      <rPr>
        <sz val="8"/>
        <rFont val="楷体_GB2312"/>
        <family val="3"/>
        <charset val="134"/>
      </rPr>
      <t>应付股利</t>
    </r>
  </si>
  <si>
    <t>Current liabilities</t>
  </si>
  <si>
    <r>
      <rPr>
        <sz val="8"/>
        <rFont val="楷体_GB2312"/>
        <family val="3"/>
        <charset val="134"/>
      </rPr>
      <t>非流动负债</t>
    </r>
  </si>
  <si>
    <t>Non-current liabilities</t>
  </si>
  <si>
    <t>Total liabilities</t>
  </si>
  <si>
    <t>Equity attributable to equity holders of the Company</t>
  </si>
  <si>
    <r>
      <rPr>
        <sz val="8"/>
        <rFont val="楷体_GB2312"/>
        <family val="3"/>
        <charset val="134"/>
      </rPr>
      <t>每股盈利</t>
    </r>
  </si>
  <si>
    <r>
      <t>ROE</t>
    </r>
    <r>
      <rPr>
        <sz val="9"/>
        <color rgb="FF000000"/>
        <rFont val="宋体"/>
        <family val="3"/>
        <charset val="134"/>
      </rPr>
      <t>（右轴）</t>
    </r>
  </si>
  <si>
    <t>P/B</t>
  </si>
  <si>
    <t>ROE (right axis)</t>
  </si>
  <si>
    <t>Statement of Cash - GTR Project in Wenzhou, Zhejiang Province</t>
  </si>
  <si>
    <t>(Rmb mn)</t>
  </si>
  <si>
    <t>2022E</t>
  </si>
  <si>
    <t>Total</t>
  </si>
  <si>
    <t>1Q</t>
  </si>
  <si>
    <t>2Q</t>
  </si>
  <si>
    <t>Expense</t>
  </si>
  <si>
    <t>Income</t>
  </si>
  <si>
    <t>Net cash flow</t>
  </si>
  <si>
    <t>Accumulated net cash</t>
  </si>
  <si>
    <t>Statement of Cash - PPP Project in Taizhou, Zhejiang Province</t>
  </si>
  <si>
    <r>
      <rPr>
        <b/>
        <sz val="8"/>
        <color rgb="FF000000"/>
        <rFont val="楷体_GB2312"/>
        <family val="3"/>
        <charset val="134"/>
      </rPr>
      <t>现金表</t>
    </r>
    <r>
      <rPr>
        <b/>
        <sz val="8"/>
        <color rgb="FF000000"/>
        <rFont val="Calibri"/>
        <family val="2"/>
      </rPr>
      <t>-</t>
    </r>
    <r>
      <rPr>
        <b/>
        <sz val="8"/>
        <color rgb="FF000000"/>
        <rFont val="楷体_GB2312"/>
        <family val="3"/>
        <charset val="134"/>
      </rPr>
      <t>浙江温州政府定向回购项目</t>
    </r>
  </si>
  <si>
    <r>
      <rPr>
        <b/>
        <sz val="8"/>
        <color rgb="FFFFFFFF"/>
        <rFont val="楷体_GB2312"/>
        <family val="3"/>
        <charset val="134"/>
      </rPr>
      <t>（人民币</t>
    </r>
    <r>
      <rPr>
        <b/>
        <sz val="8"/>
        <color rgb="FFFFFFFF"/>
        <rFont val="Calibri"/>
        <family val="2"/>
      </rPr>
      <t xml:space="preserve"> </t>
    </r>
    <r>
      <rPr>
        <b/>
        <sz val="8"/>
        <color rgb="FFFFFFFF"/>
        <rFont val="楷体_GB2312"/>
        <family val="3"/>
        <charset val="134"/>
      </rPr>
      <t>百万元）</t>
    </r>
  </si>
  <si>
    <r>
      <rPr>
        <b/>
        <sz val="8"/>
        <color rgb="FFFFFFFF"/>
        <rFont val="楷体_GB2312"/>
        <family val="3"/>
        <charset val="134"/>
      </rPr>
      <t>合计</t>
    </r>
  </si>
  <si>
    <r>
      <rPr>
        <b/>
        <sz val="8"/>
        <color rgb="FF000000"/>
        <rFont val="楷体_GB2312"/>
        <family val="3"/>
        <charset val="134"/>
      </rPr>
      <t>费用</t>
    </r>
  </si>
  <si>
    <r>
      <rPr>
        <b/>
        <sz val="8"/>
        <color rgb="FF000000"/>
        <rFont val="楷体_GB2312"/>
        <family val="3"/>
        <charset val="134"/>
      </rPr>
      <t>收入</t>
    </r>
  </si>
  <si>
    <r>
      <rPr>
        <b/>
        <sz val="8"/>
        <color rgb="FF000000"/>
        <rFont val="楷体_GB2312"/>
        <family val="3"/>
        <charset val="134"/>
      </rPr>
      <t>净现金流</t>
    </r>
  </si>
  <si>
    <r>
      <rPr>
        <b/>
        <sz val="8"/>
        <color rgb="FF000000"/>
        <rFont val="楷体_GB2312"/>
        <family val="3"/>
        <charset val="134"/>
      </rPr>
      <t>累计净现金流</t>
    </r>
  </si>
  <si>
    <r>
      <rPr>
        <b/>
        <sz val="8"/>
        <color rgb="FF000000"/>
        <rFont val="楷体_GB2312"/>
        <family val="3"/>
        <charset val="134"/>
      </rPr>
      <t>现金表</t>
    </r>
    <r>
      <rPr>
        <b/>
        <sz val="8"/>
        <color rgb="FF000000"/>
        <rFont val="Calibri"/>
        <family val="2"/>
      </rPr>
      <t>-</t>
    </r>
    <r>
      <rPr>
        <b/>
        <sz val="8"/>
        <color rgb="FF000000"/>
        <rFont val="楷体_GB2312"/>
        <family val="3"/>
        <charset val="134"/>
      </rPr>
      <t>浙江泰州</t>
    </r>
    <r>
      <rPr>
        <b/>
        <sz val="8"/>
        <color rgb="FF000000"/>
        <rFont val="Calibri"/>
        <family val="2"/>
      </rPr>
      <t>PPP</t>
    </r>
    <r>
      <rPr>
        <b/>
        <sz val="8"/>
        <color rgb="FF000000"/>
        <rFont val="楷体_GB2312"/>
        <family val="3"/>
        <charset val="134"/>
      </rPr>
      <t>项目</t>
    </r>
  </si>
  <si>
    <t>占比</t>
  </si>
  <si>
    <t>2020A</t>
  </si>
  <si>
    <t>2H20</t>
  </si>
  <si>
    <t>2020A</t>
  </si>
  <si>
    <r>
      <rPr>
        <sz val="9"/>
        <rFont val="楷体_GB2312"/>
        <family val="3"/>
        <charset val="134"/>
      </rPr>
      <t>每股</t>
    </r>
    <r>
      <rPr>
        <sz val="9"/>
        <rFont val="Calibri"/>
        <family val="2"/>
      </rPr>
      <t>27</t>
    </r>
    <r>
      <rPr>
        <sz val="9"/>
        <rFont val="楷体_GB2312"/>
        <family val="3"/>
        <charset val="134"/>
      </rPr>
      <t>仙</t>
    </r>
  </si>
  <si>
    <r>
      <rPr>
        <sz val="9"/>
        <rFont val="楷体_GB2312"/>
        <family val="3"/>
        <charset val="134"/>
      </rPr>
      <t>每股</t>
    </r>
    <r>
      <rPr>
        <sz val="9"/>
        <rFont val="Calibri"/>
        <family val="2"/>
      </rPr>
      <t>32</t>
    </r>
    <r>
      <rPr>
        <sz val="9"/>
        <rFont val="楷体_GB2312"/>
        <family val="3"/>
        <charset val="134"/>
      </rPr>
      <t>仙</t>
    </r>
  </si>
  <si>
    <r>
      <rPr>
        <sz val="9"/>
        <rFont val="楷体_GB2312"/>
        <family val="3"/>
        <charset val="134"/>
      </rPr>
      <t>每股</t>
    </r>
    <r>
      <rPr>
        <sz val="9"/>
        <rFont val="Calibri"/>
        <family val="2"/>
      </rPr>
      <t>36</t>
    </r>
    <r>
      <rPr>
        <sz val="9"/>
        <rFont val="楷体_GB2312"/>
        <family val="3"/>
        <charset val="134"/>
      </rPr>
      <t>仙</t>
    </r>
  </si>
  <si>
    <t>vs CICC estimate</t>
  </si>
  <si>
    <t>before adj.</t>
  </si>
  <si>
    <t>after adj.</t>
  </si>
  <si>
    <t>Interests of perpertual capital security holders</t>
  </si>
  <si>
    <t>1Q21</t>
  </si>
  <si>
    <t>4Q20</t>
  </si>
  <si>
    <t>Interest income from PPP projects</t>
  </si>
  <si>
    <t>as % of revenue</t>
  </si>
  <si>
    <t>Turnover days</t>
  </si>
  <si>
    <t>Investment properties</t>
  </si>
  <si>
    <t>Properties under development</t>
  </si>
  <si>
    <t>Contractual liabilities</t>
  </si>
  <si>
    <t>Contractual liabilities (non-current)</t>
  </si>
  <si>
    <t>as % of total</t>
  </si>
  <si>
    <t>1H21</t>
  </si>
  <si>
    <t>2Q21</t>
  </si>
  <si>
    <t>1-2Q21</t>
  </si>
  <si>
    <t>OCF/NP</t>
  </si>
  <si>
    <r>
      <rPr>
        <sz val="8"/>
        <rFont val="黑体"/>
        <family val="3"/>
        <charset val="134"/>
      </rPr>
      <t>净利润</t>
    </r>
  </si>
  <si>
    <r>
      <rPr>
        <sz val="8"/>
        <rFont val="黑体"/>
        <family val="3"/>
        <charset val="134"/>
      </rPr>
      <t>利润总额</t>
    </r>
  </si>
  <si>
    <r>
      <rPr>
        <sz val="8"/>
        <rFont val="黑体"/>
        <family val="3"/>
        <charset val="134"/>
      </rPr>
      <t>经营及应占合营企业盈利</t>
    </r>
  </si>
  <si>
    <t>2H21</t>
  </si>
  <si>
    <t>1H21</t>
  </si>
  <si>
    <t>2H20</t>
  </si>
  <si>
    <t>1H20</t>
  </si>
  <si>
    <t>2H19</t>
  </si>
  <si>
    <t>1H19</t>
  </si>
  <si>
    <t>2H18</t>
  </si>
  <si>
    <t>1H18</t>
  </si>
  <si>
    <t>2H17</t>
  </si>
  <si>
    <t>2H16</t>
  </si>
  <si>
    <t>1H16</t>
  </si>
  <si>
    <t>2H15</t>
  </si>
  <si>
    <t>1H15</t>
  </si>
  <si>
    <r>
      <rPr>
        <b/>
        <sz val="8"/>
        <rFont val="黑体"/>
        <family val="3"/>
        <charset val="134"/>
      </rPr>
      <t>经营及应占合营企业盈利</t>
    </r>
  </si>
  <si>
    <r>
      <rPr>
        <sz val="8"/>
        <rFont val="黑体"/>
        <family val="3"/>
        <charset val="134"/>
      </rPr>
      <t>应占合营企业盈利</t>
    </r>
  </si>
  <si>
    <r>
      <rPr>
        <sz val="8"/>
        <rFont val="黑体"/>
        <family val="3"/>
        <charset val="134"/>
      </rPr>
      <t>经营盈利</t>
    </r>
  </si>
  <si>
    <r>
      <rPr>
        <b/>
        <sz val="8"/>
        <rFont val="黑体"/>
        <family val="3"/>
        <charset val="134"/>
      </rPr>
      <t>合计</t>
    </r>
  </si>
  <si>
    <r>
      <rPr>
        <sz val="8"/>
        <rFont val="黑体"/>
        <family val="3"/>
        <charset val="134"/>
      </rPr>
      <t>应占合营企业营业额</t>
    </r>
  </si>
  <si>
    <r>
      <rPr>
        <sz val="8"/>
        <rFont val="黑体"/>
        <family val="3"/>
        <charset val="134"/>
      </rPr>
      <t>集团营业额</t>
    </r>
  </si>
  <si>
    <r>
      <rPr>
        <b/>
        <sz val="8"/>
        <rFont val="黑体"/>
        <family val="3"/>
        <charset val="134"/>
      </rPr>
      <t>增速</t>
    </r>
  </si>
  <si>
    <r>
      <rPr>
        <b/>
        <sz val="8"/>
        <rFont val="黑体"/>
        <family val="3"/>
        <charset val="134"/>
      </rPr>
      <t>经营及应占合营企业收入</t>
    </r>
  </si>
  <si>
    <r>
      <rPr>
        <b/>
        <sz val="8"/>
        <rFont val="黑体"/>
        <family val="3"/>
        <charset val="134"/>
      </rPr>
      <t>金额</t>
    </r>
  </si>
  <si>
    <t>3Q21</t>
  </si>
  <si>
    <t>1-3Q21</t>
  </si>
  <si>
    <t>经营及应占合营企业盈利/收入</t>
  </si>
  <si>
    <t>Operating profit &amp; share of profits of JVs Margin</t>
  </si>
  <si>
    <t>EPC</t>
  </si>
  <si>
    <t>PPP</t>
  </si>
  <si>
    <t>GTR &amp; other short-term projects</t>
  </si>
  <si>
    <t>As % of Chinese mainland</t>
  </si>
  <si>
    <t>2023</t>
  </si>
  <si>
    <t>应占合营企业营业额</t>
  </si>
  <si>
    <t>4Q21</t>
  </si>
  <si>
    <t>2021A</t>
  </si>
  <si>
    <r>
      <rPr>
        <sz val="9"/>
        <rFont val="楷体_GB2312"/>
        <family val="3"/>
        <charset val="134"/>
      </rPr>
      <t>每股</t>
    </r>
    <r>
      <rPr>
        <sz val="9"/>
        <rFont val="Calibri"/>
        <family val="2"/>
      </rPr>
      <t>40.5仙</t>
    </r>
  </si>
  <si>
    <t>应付担保票据及公司债券</t>
  </si>
  <si>
    <t>应占合营企业业绩</t>
  </si>
  <si>
    <t>出售一合营公司盈利</t>
  </si>
  <si>
    <t>税前溢利</t>
  </si>
  <si>
    <t>未分摊企业收入/（费用）</t>
  </si>
  <si>
    <t>利润率</t>
  </si>
  <si>
    <t>增量拆分</t>
  </si>
  <si>
    <t>集团经营业绩</t>
  </si>
  <si>
    <t>应占联营企业业绩</t>
  </si>
  <si>
    <t>其他费用损益</t>
  </si>
  <si>
    <t>应占合营联营公司盈利</t>
  </si>
  <si>
    <t>集团经营业绩合计</t>
  </si>
  <si>
    <t>应占合营联营企业业绩</t>
  </si>
  <si>
    <t>增量占比</t>
  </si>
  <si>
    <t>大陆</t>
  </si>
  <si>
    <t>内地业务现金流入</t>
  </si>
  <si>
    <t>内地业务现金流出</t>
  </si>
  <si>
    <t>公司税前利润同比</t>
  </si>
  <si>
    <t>增速拆分</t>
  </si>
  <si>
    <t>税前利润</t>
  </si>
  <si>
    <t>中建兴业</t>
  </si>
  <si>
    <t>有息负债余额</t>
  </si>
  <si>
    <t>借款（非流动）</t>
  </si>
  <si>
    <t>借款（流动）</t>
  </si>
  <si>
    <t>净负债余额</t>
  </si>
  <si>
    <t>财务费用隐含实际利率</t>
  </si>
  <si>
    <t>总资产周转天数</t>
  </si>
  <si>
    <t>流动资产周转天数</t>
  </si>
  <si>
    <t>非流动资产周转天数</t>
  </si>
  <si>
    <t>有息负债/总资产（右轴）</t>
  </si>
  <si>
    <r>
      <rPr>
        <sz val="9"/>
        <rFont val="楷体_GB2312"/>
        <family val="3"/>
        <charset val="134"/>
      </rPr>
      <t>长期借款</t>
    </r>
  </si>
  <si>
    <r>
      <rPr>
        <sz val="9"/>
        <rFont val="楷体_GB2312"/>
        <family val="3"/>
        <charset val="134"/>
      </rPr>
      <t>短期借款</t>
    </r>
  </si>
  <si>
    <t>短期资产占比</t>
  </si>
  <si>
    <t>短期负债占比</t>
  </si>
  <si>
    <t>隐含借款利率</t>
  </si>
  <si>
    <t>隐含应付担保票据利率</t>
  </si>
  <si>
    <t>币种结构</t>
  </si>
  <si>
    <t>人民币</t>
  </si>
  <si>
    <t>外币</t>
  </si>
  <si>
    <t>营运资本变动总计</t>
  </si>
  <si>
    <t>内地现金净流量</t>
  </si>
  <si>
    <t>港澳现金净流量</t>
  </si>
  <si>
    <t>融资活动前现金流</t>
  </si>
  <si>
    <t>财务费用率</t>
  </si>
  <si>
    <t>Committed but Unutilized Credit Facilities and Other Banking Facilities</t>
  </si>
  <si>
    <t>已承诺未动用的信贷及其他银行授信额度</t>
  </si>
  <si>
    <t>(HK$ billion)</t>
  </si>
  <si>
    <t>AAA/AAA</t>
  </si>
  <si>
    <t>一般中期票据</t>
  </si>
  <si>
    <t>RMB</t>
  </si>
  <si>
    <t>21中建投资MTN002</t>
  </si>
  <si>
    <t>102103346.IB</t>
  </si>
  <si>
    <t>AAA/--</t>
  </si>
  <si>
    <t>证监会主管ABS</t>
  </si>
  <si>
    <t>PR国际优</t>
  </si>
  <si>
    <t>193491.SH</t>
  </si>
  <si>
    <t>国际W1次</t>
  </si>
  <si>
    <t>193492.SH</t>
  </si>
  <si>
    <t>海外债</t>
  </si>
  <si>
    <t>中国建筑国际 3.4% 永续债</t>
  </si>
  <si>
    <t>40712.HK</t>
  </si>
  <si>
    <t>21中建投资MTN001</t>
  </si>
  <si>
    <t>102101005.IB</t>
  </si>
  <si>
    <t>20中建投资MTN001</t>
  </si>
  <si>
    <t>102001999.IB</t>
  </si>
  <si>
    <t>一般公司债</t>
  </si>
  <si>
    <t>20中建G1</t>
  </si>
  <si>
    <t>163753.SH</t>
  </si>
  <si>
    <t>中国建筑国际 0% 永续债</t>
  </si>
  <si>
    <t>40083.HK</t>
  </si>
  <si>
    <t>已撤回</t>
  </si>
  <si>
    <t>中国建筑国际 6% 永续债</t>
  </si>
  <si>
    <t>5462.HK</t>
  </si>
  <si>
    <t>BBB+/--</t>
  </si>
  <si>
    <t>中国建筑国际 3.375% N20221129</t>
  </si>
  <si>
    <t>5037.HK</t>
  </si>
  <si>
    <t>中国建筑国际 3.875% B20271129</t>
  </si>
  <si>
    <t>5038.HK</t>
  </si>
  <si>
    <t>备注</t>
  </si>
  <si>
    <t>债项/主体评级</t>
  </si>
  <si>
    <t>付息频率(次/年)</t>
  </si>
  <si>
    <t>票面利率（当期）%</t>
  </si>
  <si>
    <t>发行金额(亿)</t>
  </si>
  <si>
    <t>债券类型</t>
  </si>
  <si>
    <t>货币</t>
  </si>
  <si>
    <t>到期日期</t>
  </si>
  <si>
    <t>上市日期</t>
  </si>
  <si>
    <t>发行日期</t>
  </si>
  <si>
    <t>期限（年）</t>
  </si>
  <si>
    <t>证券名称</t>
  </si>
  <si>
    <t>证券代码</t>
  </si>
  <si>
    <r>
      <rPr>
        <i/>
        <sz val="8"/>
        <rFont val="黑体"/>
        <family val="3"/>
        <charset val="134"/>
      </rPr>
      <t>营业收入同比增速</t>
    </r>
  </si>
  <si>
    <r>
      <rPr>
        <i/>
        <sz val="8"/>
        <rFont val="黑体"/>
        <family val="3"/>
        <charset val="134"/>
      </rPr>
      <t>毛利润同比增速</t>
    </r>
  </si>
  <si>
    <r>
      <rPr>
        <i/>
        <sz val="8"/>
        <rFont val="黑体"/>
        <family val="3"/>
        <charset val="134"/>
      </rPr>
      <t>净利润同比增速</t>
    </r>
  </si>
  <si>
    <r>
      <rPr>
        <i/>
        <sz val="8"/>
        <rFont val="黑体"/>
        <family val="3"/>
        <charset val="134"/>
      </rPr>
      <t>净利润占全年比重</t>
    </r>
  </si>
  <si>
    <r>
      <rPr>
        <b/>
        <sz val="8"/>
        <color rgb="FFFFFFFF"/>
        <rFont val="黑体"/>
        <family val="3"/>
        <charset val="134"/>
      </rPr>
      <t>（百万港元）</t>
    </r>
  </si>
  <si>
    <r>
      <rPr>
        <b/>
        <sz val="8"/>
        <rFont val="黑体"/>
        <family val="3"/>
        <charset val="134"/>
      </rPr>
      <t>主营业务收入</t>
    </r>
  </si>
  <si>
    <r>
      <rPr>
        <sz val="8"/>
        <rFont val="黑体"/>
        <family val="3"/>
        <charset val="134"/>
      </rPr>
      <t>销售成本</t>
    </r>
  </si>
  <si>
    <r>
      <rPr>
        <sz val="8"/>
        <rFont val="黑体"/>
        <family val="3"/>
        <charset val="134"/>
      </rPr>
      <t>毛利</t>
    </r>
  </si>
  <si>
    <r>
      <rPr>
        <sz val="8"/>
        <rFont val="黑体"/>
        <family val="3"/>
        <charset val="134"/>
      </rPr>
      <t>投资收入、其他收入及其他收益</t>
    </r>
  </si>
  <si>
    <r>
      <rPr>
        <sz val="8"/>
        <rFont val="黑体"/>
        <family val="3"/>
        <charset val="134"/>
      </rPr>
      <t>投资收益</t>
    </r>
  </si>
  <si>
    <r>
      <rPr>
        <sz val="8"/>
        <rFont val="黑体"/>
        <family val="3"/>
        <charset val="134"/>
      </rPr>
      <t>其他收入及费用净额</t>
    </r>
  </si>
  <si>
    <r>
      <rPr>
        <sz val="8"/>
        <rFont val="黑体"/>
        <family val="3"/>
        <charset val="134"/>
      </rPr>
      <t>销售和管理费用</t>
    </r>
  </si>
  <si>
    <r>
      <rPr>
        <sz val="8"/>
        <rFont val="黑体"/>
        <family val="3"/>
        <charset val="134"/>
      </rPr>
      <t>销售及营销费用</t>
    </r>
  </si>
  <si>
    <r>
      <rPr>
        <sz val="8"/>
        <rFont val="黑体"/>
        <family val="3"/>
        <charset val="134"/>
      </rPr>
      <t>管理费用</t>
    </r>
  </si>
  <si>
    <r>
      <rPr>
        <sz val="8"/>
        <rFont val="黑体"/>
        <family val="3"/>
        <charset val="134"/>
      </rPr>
      <t>资产减值</t>
    </r>
  </si>
  <si>
    <r>
      <rPr>
        <sz val="8"/>
        <rFont val="黑体"/>
        <family val="3"/>
        <charset val="134"/>
      </rPr>
      <t>财务费用</t>
    </r>
  </si>
  <si>
    <r>
      <rPr>
        <sz val="8"/>
        <rFont val="黑体"/>
        <family val="3"/>
        <charset val="134"/>
      </rPr>
      <t>应占联营企业利润</t>
    </r>
  </si>
  <si>
    <r>
      <rPr>
        <sz val="8"/>
        <rFont val="黑体"/>
        <family val="3"/>
        <charset val="134"/>
      </rPr>
      <t>合营企业</t>
    </r>
  </si>
  <si>
    <r>
      <rPr>
        <sz val="8"/>
        <rFont val="黑体"/>
        <family val="3"/>
        <charset val="134"/>
      </rPr>
      <t>联营公司</t>
    </r>
  </si>
  <si>
    <r>
      <rPr>
        <b/>
        <sz val="8"/>
        <rFont val="黑体"/>
        <family val="3"/>
        <charset val="134"/>
      </rPr>
      <t>利润总额</t>
    </r>
  </si>
  <si>
    <r>
      <rPr>
        <sz val="8"/>
        <rFont val="黑体"/>
        <family val="3"/>
        <charset val="134"/>
      </rPr>
      <t>减：所得税</t>
    </r>
  </si>
  <si>
    <r>
      <rPr>
        <sz val="8"/>
        <rFont val="黑体"/>
        <family val="3"/>
        <charset val="134"/>
      </rPr>
      <t>减：归属永续资本证券持有人损益</t>
    </r>
  </si>
  <si>
    <r>
      <rPr>
        <sz val="8"/>
        <rFont val="黑体"/>
        <family val="3"/>
        <charset val="134"/>
      </rPr>
      <t>减：少数股东损益</t>
    </r>
  </si>
  <si>
    <r>
      <rPr>
        <b/>
        <sz val="8"/>
        <rFont val="黑体"/>
        <family val="3"/>
        <charset val="134"/>
      </rPr>
      <t>净利润</t>
    </r>
  </si>
  <si>
    <r>
      <rPr>
        <sz val="8"/>
        <rFont val="黑体"/>
        <family val="3"/>
        <charset val="134"/>
      </rPr>
      <t>总股本（百万股）</t>
    </r>
  </si>
  <si>
    <r>
      <rPr>
        <sz val="8"/>
        <rFont val="黑体"/>
        <family val="3"/>
        <charset val="134"/>
      </rPr>
      <t>毛利率</t>
    </r>
  </si>
  <si>
    <r>
      <rPr>
        <sz val="8"/>
        <rFont val="黑体"/>
        <family val="3"/>
        <charset val="134"/>
      </rPr>
      <t>管理费用率</t>
    </r>
  </si>
  <si>
    <r>
      <rPr>
        <sz val="8"/>
        <rFont val="黑体"/>
        <family val="3"/>
        <charset val="134"/>
      </rPr>
      <t>净利率</t>
    </r>
  </si>
  <si>
    <r>
      <rPr>
        <sz val="8"/>
        <rFont val="黑体"/>
        <family val="3"/>
        <charset val="134"/>
      </rPr>
      <t>有效税率</t>
    </r>
  </si>
  <si>
    <r>
      <rPr>
        <b/>
        <sz val="8"/>
        <rFont val="黑体"/>
        <family val="3"/>
        <charset val="134"/>
      </rPr>
      <t>中国内地业务现金净流入</t>
    </r>
    <r>
      <rPr>
        <b/>
        <sz val="8"/>
        <rFont val="Arial"/>
        <family val="2"/>
      </rPr>
      <t>/</t>
    </r>
    <r>
      <rPr>
        <b/>
        <sz val="8"/>
        <rFont val="黑体"/>
        <family val="3"/>
        <charset val="134"/>
      </rPr>
      <t>流出</t>
    </r>
  </si>
  <si>
    <r>
      <t xml:space="preserve">  </t>
    </r>
    <r>
      <rPr>
        <sz val="8"/>
        <rFont val="黑体"/>
        <family val="3"/>
        <charset val="134"/>
      </rPr>
      <t>中国内地业务现金流入</t>
    </r>
  </si>
  <si>
    <r>
      <t xml:space="preserve">  </t>
    </r>
    <r>
      <rPr>
        <sz val="8"/>
        <rFont val="黑体"/>
        <family val="3"/>
        <charset val="134"/>
      </rPr>
      <t>中国内地业务现金流出</t>
    </r>
  </si>
  <si>
    <r>
      <rPr>
        <b/>
        <sz val="8"/>
        <rFont val="黑体"/>
        <family val="3"/>
        <charset val="134"/>
      </rPr>
      <t>港澳业务现金净流入</t>
    </r>
    <r>
      <rPr>
        <b/>
        <sz val="8"/>
        <rFont val="Arial"/>
        <family val="2"/>
      </rPr>
      <t>/</t>
    </r>
    <r>
      <rPr>
        <b/>
        <sz val="8"/>
        <rFont val="黑体"/>
        <family val="3"/>
        <charset val="134"/>
      </rPr>
      <t>流出</t>
    </r>
  </si>
  <si>
    <r>
      <rPr>
        <b/>
        <sz val="8"/>
        <rFont val="黑体"/>
        <family val="3"/>
        <charset val="134"/>
      </rPr>
      <t>经营性现金流合计</t>
    </r>
  </si>
  <si>
    <r>
      <rPr>
        <b/>
        <sz val="8"/>
        <color rgb="FF640000"/>
        <rFont val="黑体"/>
        <family val="3"/>
        <charset val="134"/>
      </rPr>
      <t>年报模板</t>
    </r>
  </si>
  <si>
    <r>
      <rPr>
        <sz val="8"/>
        <rFont val="黑体"/>
        <family val="3"/>
        <charset val="134"/>
      </rPr>
      <t>收入</t>
    </r>
  </si>
  <si>
    <r>
      <rPr>
        <sz val="8"/>
        <rFont val="黑体"/>
        <family val="3"/>
        <charset val="134"/>
      </rPr>
      <t>核心净利润</t>
    </r>
  </si>
  <si>
    <r>
      <rPr>
        <b/>
        <sz val="8"/>
        <rFont val="黑体"/>
        <family val="3"/>
        <charset val="134"/>
      </rPr>
      <t>全面摊薄每股收益（港元）</t>
    </r>
  </si>
  <si>
    <r>
      <rPr>
        <sz val="8"/>
        <rFont val="黑体"/>
        <family val="3"/>
        <charset val="134"/>
      </rPr>
      <t>营业利润率</t>
    </r>
  </si>
  <si>
    <r>
      <rPr>
        <sz val="8"/>
        <rFont val="黑体"/>
        <family val="3"/>
        <charset val="134"/>
      </rPr>
      <t>净利润率</t>
    </r>
  </si>
  <si>
    <r>
      <rPr>
        <b/>
        <sz val="8"/>
        <color rgb="FFFF0000"/>
        <rFont val="黑体"/>
        <family val="3"/>
        <charset val="134"/>
      </rPr>
      <t>说明</t>
    </r>
  </si>
  <si>
    <r>
      <t>1/ EPS</t>
    </r>
    <r>
      <rPr>
        <sz val="8"/>
        <color rgb="FFFF0000"/>
        <rFont val="黑体"/>
        <family val="3"/>
        <charset val="134"/>
      </rPr>
      <t>以下的关键假设可自行替换</t>
    </r>
    <r>
      <rPr>
        <sz val="8"/>
        <color rgb="FFFF0000"/>
        <rFont val="Arial"/>
        <family val="2"/>
      </rPr>
      <t>/</t>
    </r>
    <r>
      <rPr>
        <sz val="8"/>
        <color rgb="FFFF0000"/>
        <rFont val="黑体"/>
        <family val="3"/>
        <charset val="134"/>
      </rPr>
      <t>添加</t>
    </r>
  </si>
  <si>
    <r>
      <t xml:space="preserve">2/ </t>
    </r>
    <r>
      <rPr>
        <sz val="8"/>
        <color rgb="FFFF0000"/>
        <rFont val="黑体"/>
        <family val="3"/>
        <charset val="134"/>
      </rPr>
      <t>注意更新单位（人民币百万元</t>
    </r>
    <r>
      <rPr>
        <sz val="8"/>
        <color rgb="FFFF0000"/>
        <rFont val="Arial"/>
        <family val="2"/>
      </rPr>
      <t>/</t>
    </r>
    <r>
      <rPr>
        <sz val="8"/>
        <color rgb="FFFF0000"/>
        <rFont val="黑体"/>
        <family val="3"/>
        <charset val="134"/>
      </rPr>
      <t>元</t>
    </r>
    <r>
      <rPr>
        <sz val="8"/>
        <color rgb="FFFF0000"/>
        <rFont val="Arial"/>
        <family val="2"/>
      </rPr>
      <t>/Rmb mn/Rmb)</t>
    </r>
  </si>
  <si>
    <r>
      <t xml:space="preserve">3/ </t>
    </r>
    <r>
      <rPr>
        <sz val="8"/>
        <color rgb="FFFF0000"/>
        <rFont val="黑体"/>
        <family val="3"/>
        <charset val="134"/>
      </rPr>
      <t>如有必要，可将</t>
    </r>
    <r>
      <rPr>
        <sz val="8"/>
        <color rgb="FFFF0000"/>
        <rFont val="Arial"/>
        <family val="2"/>
      </rPr>
      <t>Net profit</t>
    </r>
    <r>
      <rPr>
        <sz val="8"/>
        <color rgb="FFFF0000"/>
        <rFont val="黑体"/>
        <family val="3"/>
        <charset val="134"/>
      </rPr>
      <t>替换为</t>
    </r>
    <r>
      <rPr>
        <sz val="8"/>
        <color rgb="FFFF0000"/>
        <rFont val="Arial"/>
        <family val="2"/>
      </rPr>
      <t>Recurrent net profit/NON-GAAP net profit</t>
    </r>
  </si>
  <si>
    <t>1Q22</t>
  </si>
  <si>
    <t>1H22</t>
  </si>
  <si>
    <t>1H22</t>
  </si>
  <si>
    <t>1-2Q22</t>
  </si>
  <si>
    <t>2Q22</t>
  </si>
  <si>
    <t>2H21</t>
  </si>
  <si>
    <t>利润总额同比增速</t>
  </si>
  <si>
    <t>税前利润率</t>
  </si>
  <si>
    <r>
      <rPr>
        <b/>
        <sz val="8"/>
        <color rgb="FFFFFFFF"/>
        <rFont val="黑体"/>
        <family val="3"/>
        <charset val="134"/>
      </rPr>
      <t>调整前</t>
    </r>
  </si>
  <si>
    <r>
      <rPr>
        <b/>
        <sz val="8"/>
        <color rgb="FFFFFFFF"/>
        <rFont val="黑体"/>
        <family val="3"/>
        <charset val="134"/>
      </rPr>
      <t>调整后</t>
    </r>
  </si>
  <si>
    <r>
      <rPr>
        <b/>
        <sz val="8"/>
        <color rgb="FFFFFFFF"/>
        <rFont val="黑体"/>
        <family val="3"/>
        <charset val="134"/>
      </rPr>
      <t>幅度</t>
    </r>
  </si>
  <si>
    <r>
      <rPr>
        <sz val="8"/>
        <rFont val="黑体"/>
        <family val="3"/>
        <charset val="134"/>
      </rPr>
      <t>主营收入</t>
    </r>
  </si>
  <si>
    <r>
      <rPr>
        <sz val="8"/>
        <rFont val="黑体"/>
        <family val="3"/>
        <charset val="134"/>
      </rPr>
      <t>净利润</t>
    </r>
  </si>
  <si>
    <t>2023E</t>
  </si>
  <si>
    <r>
      <t>2016</t>
    </r>
    <r>
      <rPr>
        <b/>
        <sz val="8"/>
        <color rgb="FFFFFFFF"/>
        <rFont val="黑体"/>
        <family val="3"/>
        <charset val="134"/>
      </rPr>
      <t>年上半年</t>
    </r>
  </si>
  <si>
    <r>
      <t>2016</t>
    </r>
    <r>
      <rPr>
        <b/>
        <sz val="8"/>
        <color rgb="FFFFFFFF"/>
        <rFont val="黑体"/>
        <family val="3"/>
        <charset val="134"/>
      </rPr>
      <t>年下半年</t>
    </r>
  </si>
  <si>
    <r>
      <t>2017</t>
    </r>
    <r>
      <rPr>
        <b/>
        <sz val="8"/>
        <color rgb="FFFFFFFF"/>
        <rFont val="黑体"/>
        <family val="3"/>
        <charset val="134"/>
      </rPr>
      <t>年上半年</t>
    </r>
  </si>
  <si>
    <r>
      <t>2017</t>
    </r>
    <r>
      <rPr>
        <b/>
        <sz val="8"/>
        <color rgb="FFFFFFFF"/>
        <rFont val="黑体"/>
        <family val="3"/>
        <charset val="134"/>
      </rPr>
      <t>年下半年</t>
    </r>
  </si>
  <si>
    <r>
      <t>2018</t>
    </r>
    <r>
      <rPr>
        <b/>
        <sz val="8"/>
        <color rgb="FFFFFFFF"/>
        <rFont val="黑体"/>
        <family val="3"/>
        <charset val="134"/>
      </rPr>
      <t>年上半年</t>
    </r>
  </si>
  <si>
    <r>
      <t>2018</t>
    </r>
    <r>
      <rPr>
        <b/>
        <sz val="8"/>
        <color rgb="FFFFFFFF"/>
        <rFont val="黑体"/>
        <family val="3"/>
        <charset val="134"/>
      </rPr>
      <t>年下半年</t>
    </r>
  </si>
  <si>
    <r>
      <rPr>
        <sz val="8"/>
        <rFont val="黑体"/>
        <family val="3"/>
        <charset val="134"/>
      </rPr>
      <t>税前利润</t>
    </r>
  </si>
  <si>
    <r>
      <rPr>
        <sz val="8"/>
        <rFont val="黑体"/>
        <family val="3"/>
        <charset val="134"/>
      </rPr>
      <t>税前利润率</t>
    </r>
  </si>
  <si>
    <t>2H20A</t>
  </si>
  <si>
    <t>1H21A</t>
  </si>
  <si>
    <t>2H21A</t>
  </si>
  <si>
    <t>1H22A</t>
  </si>
  <si>
    <t>Cash flow before financing</t>
  </si>
  <si>
    <t>Other expenses, gains and losses</t>
  </si>
  <si>
    <t>Financial expenses</t>
  </si>
  <si>
    <t>Group operating profit</t>
  </si>
  <si>
    <t>扣非盈利</t>
  </si>
  <si>
    <t>Hong Kong SAR</t>
  </si>
  <si>
    <t>Macau SAR</t>
  </si>
  <si>
    <t>Chinese mainland</t>
  </si>
  <si>
    <t>Operating cash flow in Chinese mainland</t>
  </si>
  <si>
    <t>Operating cash flow in Hong Kong SAR &amp; Macau SAR</t>
  </si>
  <si>
    <t>Operating cash flow</t>
  </si>
  <si>
    <t>Investing cash flow</t>
  </si>
  <si>
    <t>Profit before income tax margin</t>
  </si>
  <si>
    <t>1-3Q22</t>
  </si>
  <si>
    <t>3Q22</t>
  </si>
  <si>
    <t>4Q22</t>
  </si>
  <si>
    <t>1-4Q22</t>
  </si>
  <si>
    <t>2H22</t>
  </si>
  <si>
    <t>2022A</t>
  </si>
  <si>
    <t>2024E</t>
  </si>
  <si>
    <t>隐含同比</t>
  </si>
  <si>
    <t>新签订单目标</t>
  </si>
  <si>
    <r>
      <rPr>
        <sz val="9"/>
        <rFont val="楷体_GB2312"/>
        <family val="3"/>
        <charset val="134"/>
      </rPr>
      <t>每股</t>
    </r>
    <r>
      <rPr>
        <sz val="9"/>
        <rFont val="Calibri"/>
        <family val="2"/>
      </rPr>
      <t>48</t>
    </r>
    <r>
      <rPr>
        <sz val="9"/>
        <rFont val="微软雅黑"/>
        <family val="2"/>
        <charset val="134"/>
      </rPr>
      <t>仙</t>
    </r>
  </si>
  <si>
    <t>Old</t>
  </si>
  <si>
    <t>2024</t>
  </si>
  <si>
    <r>
      <t>EPS(</t>
    </r>
    <r>
      <rPr>
        <sz val="8"/>
        <rFont val="微软雅黑"/>
        <family val="2"/>
        <charset val="134"/>
      </rPr>
      <t>港</t>
    </r>
    <r>
      <rPr>
        <sz val="8"/>
        <rFont val="黑体"/>
        <family val="3"/>
        <charset val="134"/>
      </rPr>
      <t>元</t>
    </r>
    <r>
      <rPr>
        <sz val="8"/>
        <rFont val="Arial"/>
        <family val="2"/>
      </rPr>
      <t>)</t>
    </r>
  </si>
  <si>
    <t>1Q23</t>
  </si>
  <si>
    <t>经营及应占合营企业盈利</t>
  </si>
  <si>
    <t>经营及应占合营企业收入</t>
  </si>
  <si>
    <t>科技带动类</t>
  </si>
  <si>
    <t>投资带动类</t>
  </si>
  <si>
    <t>建筑类</t>
  </si>
  <si>
    <t>运营类</t>
  </si>
  <si>
    <t>合计</t>
  </si>
  <si>
    <t>1H23</t>
  </si>
  <si>
    <t>1-2Q23</t>
  </si>
  <si>
    <t>2Q23</t>
  </si>
  <si>
    <t>1H23A</t>
  </si>
  <si>
    <t>2H22A</t>
  </si>
  <si>
    <r>
      <t>1H23</t>
    </r>
    <r>
      <rPr>
        <b/>
        <sz val="8"/>
        <color rgb="FFFFFFFF"/>
        <rFont val="黑体"/>
        <family val="3"/>
        <charset val="134"/>
      </rPr>
      <t>占比</t>
    </r>
    <r>
      <rPr>
        <b/>
        <sz val="8"/>
        <color rgb="FFFFFFFF"/>
        <rFont val="Calibri"/>
        <family val="2"/>
      </rPr>
      <t>2023</t>
    </r>
    <r>
      <rPr>
        <b/>
        <sz val="8"/>
        <color rgb="FFFFFFFF"/>
        <rFont val="黑体"/>
        <family val="3"/>
        <charset val="134"/>
      </rPr>
      <t>年全年比例</t>
    </r>
  </si>
  <si>
    <t>Old</t>
  </si>
  <si>
    <t>New</t>
  </si>
  <si>
    <t>Chg.</t>
  </si>
  <si>
    <t>HoH</t>
  </si>
  <si>
    <t>1H as % of 2023E</t>
  </si>
  <si>
    <t>Share of profits of JV and associates</t>
  </si>
  <si>
    <t>Distribution, selling and adminstrative expenses</t>
  </si>
  <si>
    <t>1-3Q23</t>
  </si>
  <si>
    <t>3Q23</t>
  </si>
  <si>
    <t>1-3Q22</t>
  </si>
  <si>
    <t>2023A</t>
  </si>
  <si>
    <t>2023A</t>
  </si>
  <si>
    <t>2022A
YoY</t>
  </si>
  <si>
    <t>2024E
YoY</t>
  </si>
  <si>
    <r>
      <rPr>
        <sz val="9"/>
        <rFont val="楷体_GB2312"/>
        <family val="3"/>
        <charset val="134"/>
      </rPr>
      <t>每股</t>
    </r>
    <r>
      <rPr>
        <sz val="9"/>
        <rFont val="Calibri"/>
        <family val="2"/>
      </rPr>
      <t>56</t>
    </r>
    <r>
      <rPr>
        <sz val="9"/>
        <rFont val="微软雅黑"/>
        <family val="2"/>
        <charset val="134"/>
      </rPr>
      <t>仙</t>
    </r>
  </si>
  <si>
    <t>定额退休福利承担</t>
  </si>
  <si>
    <t>定额退休福利承担</t>
  </si>
  <si>
    <t>1-4Q23</t>
  </si>
  <si>
    <t>2H23</t>
  </si>
  <si>
    <t>2025</t>
  </si>
  <si>
    <t>1H24</t>
  </si>
  <si>
    <t>1Q24</t>
  </si>
  <si>
    <t>4Q24</t>
  </si>
  <si>
    <t>2Q24</t>
  </si>
  <si>
    <t>2H23</t>
  </si>
  <si>
    <t>2026</t>
  </si>
  <si>
    <t>按公平值列入其他全面收益之金融资产</t>
    <phoneticPr fontId="51" type="noConversion"/>
  </si>
  <si>
    <r>
      <rPr>
        <sz val="9"/>
        <rFont val="楷体_GB2312"/>
        <family val="3"/>
        <charset val="134"/>
      </rPr>
      <t>每股61.5</t>
    </r>
    <r>
      <rPr>
        <sz val="9"/>
        <rFont val="微软雅黑"/>
        <family val="2"/>
        <charset val="134"/>
      </rPr>
      <t>仙</t>
    </r>
    <phoneticPr fontId="51" type="noConversion"/>
  </si>
  <si>
    <t>2024A</t>
    <phoneticPr fontId="51" type="noConversion"/>
  </si>
  <si>
    <t>2H24</t>
    <phoneticPr fontId="51" type="noConversion"/>
  </si>
  <si>
    <t>2024A</t>
  </si>
  <si>
    <t>2H24</t>
  </si>
  <si>
    <t>1Q24</t>
    <phoneticPr fontId="51" type="noConversion"/>
  </si>
  <si>
    <t>1-3Q24</t>
    <phoneticPr fontId="51" type="noConversion"/>
  </si>
  <si>
    <t>4Q23</t>
  </si>
  <si>
    <t>3Q24</t>
  </si>
  <si>
    <t>1Q25</t>
  </si>
  <si>
    <t>陈彦，CFA</t>
  </si>
  <si>
    <t>(00852)94723508</t>
  </si>
  <si>
    <t>yan3.chen@cicc.com.cn</t>
  </si>
  <si>
    <t>Yan CHEN, CFA</t>
  </si>
  <si>
    <t>利率</t>
  </si>
  <si>
    <t>2032E</t>
  </si>
  <si>
    <t>2033E</t>
  </si>
  <si>
    <t>2034E</t>
  </si>
  <si>
    <t>自由现金流</t>
  </si>
  <si>
    <t>目标债务资本比</t>
  </si>
  <si>
    <t>1-3Q25</t>
    <phoneticPr fontId="51" type="noConversion"/>
  </si>
  <si>
    <t>2Q25</t>
    <phoneticPr fontId="51" type="noConversion"/>
  </si>
  <si>
    <t>3Q25</t>
    <phoneticPr fontId="51" type="noConversion"/>
  </si>
  <si>
    <t>1H25</t>
    <phoneticPr fontId="51" type="noConversion"/>
  </si>
  <si>
    <t>1H24</t>
    <phoneticPr fontId="51" type="noConversion"/>
  </si>
  <si>
    <t>Net gearing</t>
    <phoneticPr fontId="51" type="noConversion"/>
  </si>
  <si>
    <t>净负债比率</t>
    <phoneticPr fontId="51" type="noConversion"/>
  </si>
  <si>
    <t>每股股息</t>
    <phoneticPr fontId="51" type="noConversion"/>
  </si>
  <si>
    <t>总股本</t>
    <phoneticPr fontId="51" type="noConversion"/>
  </si>
  <si>
    <t>股价</t>
    <phoneticPr fontId="51" type="noConversion"/>
  </si>
  <si>
    <t>股息率</t>
    <phoneticPr fontId="51" type="noConversion"/>
  </si>
  <si>
    <t>Profit before income tax growth</t>
    <phoneticPr fontId="51" type="noConversion"/>
  </si>
  <si>
    <t>1Q25</t>
    <phoneticPr fontId="51" type="noConversion"/>
  </si>
  <si>
    <t>Maintain</t>
    <phoneticPr fontId="51" type="noConversion"/>
  </si>
  <si>
    <t>任嘉禹</t>
    <phoneticPr fontId="51" type="noConversion"/>
  </si>
  <si>
    <t>jiayu.ren@cicc.com.cn</t>
    <phoneticPr fontId="51" type="noConversion"/>
  </si>
  <si>
    <t>Jiayu REN</t>
    <phoneticPr fontId="51" type="noConversion"/>
  </si>
  <si>
    <t>2027</t>
  </si>
  <si>
    <t>18801066373</t>
    <phoneticPr fontId="51" type="noConversion"/>
  </si>
  <si>
    <t>2035E</t>
    <phoneticPr fontId="51" type="noConversion"/>
  </si>
  <si>
    <t>中国香港</t>
  </si>
  <si>
    <t>中国澳门</t>
  </si>
  <si>
    <t>占中国内地订单比例</t>
  </si>
  <si>
    <t>新签订单</t>
  </si>
  <si>
    <t>房建</t>
  </si>
  <si>
    <t>基建</t>
  </si>
  <si>
    <t>GTR及其他短周期项目</t>
  </si>
  <si>
    <t>海外</t>
  </si>
  <si>
    <t>新签订单结构</t>
  </si>
  <si>
    <t>港澳合计</t>
  </si>
  <si>
    <t>在手订单</t>
  </si>
  <si>
    <t>在手订单/收入</t>
  </si>
  <si>
    <t>合同转化率</t>
  </si>
  <si>
    <r>
      <t>大陆地区在手合同占比</t>
    </r>
    <r>
      <rPr>
        <b/>
        <sz val="8"/>
        <color rgb="FFFFFFFF"/>
        <rFont val="楷体"/>
        <family val="3"/>
        <charset val="134"/>
      </rPr>
      <t>（右轴）</t>
    </r>
  </si>
  <si>
    <t>分部收入（百万港元）</t>
  </si>
  <si>
    <t>收入结构</t>
  </si>
  <si>
    <t>毛利结构</t>
  </si>
  <si>
    <t>中国</t>
  </si>
  <si>
    <t>分部利润结构</t>
  </si>
  <si>
    <t>OCF拆分</t>
  </si>
  <si>
    <t>补充资料：</t>
  </si>
  <si>
    <t>营业收入</t>
  </si>
  <si>
    <t>建筑工程合约收入</t>
  </si>
  <si>
    <t>基建投资项目收入</t>
  </si>
  <si>
    <t>外墙工程业务收入</t>
  </si>
  <si>
    <t>基建营运收入</t>
  </si>
  <si>
    <t>来自客户合约之收入(收入确认时间)</t>
  </si>
  <si>
    <t xml:space="preserve">  -随时间的推移</t>
  </si>
  <si>
    <t xml:space="preserve">  -于某个时间点</t>
  </si>
  <si>
    <t>其他来源收入</t>
  </si>
  <si>
    <t xml:space="preserve">  -源自基建投资项目之利息收入</t>
  </si>
  <si>
    <t xml:space="preserve">  -其他</t>
  </si>
  <si>
    <t>装配式建筑</t>
  </si>
  <si>
    <t>产能利用率</t>
  </si>
  <si>
    <t>新签合同额</t>
  </si>
  <si>
    <t>港币 百万元</t>
  </si>
  <si>
    <t>待施工合同额</t>
  </si>
  <si>
    <t>在手订单收入比</t>
  </si>
  <si>
    <t>营业收入合计</t>
  </si>
  <si>
    <t>测算值</t>
  </si>
  <si>
    <t>差异</t>
  </si>
  <si>
    <t>占公司收入比重（未抵销前）</t>
  </si>
  <si>
    <t>减：成本</t>
  </si>
  <si>
    <t>成本率</t>
  </si>
  <si>
    <t>毛利率%</t>
  </si>
  <si>
    <t>占公司毛利比重（未抵消前）</t>
  </si>
  <si>
    <t>其他可拆分收入费用净额</t>
  </si>
  <si>
    <t>占收入比重</t>
  </si>
  <si>
    <t>折旧和摊销费用</t>
  </si>
  <si>
    <t>出售物业、厂房及设备之净收益</t>
  </si>
  <si>
    <t>占收入比重%</t>
  </si>
  <si>
    <t>现金工程</t>
  </si>
  <si>
    <t>基建投资</t>
  </si>
  <si>
    <t>基础设施</t>
  </si>
  <si>
    <t>保障房BT</t>
  </si>
  <si>
    <t>其中：现金工程</t>
  </si>
  <si>
    <t>基建运营</t>
  </si>
  <si>
    <t>建筑相关</t>
  </si>
  <si>
    <t>其中：来自PPP项目的利息收入</t>
  </si>
  <si>
    <t>资产减值损失</t>
  </si>
  <si>
    <t>配平检查</t>
  </si>
  <si>
    <t>资本支出合计</t>
  </si>
  <si>
    <t>占收入比重（抵消后）</t>
  </si>
  <si>
    <t>占全部CaPex比重</t>
  </si>
  <si>
    <t>占板块收入比重</t>
  </si>
  <si>
    <t>整体折旧与摊销合计</t>
  </si>
  <si>
    <t>其中：折旧占比</t>
  </si>
  <si>
    <t>摊销占比</t>
  </si>
  <si>
    <t>占全部比重</t>
  </si>
  <si>
    <t>远东环球</t>
  </si>
  <si>
    <t>折旧与摊销（公司层面）</t>
  </si>
  <si>
    <t>当年计提折旧总额</t>
  </si>
  <si>
    <t>物业/厂房/设备折旧</t>
  </si>
  <si>
    <t>占折旧比重</t>
  </si>
  <si>
    <t>投资物业折旧</t>
  </si>
  <si>
    <t>当年计提摊销总额</t>
  </si>
  <si>
    <t>特许经营权摊销</t>
  </si>
  <si>
    <t>无形资产摊销</t>
  </si>
  <si>
    <t>综合平均折旧率</t>
  </si>
  <si>
    <t>当年计提折旧额</t>
  </si>
  <si>
    <t>原值</t>
  </si>
  <si>
    <t>年初</t>
  </si>
  <si>
    <t>新增</t>
  </si>
  <si>
    <t>减少</t>
  </si>
  <si>
    <t>年末数</t>
  </si>
  <si>
    <t>累计折旧</t>
  </si>
  <si>
    <t>本年计提额</t>
  </si>
  <si>
    <t>其它变动</t>
  </si>
  <si>
    <t>年末净值</t>
  </si>
  <si>
    <t>当年折旧额/年末原值</t>
  </si>
  <si>
    <t>投资物业（2015年以后按照公允价值计量）</t>
  </si>
  <si>
    <t>综合平均折旧率假设</t>
  </si>
  <si>
    <t>成本/期初值</t>
  </si>
  <si>
    <t>汇率调整</t>
  </si>
  <si>
    <t>累计折旧/公允价值变动（2015年及以后）</t>
  </si>
  <si>
    <t>其它转回</t>
  </si>
  <si>
    <t>减值准备</t>
  </si>
  <si>
    <t>当年折旧总额/年末原值</t>
  </si>
  <si>
    <t>综合平均摊销率假设</t>
  </si>
  <si>
    <t>当年计提摊销额</t>
  </si>
  <si>
    <t>成本</t>
  </si>
  <si>
    <t>累计摊销</t>
  </si>
  <si>
    <t>当年摊销总额/年末原值</t>
  </si>
  <si>
    <t>应收款项</t>
  </si>
  <si>
    <t>存货、开发中物业、已落成待售物业</t>
  </si>
  <si>
    <t>应付款项</t>
  </si>
  <si>
    <t>运营资本</t>
  </si>
  <si>
    <t>运营资本增加</t>
  </si>
  <si>
    <t>落成待售物业</t>
  </si>
  <si>
    <t>应付客户合同工程款项</t>
  </si>
  <si>
    <t>流动所得税负债</t>
  </si>
  <si>
    <t>其他应付款</t>
  </si>
  <si>
    <t>按账龄：1-2年</t>
  </si>
  <si>
    <t>2-3年</t>
  </si>
  <si>
    <t>3年及以上</t>
  </si>
  <si>
    <t xml:space="preserve">净利润 </t>
  </si>
  <si>
    <t xml:space="preserve">加：折旧和摊销 </t>
  </si>
  <si>
    <t xml:space="preserve">加：营运资本减少 </t>
  </si>
  <si>
    <t xml:space="preserve">加：财务费用 </t>
  </si>
  <si>
    <t xml:space="preserve">加：投资损失 </t>
  </si>
  <si>
    <t xml:space="preserve">长期及短期投资变动 </t>
  </si>
  <si>
    <t xml:space="preserve">公司借款变动 </t>
  </si>
  <si>
    <t>银行结存现金</t>
  </si>
  <si>
    <t>现金检查</t>
  </si>
  <si>
    <t>汇率（HKD/CNY）</t>
  </si>
  <si>
    <t>投资收益及其他收入</t>
  </si>
  <si>
    <t>占收入比例</t>
  </si>
  <si>
    <t>利息收入</t>
  </si>
  <si>
    <t>股息收入</t>
  </si>
  <si>
    <t>出售收益</t>
  </si>
  <si>
    <t>投资物业公平值改变之收益</t>
  </si>
  <si>
    <t>投资收益（2012年及以前）</t>
  </si>
  <si>
    <t>其他收入（2012年及以前）</t>
  </si>
  <si>
    <t>管理、销售及其他营业费用</t>
  </si>
  <si>
    <t>费用率</t>
  </si>
  <si>
    <t>销售及营销费用</t>
  </si>
  <si>
    <t>营业费用率</t>
  </si>
  <si>
    <t>管理费用</t>
  </si>
  <si>
    <t>管理费用率</t>
  </si>
  <si>
    <t>其他费用</t>
  </si>
  <si>
    <t>其他费用率</t>
  </si>
  <si>
    <t>其他收入及费用净额</t>
  </si>
  <si>
    <t>向间接控股公司借款</t>
  </si>
  <si>
    <t>应付担保票据</t>
  </si>
  <si>
    <t>有效税率</t>
  </si>
  <si>
    <t>减：归属永续资本证券持有人</t>
  </si>
  <si>
    <t>一次性盈利/亏损</t>
  </si>
  <si>
    <t>核心盈利</t>
  </si>
  <si>
    <t>核心净利润率</t>
  </si>
  <si>
    <t>摊薄每股收益（港元每股）</t>
  </si>
  <si>
    <t>核心每股收益（港元每股）</t>
  </si>
  <si>
    <t>核心市盈率</t>
  </si>
  <si>
    <t>每股分红（港元每股）</t>
  </si>
  <si>
    <t>EBIT利润率</t>
  </si>
  <si>
    <t>EBITDA利润率</t>
  </si>
  <si>
    <t>投入资本回报率</t>
  </si>
  <si>
    <t>资产</t>
  </si>
  <si>
    <t>于共同控制实体的权益</t>
  </si>
  <si>
    <t>商标、未完成工程合同、牌照和商誉</t>
  </si>
  <si>
    <t>特许经营权</t>
  </si>
  <si>
    <t>商誉</t>
  </si>
  <si>
    <t>已付一投资项目按金</t>
  </si>
  <si>
    <t>应收一合营企业借款</t>
  </si>
  <si>
    <t>可换股债券之投资</t>
  </si>
  <si>
    <t>待售物业</t>
  </si>
  <si>
    <t>应收合营企业款</t>
  </si>
  <si>
    <t>应收共同控制实体合作伙伴款</t>
  </si>
  <si>
    <t>应收中间控股公司款</t>
  </si>
  <si>
    <t>应收集团系内公司款</t>
  </si>
  <si>
    <t>应收关联公司款</t>
  </si>
  <si>
    <t>应收联营公司款</t>
  </si>
  <si>
    <t>持作待售资产</t>
  </si>
  <si>
    <t>资产合计</t>
  </si>
  <si>
    <t>负债</t>
  </si>
  <si>
    <t>中介控股公司之贷款</t>
  </si>
  <si>
    <t>欠客户合约工程款</t>
  </si>
  <si>
    <t>已收按金及预收款</t>
  </si>
  <si>
    <t>应付共同控制实体款</t>
  </si>
  <si>
    <t>应付共同控制实体合作伙伴款</t>
  </si>
  <si>
    <t>应付控股公司款</t>
  </si>
  <si>
    <t>应付集团系内公司款</t>
  </si>
  <si>
    <t>应付联营公司款</t>
  </si>
  <si>
    <t>应付关联方款项</t>
  </si>
  <si>
    <t>应付税项</t>
  </si>
  <si>
    <t>中介控股公司贷款</t>
  </si>
  <si>
    <t>银行贷款及透支-无抵押</t>
  </si>
  <si>
    <t>持作待转让资产有关的负债</t>
  </si>
  <si>
    <t>所有者权益</t>
  </si>
  <si>
    <t>归属于本公司股东的权益</t>
  </si>
  <si>
    <t>其中：股本</t>
  </si>
  <si>
    <t>其它储备</t>
  </si>
  <si>
    <t>所有者权益合计</t>
  </si>
  <si>
    <t>负债和所有者权益总计</t>
  </si>
  <si>
    <t>净流动资产</t>
  </si>
  <si>
    <t>总资产减流动负债</t>
  </si>
  <si>
    <t>于合营企业之权益</t>
  </si>
  <si>
    <t>贸易及其他应收款-非流动部分</t>
  </si>
  <si>
    <t>完成待售物业</t>
  </si>
  <si>
    <t>贸易及其他应收款－流动部分</t>
  </si>
  <si>
    <t>其它流动资产</t>
  </si>
  <si>
    <t>应收—合营企业借款</t>
  </si>
  <si>
    <t>与持作待售资产有关的负债</t>
  </si>
  <si>
    <t>股本溢价和储备</t>
  </si>
  <si>
    <t>期末普通股股份总数（百万股）</t>
  </si>
  <si>
    <t>每股净资产(HKD/sh)</t>
  </si>
  <si>
    <t>每股净资产(HKD/sh)（包括永续债券）</t>
  </si>
  <si>
    <t>总借款 / 净资产</t>
  </si>
  <si>
    <t>总借款 / 总资产</t>
  </si>
  <si>
    <t>总债务/债务+净资产</t>
  </si>
  <si>
    <t>有息负债</t>
  </si>
  <si>
    <t>现金</t>
  </si>
  <si>
    <t>净债务+少数股东权益</t>
  </si>
  <si>
    <t>Net gearing（包含永续债）</t>
  </si>
  <si>
    <t>流动比率</t>
  </si>
  <si>
    <t>速动比率</t>
  </si>
  <si>
    <t>净运营资本</t>
  </si>
  <si>
    <t>净运营资本周转率</t>
  </si>
  <si>
    <t>应收借款</t>
  </si>
  <si>
    <t>应收借款</t>
    <phoneticPr fontId="51" type="noConversion"/>
  </si>
  <si>
    <t>应收——联营公司借款</t>
  </si>
  <si>
    <r>
      <rPr>
        <sz val="9"/>
        <rFont val="宋体"/>
        <family val="3"/>
        <charset val="134"/>
      </rPr>
      <t>每股</t>
    </r>
    <r>
      <rPr>
        <sz val="9"/>
        <rFont val="Calibri"/>
        <family val="2"/>
      </rPr>
      <t>62.5</t>
    </r>
    <r>
      <rPr>
        <sz val="9"/>
        <rFont val="宋体"/>
        <family val="3"/>
        <charset val="134"/>
      </rPr>
      <t>仙</t>
    </r>
  </si>
  <si>
    <t>2025A</t>
    <phoneticPr fontId="51" type="noConversion"/>
  </si>
  <si>
    <t>商标、未完成工程合同、牌照</t>
    <phoneticPr fontId="51" type="noConversion"/>
  </si>
  <si>
    <t>当年计提摊销额</t>
    <phoneticPr fontId="51" type="noConversion"/>
  </si>
  <si>
    <t>特许经营权摊销</t>
    <phoneticPr fontId="51" type="noConversion"/>
  </si>
  <si>
    <t>2H25</t>
    <phoneticPr fontId="51" type="noConversion"/>
  </si>
  <si>
    <t>2026E</t>
    <phoneticPr fontId="51" type="noConversion"/>
  </si>
  <si>
    <t>2027E</t>
    <phoneticPr fontId="51" type="noConversion"/>
  </si>
  <si>
    <t>1Q25</t>
    <phoneticPr fontId="51" type="noConversion"/>
  </si>
  <si>
    <t>2Q24</t>
    <phoneticPr fontId="51" type="noConversion"/>
  </si>
  <si>
    <t>3Q24</t>
    <phoneticPr fontId="51" type="noConversion"/>
  </si>
  <si>
    <t>4Q24</t>
    <phoneticPr fontId="51" type="noConversion"/>
  </si>
  <si>
    <t>4Q25</t>
    <phoneticPr fontId="51" type="noConversion"/>
  </si>
  <si>
    <t>百万人民币</t>
    <phoneticPr fontId="51" type="noConversion"/>
  </si>
  <si>
    <t>(Rmb mn)</t>
    <phoneticPr fontId="51" type="noConversion"/>
  </si>
  <si>
    <t>Rmb mn</t>
    <phoneticPr fontId="51" type="noConversion"/>
  </si>
  <si>
    <r>
      <rPr>
        <b/>
        <sz val="8"/>
        <color indexed="9"/>
        <rFont val="楷体_GB2312"/>
        <family val="3"/>
        <charset val="134"/>
      </rPr>
      <t>（百万</t>
    </r>
    <r>
      <rPr>
        <b/>
        <sz val="8"/>
        <color rgb="FFFFFFFF"/>
        <rFont val="等线"/>
        <family val="3"/>
        <charset val="134"/>
      </rPr>
      <t>人民币</t>
    </r>
    <r>
      <rPr>
        <b/>
        <sz val="8"/>
        <color indexed="9"/>
        <rFont val="楷体_GB2312"/>
        <family val="3"/>
        <charset val="134"/>
      </rPr>
      <t>）</t>
    </r>
    <phoneticPr fontId="51" type="noConversion"/>
  </si>
  <si>
    <t>(RMB mn)</t>
    <phoneticPr fontId="51" type="noConversion"/>
  </si>
  <si>
    <t>合约资产</t>
    <phoneticPr fontId="51" type="noConversion"/>
  </si>
  <si>
    <t>摊薄每股核心收益</t>
    <phoneticPr fontId="51" type="noConversion"/>
  </si>
  <si>
    <t>Diluted core EPS</t>
    <phoneticPr fontId="51" type="noConversion"/>
  </si>
  <si>
    <t>（百万）</t>
    <phoneticPr fontId="5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</si>
</sst>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8">
    <numFmt numFmtId="176" formatCode="_(* #,##0_);_(* \(#,##0\);_(* &quot;-&quot;_);_(@_)"/>
    <numFmt numFmtId="177" formatCode="_(* #,##0.00_);_(* \(#,##0.00\);_(* &quot;-&quot;??_);_(@_)"/>
    <numFmt numFmtId="178" formatCode="_([$€-2]* #,##0.00_);_([$€-2]* \(#,##0.00\);_([$€-2]* &quot;-&quot;??_)"/>
    <numFmt numFmtId="179" formatCode="[$-409]dd/mmm/yy;@"/>
    <numFmt numFmtId="180" formatCode="#,##0_ "/>
    <numFmt numFmtId="181" formatCode="#,##0.0"/>
    <numFmt numFmtId="182" formatCode="_(* #,##0_);_(* \(#,##0\);_(* &quot;-&quot;??_);_(@_)"/>
    <numFmt numFmtId="183" formatCode="0.0%"/>
    <numFmt numFmtId="184" formatCode="&quot;¥&quot;#,##0.00_);[Red]\(&quot;¥&quot;#,##0.00\)"/>
    <numFmt numFmtId="185" formatCode="0.00_ "/>
    <numFmt numFmtId="186" formatCode="#,##0.00_ "/>
    <numFmt numFmtId="187" formatCode="###,###,##0.00"/>
    <numFmt numFmtId="188" formatCode="0.0_);[Red]\(0.0\)"/>
    <numFmt numFmtId="189" formatCode="0.00_);[Red]\(0.00\)"/>
    <numFmt numFmtId="190" formatCode="_-* #,##0_-;\-* #,##0_-;_-* &quot;-&quot;??_-;_-@_-"/>
    <numFmt numFmtId="191" formatCode="0.000%"/>
    <numFmt numFmtId="192" formatCode="0.000000%"/>
    <numFmt numFmtId="193" formatCode="_-* #,##0.00_-;\-* #,##0.00_-;_-* &quot;-&quot;??_-;_-@_-"/>
    <numFmt numFmtId="194" formatCode="#,##0.0;\-#,##0.0"/>
    <numFmt numFmtId="195" formatCode="_-* #,##0_-;\-* #,##0_-;_-* &quot;-&quot;_-;_-@_-"/>
    <numFmt numFmtId="196" formatCode="_(* #,##0_);[Red]_(* \(#,##0\);_(* &quot;-&quot;??_)"/>
    <numFmt numFmtId="197" formatCode="0_ "/>
    <numFmt numFmtId="198" formatCode="_ * #,##0_ ;_ * \-#,##0_ ;_ * &quot;-&quot;??_ ;_ @_ "/>
    <numFmt numFmtId="199" formatCode="#,##0.000"/>
    <numFmt numFmtId="200" formatCode="0.0"/>
    <numFmt numFmtId="201" formatCode="#,##0.0;[Red]\-#,##0.0"/>
    <numFmt numFmtId="202" formatCode="#,##0.000_);\(#,##0.000\)"/>
    <numFmt numFmtId="203" formatCode="_([$€-2]* #,##0.000_);_([$€-2]* \(#,##0.000\);_([$€-2]* &quot;-&quot;??_)"/>
    <numFmt numFmtId="204" formatCode="0_);\(0\)"/>
    <numFmt numFmtId="205" formatCode="###,##0_ "/>
    <numFmt numFmtId="206" formatCode="0_);[Red]\(0\)"/>
    <numFmt numFmtId="207" formatCode="#,##0.000_);[Red]\(#,##0.000\)"/>
    <numFmt numFmtId="208" formatCode="_-* #,##0.0_-;\-* #,##0.0_-;_-* &quot;-&quot;??_-;_-@_-"/>
    <numFmt numFmtId="209" formatCode="_-* #,##0.000_-;\-* #,##0.000_-;_-* &quot;-&quot;??_-;_-@_-"/>
    <numFmt numFmtId="210" formatCode="yyyy\-mm\-dd"/>
    <numFmt numFmtId="211" formatCode="#,##0.00_ ;[Red]\-#,##0.00\ "/>
    <numFmt numFmtId="212" formatCode="#,##0_ ;[Red]\-#,##0\ "/>
    <numFmt numFmtId="213" formatCode="_-* #,##0.00_-;\-* #,##0.00_-;_-* &quot;-&quot;_-;_-@_-"/>
    <numFmt numFmtId="214" formatCode="0.0_ "/>
    <numFmt numFmtId="215" formatCode="#,##0.0_ ;[Red]\-#,##0.0\ "/>
    <numFmt numFmtId="216" formatCode="_ * #,##0.000_ ;_ * \-#,##0.000_ ;_ * &quot;-&quot;??_ ;_ @_ "/>
    <numFmt numFmtId="217" formatCode="#,##0.0_);[Red]\(#,##0.0\)"/>
    <numFmt numFmtId="218" formatCode="_(* #,##0.0_);[Red]_(* \(#,##0.0\);_(* &quot;-&quot;??_)"/>
    <numFmt numFmtId="219" formatCode="0.000_ "/>
    <numFmt numFmtId="220" formatCode="_ * #,##0.0_ ;_ * \-#,##0.0_ ;_ * &quot;-&quot;??_ ;_ @_ "/>
    <numFmt numFmtId="221" formatCode="_(* #,##0.0_);_(* \(#,##0.0\);_(* &quot;-&quot;??_);_(@_)"/>
    <numFmt numFmtId="222" formatCode="0.00_);\(0.00\)"/>
    <numFmt numFmtId="223" formatCode="yyyy/mm/dd"/>
  </numFmts>
  <fonts count="163" x14ac:knownFonts="1">
    <font>
      <sz val="12"/>
      <name val="宋体"/>
    </font>
    <font>
      <sz val="10"/>
      <color rgb="FF000000"/>
      <name val="Arial"/>
      <family val="2"/>
    </font>
    <font>
      <b/>
      <sz val="18"/>
      <color rgb="FF000000"/>
      <name val="楷体_GB2312"/>
      <family val="3"/>
      <charset val="134"/>
    </font>
    <font>
      <sz val="10"/>
      <color rgb="FF000000"/>
      <name val="楷体_GB2312"/>
      <family val="3"/>
      <charset val="134"/>
    </font>
    <font>
      <b/>
      <sz val="10"/>
      <color rgb="FF000000"/>
      <name val="楷体_GB2312"/>
      <family val="3"/>
      <charset val="134"/>
    </font>
    <font>
      <sz val="8"/>
      <color rgb="FF000000"/>
      <name val="楷体_GB2312"/>
      <family val="3"/>
      <charset val="134"/>
    </font>
    <font>
      <sz val="11"/>
      <color rgb="FF000000"/>
      <name val="Arial"/>
      <family val="2"/>
    </font>
    <font>
      <b/>
      <sz val="18"/>
      <color rgb="FF000000"/>
      <name val="Arial"/>
      <family val="2"/>
    </font>
    <font>
      <b/>
      <sz val="10"/>
      <color rgb="FF000000"/>
      <name val="Arial"/>
      <family val="2"/>
    </font>
    <font>
      <sz val="8"/>
      <color rgb="FF000000"/>
      <name val="Arial"/>
      <family val="2"/>
    </font>
    <font>
      <sz val="11"/>
      <color rgb="FF000000"/>
      <name val="宋体"/>
      <family val="3"/>
      <charset val="134"/>
    </font>
    <font>
      <sz val="11"/>
      <name val="Arial"/>
      <family val="2"/>
    </font>
    <font>
      <sz val="12"/>
      <name val="Arial"/>
      <family val="2"/>
    </font>
    <font>
      <sz val="9"/>
      <name val="Arial"/>
      <family val="2"/>
    </font>
    <font>
      <b/>
      <sz val="9"/>
      <color indexed="9"/>
      <name val="Arial"/>
      <family val="2"/>
    </font>
    <font>
      <sz val="9"/>
      <color rgb="FF000000"/>
      <name val="Arial"/>
      <family val="2"/>
    </font>
    <font>
      <sz val="9"/>
      <color indexed="9"/>
      <name val="Arial"/>
      <family val="2"/>
    </font>
    <font>
      <sz val="11"/>
      <color indexed="9"/>
      <name val="Arial"/>
      <family val="2"/>
    </font>
    <font>
      <b/>
      <sz val="9"/>
      <color rgb="FF000000"/>
      <name val="Arial"/>
      <family val="2"/>
    </font>
    <font>
      <sz val="9"/>
      <color rgb="FF000000"/>
      <name val="Arial"/>
      <family val="2"/>
    </font>
    <font>
      <sz val="9"/>
      <color rgb="FF000000"/>
      <name val="Calibri"/>
      <family val="2"/>
    </font>
    <font>
      <sz val="9"/>
      <name val="Calibri"/>
      <family val="2"/>
    </font>
    <font>
      <b/>
      <sz val="9"/>
      <color rgb="FF000000"/>
      <name val="Calibri"/>
      <family val="2"/>
    </font>
    <font>
      <b/>
      <sz val="9"/>
      <color rgb="FF000000"/>
      <name val="楷体_GB2312"/>
      <family val="3"/>
      <charset val="134"/>
    </font>
    <font>
      <sz val="9"/>
      <color indexed="8"/>
      <name val="Arial"/>
      <family val="2"/>
    </font>
    <font>
      <b/>
      <sz val="9"/>
      <color indexed="8"/>
      <name val="Arial"/>
      <family val="2"/>
    </font>
    <font>
      <sz val="10"/>
      <name val="Arial"/>
      <family val="2"/>
    </font>
    <font>
      <sz val="8"/>
      <name val="Calibri"/>
      <family val="2"/>
    </font>
    <font>
      <b/>
      <sz val="8"/>
      <name val="Calibri"/>
      <family val="2"/>
    </font>
    <font>
      <sz val="8"/>
      <color rgb="FFFFFFFF"/>
      <name val="Calibri"/>
      <family val="2"/>
    </font>
    <font>
      <b/>
      <sz val="8"/>
      <color rgb="FFFFFFFF"/>
      <name val="Calibri"/>
      <family val="2"/>
    </font>
    <font>
      <i/>
      <sz val="8"/>
      <name val="Calibri"/>
      <family val="2"/>
    </font>
    <font>
      <sz val="8"/>
      <color rgb="FF0000FF"/>
      <name val="Calibri"/>
      <family val="2"/>
    </font>
    <font>
      <sz val="8"/>
      <color rgb="FFFF0000"/>
      <name val="Calibri"/>
      <family val="2"/>
    </font>
    <font>
      <b/>
      <sz val="8"/>
      <color indexed="9"/>
      <name val="Calibri"/>
      <family val="2"/>
    </font>
    <font>
      <b/>
      <sz val="8"/>
      <color rgb="FFFFFFFF"/>
      <name val="Calibri"/>
      <family val="2"/>
    </font>
    <font>
      <sz val="8"/>
      <color rgb="FFFFFFFF"/>
      <name val="Calibri"/>
      <family val="2"/>
    </font>
    <font>
      <i/>
      <sz val="8"/>
      <color rgb="FFFFFFFF"/>
      <name val="Calibri"/>
      <family val="2"/>
    </font>
    <font>
      <sz val="8"/>
      <name val="Arial"/>
      <family val="2"/>
    </font>
    <font>
      <b/>
      <sz val="8"/>
      <name val="Arial"/>
      <family val="2"/>
    </font>
    <font>
      <b/>
      <sz val="8"/>
      <color rgb="FFFFFFFF"/>
      <name val="Arial"/>
      <family val="2"/>
    </font>
    <font>
      <sz val="8"/>
      <name val="黑体"/>
      <family val="3"/>
      <charset val="134"/>
    </font>
    <font>
      <b/>
      <sz val="8"/>
      <name val="黑体"/>
      <family val="3"/>
      <charset val="134"/>
    </font>
    <font>
      <sz val="8"/>
      <color rgb="FFFF0000"/>
      <name val="Arial"/>
      <family val="2"/>
    </font>
    <font>
      <b/>
      <sz val="8"/>
      <color rgb="FFFF0000"/>
      <name val="Arial"/>
      <family val="2"/>
    </font>
    <font>
      <i/>
      <sz val="8"/>
      <name val="Arial"/>
      <family val="2"/>
    </font>
    <font>
      <i/>
      <sz val="8"/>
      <name val="黑体"/>
      <family val="3"/>
      <charset val="134"/>
    </font>
    <font>
      <i/>
      <sz val="8"/>
      <color indexed="17"/>
      <name val="Arial"/>
      <family val="2"/>
    </font>
    <font>
      <sz val="9"/>
      <color indexed="10"/>
      <name val="Calibri"/>
      <family val="2"/>
    </font>
    <font>
      <b/>
      <sz val="9"/>
      <color rgb="FFFFFFFF"/>
      <name val="Calibri"/>
      <family val="2"/>
    </font>
    <font>
      <b/>
      <sz val="9"/>
      <name val="Calibri"/>
      <family val="2"/>
    </font>
    <font>
      <sz val="9"/>
      <name val="宋体"/>
      <family val="3"/>
      <charset val="134"/>
    </font>
    <font>
      <sz val="9"/>
      <color rgb="FF0000FF"/>
      <name val="Calibri"/>
      <family val="2"/>
    </font>
    <font>
      <sz val="9"/>
      <name val="Calibri"/>
      <family val="2"/>
    </font>
    <font>
      <sz val="9"/>
      <name val="楷体_GB2312"/>
      <family val="3"/>
      <charset val="134"/>
    </font>
    <font>
      <i/>
      <sz val="9"/>
      <name val="Calibri"/>
      <family val="2"/>
    </font>
    <font>
      <b/>
      <i/>
      <sz val="9"/>
      <color indexed="17"/>
      <name val="Calibri"/>
      <family val="2"/>
    </font>
    <font>
      <sz val="9"/>
      <color indexed="12"/>
      <name val="Calibri"/>
      <family val="2"/>
    </font>
    <font>
      <sz val="9"/>
      <name val="楷体"/>
      <family val="3"/>
      <charset val="134"/>
    </font>
    <font>
      <b/>
      <sz val="9"/>
      <color rgb="FFFF0000"/>
      <name val="Calibri"/>
      <family val="2"/>
    </font>
    <font>
      <b/>
      <sz val="9"/>
      <color rgb="FF0000FF"/>
      <name val="Calibri"/>
      <family val="2"/>
    </font>
    <font>
      <b/>
      <i/>
      <sz val="9"/>
      <color rgb="FFFF0000"/>
      <name val="Calibri"/>
      <family val="2"/>
    </font>
    <font>
      <b/>
      <i/>
      <sz val="9"/>
      <color indexed="12"/>
      <name val="Calibri"/>
      <family val="2"/>
    </font>
    <font>
      <b/>
      <i/>
      <sz val="9"/>
      <name val="Calibri"/>
      <family val="2"/>
    </font>
    <font>
      <i/>
      <sz val="9"/>
      <color indexed="17"/>
      <name val="Calibri"/>
      <family val="2"/>
    </font>
    <font>
      <sz val="9"/>
      <color rgb="FFFF0000"/>
      <name val="Calibri"/>
      <family val="2"/>
    </font>
    <font>
      <i/>
      <sz val="9"/>
      <color rgb="FF0000FF"/>
      <name val="Calibri"/>
      <family val="2"/>
    </font>
    <font>
      <i/>
      <sz val="9"/>
      <color indexed="12"/>
      <name val="Calibri"/>
      <family val="2"/>
    </font>
    <font>
      <i/>
      <sz val="9"/>
      <name val="楷体_GB2312"/>
      <family val="3"/>
      <charset val="134"/>
    </font>
    <font>
      <sz val="9"/>
      <color indexed="8"/>
      <name val="Calibri"/>
      <family val="2"/>
    </font>
    <font>
      <i/>
      <sz val="9"/>
      <color rgb="FFFF0000"/>
      <name val="Calibri"/>
      <family val="2"/>
    </font>
    <font>
      <sz val="9"/>
      <name val="微软雅黑"/>
      <family val="2"/>
      <charset val="134"/>
    </font>
    <font>
      <b/>
      <sz val="9"/>
      <name val="楷体_GB2312"/>
      <family val="3"/>
      <charset val="134"/>
    </font>
    <font>
      <b/>
      <sz val="9"/>
      <color indexed="12"/>
      <name val="Calibri"/>
      <family val="2"/>
    </font>
    <font>
      <sz val="9"/>
      <color rgb="FFFFFFFF"/>
      <name val="Calibri"/>
      <family val="2"/>
    </font>
    <font>
      <strike/>
      <u/>
      <sz val="9"/>
      <name val="Calibri"/>
      <family val="2"/>
    </font>
    <font>
      <i/>
      <sz val="9"/>
      <name val="宋体"/>
      <family val="3"/>
      <charset val="134"/>
    </font>
    <font>
      <sz val="8"/>
      <name val="微软雅黑"/>
      <family val="2"/>
      <charset val="134"/>
    </font>
    <font>
      <b/>
      <sz val="8"/>
      <color rgb="FFFF0000"/>
      <name val="Calibri"/>
      <family val="2"/>
    </font>
    <font>
      <b/>
      <sz val="8"/>
      <name val="楷体_GB2312"/>
      <family val="3"/>
      <charset val="134"/>
    </font>
    <font>
      <sz val="8"/>
      <name val="楷体_GB2312"/>
      <family val="3"/>
      <charset val="134"/>
    </font>
    <font>
      <i/>
      <sz val="8"/>
      <name val="楷体_GB2312"/>
      <family val="3"/>
      <charset val="134"/>
    </font>
    <font>
      <sz val="8"/>
      <name val="宋体"/>
      <family val="3"/>
      <charset val="134"/>
    </font>
    <font>
      <b/>
      <sz val="8"/>
      <name val="宋体"/>
      <family val="3"/>
      <charset val="134"/>
    </font>
    <font>
      <b/>
      <sz val="8"/>
      <color rgb="FF000000"/>
      <name val="Calibri"/>
      <family val="2"/>
    </font>
    <font>
      <b/>
      <sz val="8"/>
      <color rgb="FF640000"/>
      <name val="Arial"/>
      <family val="2"/>
    </font>
    <font>
      <sz val="9"/>
      <name val="Calibri"/>
      <family val="2"/>
    </font>
    <font>
      <sz val="8"/>
      <color rgb="FF000000"/>
      <name val="Calibri"/>
      <family val="2"/>
    </font>
    <font>
      <sz val="8"/>
      <color indexed="8"/>
      <name val="Arial"/>
      <family val="2"/>
    </font>
    <font>
      <sz val="11"/>
      <color rgb="FF000000"/>
      <name val="楷体"/>
      <family val="3"/>
      <charset val="134"/>
    </font>
    <font>
      <b/>
      <sz val="10"/>
      <name val="Arial"/>
      <family val="2"/>
    </font>
    <font>
      <i/>
      <sz val="10"/>
      <name val="Arial"/>
      <family val="2"/>
    </font>
    <font>
      <b/>
      <sz val="8"/>
      <color indexed="10"/>
      <name val="Arial"/>
      <family val="2"/>
    </font>
    <font>
      <b/>
      <sz val="12"/>
      <name val="宋体"/>
      <family val="3"/>
      <charset val="134"/>
    </font>
    <font>
      <sz val="12"/>
      <name val="宋体"/>
      <family val="3"/>
      <charset val="134"/>
    </font>
    <font>
      <sz val="10"/>
      <name val="宋体"/>
      <family val="3"/>
      <charset val="134"/>
    </font>
    <font>
      <b/>
      <sz val="8"/>
      <color indexed="12"/>
      <name val="Arial"/>
      <family val="2"/>
    </font>
    <font>
      <sz val="6"/>
      <name val="楷体_GB2312"/>
      <family val="3"/>
      <charset val="134"/>
    </font>
    <font>
      <i/>
      <sz val="8"/>
      <color indexed="12"/>
      <name val="Arial"/>
      <family val="2"/>
    </font>
    <font>
      <i/>
      <sz val="8"/>
      <color indexed="17"/>
      <name val="楷体_GB2312"/>
      <family val="3"/>
      <charset val="134"/>
    </font>
    <font>
      <b/>
      <i/>
      <sz val="8"/>
      <color indexed="17"/>
      <name val="Arial"/>
      <family val="2"/>
    </font>
    <font>
      <sz val="8"/>
      <color indexed="12"/>
      <name val="Arial"/>
      <family val="2"/>
    </font>
    <font>
      <b/>
      <sz val="9"/>
      <name val="Arial"/>
      <family val="2"/>
    </font>
    <font>
      <b/>
      <sz val="9"/>
      <color rgb="FFFFFFFF"/>
      <name val="Arial"/>
      <family val="2"/>
    </font>
    <font>
      <sz val="9"/>
      <color rgb="FFFFFFFF"/>
      <name val="Arial"/>
      <family val="2"/>
    </font>
    <font>
      <sz val="10"/>
      <name val="楷体_GB2312"/>
      <family val="3"/>
      <charset val="134"/>
    </font>
    <font>
      <b/>
      <sz val="10"/>
      <name val="楷体_GB2312"/>
      <family val="3"/>
      <charset val="134"/>
    </font>
    <font>
      <b/>
      <sz val="9"/>
      <name val="宋体"/>
      <family val="3"/>
      <charset val="134"/>
    </font>
    <font>
      <sz val="12"/>
      <name val="楷体_GB2312"/>
      <family val="3"/>
      <charset val="134"/>
    </font>
    <font>
      <b/>
      <sz val="10"/>
      <name val="宋体"/>
      <family val="3"/>
      <charset val="134"/>
    </font>
    <font>
      <b/>
      <i/>
      <sz val="10"/>
      <name val="Arial"/>
      <family val="2"/>
    </font>
    <font>
      <i/>
      <sz val="10"/>
      <name val="楷体_GB2312"/>
      <family val="3"/>
      <charset val="134"/>
    </font>
    <font>
      <b/>
      <u/>
      <sz val="10"/>
      <name val="楷体_GB2312"/>
      <family val="3"/>
      <charset val="134"/>
    </font>
    <font>
      <b/>
      <sz val="8"/>
      <color indexed="9"/>
      <name val="Arial"/>
      <family val="2"/>
    </font>
    <font>
      <sz val="8"/>
      <color indexed="10"/>
      <name val="Arial"/>
      <family val="2"/>
    </font>
    <font>
      <b/>
      <sz val="8"/>
      <color indexed="17"/>
      <name val="Arial"/>
      <family val="2"/>
    </font>
    <font>
      <sz val="8"/>
      <color indexed="22"/>
      <name val="Arial"/>
      <family val="2"/>
    </font>
    <font>
      <b/>
      <sz val="8"/>
      <color rgb="FFFFFFFF"/>
      <name val="楷体_GB2312"/>
      <family val="3"/>
      <charset val="134"/>
    </font>
    <font>
      <sz val="12"/>
      <color rgb="FFFFFFFF"/>
      <name val="宋体"/>
      <family val="3"/>
      <charset val="134"/>
    </font>
    <font>
      <b/>
      <sz val="12"/>
      <name val="宋体"/>
      <family val="3"/>
      <charset val="134"/>
    </font>
    <font>
      <u/>
      <sz val="9"/>
      <color indexed="12"/>
      <name val="楷体_GB2312"/>
      <family val="3"/>
      <charset val="134"/>
    </font>
    <font>
      <sz val="12"/>
      <name val="宋体"/>
      <family val="3"/>
      <charset val="134"/>
    </font>
    <font>
      <sz val="11"/>
      <color rgb="FF000000"/>
      <name val="宋体"/>
      <family val="3"/>
      <charset val="134"/>
    </font>
    <font>
      <sz val="9"/>
      <color rgb="FF000000"/>
      <name val="楷体_GB2312"/>
      <family val="3"/>
      <charset val="134"/>
    </font>
    <font>
      <sz val="11"/>
      <color rgb="FF000000"/>
      <name val="宋体"/>
      <family val="3"/>
      <charset val="134"/>
    </font>
    <font>
      <sz val="12"/>
      <name val="宋体"/>
      <family val="3"/>
      <charset val="134"/>
    </font>
    <font>
      <sz val="11"/>
      <color rgb="FF000000"/>
      <name val="宋体"/>
      <family val="3"/>
      <charset val="134"/>
    </font>
    <font>
      <b/>
      <sz val="9"/>
      <color indexed="9"/>
      <name val="楷体_GB2312"/>
      <family val="3"/>
      <charset val="134"/>
    </font>
    <font>
      <sz val="9"/>
      <color indexed="9"/>
      <name val="楷体_GB2312"/>
      <family val="3"/>
      <charset val="134"/>
    </font>
    <font>
      <b/>
      <sz val="9"/>
      <color indexed="8"/>
      <name val="楷体_GB2312"/>
      <family val="3"/>
      <charset val="134"/>
    </font>
    <font>
      <b/>
      <sz val="8"/>
      <color indexed="9"/>
      <name val="楷体_GB2312"/>
      <family val="3"/>
      <charset val="134"/>
    </font>
    <font>
      <b/>
      <sz val="9"/>
      <color rgb="FFFFFFFF"/>
      <name val="楷体_GB2312"/>
      <family val="3"/>
      <charset val="134"/>
    </font>
    <font>
      <sz val="9"/>
      <color rgb="FF000000"/>
      <name val="宋体"/>
      <family val="3"/>
      <charset val="134"/>
    </font>
    <font>
      <b/>
      <sz val="8"/>
      <color rgb="FF000000"/>
      <name val="楷体_GB2312"/>
      <family val="3"/>
      <charset val="134"/>
    </font>
    <font>
      <b/>
      <sz val="8"/>
      <color rgb="FFFFFFFF"/>
      <name val="黑体"/>
      <family val="3"/>
      <charset val="134"/>
    </font>
    <font>
      <b/>
      <sz val="8"/>
      <color rgb="FF640000"/>
      <name val="黑体"/>
      <family val="3"/>
      <charset val="134"/>
    </font>
    <font>
      <b/>
      <sz val="8"/>
      <color rgb="FFFF0000"/>
      <name val="黑体"/>
      <family val="3"/>
      <charset val="134"/>
    </font>
    <font>
      <sz val="8"/>
      <color rgb="FFFF0000"/>
      <name val="黑体"/>
      <family val="3"/>
      <charset val="134"/>
    </font>
    <font>
      <sz val="9"/>
      <color indexed="81"/>
      <name val="宋体"/>
      <family val="3"/>
      <charset val="134"/>
    </font>
    <font>
      <b/>
      <sz val="9"/>
      <color indexed="81"/>
      <name val="宋体"/>
      <family val="3"/>
      <charset val="134"/>
    </font>
    <font>
      <b/>
      <sz val="9"/>
      <color indexed="81"/>
      <name val="Arial"/>
      <family val="2"/>
    </font>
    <font>
      <sz val="9"/>
      <color indexed="81"/>
      <name val="Arial"/>
      <family val="2"/>
    </font>
    <font>
      <sz val="9"/>
      <color indexed="81"/>
      <name val="楷体_GB2312"/>
      <family val="3"/>
      <charset val="134"/>
    </font>
    <font>
      <b/>
      <sz val="9"/>
      <color indexed="81"/>
      <name val="Calibri"/>
      <family val="2"/>
    </font>
    <font>
      <sz val="9"/>
      <color indexed="81"/>
      <name val="Calibri"/>
      <family val="2"/>
    </font>
    <font>
      <b/>
      <sz val="10"/>
      <color indexed="81"/>
      <name val="宋体"/>
      <family val="3"/>
      <charset val="134"/>
    </font>
    <font>
      <sz val="10"/>
      <color indexed="81"/>
      <name val="宋体"/>
      <family val="3"/>
      <charset val="134"/>
    </font>
    <font>
      <sz val="8"/>
      <color indexed="81"/>
      <name val="楷体_GB2312"/>
      <family val="3"/>
      <charset val="134"/>
    </font>
    <font>
      <sz val="9"/>
      <name val="Calibri"/>
      <family val="3"/>
      <charset val="134"/>
    </font>
    <font>
      <sz val="9"/>
      <color indexed="81"/>
      <name val="Tahoma"/>
      <family val="2"/>
    </font>
    <font>
      <b/>
      <sz val="9"/>
      <color indexed="81"/>
      <name val="Tahoma"/>
      <family val="2"/>
    </font>
    <font>
      <sz val="8"/>
      <name val="楷体"/>
      <family val="3"/>
      <charset val="134"/>
    </font>
    <font>
      <i/>
      <sz val="9"/>
      <name val="楷体"/>
      <family val="3"/>
      <charset val="134"/>
    </font>
    <font>
      <b/>
      <sz val="8"/>
      <color rgb="FFFFFFFF"/>
      <name val="楷体"/>
      <family val="3"/>
      <charset val="134"/>
    </font>
    <font>
      <b/>
      <sz val="8"/>
      <name val="楷体"/>
      <family val="3"/>
      <charset val="134"/>
    </font>
    <font>
      <i/>
      <sz val="8"/>
      <name val="楷体"/>
      <family val="3"/>
      <charset val="134"/>
    </font>
    <font>
      <b/>
      <sz val="9"/>
      <name val="楷体"/>
      <family val="3"/>
      <charset val="134"/>
    </font>
    <font>
      <b/>
      <sz val="9"/>
      <color rgb="FFFFFFFF"/>
      <name val="楷体"/>
      <family val="3"/>
      <charset val="134"/>
    </font>
    <font>
      <b/>
      <i/>
      <sz val="9"/>
      <name val="楷体"/>
      <family val="3"/>
      <charset val="134"/>
    </font>
    <font>
      <b/>
      <sz val="9"/>
      <color rgb="FF000000"/>
      <name val="楷体"/>
      <family val="3"/>
      <charset val="134"/>
    </font>
    <font>
      <b/>
      <i/>
      <sz val="9"/>
      <color indexed="17"/>
      <name val="楷体"/>
      <family val="3"/>
      <charset val="134"/>
    </font>
    <font>
      <b/>
      <sz val="8"/>
      <color rgb="FFFFFFFF"/>
      <name val="等线"/>
      <family val="3"/>
      <charset val="134"/>
    </font>
    <font>
      <b/>
      <sz val="8"/>
      <color rgb="FFFFFFFF"/>
      <name val="Calibri"/>
      <family val="3"/>
      <charset val="134"/>
    </font>
  </fonts>
  <fills count="26">
    <fill>
      <patternFill patternType="none"/>
    </fill>
    <fill>
      <patternFill patternType="gray125"/>
    </fill>
    <fill>
      <patternFill patternType="solid">
        <fgColor rgb="FFFFFFFF"/>
        <bgColor indexed="64"/>
      </patternFill>
    </fill>
    <fill>
      <patternFill patternType="solid">
        <fgColor rgb="FF730000"/>
        <bgColor indexed="64"/>
      </patternFill>
    </fill>
    <fill>
      <patternFill patternType="solid">
        <fgColor rgb="FFCC9900"/>
        <bgColor indexed="64"/>
      </patternFill>
    </fill>
    <fill>
      <patternFill patternType="solid">
        <fgColor indexed="9"/>
        <bgColor indexed="64"/>
      </patternFill>
    </fill>
    <fill>
      <patternFill patternType="solid">
        <fgColor indexed="12"/>
        <bgColor indexed="64"/>
      </patternFill>
    </fill>
    <fill>
      <patternFill patternType="solid">
        <fgColor indexed="22"/>
        <bgColor indexed="64"/>
      </patternFill>
    </fill>
    <fill>
      <patternFill patternType="solid">
        <fgColor indexed="42"/>
        <bgColor indexed="64"/>
      </patternFill>
    </fill>
    <fill>
      <patternFill patternType="solid">
        <fgColor indexed="16"/>
        <bgColor indexed="64"/>
      </patternFill>
    </fill>
    <fill>
      <patternFill patternType="solid">
        <fgColor rgb="FF640000"/>
        <bgColor indexed="64"/>
      </patternFill>
    </fill>
    <fill>
      <patternFill patternType="solid">
        <fgColor rgb="FFD7D7D7"/>
        <bgColor indexed="64"/>
      </patternFill>
    </fill>
    <fill>
      <patternFill patternType="solid">
        <fgColor indexed="13"/>
        <bgColor indexed="64"/>
      </patternFill>
    </fill>
    <fill>
      <patternFill patternType="solid">
        <fgColor rgb="FFD2D2D2"/>
        <bgColor indexed="64"/>
      </patternFill>
    </fill>
    <fill>
      <patternFill patternType="solid">
        <fgColor rgb="FFD9D9D9"/>
        <bgColor indexed="64"/>
      </patternFill>
    </fill>
    <fill>
      <patternFill patternType="solid">
        <fgColor rgb="FFDDD9C4"/>
        <bgColor indexed="64"/>
      </patternFill>
    </fill>
    <fill>
      <patternFill patternType="solid">
        <fgColor rgb="FFCCFFCC"/>
        <bgColor indexed="64"/>
      </patternFill>
    </fill>
    <fill>
      <patternFill patternType="solid">
        <fgColor rgb="FFF2F2F2"/>
        <bgColor indexed="64"/>
      </patternFill>
    </fill>
    <fill>
      <patternFill patternType="solid">
        <fgColor rgb="FFF2DCDB"/>
        <bgColor indexed="64"/>
      </patternFill>
    </fill>
    <fill>
      <patternFill patternType="solid">
        <fgColor rgb="FFDAEEF3"/>
        <bgColor indexed="64"/>
      </patternFill>
    </fill>
    <fill>
      <patternFill patternType="solid">
        <fgColor rgb="FFCCC0DA"/>
        <bgColor indexed="64"/>
      </patternFill>
    </fill>
    <fill>
      <patternFill patternType="solid">
        <fgColor rgb="FFFFFF00"/>
        <bgColor indexed="64"/>
      </patternFill>
    </fill>
    <fill>
      <patternFill patternType="solid">
        <fgColor indexed="41"/>
        <bgColor indexed="64"/>
      </patternFill>
    </fill>
    <fill>
      <patternFill patternType="solid">
        <fgColor indexed="18"/>
        <bgColor indexed="64"/>
      </patternFill>
    </fill>
    <fill>
      <patternFill patternType="solid">
        <fgColor theme="0"/>
        <bgColor indexed="64"/>
      </patternFill>
    </fill>
    <fill>
      <patternFill patternType="solid">
        <fgColor theme="0" tint="-0.14999847407452621"/>
        <bgColor indexed="64"/>
      </patternFill>
    </fill>
  </fills>
  <borders count="42">
    <border>
      <left/>
      <right/>
      <top/>
      <bottom/>
      <diagonal/>
    </border>
    <border>
      <left style="thick">
        <color indexed="64"/>
      </left>
      <right/>
      <top/>
      <bottom/>
      <diagonal/>
    </border>
    <border>
      <left style="thick">
        <color indexed="64"/>
      </left>
      <right style="thick">
        <color indexed="64"/>
      </right>
      <top/>
      <bottom/>
      <diagonal/>
    </border>
    <border>
      <left style="thick">
        <color indexed="64"/>
      </left>
      <right/>
      <top/>
      <bottom style="thick">
        <color indexed="64"/>
      </bottom>
      <diagonal/>
    </border>
    <border>
      <left style="thick">
        <color indexed="64"/>
      </left>
      <right style="thick">
        <color indexed="64"/>
      </right>
      <top/>
      <bottom style="thick">
        <color indexed="64"/>
      </bottom>
      <diagonal/>
    </border>
    <border>
      <left/>
      <right/>
      <top/>
      <bottom style="thick">
        <color indexed="64"/>
      </bottom>
      <diagonal/>
    </border>
    <border>
      <left style="medium">
        <color rgb="FF640000"/>
      </left>
      <right/>
      <top style="medium">
        <color rgb="FF640000"/>
      </top>
      <bottom/>
      <diagonal/>
    </border>
    <border>
      <left/>
      <right/>
      <top style="medium">
        <color rgb="FF640000"/>
      </top>
      <bottom/>
      <diagonal/>
    </border>
    <border>
      <left/>
      <right style="medium">
        <color rgb="FF640000"/>
      </right>
      <top style="medium">
        <color rgb="FF640000"/>
      </top>
      <bottom/>
      <diagonal/>
    </border>
    <border>
      <left/>
      <right/>
      <top/>
      <bottom style="hair">
        <color indexed="64"/>
      </bottom>
      <diagonal/>
    </border>
    <border>
      <left/>
      <right style="hair">
        <color indexed="64"/>
      </right>
      <top/>
      <bottom style="hair">
        <color indexed="64"/>
      </bottom>
      <diagonal/>
    </border>
    <border>
      <left/>
      <right/>
      <top style="hair">
        <color indexed="64"/>
      </top>
      <bottom/>
      <diagonal/>
    </border>
    <border>
      <left/>
      <right style="hair">
        <color indexed="64"/>
      </right>
      <top style="hair">
        <color indexed="64"/>
      </top>
      <bottom/>
      <diagonal/>
    </border>
    <border>
      <left/>
      <right style="hair">
        <color indexed="64"/>
      </right>
      <top/>
      <bottom/>
      <diagonal/>
    </border>
    <border>
      <left style="medium">
        <color rgb="FF640000"/>
      </left>
      <right/>
      <top style="medium">
        <color rgb="FF640000"/>
      </top>
      <bottom style="medium">
        <color rgb="FF640000"/>
      </bottom>
      <diagonal/>
    </border>
    <border>
      <left/>
      <right/>
      <top style="medium">
        <color rgb="FF640000"/>
      </top>
      <bottom style="medium">
        <color rgb="FF640000"/>
      </bottom>
      <diagonal/>
    </border>
    <border>
      <left/>
      <right style="medium">
        <color rgb="FF640000"/>
      </right>
      <top style="medium">
        <color rgb="FF640000"/>
      </top>
      <bottom style="medium">
        <color rgb="FF640000"/>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style="hair">
        <color indexed="64"/>
      </bottom>
      <diagonal/>
    </border>
    <border>
      <left style="hair">
        <color indexed="64"/>
      </left>
      <right/>
      <top style="hair">
        <color indexed="64"/>
      </top>
      <bottom/>
      <diagonal/>
    </border>
    <border>
      <left style="hair">
        <color indexed="64"/>
      </left>
      <right/>
      <top/>
      <bottom/>
      <diagonal/>
    </border>
    <border>
      <left style="hair">
        <color indexed="64"/>
      </left>
      <right/>
      <top/>
      <bottom style="hair">
        <color indexed="64"/>
      </bottom>
      <diagonal/>
    </border>
    <border>
      <left/>
      <right/>
      <top style="thin">
        <color indexed="64"/>
      </top>
      <bottom style="medium">
        <color indexed="64"/>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s>
  <cellStyleXfs count="28">
    <xf numFmtId="178" fontId="0" fillId="0" borderId="0">
      <alignment vertical="center"/>
    </xf>
    <xf numFmtId="0" fontId="10" fillId="0" borderId="0">
      <protection locked="0"/>
    </xf>
    <xf numFmtId="179" fontId="10" fillId="0" borderId="0">
      <protection locked="0"/>
    </xf>
    <xf numFmtId="178" fontId="10" fillId="0" borderId="0">
      <protection locked="0"/>
    </xf>
    <xf numFmtId="178" fontId="121" fillId="0" borderId="0">
      <protection locked="0"/>
    </xf>
    <xf numFmtId="177" fontId="26" fillId="0" borderId="0">
      <protection locked="0"/>
    </xf>
    <xf numFmtId="178" fontId="26" fillId="0" borderId="0">
      <protection locked="0"/>
    </xf>
    <xf numFmtId="178" fontId="121" fillId="0" borderId="0">
      <protection locked="0"/>
    </xf>
    <xf numFmtId="9" fontId="121" fillId="0" borderId="0">
      <protection locked="0"/>
    </xf>
    <xf numFmtId="9" fontId="121" fillId="0" borderId="0">
      <protection locked="0"/>
    </xf>
    <xf numFmtId="178" fontId="121" fillId="0" borderId="0">
      <protection locked="0"/>
    </xf>
    <xf numFmtId="176" fontId="121" fillId="0" borderId="0">
      <protection locked="0"/>
    </xf>
    <xf numFmtId="193" fontId="121" fillId="0" borderId="0">
      <protection locked="0"/>
    </xf>
    <xf numFmtId="195" fontId="121" fillId="0" borderId="0">
      <protection locked="0"/>
    </xf>
    <xf numFmtId="178" fontId="121" fillId="0" borderId="0">
      <protection locked="0"/>
    </xf>
    <xf numFmtId="195" fontId="121" fillId="0" borderId="0">
      <protection locked="0"/>
    </xf>
    <xf numFmtId="178" fontId="122" fillId="0" borderId="0">
      <protection locked="0"/>
    </xf>
    <xf numFmtId="177" fontId="122" fillId="0" borderId="0">
      <protection locked="0"/>
    </xf>
    <xf numFmtId="9" fontId="121" fillId="0" borderId="0">
      <protection locked="0"/>
    </xf>
    <xf numFmtId="178" fontId="122" fillId="0" borderId="0">
      <protection locked="0"/>
    </xf>
    <xf numFmtId="178" fontId="122" fillId="0" borderId="0">
      <protection locked="0"/>
    </xf>
    <xf numFmtId="177" fontId="122" fillId="0" borderId="0">
      <protection locked="0"/>
    </xf>
    <xf numFmtId="0" fontId="123" fillId="0" borderId="0">
      <protection locked="0"/>
    </xf>
    <xf numFmtId="0" fontId="124" fillId="0" borderId="0">
      <protection locked="0"/>
    </xf>
    <xf numFmtId="193" fontId="125" fillId="0" borderId="0">
      <protection locked="0"/>
    </xf>
    <xf numFmtId="9" fontId="126" fillId="0" borderId="0">
      <protection locked="0"/>
    </xf>
    <xf numFmtId="177" fontId="125" fillId="0" borderId="0">
      <protection locked="0"/>
    </xf>
    <xf numFmtId="178" fontId="120" fillId="0" borderId="0">
      <protection locked="0"/>
    </xf>
  </cellStyleXfs>
  <cellXfs count="1777">
    <xf numFmtId="178" fontId="0" fillId="0" borderId="0" xfId="0">
      <alignment vertical="center"/>
    </xf>
    <xf numFmtId="0" fontId="1" fillId="2" borderId="0" xfId="1" applyFont="1" applyFill="1" applyAlignment="1" applyProtection="1">
      <alignment vertical="center"/>
    </xf>
    <xf numFmtId="0" fontId="2" fillId="2" borderId="0" xfId="1" applyFont="1" applyFill="1" applyAlignment="1" applyProtection="1">
      <alignment vertical="center"/>
    </xf>
    <xf numFmtId="0" fontId="3" fillId="2" borderId="0" xfId="1" applyFont="1" applyFill="1" applyAlignment="1" applyProtection="1">
      <alignment horizontal="left" vertical="center"/>
    </xf>
    <xf numFmtId="14" fontId="1" fillId="2" borderId="0" xfId="1" applyNumberFormat="1" applyFont="1" applyFill="1" applyAlignment="1">
      <alignment horizontal="right" vertical="center"/>
      <protection locked="0"/>
    </xf>
    <xf numFmtId="14" fontId="1" fillId="2" borderId="0" xfId="1" applyNumberFormat="1" applyFont="1" applyFill="1" applyAlignment="1" applyProtection="1">
      <alignment horizontal="left" vertical="center"/>
    </xf>
    <xf numFmtId="0" fontId="1" fillId="3" borderId="0" xfId="1" applyFont="1" applyFill="1" applyAlignment="1" applyProtection="1">
      <alignment vertical="center"/>
    </xf>
    <xf numFmtId="0" fontId="1" fillId="4" borderId="0" xfId="1" applyFont="1" applyFill="1" applyAlignment="1" applyProtection="1">
      <alignment vertical="center"/>
    </xf>
    <xf numFmtId="179" fontId="4" fillId="2" borderId="0" xfId="2" applyFont="1" applyFill="1" applyAlignment="1">
      <alignment horizontal="left" vertical="center"/>
      <protection locked="0"/>
    </xf>
    <xf numFmtId="0" fontId="4" fillId="2" borderId="0" xfId="1" applyFont="1" applyFill="1" applyAlignment="1" applyProtection="1">
      <alignment vertical="center"/>
    </xf>
    <xf numFmtId="179" fontId="1" fillId="2" borderId="0" xfId="2" quotePrefix="1" applyFont="1" applyFill="1" applyAlignment="1">
      <alignment horizontal="left" vertical="center"/>
      <protection locked="0"/>
    </xf>
    <xf numFmtId="179" fontId="1" fillId="2" borderId="0" xfId="2" applyFont="1" applyFill="1" applyAlignment="1">
      <alignment horizontal="left" vertical="center"/>
      <protection locked="0"/>
    </xf>
    <xf numFmtId="0" fontId="1" fillId="2" borderId="0" xfId="1" applyFont="1" applyFill="1" applyAlignment="1" applyProtection="1">
      <alignment horizontal="left" vertical="center"/>
    </xf>
    <xf numFmtId="0" fontId="5" fillId="2" borderId="0" xfId="1" applyFont="1" applyFill="1" applyAlignment="1" applyProtection="1">
      <alignment vertical="center"/>
    </xf>
    <xf numFmtId="0" fontId="7" fillId="2" borderId="0" xfId="1" applyFont="1" applyFill="1" applyAlignment="1" applyProtection="1">
      <alignment vertical="center"/>
    </xf>
    <xf numFmtId="178" fontId="8" fillId="2" borderId="0" xfId="3" applyFont="1" applyFill="1" applyAlignment="1">
      <alignment vertical="center"/>
      <protection locked="0"/>
    </xf>
    <xf numFmtId="0" fontId="8" fillId="2" borderId="0" xfId="1" applyFont="1" applyFill="1" applyAlignment="1" applyProtection="1">
      <alignment vertical="center"/>
    </xf>
    <xf numFmtId="0" fontId="9" fillId="2" borderId="0" xfId="1" applyFont="1" applyFill="1" applyAlignment="1" applyProtection="1">
      <alignment vertical="center"/>
    </xf>
    <xf numFmtId="178" fontId="11" fillId="5" borderId="0" xfId="4" applyFont="1" applyFill="1" applyAlignment="1" applyProtection="1">
      <alignment vertical="center"/>
    </xf>
    <xf numFmtId="178" fontId="12" fillId="0" borderId="0" xfId="4" applyFont="1" applyAlignment="1" applyProtection="1">
      <alignment vertical="center"/>
    </xf>
    <xf numFmtId="178" fontId="12" fillId="0" borderId="0" xfId="4" applyFont="1" applyAlignment="1">
      <alignment vertical="center"/>
      <protection locked="0"/>
    </xf>
    <xf numFmtId="180" fontId="12" fillId="0" borderId="0" xfId="4" applyNumberFormat="1" applyFont="1" applyAlignment="1">
      <alignment vertical="center"/>
      <protection locked="0"/>
    </xf>
    <xf numFmtId="178" fontId="13" fillId="5" borderId="0" xfId="4" applyFont="1" applyFill="1" applyAlignment="1" applyProtection="1">
      <alignment vertical="center"/>
    </xf>
    <xf numFmtId="178" fontId="14" fillId="6" borderId="1" xfId="4" applyFont="1" applyFill="1" applyBorder="1" applyAlignment="1" applyProtection="1">
      <alignment vertical="center"/>
    </xf>
    <xf numFmtId="178" fontId="14" fillId="6" borderId="2" xfId="4" applyFont="1" applyFill="1" applyBorder="1" applyAlignment="1" applyProtection="1">
      <alignment vertical="center"/>
    </xf>
    <xf numFmtId="49" fontId="14" fillId="6" borderId="0" xfId="4" applyNumberFormat="1" applyFont="1" applyFill="1" applyAlignment="1" applyProtection="1">
      <alignment vertical="center"/>
    </xf>
    <xf numFmtId="178" fontId="15" fillId="6" borderId="0" xfId="4" applyFont="1" applyFill="1" applyAlignment="1">
      <alignment vertical="center"/>
      <protection locked="0"/>
    </xf>
    <xf numFmtId="178" fontId="16" fillId="0" borderId="0" xfId="4" applyFont="1" applyAlignment="1" applyProtection="1">
      <alignment vertical="center"/>
    </xf>
    <xf numFmtId="178" fontId="17" fillId="0" borderId="0" xfId="4" applyFont="1" applyAlignment="1" applyProtection="1">
      <alignment vertical="center"/>
    </xf>
    <xf numFmtId="178" fontId="18" fillId="7" borderId="1" xfId="4" applyFont="1" applyFill="1" applyBorder="1" applyAlignment="1" applyProtection="1">
      <alignment vertical="center"/>
    </xf>
    <xf numFmtId="178" fontId="18" fillId="7" borderId="2" xfId="4" applyFont="1" applyFill="1" applyBorder="1" applyAlignment="1" applyProtection="1">
      <alignment vertical="center"/>
    </xf>
    <xf numFmtId="178" fontId="18" fillId="7" borderId="0" xfId="4" applyFont="1" applyFill="1" applyAlignment="1" applyProtection="1">
      <alignment vertical="center"/>
    </xf>
    <xf numFmtId="178" fontId="15" fillId="7" borderId="0" xfId="4" applyFont="1" applyFill="1" applyAlignment="1">
      <alignment vertical="center"/>
      <protection locked="0"/>
    </xf>
    <xf numFmtId="178" fontId="15" fillId="5" borderId="0" xfId="4" applyFont="1" applyFill="1" applyAlignment="1">
      <alignment vertical="center"/>
      <protection locked="0"/>
    </xf>
    <xf numFmtId="178" fontId="18" fillId="8" borderId="1" xfId="4" applyFont="1" applyFill="1" applyBorder="1" applyAlignment="1" applyProtection="1">
      <alignment vertical="center"/>
    </xf>
    <xf numFmtId="178" fontId="18" fillId="8" borderId="2" xfId="4" applyFont="1" applyFill="1" applyBorder="1" applyAlignment="1" applyProtection="1">
      <alignment vertical="center"/>
    </xf>
    <xf numFmtId="178" fontId="18" fillId="8" borderId="0" xfId="4" applyFont="1" applyFill="1" applyAlignment="1">
      <alignment vertical="center"/>
      <protection locked="0"/>
    </xf>
    <xf numFmtId="178" fontId="15" fillId="8" borderId="0" xfId="4" applyFont="1" applyFill="1" applyAlignment="1">
      <alignment vertical="center"/>
      <protection locked="0"/>
    </xf>
    <xf numFmtId="181" fontId="18" fillId="8" borderId="0" xfId="4" applyNumberFormat="1" applyFont="1" applyFill="1" applyAlignment="1">
      <alignment horizontal="left" vertical="center"/>
      <protection locked="0"/>
    </xf>
    <xf numFmtId="178" fontId="19" fillId="5" borderId="0" xfId="4" applyFont="1" applyFill="1" applyAlignment="1">
      <alignment vertical="center"/>
      <protection locked="0"/>
    </xf>
    <xf numFmtId="178" fontId="13" fillId="5" borderId="0" xfId="4" applyFont="1" applyFill="1" applyAlignment="1" applyProtection="1">
      <alignment vertical="top"/>
    </xf>
    <xf numFmtId="178" fontId="18" fillId="8" borderId="1" xfId="4" applyFont="1" applyFill="1" applyBorder="1" applyAlignment="1" applyProtection="1">
      <alignment vertical="top"/>
    </xf>
    <xf numFmtId="178" fontId="18" fillId="8" borderId="2" xfId="4" applyFont="1" applyFill="1" applyBorder="1" applyAlignment="1" applyProtection="1">
      <alignment vertical="top"/>
    </xf>
    <xf numFmtId="178" fontId="22" fillId="8" borderId="0" xfId="4" applyFont="1" applyFill="1" applyAlignment="1">
      <alignment horizontal="right" vertical="center"/>
      <protection locked="0"/>
    </xf>
    <xf numFmtId="178" fontId="23" fillId="8" borderId="0" xfId="4" applyFont="1" applyFill="1" applyAlignment="1">
      <alignment horizontal="right" vertical="center"/>
      <protection locked="0"/>
    </xf>
    <xf numFmtId="178" fontId="18" fillId="8" borderId="3" xfId="4" applyFont="1" applyFill="1" applyBorder="1" applyAlignment="1" applyProtection="1">
      <alignment vertical="center"/>
    </xf>
    <xf numFmtId="178" fontId="18" fillId="8" borderId="4" xfId="4" applyFont="1" applyFill="1" applyBorder="1" applyAlignment="1" applyProtection="1">
      <alignment vertical="center"/>
    </xf>
    <xf numFmtId="178" fontId="18" fillId="8" borderId="5" xfId="4" applyFont="1" applyFill="1" applyBorder="1" applyAlignment="1">
      <alignment vertical="center"/>
      <protection locked="0"/>
    </xf>
    <xf numFmtId="178" fontId="22" fillId="8" borderId="5" xfId="4" applyFont="1" applyFill="1" applyBorder="1" applyAlignment="1">
      <alignment horizontal="right" vertical="center"/>
      <protection locked="0"/>
    </xf>
    <xf numFmtId="178" fontId="16" fillId="5" borderId="0" xfId="4" applyFont="1" applyFill="1" applyAlignment="1" applyProtection="1">
      <alignment vertical="center"/>
    </xf>
    <xf numFmtId="178" fontId="15" fillId="5" borderId="0" xfId="4" applyFont="1" applyFill="1" applyAlignment="1" applyProtection="1">
      <alignment vertical="center"/>
    </xf>
    <xf numFmtId="178" fontId="14" fillId="9" borderId="1" xfId="4" applyFont="1" applyFill="1" applyBorder="1" applyAlignment="1" applyProtection="1">
      <alignment vertical="center"/>
    </xf>
    <xf numFmtId="178" fontId="15" fillId="9" borderId="0" xfId="4" applyFont="1" applyFill="1" applyAlignment="1">
      <alignment vertical="center"/>
      <protection locked="0"/>
    </xf>
    <xf numFmtId="178" fontId="15" fillId="5" borderId="1" xfId="4" applyFont="1" applyFill="1" applyBorder="1" applyAlignment="1" applyProtection="1">
      <alignment vertical="center"/>
    </xf>
    <xf numFmtId="178" fontId="24" fillId="8" borderId="1" xfId="4" applyFont="1" applyFill="1" applyBorder="1" applyAlignment="1" applyProtection="1">
      <alignment vertical="center"/>
    </xf>
    <xf numFmtId="182" fontId="13" fillId="8" borderId="0" xfId="5" applyNumberFormat="1" applyFont="1" applyFill="1">
      <protection locked="0"/>
    </xf>
    <xf numFmtId="3" fontId="21" fillId="8" borderId="0" xfId="5" applyNumberFormat="1" applyFont="1" applyFill="1">
      <protection locked="0"/>
    </xf>
    <xf numFmtId="178" fontId="12" fillId="8" borderId="0" xfId="4" applyFont="1" applyFill="1" applyAlignment="1" applyProtection="1">
      <alignment vertical="center"/>
    </xf>
    <xf numFmtId="178" fontId="24" fillId="5" borderId="1" xfId="4" applyFont="1" applyFill="1" applyBorder="1" applyAlignment="1" applyProtection="1">
      <alignment vertical="center"/>
    </xf>
    <xf numFmtId="182" fontId="13" fillId="5" borderId="0" xfId="5" applyNumberFormat="1" applyFont="1" applyFill="1">
      <protection locked="0"/>
    </xf>
    <xf numFmtId="3" fontId="21" fillId="5" borderId="0" xfId="5" applyNumberFormat="1" applyFont="1" applyFill="1">
      <protection locked="0"/>
    </xf>
    <xf numFmtId="178" fontId="12" fillId="5" borderId="0" xfId="4" applyFont="1" applyFill="1" applyAlignment="1" applyProtection="1">
      <alignment vertical="center"/>
    </xf>
    <xf numFmtId="178" fontId="24" fillId="8" borderId="3" xfId="4" applyFont="1" applyFill="1" applyBorder="1" applyAlignment="1" applyProtection="1">
      <alignment vertical="center"/>
    </xf>
    <xf numFmtId="178" fontId="15" fillId="8" borderId="5" xfId="4" applyFont="1" applyFill="1" applyBorder="1" applyAlignment="1">
      <alignment vertical="center"/>
      <protection locked="0"/>
    </xf>
    <xf numFmtId="182" fontId="13" fillId="8" borderId="5" xfId="5" applyNumberFormat="1" applyFont="1" applyFill="1" applyBorder="1">
      <protection locked="0"/>
    </xf>
    <xf numFmtId="3" fontId="21" fillId="8" borderId="5" xfId="5" applyNumberFormat="1" applyFont="1" applyFill="1" applyBorder="1">
      <protection locked="0"/>
    </xf>
    <xf numFmtId="3" fontId="21" fillId="5" borderId="0" xfId="6" applyNumberFormat="1" applyFont="1" applyFill="1">
      <protection locked="0"/>
    </xf>
    <xf numFmtId="3" fontId="20" fillId="5" borderId="0" xfId="4" applyNumberFormat="1" applyFont="1" applyFill="1" applyAlignment="1">
      <alignment vertical="center"/>
      <protection locked="0"/>
    </xf>
    <xf numFmtId="182" fontId="13" fillId="9" borderId="0" xfId="5" applyNumberFormat="1" applyFont="1" applyFill="1">
      <protection locked="0"/>
    </xf>
    <xf numFmtId="3" fontId="21" fillId="9" borderId="0" xfId="5" applyNumberFormat="1" applyFont="1" applyFill="1">
      <protection locked="0"/>
    </xf>
    <xf numFmtId="3" fontId="21" fillId="9" borderId="0" xfId="6" applyNumberFormat="1" applyFont="1" applyFill="1">
      <protection locked="0"/>
    </xf>
    <xf numFmtId="3" fontId="20" fillId="9" borderId="0" xfId="4" applyNumberFormat="1" applyFont="1" applyFill="1" applyAlignment="1">
      <alignment vertical="center"/>
      <protection locked="0"/>
    </xf>
    <xf numFmtId="178" fontId="25" fillId="7" borderId="1" xfId="4" applyFont="1" applyFill="1" applyBorder="1" applyAlignment="1" applyProtection="1">
      <alignment vertical="center"/>
    </xf>
    <xf numFmtId="182" fontId="13" fillId="7" borderId="0" xfId="6" applyNumberFormat="1" applyFont="1" applyFill="1">
      <protection locked="0"/>
    </xf>
    <xf numFmtId="3" fontId="21" fillId="7" borderId="0" xfId="6" applyNumberFormat="1" applyFont="1" applyFill="1">
      <protection locked="0"/>
    </xf>
    <xf numFmtId="178" fontId="12" fillId="7" borderId="0" xfId="4" applyFont="1" applyFill="1" applyAlignment="1" applyProtection="1">
      <alignment vertical="center"/>
    </xf>
    <xf numFmtId="182" fontId="13" fillId="7" borderId="0" xfId="5" applyNumberFormat="1" applyFont="1" applyFill="1">
      <protection locked="0"/>
    </xf>
    <xf numFmtId="3" fontId="21" fillId="7" borderId="0" xfId="5" applyNumberFormat="1" applyFont="1" applyFill="1">
      <protection locked="0"/>
    </xf>
    <xf numFmtId="3" fontId="21" fillId="2" borderId="0" xfId="5" applyNumberFormat="1" applyFont="1" applyFill="1">
      <protection locked="0"/>
    </xf>
    <xf numFmtId="178" fontId="24" fillId="5" borderId="3" xfId="4" applyFont="1" applyFill="1" applyBorder="1" applyAlignment="1" applyProtection="1">
      <alignment vertical="center"/>
    </xf>
    <xf numFmtId="178" fontId="15" fillId="5" borderId="5" xfId="4" applyFont="1" applyFill="1" applyBorder="1" applyAlignment="1">
      <alignment vertical="center"/>
      <protection locked="0"/>
    </xf>
    <xf numFmtId="182" fontId="13" fillId="5" borderId="5" xfId="5" applyNumberFormat="1" applyFont="1" applyFill="1" applyBorder="1">
      <protection locked="0"/>
    </xf>
    <xf numFmtId="3" fontId="21" fillId="5" borderId="5" xfId="5" applyNumberFormat="1" applyFont="1" applyFill="1" applyBorder="1">
      <protection locked="0"/>
    </xf>
    <xf numFmtId="182" fontId="26" fillId="7" borderId="0" xfId="6" applyNumberFormat="1" applyFill="1">
      <protection locked="0"/>
    </xf>
    <xf numFmtId="180" fontId="15" fillId="5" borderId="0" xfId="4" applyNumberFormat="1" applyFont="1" applyFill="1" applyAlignment="1">
      <alignment vertical="center"/>
      <protection locked="0"/>
    </xf>
    <xf numFmtId="180" fontId="15" fillId="7" borderId="0" xfId="4" applyNumberFormat="1" applyFont="1" applyFill="1" applyAlignment="1">
      <alignment vertical="center"/>
      <protection locked="0"/>
    </xf>
    <xf numFmtId="180" fontId="15" fillId="8" borderId="5" xfId="4" applyNumberFormat="1" applyFont="1" applyFill="1" applyBorder="1" applyAlignment="1">
      <alignment vertical="center"/>
      <protection locked="0"/>
    </xf>
    <xf numFmtId="180" fontId="15" fillId="9" borderId="0" xfId="4" applyNumberFormat="1" applyFont="1" applyFill="1" applyAlignment="1">
      <alignment vertical="center"/>
      <protection locked="0"/>
    </xf>
    <xf numFmtId="178" fontId="25" fillId="7" borderId="3" xfId="4" applyFont="1" applyFill="1" applyBorder="1" applyAlignment="1" applyProtection="1">
      <alignment vertical="center"/>
    </xf>
    <xf numFmtId="178" fontId="15" fillId="7" borderId="5" xfId="4" applyFont="1" applyFill="1" applyBorder="1" applyAlignment="1">
      <alignment vertical="center"/>
      <protection locked="0"/>
    </xf>
    <xf numFmtId="180" fontId="15" fillId="7" borderId="5" xfId="4" applyNumberFormat="1" applyFont="1" applyFill="1" applyBorder="1" applyAlignment="1">
      <alignment vertical="center"/>
      <protection locked="0"/>
    </xf>
    <xf numFmtId="178" fontId="15" fillId="0" borderId="0" xfId="4" applyFont="1" applyAlignment="1" applyProtection="1">
      <alignment vertical="center"/>
    </xf>
    <xf numFmtId="178" fontId="15" fillId="0" borderId="0" xfId="4" applyFont="1" applyAlignment="1">
      <alignment vertical="center"/>
      <protection locked="0"/>
    </xf>
    <xf numFmtId="180" fontId="15" fillId="0" borderId="0" xfId="4" applyNumberFormat="1" applyFont="1" applyAlignment="1">
      <alignment vertical="center"/>
      <protection locked="0"/>
    </xf>
    <xf numFmtId="178" fontId="27" fillId="0" borderId="0" xfId="7" applyFont="1" applyAlignment="1" applyProtection="1">
      <alignment vertical="center"/>
    </xf>
    <xf numFmtId="178" fontId="27" fillId="0" borderId="0" xfId="7" applyFont="1" applyAlignment="1" applyProtection="1">
      <alignment horizontal="center" vertical="center"/>
    </xf>
    <xf numFmtId="178" fontId="28" fillId="0" borderId="0" xfId="7" applyFont="1" applyAlignment="1" applyProtection="1">
      <alignment vertical="center"/>
    </xf>
    <xf numFmtId="178" fontId="29" fillId="0" borderId="0" xfId="7" applyFont="1" applyAlignment="1" applyProtection="1">
      <alignment vertical="center"/>
    </xf>
    <xf numFmtId="178" fontId="30" fillId="10" borderId="0" xfId="7" applyFont="1" applyFill="1" applyAlignment="1" applyProtection="1">
      <alignment vertical="center"/>
    </xf>
    <xf numFmtId="178" fontId="29" fillId="10" borderId="0" xfId="7" applyFont="1" applyFill="1" applyAlignment="1" applyProtection="1">
      <alignment vertical="center"/>
    </xf>
    <xf numFmtId="3" fontId="30" fillId="10" borderId="0" xfId="7" applyNumberFormat="1" applyFont="1" applyFill="1" applyAlignment="1" applyProtection="1">
      <alignment horizontal="right" vertical="center"/>
    </xf>
    <xf numFmtId="178" fontId="27" fillId="2" borderId="0" xfId="7" applyFont="1" applyFill="1" applyAlignment="1" applyProtection="1">
      <alignment vertical="center"/>
    </xf>
    <xf numFmtId="3" fontId="27" fillId="2" borderId="0" xfId="7" applyNumberFormat="1" applyFont="1" applyFill="1" applyAlignment="1" applyProtection="1">
      <alignment horizontal="right" vertical="center"/>
    </xf>
    <xf numFmtId="183" fontId="27" fillId="0" borderId="0" xfId="8" applyNumberFormat="1" applyFont="1" applyAlignment="1" applyProtection="1">
      <alignment vertical="center"/>
    </xf>
    <xf numFmtId="183" fontId="31" fillId="2" borderId="0" xfId="9" applyNumberFormat="1" applyFont="1" applyFill="1" applyAlignment="1" applyProtection="1">
      <alignment vertical="center"/>
    </xf>
    <xf numFmtId="183" fontId="31" fillId="2" borderId="0" xfId="9" applyNumberFormat="1" applyFont="1" applyFill="1" applyAlignment="1" applyProtection="1">
      <alignment horizontal="right" vertical="center"/>
    </xf>
    <xf numFmtId="178" fontId="27" fillId="2" borderId="0" xfId="7" applyFont="1" applyFill="1" applyAlignment="1" applyProtection="1">
      <alignment horizontal="right" vertical="center"/>
    </xf>
    <xf numFmtId="178" fontId="28" fillId="2" borderId="0" xfId="7" applyFont="1" applyFill="1" applyAlignment="1" applyProtection="1">
      <alignment horizontal="right" vertical="center"/>
    </xf>
    <xf numFmtId="178" fontId="27" fillId="11" borderId="0" xfId="7" applyFont="1" applyFill="1" applyAlignment="1" applyProtection="1">
      <alignment vertical="center"/>
    </xf>
    <xf numFmtId="178" fontId="28" fillId="11" borderId="0" xfId="7" applyFont="1" applyFill="1" applyAlignment="1" applyProtection="1">
      <alignment vertical="center"/>
    </xf>
    <xf numFmtId="3" fontId="28" fillId="11" borderId="0" xfId="7" applyNumberFormat="1" applyFont="1" applyFill="1" applyAlignment="1" applyProtection="1">
      <alignment horizontal="right" vertical="center"/>
    </xf>
    <xf numFmtId="178" fontId="28" fillId="2" borderId="0" xfId="7" applyFont="1" applyFill="1" applyAlignment="1" applyProtection="1">
      <alignment vertical="center"/>
    </xf>
    <xf numFmtId="178" fontId="31" fillId="2" borderId="0" xfId="7" applyFont="1" applyFill="1" applyAlignment="1" applyProtection="1">
      <alignment vertical="center"/>
    </xf>
    <xf numFmtId="178" fontId="30" fillId="10" borderId="0" xfId="7" applyFont="1" applyFill="1" applyAlignment="1" applyProtection="1">
      <alignment horizontal="center" vertical="center"/>
    </xf>
    <xf numFmtId="184" fontId="27" fillId="2" borderId="0" xfId="7" applyNumberFormat="1" applyFont="1" applyFill="1" applyAlignment="1" applyProtection="1">
      <alignment horizontal="center" vertical="center"/>
    </xf>
    <xf numFmtId="178" fontId="27" fillId="2" borderId="0" xfId="7" applyFont="1" applyFill="1" applyAlignment="1" applyProtection="1">
      <alignment horizontal="center" vertical="center"/>
    </xf>
    <xf numFmtId="178" fontId="27" fillId="2" borderId="0" xfId="7" applyFont="1" applyFill="1" applyAlignment="1" applyProtection="1">
      <alignment horizontal="left" vertical="center"/>
    </xf>
    <xf numFmtId="183" fontId="32" fillId="2" borderId="0" xfId="9" applyNumberFormat="1" applyFont="1" applyFill="1" applyAlignment="1" applyProtection="1">
      <alignment horizontal="right" vertical="center"/>
    </xf>
    <xf numFmtId="183" fontId="27" fillId="0" borderId="0" xfId="7" applyNumberFormat="1" applyFont="1" applyAlignment="1" applyProtection="1">
      <alignment vertical="center"/>
    </xf>
    <xf numFmtId="185" fontId="32" fillId="2" borderId="0" xfId="7" applyNumberFormat="1" applyFont="1" applyFill="1" applyAlignment="1" applyProtection="1">
      <alignment horizontal="right" vertical="center"/>
    </xf>
    <xf numFmtId="2" fontId="27" fillId="0" borderId="0" xfId="7" applyNumberFormat="1" applyFont="1" applyAlignment="1" applyProtection="1">
      <alignment vertical="center"/>
    </xf>
    <xf numFmtId="183" fontId="27" fillId="2" borderId="0" xfId="9" applyNumberFormat="1" applyFont="1" applyFill="1" applyAlignment="1" applyProtection="1">
      <alignment horizontal="right" vertical="center"/>
    </xf>
    <xf numFmtId="178" fontId="27" fillId="2" borderId="6" xfId="7" applyFont="1" applyFill="1" applyBorder="1" applyAlignment="1" applyProtection="1">
      <alignment vertical="center"/>
    </xf>
    <xf numFmtId="178" fontId="27" fillId="2" borderId="7" xfId="7" applyFont="1" applyFill="1" applyBorder="1" applyAlignment="1" applyProtection="1">
      <alignment vertical="center"/>
    </xf>
    <xf numFmtId="4" fontId="27" fillId="2" borderId="8" xfId="7" applyNumberFormat="1" applyFont="1" applyFill="1" applyBorder="1" applyAlignment="1" applyProtection="1">
      <alignment horizontal="right" vertical="center"/>
    </xf>
    <xf numFmtId="4" fontId="27" fillId="2" borderId="7" xfId="7" applyNumberFormat="1" applyFont="1" applyFill="1" applyBorder="1" applyAlignment="1" applyProtection="1">
      <alignment horizontal="right" vertical="center"/>
    </xf>
    <xf numFmtId="183" fontId="33" fillId="0" borderId="0" xfId="9" applyNumberFormat="1" applyFont="1" applyAlignment="1" applyProtection="1">
      <alignment horizontal="right" vertical="center"/>
    </xf>
    <xf numFmtId="178" fontId="29" fillId="2" borderId="0" xfId="7" applyFont="1" applyFill="1" applyAlignment="1" applyProtection="1">
      <alignment vertical="center"/>
    </xf>
    <xf numFmtId="183" fontId="27" fillId="2" borderId="9" xfId="7" applyNumberFormat="1" applyFont="1" applyFill="1" applyBorder="1" applyAlignment="1" applyProtection="1">
      <alignment horizontal="center" vertical="center"/>
    </xf>
    <xf numFmtId="183" fontId="28" fillId="2" borderId="9" xfId="7" applyNumberFormat="1" applyFont="1" applyFill="1" applyBorder="1" applyAlignment="1" applyProtection="1">
      <alignment horizontal="center" vertical="center"/>
    </xf>
    <xf numFmtId="183" fontId="27" fillId="2" borderId="12" xfId="7" applyNumberFormat="1" applyFont="1" applyFill="1" applyBorder="1" applyAlignment="1" applyProtection="1">
      <alignment horizontal="center" vertical="center"/>
    </xf>
    <xf numFmtId="39" fontId="27" fillId="2" borderId="0" xfId="7" applyNumberFormat="1" applyFont="1" applyFill="1" applyAlignment="1" applyProtection="1">
      <alignment horizontal="center" vertical="center"/>
    </xf>
    <xf numFmtId="183" fontId="27" fillId="2" borderId="13" xfId="7" applyNumberFormat="1" applyFont="1" applyFill="1" applyBorder="1" applyAlignment="1" applyProtection="1">
      <alignment horizontal="center" vertical="center"/>
    </xf>
    <xf numFmtId="183" fontId="28" fillId="2" borderId="13" xfId="7" applyNumberFormat="1" applyFont="1" applyFill="1" applyBorder="1" applyAlignment="1" applyProtection="1">
      <alignment horizontal="center" vertical="center"/>
    </xf>
    <xf numFmtId="183" fontId="27" fillId="2" borderId="0" xfId="8" applyNumberFormat="1" applyFont="1" applyFill="1" applyAlignment="1" applyProtection="1">
      <alignment horizontal="center" vertical="center"/>
    </xf>
    <xf numFmtId="180" fontId="27" fillId="2" borderId="0" xfId="7" applyNumberFormat="1" applyFont="1" applyFill="1" applyAlignment="1" applyProtection="1">
      <alignment horizontal="center" vertical="center"/>
    </xf>
    <xf numFmtId="183" fontId="31" fillId="2" borderId="0" xfId="9" applyNumberFormat="1" applyFont="1" applyFill="1" applyAlignment="1" applyProtection="1">
      <alignment horizontal="center" vertical="center"/>
    </xf>
    <xf numFmtId="180" fontId="28" fillId="11" borderId="0" xfId="7" applyNumberFormat="1" applyFont="1" applyFill="1" applyAlignment="1" applyProtection="1">
      <alignment horizontal="center" vertical="center"/>
    </xf>
    <xf numFmtId="180" fontId="27" fillId="2" borderId="0" xfId="7" applyNumberFormat="1" applyFont="1" applyFill="1" applyAlignment="1" applyProtection="1">
      <alignment horizontal="right" vertical="center"/>
    </xf>
    <xf numFmtId="185" fontId="27" fillId="2" borderId="0" xfId="7" applyNumberFormat="1" applyFont="1" applyFill="1" applyAlignment="1" applyProtection="1">
      <alignment horizontal="right" vertical="center"/>
    </xf>
    <xf numFmtId="178" fontId="27" fillId="2" borderId="14" xfId="7" applyFont="1" applyFill="1" applyBorder="1" applyAlignment="1" applyProtection="1">
      <alignment vertical="center"/>
    </xf>
    <xf numFmtId="178" fontId="27" fillId="2" borderId="15" xfId="7" applyFont="1" applyFill="1" applyBorder="1" applyAlignment="1" applyProtection="1">
      <alignment vertical="center"/>
    </xf>
    <xf numFmtId="186" fontId="27" fillId="2" borderId="16" xfId="7" applyNumberFormat="1" applyFont="1" applyFill="1" applyBorder="1" applyAlignment="1" applyProtection="1">
      <alignment horizontal="right" vertical="center"/>
    </xf>
    <xf numFmtId="178" fontId="34" fillId="10" borderId="0" xfId="7" applyFont="1" applyFill="1" applyAlignment="1" applyProtection="1">
      <alignment vertical="center"/>
    </xf>
    <xf numFmtId="39" fontId="27" fillId="11" borderId="0" xfId="7" applyNumberFormat="1" applyFont="1" applyFill="1" applyAlignment="1" applyProtection="1">
      <alignment horizontal="center" vertical="center"/>
    </xf>
    <xf numFmtId="178" fontId="27" fillId="0" borderId="0" xfId="10" applyFont="1" applyProtection="1"/>
    <xf numFmtId="178" fontId="27" fillId="0" borderId="0" xfId="10" applyFont="1" applyAlignment="1" applyProtection="1">
      <alignment horizontal="right"/>
    </xf>
    <xf numFmtId="178" fontId="27" fillId="0" borderId="0" xfId="4" applyFont="1" applyAlignment="1" applyProtection="1">
      <alignment horizontal="right"/>
    </xf>
    <xf numFmtId="178" fontId="27" fillId="0" borderId="0" xfId="4" applyFont="1" applyProtection="1"/>
    <xf numFmtId="14" fontId="35" fillId="10" borderId="0" xfId="11" applyNumberFormat="1" applyFont="1" applyFill="1" applyAlignment="1" applyProtection="1">
      <alignment horizontal="left" vertical="center"/>
    </xf>
    <xf numFmtId="187" fontId="35" fillId="10" borderId="0" xfId="12" applyNumberFormat="1" applyFont="1" applyFill="1" applyAlignment="1" applyProtection="1">
      <alignment horizontal="left" vertical="center"/>
    </xf>
    <xf numFmtId="9" fontId="27" fillId="0" borderId="0" xfId="4" applyNumberFormat="1" applyFont="1" applyProtection="1"/>
    <xf numFmtId="14" fontId="27" fillId="0" borderId="0" xfId="4" applyNumberFormat="1" applyFont="1" applyProtection="1"/>
    <xf numFmtId="178" fontId="28" fillId="0" borderId="0" xfId="10" applyFont="1" applyAlignment="1" applyProtection="1">
      <alignment vertical="center"/>
    </xf>
    <xf numFmtId="177" fontId="27" fillId="0" borderId="0" xfId="4" applyNumberFormat="1" applyFont="1" applyAlignment="1" applyProtection="1">
      <alignment horizontal="right"/>
    </xf>
    <xf numFmtId="178" fontId="36" fillId="0" borderId="0" xfId="10" applyFont="1" applyProtection="1"/>
    <xf numFmtId="178" fontId="35" fillId="10" borderId="0" xfId="10" applyFont="1" applyFill="1" applyAlignment="1" applyProtection="1">
      <alignment horizontal="right" vertical="center"/>
    </xf>
    <xf numFmtId="178" fontId="35" fillId="0" borderId="0" xfId="10" applyFont="1" applyAlignment="1" applyProtection="1">
      <alignment vertical="center"/>
    </xf>
    <xf numFmtId="178" fontId="36" fillId="0" borderId="0" xfId="4" applyFont="1" applyAlignment="1" applyProtection="1">
      <alignment horizontal="center"/>
    </xf>
    <xf numFmtId="178" fontId="27" fillId="0" borderId="0" xfId="10" applyFont="1" applyAlignment="1" applyProtection="1">
      <alignment vertical="center"/>
    </xf>
    <xf numFmtId="176" fontId="27" fillId="0" borderId="0" xfId="11" applyFont="1" applyAlignment="1" applyProtection="1">
      <alignment horizontal="right" vertical="center"/>
    </xf>
    <xf numFmtId="3" fontId="27" fillId="0" borderId="0" xfId="11" applyNumberFormat="1" applyFont="1" applyAlignment="1" applyProtection="1">
      <alignment horizontal="right" vertical="center"/>
    </xf>
    <xf numFmtId="183" fontId="27" fillId="0" borderId="0" xfId="8" applyNumberFormat="1" applyFont="1" applyProtection="1"/>
    <xf numFmtId="183" fontId="31" fillId="0" borderId="0" xfId="8" applyNumberFormat="1" applyFont="1" applyAlignment="1" applyProtection="1">
      <alignment horizontal="center" vertical="center"/>
    </xf>
    <xf numFmtId="183" fontId="31" fillId="0" borderId="0" xfId="8" applyNumberFormat="1" applyFont="1" applyAlignment="1" applyProtection="1">
      <alignment horizontal="right" vertical="center"/>
    </xf>
    <xf numFmtId="183" fontId="36" fillId="0" borderId="0" xfId="8" applyNumberFormat="1" applyFont="1" applyProtection="1"/>
    <xf numFmtId="183" fontId="36" fillId="0" borderId="0" xfId="8" applyNumberFormat="1" applyFont="1" applyAlignment="1" applyProtection="1">
      <alignment horizontal="left"/>
    </xf>
    <xf numFmtId="183" fontId="36" fillId="0" borderId="0" xfId="8" applyNumberFormat="1" applyFont="1" applyAlignment="1" applyProtection="1">
      <alignment horizontal="center"/>
    </xf>
    <xf numFmtId="183" fontId="37" fillId="0" borderId="0" xfId="8" applyNumberFormat="1" applyFont="1" applyAlignment="1" applyProtection="1">
      <alignment horizontal="center"/>
    </xf>
    <xf numFmtId="178" fontId="36" fillId="0" borderId="0" xfId="4" applyFont="1" applyAlignment="1" applyProtection="1">
      <alignment horizontal="left"/>
    </xf>
    <xf numFmtId="38" fontId="36" fillId="0" borderId="0" xfId="4" applyNumberFormat="1" applyFont="1" applyAlignment="1" applyProtection="1">
      <alignment horizontal="center"/>
    </xf>
    <xf numFmtId="183" fontId="36" fillId="0" borderId="0" xfId="8" applyNumberFormat="1" applyFont="1" applyAlignment="1" applyProtection="1">
      <alignment vertical="center"/>
    </xf>
    <xf numFmtId="2" fontId="27" fillId="0" borderId="0" xfId="11" applyNumberFormat="1" applyFont="1" applyAlignment="1" applyProtection="1">
      <alignment horizontal="right" vertical="center"/>
    </xf>
    <xf numFmtId="188" fontId="27" fillId="0" borderId="0" xfId="10" applyNumberFormat="1" applyFont="1">
      <protection locked="0"/>
    </xf>
    <xf numFmtId="188" fontId="27" fillId="0" borderId="0" xfId="10" applyNumberFormat="1" applyFont="1" applyAlignment="1">
      <alignment vertical="center"/>
      <protection locked="0"/>
    </xf>
    <xf numFmtId="188" fontId="27" fillId="0" borderId="0" xfId="11" applyNumberFormat="1" applyFont="1" applyAlignment="1">
      <alignment horizontal="right" vertical="center"/>
      <protection locked="0"/>
    </xf>
    <xf numFmtId="181" fontId="27" fillId="0" borderId="0" xfId="11" applyNumberFormat="1" applyFont="1" applyAlignment="1">
      <alignment horizontal="right" vertical="center"/>
      <protection locked="0"/>
    </xf>
    <xf numFmtId="188" fontId="36" fillId="0" borderId="0" xfId="10" applyNumberFormat="1" applyFont="1">
      <protection locked="0"/>
    </xf>
    <xf numFmtId="188" fontId="27" fillId="0" borderId="0" xfId="13" applyNumberFormat="1" applyFont="1" applyAlignment="1">
      <alignment horizontal="right" vertical="center"/>
      <protection locked="0"/>
    </xf>
    <xf numFmtId="181" fontId="27" fillId="0" borderId="0" xfId="13" applyNumberFormat="1" applyFont="1" applyAlignment="1">
      <alignment horizontal="right" vertical="center"/>
      <protection locked="0"/>
    </xf>
    <xf numFmtId="183" fontId="27" fillId="0" borderId="0" xfId="8" applyNumberFormat="1" applyFont="1" applyAlignment="1" applyProtection="1">
      <alignment horizontal="right" vertical="center"/>
    </xf>
    <xf numFmtId="9" fontId="27" fillId="0" borderId="0" xfId="8" applyFont="1" applyAlignment="1" applyProtection="1">
      <alignment horizontal="right" vertical="center"/>
    </xf>
    <xf numFmtId="183" fontId="27" fillId="0" borderId="0" xfId="8" applyNumberFormat="1" applyFont="1" applyAlignment="1" applyProtection="1">
      <alignment horizontal="right"/>
    </xf>
    <xf numFmtId="178" fontId="35" fillId="0" borderId="0" xfId="10" applyFont="1" applyAlignment="1" applyProtection="1">
      <alignment horizontal="right" vertical="center"/>
    </xf>
    <xf numFmtId="178" fontId="31" fillId="0" borderId="0" xfId="4" applyFont="1" applyAlignment="1" applyProtection="1">
      <alignment horizontal="center"/>
    </xf>
    <xf numFmtId="9" fontId="31" fillId="0" borderId="0" xfId="8" applyFont="1" applyAlignment="1" applyProtection="1">
      <alignment horizontal="right" vertical="center"/>
    </xf>
    <xf numFmtId="2" fontId="27" fillId="0" borderId="0" xfId="4" applyNumberFormat="1" applyFont="1" applyAlignment="1" applyProtection="1">
      <alignment horizontal="right" vertical="center"/>
    </xf>
    <xf numFmtId="4" fontId="27" fillId="0" borderId="0" xfId="11" applyNumberFormat="1" applyFont="1" applyAlignment="1" applyProtection="1">
      <alignment horizontal="right" vertical="center"/>
    </xf>
    <xf numFmtId="4" fontId="27" fillId="0" borderId="0" xfId="11" applyNumberFormat="1" applyFont="1" applyAlignment="1">
      <alignment horizontal="right" vertical="center"/>
      <protection locked="0"/>
    </xf>
    <xf numFmtId="189" fontId="27" fillId="0" borderId="0" xfId="11" applyNumberFormat="1" applyFont="1" applyAlignment="1">
      <alignment horizontal="right" vertical="center"/>
      <protection locked="0"/>
    </xf>
    <xf numFmtId="183" fontId="27" fillId="0" borderId="0" xfId="10" applyNumberFormat="1" applyFont="1" applyAlignment="1" applyProtection="1">
      <alignment horizontal="right"/>
    </xf>
    <xf numFmtId="186" fontId="27" fillId="0" borderId="0" xfId="12" applyNumberFormat="1" applyFont="1" applyProtection="1"/>
    <xf numFmtId="178" fontId="36" fillId="0" borderId="0" xfId="10" applyFont="1" applyAlignment="1" applyProtection="1">
      <alignment vertical="center"/>
    </xf>
    <xf numFmtId="40" fontId="36" fillId="0" borderId="0" xfId="4" applyNumberFormat="1" applyFont="1" applyAlignment="1" applyProtection="1">
      <alignment horizontal="center"/>
    </xf>
    <xf numFmtId="183" fontId="27" fillId="0" borderId="0" xfId="8" applyNumberFormat="1" applyFont="1" applyAlignment="1">
      <alignment horizontal="right" vertical="center"/>
      <protection locked="0"/>
    </xf>
    <xf numFmtId="4" fontId="27" fillId="0" borderId="0" xfId="12" applyNumberFormat="1" applyFont="1" applyProtection="1"/>
    <xf numFmtId="178" fontId="27" fillId="12" borderId="0" xfId="4" applyFont="1" applyFill="1" applyAlignment="1" applyProtection="1">
      <alignment horizontal="right"/>
    </xf>
    <xf numFmtId="14" fontId="27" fillId="12" borderId="0" xfId="4" applyNumberFormat="1" applyFont="1" applyFill="1" applyProtection="1"/>
    <xf numFmtId="178" fontId="27" fillId="12" borderId="0" xfId="4" applyFont="1" applyFill="1" applyProtection="1"/>
    <xf numFmtId="10" fontId="27" fillId="0" borderId="0" xfId="8" applyNumberFormat="1" applyFont="1" applyAlignment="1" applyProtection="1">
      <alignment horizontal="right"/>
    </xf>
    <xf numFmtId="9" fontId="27" fillId="0" borderId="0" xfId="8" applyFont="1" applyProtection="1"/>
    <xf numFmtId="10" fontId="27" fillId="0" borderId="0" xfId="8" applyNumberFormat="1" applyFont="1" applyProtection="1"/>
    <xf numFmtId="178" fontId="38" fillId="0" borderId="0" xfId="4" applyFont="1" applyProtection="1"/>
    <xf numFmtId="178" fontId="38" fillId="0" borderId="0" xfId="4" applyFont="1" applyAlignment="1" applyProtection="1">
      <alignment horizontal="left"/>
    </xf>
    <xf numFmtId="178" fontId="39" fillId="0" borderId="0" xfId="4" applyFont="1" applyAlignment="1" applyProtection="1">
      <alignment horizontal="right"/>
    </xf>
    <xf numFmtId="178" fontId="40" fillId="10" borderId="0" xfId="4" applyFont="1" applyFill="1" applyProtection="1"/>
    <xf numFmtId="178" fontId="40" fillId="10" borderId="0" xfId="4" applyFont="1" applyFill="1" applyAlignment="1" applyProtection="1">
      <alignment horizontal="right"/>
    </xf>
    <xf numFmtId="0" fontId="40" fillId="10" borderId="0" xfId="4" quotePrefix="1" applyNumberFormat="1" applyFont="1" applyFill="1" applyAlignment="1" applyProtection="1">
      <alignment horizontal="right"/>
    </xf>
    <xf numFmtId="178" fontId="39" fillId="13" borderId="0" xfId="4" applyFont="1" applyFill="1" applyProtection="1"/>
    <xf numFmtId="178" fontId="40" fillId="13" borderId="0" xfId="4" applyFont="1" applyFill="1" applyAlignment="1" applyProtection="1">
      <alignment horizontal="right"/>
    </xf>
    <xf numFmtId="3" fontId="38" fillId="0" borderId="0" xfId="4" applyNumberFormat="1" applyFont="1" applyProtection="1"/>
    <xf numFmtId="183" fontId="38" fillId="0" borderId="0" xfId="4" applyNumberFormat="1" applyFont="1" applyProtection="1"/>
    <xf numFmtId="178" fontId="41" fillId="0" borderId="0" xfId="4" applyFont="1" applyProtection="1"/>
    <xf numFmtId="3" fontId="39" fillId="0" borderId="0" xfId="4" applyNumberFormat="1" applyFont="1" applyProtection="1"/>
    <xf numFmtId="178" fontId="42" fillId="0" borderId="0" xfId="4" applyFont="1" applyProtection="1"/>
    <xf numFmtId="178" fontId="39" fillId="0" borderId="0" xfId="4" applyFont="1" applyAlignment="1" applyProtection="1">
      <alignment horizontal="left"/>
    </xf>
    <xf numFmtId="9" fontId="38" fillId="0" borderId="0" xfId="4" applyNumberFormat="1" applyFont="1" applyProtection="1"/>
    <xf numFmtId="178" fontId="39" fillId="13" borderId="0" xfId="4" applyFont="1" applyFill="1" applyAlignment="1" applyProtection="1">
      <alignment horizontal="left"/>
    </xf>
    <xf numFmtId="9" fontId="39" fillId="13" borderId="0" xfId="4" applyNumberFormat="1" applyFont="1" applyFill="1" applyAlignment="1" applyProtection="1">
      <alignment horizontal="right"/>
    </xf>
    <xf numFmtId="183" fontId="39" fillId="0" borderId="0" xfId="4" applyNumberFormat="1" applyFont="1" applyProtection="1"/>
    <xf numFmtId="178" fontId="39" fillId="0" borderId="0" xfId="4" applyFont="1" applyProtection="1"/>
    <xf numFmtId="3" fontId="43" fillId="0" borderId="0" xfId="4" applyNumberFormat="1" applyFont="1" applyProtection="1"/>
    <xf numFmtId="3" fontId="44" fillId="0" borderId="0" xfId="4" applyNumberFormat="1" applyFont="1" applyProtection="1"/>
    <xf numFmtId="183" fontId="43" fillId="0" borderId="0" xfId="4" applyNumberFormat="1" applyFont="1" applyProtection="1"/>
    <xf numFmtId="183" fontId="38" fillId="0" borderId="0" xfId="4" applyNumberFormat="1" applyFont="1" applyAlignment="1" applyProtection="1">
      <alignment horizontal="right"/>
    </xf>
    <xf numFmtId="0" fontId="38" fillId="0" borderId="0" xfId="4" applyNumberFormat="1" applyFont="1" applyProtection="1"/>
    <xf numFmtId="178" fontId="38" fillId="0" borderId="0" xfId="4" applyFont="1" applyAlignment="1" applyProtection="1">
      <alignment horizontal="right"/>
    </xf>
    <xf numFmtId="3" fontId="38" fillId="0" borderId="0" xfId="4" applyNumberFormat="1" applyFont="1" applyAlignment="1" applyProtection="1">
      <alignment horizontal="right"/>
    </xf>
    <xf numFmtId="178" fontId="45" fillId="0" borderId="0" xfId="4" applyFont="1" applyProtection="1"/>
    <xf numFmtId="178" fontId="39" fillId="0" borderId="0" xfId="4" applyFont="1" applyAlignment="1" applyProtection="1">
      <alignment horizontal="justify" vertical="center"/>
    </xf>
    <xf numFmtId="181" fontId="38" fillId="0" borderId="0" xfId="4" applyNumberFormat="1" applyFont="1" applyProtection="1"/>
    <xf numFmtId="183" fontId="45" fillId="0" borderId="0" xfId="4" applyNumberFormat="1" applyFont="1" applyProtection="1"/>
    <xf numFmtId="178" fontId="38" fillId="0" borderId="0" xfId="4" applyFont="1" applyAlignment="1" applyProtection="1">
      <alignment horizontal="justify" vertical="center"/>
    </xf>
    <xf numFmtId="178" fontId="38" fillId="5" borderId="0" xfId="4" applyFont="1" applyFill="1" applyAlignment="1" applyProtection="1">
      <alignment vertical="center"/>
    </xf>
    <xf numFmtId="178" fontId="38" fillId="5" borderId="0" xfId="4" applyFont="1" applyFill="1" applyAlignment="1" applyProtection="1">
      <alignment horizontal="right" vertical="center"/>
    </xf>
    <xf numFmtId="9" fontId="38" fillId="5" borderId="0" xfId="8" applyFont="1" applyFill="1" applyAlignment="1" applyProtection="1">
      <alignment vertical="center"/>
    </xf>
    <xf numFmtId="183" fontId="45" fillId="5" borderId="0" xfId="4" applyNumberFormat="1" applyFont="1" applyFill="1" applyAlignment="1" applyProtection="1">
      <alignment vertical="center"/>
    </xf>
    <xf numFmtId="178" fontId="45" fillId="5" borderId="0" xfId="4" applyFont="1" applyFill="1" applyAlignment="1" applyProtection="1">
      <alignment vertical="center"/>
    </xf>
    <xf numFmtId="183" fontId="45" fillId="5" borderId="0" xfId="4" applyNumberFormat="1" applyFont="1" applyFill="1" applyAlignment="1" applyProtection="1">
      <alignment horizontal="right" vertical="center"/>
    </xf>
    <xf numFmtId="9" fontId="45" fillId="5" borderId="0" xfId="8" applyFont="1" applyFill="1" applyAlignment="1" applyProtection="1">
      <alignment vertical="center"/>
    </xf>
    <xf numFmtId="178" fontId="46" fillId="5" borderId="0" xfId="4" applyFont="1" applyFill="1" applyAlignment="1" applyProtection="1">
      <alignment vertical="center"/>
    </xf>
    <xf numFmtId="3" fontId="45" fillId="5" borderId="0" xfId="4" applyNumberFormat="1" applyFont="1" applyFill="1" applyAlignment="1" applyProtection="1">
      <alignment horizontal="right" vertical="center"/>
    </xf>
    <xf numFmtId="3" fontId="39" fillId="5" borderId="0" xfId="12" applyNumberFormat="1" applyFont="1" applyFill="1" applyAlignment="1" applyProtection="1">
      <alignment horizontal="right" vertical="center" wrapText="1"/>
    </xf>
    <xf numFmtId="178" fontId="40" fillId="10" borderId="0" xfId="4" applyFont="1" applyFill="1" applyAlignment="1" applyProtection="1">
      <alignment horizontal="right" vertical="center"/>
    </xf>
    <xf numFmtId="178" fontId="40" fillId="10" borderId="18" xfId="4" applyFont="1" applyFill="1" applyBorder="1" applyAlignment="1" applyProtection="1">
      <alignment horizontal="right" vertical="center"/>
    </xf>
    <xf numFmtId="178" fontId="40" fillId="10" borderId="19" xfId="4" applyFont="1" applyFill="1" applyBorder="1" applyAlignment="1" applyProtection="1">
      <alignment horizontal="right" vertical="center"/>
    </xf>
    <xf numFmtId="178" fontId="39" fillId="5" borderId="0" xfId="4" applyFont="1" applyFill="1" applyAlignment="1" applyProtection="1">
      <alignment vertical="center"/>
    </xf>
    <xf numFmtId="178" fontId="39" fillId="5" borderId="0" xfId="4" applyFont="1" applyFill="1" applyAlignment="1" applyProtection="1">
      <alignment vertical="center" wrapText="1"/>
    </xf>
    <xf numFmtId="190" fontId="39" fillId="5" borderId="0" xfId="12" applyNumberFormat="1" applyFont="1" applyFill="1" applyAlignment="1" applyProtection="1">
      <alignment horizontal="right" vertical="center" wrapText="1"/>
    </xf>
    <xf numFmtId="183" fontId="39" fillId="13" borderId="0" xfId="8" applyNumberFormat="1" applyFont="1" applyFill="1" applyAlignment="1" applyProtection="1">
      <alignment horizontal="right" vertical="center" wrapText="1"/>
    </xf>
    <xf numFmtId="183" fontId="39" fillId="5" borderId="0" xfId="8" applyNumberFormat="1" applyFont="1" applyFill="1" applyAlignment="1" applyProtection="1">
      <alignment horizontal="right" vertical="center" wrapText="1"/>
    </xf>
    <xf numFmtId="178" fontId="39" fillId="5" borderId="0" xfId="4" applyFont="1" applyFill="1" applyAlignment="1" applyProtection="1">
      <alignment horizontal="right" vertical="center" wrapText="1"/>
    </xf>
    <xf numFmtId="183" fontId="38" fillId="5" borderId="0" xfId="8" applyNumberFormat="1" applyFont="1" applyFill="1" applyAlignment="1" applyProtection="1">
      <alignment vertical="center"/>
    </xf>
    <xf numFmtId="37" fontId="38" fillId="5" borderId="0" xfId="12" applyNumberFormat="1" applyFont="1" applyFill="1" applyAlignment="1" applyProtection="1">
      <alignment horizontal="right" vertical="center"/>
    </xf>
    <xf numFmtId="183" fontId="38" fillId="13" borderId="0" xfId="8" applyNumberFormat="1" applyFont="1" applyFill="1" applyAlignment="1" applyProtection="1">
      <alignment horizontal="right" vertical="center" wrapText="1"/>
    </xf>
    <xf numFmtId="183" fontId="38" fillId="5" borderId="0" xfId="8" applyNumberFormat="1" applyFont="1" applyFill="1" applyAlignment="1" applyProtection="1">
      <alignment horizontal="right" vertical="center" wrapText="1"/>
    </xf>
    <xf numFmtId="3" fontId="38" fillId="5" borderId="0" xfId="12" applyNumberFormat="1" applyFont="1" applyFill="1" applyAlignment="1" applyProtection="1">
      <alignment horizontal="right" vertical="center" wrapText="1"/>
    </xf>
    <xf numFmtId="178" fontId="38" fillId="5" borderId="0" xfId="4" applyFont="1" applyFill="1" applyAlignment="1" applyProtection="1">
      <alignment horizontal="right" vertical="center" wrapText="1"/>
    </xf>
    <xf numFmtId="3" fontId="38" fillId="5" borderId="0" xfId="4" applyNumberFormat="1" applyFont="1" applyFill="1" applyAlignment="1" applyProtection="1">
      <alignment vertical="center"/>
    </xf>
    <xf numFmtId="178" fontId="38" fillId="5" borderId="0" xfId="4" applyFont="1" applyFill="1" applyAlignment="1" applyProtection="1">
      <alignment horizontal="left" vertical="center" indent="1"/>
    </xf>
    <xf numFmtId="37" fontId="38" fillId="5" borderId="0" xfId="4" applyNumberFormat="1" applyFont="1" applyFill="1" applyAlignment="1" applyProtection="1">
      <alignment horizontal="right" vertical="center"/>
    </xf>
    <xf numFmtId="183" fontId="38" fillId="5" borderId="0" xfId="8" applyNumberFormat="1" applyFont="1" applyFill="1" applyAlignment="1" applyProtection="1">
      <alignment horizontal="right" vertical="center"/>
    </xf>
    <xf numFmtId="37" fontId="38" fillId="0" borderId="0" xfId="4" applyNumberFormat="1" applyFont="1" applyAlignment="1" applyProtection="1">
      <alignment horizontal="right" vertical="center"/>
    </xf>
    <xf numFmtId="3" fontId="38" fillId="5" borderId="0" xfId="4" applyNumberFormat="1" applyFont="1" applyFill="1" applyAlignment="1" applyProtection="1">
      <alignment horizontal="right" vertical="center"/>
    </xf>
    <xf numFmtId="3" fontId="39" fillId="5" borderId="0" xfId="4" applyNumberFormat="1" applyFont="1" applyFill="1" applyAlignment="1" applyProtection="1">
      <alignment vertical="center"/>
    </xf>
    <xf numFmtId="37" fontId="39" fillId="5" borderId="0" xfId="4" applyNumberFormat="1" applyFont="1" applyFill="1" applyAlignment="1" applyProtection="1">
      <alignment horizontal="right" vertical="center"/>
    </xf>
    <xf numFmtId="183" fontId="39" fillId="5" borderId="0" xfId="8" applyNumberFormat="1" applyFont="1" applyFill="1" applyAlignment="1" applyProtection="1">
      <alignment vertical="center"/>
    </xf>
    <xf numFmtId="178" fontId="42" fillId="5" borderId="0" xfId="4" applyFont="1" applyFill="1" applyAlignment="1" applyProtection="1">
      <alignment vertical="center"/>
    </xf>
    <xf numFmtId="3" fontId="38" fillId="5" borderId="0" xfId="4" applyNumberFormat="1" applyFont="1" applyFill="1" applyAlignment="1" applyProtection="1">
      <alignment horizontal="left" vertical="center"/>
    </xf>
    <xf numFmtId="178" fontId="39" fillId="5" borderId="0" xfId="4" applyFont="1" applyFill="1" applyAlignment="1" applyProtection="1">
      <alignment horizontal="right" vertical="center"/>
    </xf>
    <xf numFmtId="9" fontId="39" fillId="5" borderId="0" xfId="8" applyFont="1" applyFill="1" applyAlignment="1" applyProtection="1">
      <alignment vertical="center"/>
    </xf>
    <xf numFmtId="39" fontId="39" fillId="5" borderId="0" xfId="4" applyNumberFormat="1" applyFont="1" applyFill="1" applyAlignment="1" applyProtection="1">
      <alignment horizontal="right" vertical="center"/>
    </xf>
    <xf numFmtId="4" fontId="39" fillId="5" borderId="0" xfId="12" applyNumberFormat="1" applyFont="1" applyFill="1" applyAlignment="1" applyProtection="1">
      <alignment horizontal="right" vertical="center" wrapText="1"/>
    </xf>
    <xf numFmtId="9" fontId="38" fillId="5" borderId="0" xfId="8" applyFont="1" applyFill="1" applyAlignment="1" applyProtection="1">
      <alignment horizontal="left" vertical="center"/>
    </xf>
    <xf numFmtId="9" fontId="38" fillId="5" borderId="0" xfId="4" applyNumberFormat="1" applyFont="1" applyFill="1" applyAlignment="1" applyProtection="1">
      <alignment horizontal="left" vertical="center"/>
    </xf>
    <xf numFmtId="183" fontId="47" fillId="5" borderId="0" xfId="8" applyNumberFormat="1" applyFont="1" applyFill="1" applyAlignment="1" applyProtection="1">
      <alignment horizontal="right" vertical="center"/>
    </xf>
    <xf numFmtId="37" fontId="38" fillId="13" borderId="0" xfId="4" applyNumberFormat="1" applyFont="1" applyFill="1" applyAlignment="1" applyProtection="1">
      <alignment horizontal="right" vertical="center"/>
    </xf>
    <xf numFmtId="183" fontId="39" fillId="5" borderId="0" xfId="8" applyNumberFormat="1" applyFont="1" applyFill="1" applyAlignment="1" applyProtection="1">
      <alignment horizontal="right" vertical="center"/>
    </xf>
    <xf numFmtId="9" fontId="39" fillId="5" borderId="0" xfId="8" applyFont="1" applyFill="1" applyAlignment="1" applyProtection="1">
      <alignment horizontal="right" vertical="center"/>
    </xf>
    <xf numFmtId="3" fontId="38" fillId="5" borderId="0" xfId="8" applyNumberFormat="1" applyFont="1" applyFill="1" applyAlignment="1" applyProtection="1">
      <alignment horizontal="right" vertical="center"/>
    </xf>
    <xf numFmtId="191" fontId="38" fillId="13" borderId="0" xfId="8" applyNumberFormat="1" applyFont="1" applyFill="1" applyAlignment="1" applyProtection="1">
      <alignment horizontal="right" vertical="center"/>
    </xf>
    <xf numFmtId="3" fontId="38" fillId="5" borderId="0" xfId="8" applyNumberFormat="1" applyFont="1" applyFill="1" applyAlignment="1" applyProtection="1">
      <alignment vertical="center"/>
    </xf>
    <xf numFmtId="178" fontId="41" fillId="5" borderId="0" xfId="4" applyFont="1" applyFill="1" applyAlignment="1" applyProtection="1">
      <alignment vertical="center"/>
    </xf>
    <xf numFmtId="183" fontId="38" fillId="5" borderId="0" xfId="8" applyNumberFormat="1" applyFont="1" applyFill="1" applyAlignment="1" applyProtection="1">
      <alignment horizontal="right"/>
    </xf>
    <xf numFmtId="192" fontId="38" fillId="13" borderId="0" xfId="8" applyNumberFormat="1" applyFont="1" applyFill="1" applyAlignment="1" applyProtection="1">
      <alignment horizontal="right" vertical="center"/>
    </xf>
    <xf numFmtId="37" fontId="39" fillId="5" borderId="0" xfId="4" applyNumberFormat="1" applyFont="1" applyFill="1" applyAlignment="1" applyProtection="1">
      <alignment horizontal="right"/>
    </xf>
    <xf numFmtId="183" fontId="39" fillId="5" borderId="0" xfId="8" applyNumberFormat="1" applyFont="1" applyFill="1" applyAlignment="1" applyProtection="1">
      <alignment horizontal="right"/>
    </xf>
    <xf numFmtId="191" fontId="39" fillId="5" borderId="0" xfId="8" applyNumberFormat="1" applyFont="1" applyFill="1" applyAlignment="1" applyProtection="1">
      <alignment horizontal="right"/>
    </xf>
    <xf numFmtId="3" fontId="39" fillId="5" borderId="0" xfId="8" applyNumberFormat="1" applyFont="1" applyFill="1" applyAlignment="1" applyProtection="1">
      <alignment horizontal="right"/>
    </xf>
    <xf numFmtId="3" fontId="38" fillId="14" borderId="0" xfId="4" applyNumberFormat="1" applyFont="1" applyFill="1" applyAlignment="1" applyProtection="1">
      <alignment horizontal="left" vertical="center"/>
    </xf>
    <xf numFmtId="3" fontId="38" fillId="2" borderId="0" xfId="4" applyNumberFormat="1" applyFont="1" applyFill="1" applyAlignment="1" applyProtection="1">
      <alignment horizontal="left" vertical="center"/>
    </xf>
    <xf numFmtId="0" fontId="38" fillId="5" borderId="0" xfId="8" applyNumberFormat="1" applyFont="1" applyFill="1" applyAlignment="1" applyProtection="1">
      <alignment horizontal="right"/>
    </xf>
    <xf numFmtId="3" fontId="38" fillId="5" borderId="0" xfId="8" applyNumberFormat="1" applyFont="1" applyFill="1" applyAlignment="1" applyProtection="1">
      <alignment horizontal="right"/>
    </xf>
    <xf numFmtId="9" fontId="38" fillId="5" borderId="0" xfId="8" applyFont="1" applyFill="1" applyAlignment="1" applyProtection="1">
      <alignment horizontal="right"/>
    </xf>
    <xf numFmtId="190" fontId="38" fillId="5" borderId="0" xfId="12" applyNumberFormat="1" applyFont="1" applyFill="1" applyAlignment="1" applyProtection="1">
      <alignment horizontal="right" vertical="center"/>
    </xf>
    <xf numFmtId="193" fontId="38" fillId="5" borderId="0" xfId="12" applyFont="1" applyFill="1" applyAlignment="1" applyProtection="1">
      <alignment horizontal="right" vertical="center"/>
    </xf>
    <xf numFmtId="193" fontId="38" fillId="5" borderId="0" xfId="12" applyFont="1" applyFill="1" applyAlignment="1" applyProtection="1">
      <alignment horizontal="right"/>
    </xf>
    <xf numFmtId="193" fontId="38" fillId="0" borderId="0" xfId="12" applyFont="1" applyAlignment="1" applyProtection="1">
      <alignment horizontal="right" vertical="center"/>
    </xf>
    <xf numFmtId="183" fontId="38" fillId="5" borderId="0" xfId="4" applyNumberFormat="1" applyFont="1" applyFill="1" applyAlignment="1" applyProtection="1">
      <alignment horizontal="right" vertical="center"/>
    </xf>
    <xf numFmtId="178" fontId="38" fillId="5" borderId="0" xfId="4" applyFont="1" applyFill="1" applyAlignment="1" applyProtection="1">
      <alignment horizontal="right"/>
    </xf>
    <xf numFmtId="178" fontId="38" fillId="5" borderId="0" xfId="4" applyFont="1" applyFill="1" applyProtection="1"/>
    <xf numFmtId="9" fontId="38" fillId="5" borderId="0" xfId="8" applyFont="1" applyFill="1" applyProtection="1"/>
    <xf numFmtId="194" fontId="38" fillId="5" borderId="0" xfId="4" applyNumberFormat="1" applyFont="1" applyFill="1" applyAlignment="1" applyProtection="1">
      <alignment horizontal="right" vertical="center"/>
    </xf>
    <xf numFmtId="0" fontId="38" fillId="5" borderId="0" xfId="8" applyNumberFormat="1" applyFont="1" applyFill="1" applyProtection="1"/>
    <xf numFmtId="37" fontId="38" fillId="5" borderId="0" xfId="8" applyNumberFormat="1" applyFont="1" applyFill="1" applyProtection="1"/>
    <xf numFmtId="1" fontId="38" fillId="5" borderId="0" xfId="12" applyNumberFormat="1" applyFont="1" applyFill="1" applyAlignment="1" applyProtection="1">
      <alignment horizontal="right" vertical="center"/>
    </xf>
    <xf numFmtId="37" fontId="39" fillId="5" borderId="0" xfId="8" applyNumberFormat="1" applyFont="1" applyFill="1" applyProtection="1"/>
    <xf numFmtId="1" fontId="39" fillId="5" borderId="0" xfId="12" applyNumberFormat="1" applyFont="1" applyFill="1" applyAlignment="1" applyProtection="1">
      <alignment horizontal="right" vertical="center"/>
    </xf>
    <xf numFmtId="9" fontId="38" fillId="5" borderId="0" xfId="8" applyFont="1" applyFill="1" applyAlignment="1" applyProtection="1">
      <alignment horizontal="right" vertical="center"/>
    </xf>
    <xf numFmtId="178" fontId="38" fillId="5" borderId="0" xfId="4" applyFont="1" applyFill="1" applyAlignment="1" applyProtection="1">
      <alignment horizontal="left" vertical="center"/>
    </xf>
    <xf numFmtId="178" fontId="21" fillId="5" borderId="0" xfId="4" applyFont="1" applyFill="1" applyAlignment="1" applyProtection="1">
      <alignment vertical="center"/>
    </xf>
    <xf numFmtId="178" fontId="21" fillId="5" borderId="0" xfId="4" applyFont="1" applyFill="1" applyAlignment="1" applyProtection="1">
      <alignment horizontal="right" vertical="center"/>
    </xf>
    <xf numFmtId="178" fontId="21" fillId="0" borderId="0" xfId="4" applyFont="1" applyAlignment="1" applyProtection="1">
      <alignment vertical="center"/>
    </xf>
    <xf numFmtId="193" fontId="48" fillId="0" borderId="0" xfId="12" applyFont="1" applyAlignment="1" applyProtection="1">
      <alignment vertical="center"/>
    </xf>
    <xf numFmtId="3" fontId="21" fillId="5" borderId="0" xfId="12" applyNumberFormat="1" applyFont="1" applyFill="1" applyAlignment="1" applyProtection="1">
      <alignment vertical="center"/>
    </xf>
    <xf numFmtId="3" fontId="21" fillId="5" borderId="0" xfId="12" applyNumberFormat="1" applyFont="1" applyFill="1" applyAlignment="1" applyProtection="1">
      <alignment horizontal="right" vertical="center"/>
    </xf>
    <xf numFmtId="193" fontId="48" fillId="5" borderId="0" xfId="12" applyFont="1" applyFill="1" applyAlignment="1" applyProtection="1">
      <alignment vertical="center"/>
    </xf>
    <xf numFmtId="178" fontId="21" fillId="0" borderId="0" xfId="4" applyFont="1" applyAlignment="1" applyProtection="1">
      <alignment horizontal="center" vertical="center"/>
    </xf>
    <xf numFmtId="178" fontId="49" fillId="10" borderId="9" xfId="13" applyNumberFormat="1" applyFont="1" applyFill="1" applyBorder="1" applyAlignment="1" applyProtection="1">
      <alignment horizontal="left" vertical="center"/>
    </xf>
    <xf numFmtId="178" fontId="49" fillId="10" borderId="0" xfId="4" applyFont="1" applyFill="1" applyAlignment="1" applyProtection="1">
      <alignment vertical="center"/>
    </xf>
    <xf numFmtId="3" fontId="49" fillId="10" borderId="9" xfId="13" applyNumberFormat="1" applyFont="1" applyFill="1" applyBorder="1" applyAlignment="1" applyProtection="1">
      <alignment horizontal="right" vertical="center"/>
    </xf>
    <xf numFmtId="3" fontId="49" fillId="10" borderId="0" xfId="4" applyNumberFormat="1" applyFont="1" applyFill="1" applyAlignment="1" applyProtection="1">
      <alignment horizontal="right" vertical="center"/>
    </xf>
    <xf numFmtId="178" fontId="21" fillId="5" borderId="0" xfId="4" applyFont="1" applyFill="1" applyAlignment="1" applyProtection="1">
      <alignment horizontal="center" vertical="center"/>
    </xf>
    <xf numFmtId="178" fontId="50" fillId="5" borderId="0" xfId="4" applyFont="1" applyFill="1" applyAlignment="1" applyProtection="1">
      <alignment vertical="center"/>
    </xf>
    <xf numFmtId="195" fontId="21" fillId="5" borderId="0" xfId="13" applyFont="1" applyFill="1" applyAlignment="1" applyProtection="1">
      <alignment horizontal="right" vertical="center"/>
    </xf>
    <xf numFmtId="3" fontId="21" fillId="5" borderId="0" xfId="4" applyNumberFormat="1" applyFont="1" applyFill="1" applyAlignment="1" applyProtection="1">
      <alignment vertical="center"/>
    </xf>
    <xf numFmtId="38" fontId="21" fillId="5" borderId="0" xfId="13" applyNumberFormat="1" applyFont="1" applyFill="1" applyAlignment="1" applyProtection="1">
      <alignment horizontal="right" vertical="center"/>
    </xf>
    <xf numFmtId="3" fontId="21" fillId="5" borderId="0" xfId="13" applyNumberFormat="1" applyFont="1" applyFill="1" applyAlignment="1" applyProtection="1">
      <alignment horizontal="right" vertical="center"/>
    </xf>
    <xf numFmtId="3" fontId="21" fillId="0" borderId="0" xfId="13" applyNumberFormat="1" applyFont="1" applyAlignment="1" applyProtection="1">
      <alignment horizontal="right" vertical="center"/>
    </xf>
    <xf numFmtId="3" fontId="52" fillId="2" borderId="0" xfId="13" applyNumberFormat="1" applyFont="1" applyFill="1" applyAlignment="1" applyProtection="1">
      <alignment horizontal="right" vertical="center"/>
    </xf>
    <xf numFmtId="3" fontId="21" fillId="2" borderId="0" xfId="13" applyNumberFormat="1" applyFont="1" applyFill="1" applyAlignment="1" applyProtection="1">
      <alignment horizontal="right" vertical="center"/>
    </xf>
    <xf numFmtId="178" fontId="21" fillId="0" borderId="0" xfId="4" applyFont="1" applyAlignment="1" applyProtection="1">
      <alignment horizontal="left"/>
    </xf>
    <xf numFmtId="38" fontId="21" fillId="0" borderId="0" xfId="13" applyNumberFormat="1" applyFont="1" applyAlignment="1" applyProtection="1">
      <alignment horizontal="right" vertical="center"/>
    </xf>
    <xf numFmtId="3" fontId="52" fillId="0" borderId="0" xfId="13" applyNumberFormat="1" applyFont="1" applyAlignment="1" applyProtection="1">
      <alignment horizontal="right" vertical="center"/>
    </xf>
    <xf numFmtId="3" fontId="21" fillId="0" borderId="0" xfId="4" applyNumberFormat="1" applyFont="1" applyAlignment="1" applyProtection="1">
      <alignment vertical="center"/>
    </xf>
    <xf numFmtId="181" fontId="21" fillId="0" borderId="0" xfId="4" applyNumberFormat="1" applyFont="1" applyAlignment="1" applyProtection="1">
      <alignment vertical="center"/>
    </xf>
    <xf numFmtId="181" fontId="21" fillId="5" borderId="0" xfId="4" applyNumberFormat="1" applyFont="1" applyFill="1" applyAlignment="1" applyProtection="1">
      <alignment vertical="center"/>
    </xf>
    <xf numFmtId="178" fontId="50" fillId="13" borderId="0" xfId="4" applyFont="1" applyFill="1" applyAlignment="1" applyProtection="1">
      <alignment vertical="center"/>
    </xf>
    <xf numFmtId="38" fontId="50" fillId="13" borderId="0" xfId="13" applyNumberFormat="1" applyFont="1" applyFill="1" applyAlignment="1" applyProtection="1">
      <alignment horizontal="right" vertical="center"/>
    </xf>
    <xf numFmtId="3" fontId="50" fillId="13" borderId="0" xfId="13" applyNumberFormat="1" applyFont="1" applyFill="1" applyAlignment="1" applyProtection="1">
      <alignment horizontal="right" vertical="center"/>
    </xf>
    <xf numFmtId="38" fontId="21" fillId="5" borderId="0" xfId="8" applyNumberFormat="1" applyFont="1" applyFill="1" applyAlignment="1" applyProtection="1">
      <alignment horizontal="right" vertical="center"/>
    </xf>
    <xf numFmtId="3" fontId="21" fillId="5" borderId="0" xfId="8" applyNumberFormat="1" applyFont="1" applyFill="1" applyAlignment="1" applyProtection="1">
      <alignment horizontal="right" vertical="center"/>
    </xf>
    <xf numFmtId="3" fontId="21" fillId="0" borderId="0" xfId="8" applyNumberFormat="1" applyFont="1" applyAlignment="1" applyProtection="1">
      <alignment horizontal="right" vertical="center"/>
    </xf>
    <xf numFmtId="3" fontId="52" fillId="5" borderId="0" xfId="8" applyNumberFormat="1" applyFont="1" applyFill="1" applyAlignment="1" applyProtection="1">
      <alignment horizontal="right" vertical="center"/>
    </xf>
    <xf numFmtId="3" fontId="52" fillId="5" borderId="0" xfId="13" applyNumberFormat="1" applyFont="1" applyFill="1" applyAlignment="1" applyProtection="1">
      <alignment horizontal="right" vertical="center"/>
    </xf>
    <xf numFmtId="38" fontId="50" fillId="5" borderId="0" xfId="13" applyNumberFormat="1" applyFont="1" applyFill="1" applyAlignment="1" applyProtection="1">
      <alignment horizontal="right" vertical="center"/>
    </xf>
    <xf numFmtId="178" fontId="50" fillId="0" borderId="0" xfId="4" applyFont="1" applyAlignment="1" applyProtection="1">
      <alignment vertical="center"/>
    </xf>
    <xf numFmtId="183" fontId="55" fillId="0" borderId="0" xfId="8" applyNumberFormat="1" applyFont="1" applyAlignment="1" applyProtection="1">
      <alignment vertical="center"/>
    </xf>
    <xf numFmtId="183" fontId="55" fillId="5" borderId="0" xfId="8" applyNumberFormat="1" applyFont="1" applyFill="1" applyAlignment="1" applyProtection="1">
      <alignment vertical="center"/>
    </xf>
    <xf numFmtId="183" fontId="55" fillId="5" borderId="0" xfId="8" applyNumberFormat="1" applyFont="1" applyFill="1" applyAlignment="1" applyProtection="1">
      <alignment horizontal="right" vertical="center"/>
    </xf>
    <xf numFmtId="183" fontId="56" fillId="0" borderId="0" xfId="8" applyNumberFormat="1" applyFont="1" applyAlignment="1" applyProtection="1">
      <alignment vertical="center"/>
    </xf>
    <xf numFmtId="183" fontId="56" fillId="5" borderId="0" xfId="8" applyNumberFormat="1" applyFont="1" applyFill="1" applyAlignment="1" applyProtection="1">
      <alignment vertical="center"/>
    </xf>
    <xf numFmtId="183" fontId="56" fillId="5" borderId="0" xfId="8" applyNumberFormat="1" applyFont="1" applyFill="1" applyAlignment="1" applyProtection="1">
      <alignment horizontal="right" vertical="center"/>
    </xf>
    <xf numFmtId="3" fontId="57" fillId="5" borderId="0" xfId="13" applyNumberFormat="1" applyFont="1" applyFill="1" applyAlignment="1" applyProtection="1">
      <alignment horizontal="right" vertical="center"/>
    </xf>
    <xf numFmtId="178" fontId="58" fillId="5" borderId="0" xfId="4" applyFont="1" applyFill="1" applyAlignment="1" applyProtection="1">
      <alignment vertical="center"/>
    </xf>
    <xf numFmtId="190" fontId="21" fillId="5" borderId="0" xfId="12" applyNumberFormat="1" applyFont="1" applyFill="1" applyAlignment="1" applyProtection="1">
      <alignment horizontal="right" vertical="center"/>
    </xf>
    <xf numFmtId="38" fontId="57" fillId="5" borderId="0" xfId="13" applyNumberFormat="1" applyFont="1" applyFill="1" applyAlignment="1" applyProtection="1">
      <alignment horizontal="right" vertical="center"/>
    </xf>
    <xf numFmtId="3" fontId="21" fillId="2" borderId="0" xfId="12" applyNumberFormat="1" applyFont="1" applyFill="1" applyAlignment="1" applyProtection="1">
      <alignment horizontal="right" vertical="center"/>
    </xf>
    <xf numFmtId="3" fontId="21" fillId="0" borderId="0" xfId="12" applyNumberFormat="1" applyFont="1" applyAlignment="1" applyProtection="1">
      <alignment horizontal="right" vertical="center"/>
    </xf>
    <xf numFmtId="3" fontId="50" fillId="5" borderId="0" xfId="13" applyNumberFormat="1" applyFont="1" applyFill="1" applyAlignment="1" applyProtection="1">
      <alignment horizontal="right" vertical="center"/>
    </xf>
    <xf numFmtId="183" fontId="21" fillId="0" borderId="0" xfId="8" applyNumberFormat="1" applyFont="1" applyAlignment="1" applyProtection="1">
      <alignment vertical="center"/>
    </xf>
    <xf numFmtId="183" fontId="21" fillId="5" borderId="0" xfId="8" applyNumberFormat="1" applyFont="1" applyFill="1" applyAlignment="1" applyProtection="1">
      <alignment vertical="center"/>
    </xf>
    <xf numFmtId="9" fontId="21" fillId="5" borderId="0" xfId="8" applyFont="1" applyFill="1" applyAlignment="1" applyProtection="1">
      <alignment horizontal="right" vertical="center"/>
    </xf>
    <xf numFmtId="0" fontId="50" fillId="15" borderId="0" xfId="4" applyNumberFormat="1" applyFont="1" applyFill="1" applyProtection="1"/>
    <xf numFmtId="178" fontId="21" fillId="16" borderId="20" xfId="4" applyFont="1" applyFill="1" applyBorder="1" applyAlignment="1" applyProtection="1">
      <alignment vertical="center"/>
    </xf>
    <xf numFmtId="178" fontId="50" fillId="16" borderId="20" xfId="4" applyFont="1" applyFill="1" applyBorder="1" applyAlignment="1" applyProtection="1">
      <alignment vertical="center"/>
    </xf>
    <xf numFmtId="3" fontId="50" fillId="16" borderId="20" xfId="13" applyNumberFormat="1" applyFont="1" applyFill="1" applyBorder="1" applyAlignment="1" applyProtection="1">
      <alignment horizontal="right" vertical="center"/>
    </xf>
    <xf numFmtId="3" fontId="59" fillId="16" borderId="20" xfId="13" applyNumberFormat="1" applyFont="1" applyFill="1" applyBorder="1" applyAlignment="1" applyProtection="1">
      <alignment horizontal="right" vertical="center"/>
    </xf>
    <xf numFmtId="3" fontId="59" fillId="16" borderId="20" xfId="4" applyNumberFormat="1" applyFont="1" applyFill="1" applyBorder="1" applyAlignment="1" applyProtection="1">
      <alignment vertical="center"/>
    </xf>
    <xf numFmtId="3" fontId="60" fillId="16" borderId="20" xfId="13" applyNumberFormat="1" applyFont="1" applyFill="1" applyBorder="1" applyAlignment="1" applyProtection="1">
      <alignment horizontal="right" vertical="center"/>
    </xf>
    <xf numFmtId="178" fontId="50" fillId="16" borderId="0" xfId="4" applyFont="1" applyFill="1" applyAlignment="1" applyProtection="1">
      <alignment vertical="center"/>
    </xf>
    <xf numFmtId="3" fontId="50" fillId="16" borderId="0" xfId="13" applyNumberFormat="1" applyFont="1" applyFill="1" applyAlignment="1" applyProtection="1">
      <alignment horizontal="right" vertical="center"/>
    </xf>
    <xf numFmtId="178" fontId="21" fillId="16" borderId="0" xfId="4" applyFont="1" applyFill="1" applyAlignment="1" applyProtection="1">
      <alignment vertical="center"/>
    </xf>
    <xf numFmtId="4" fontId="21" fillId="16" borderId="0" xfId="12" applyNumberFormat="1" applyFont="1" applyFill="1" applyAlignment="1" applyProtection="1">
      <alignment horizontal="right" vertical="center"/>
    </xf>
    <xf numFmtId="183" fontId="21" fillId="16" borderId="0" xfId="8" applyNumberFormat="1" applyFont="1" applyFill="1" applyAlignment="1" applyProtection="1">
      <alignment horizontal="right" vertical="center"/>
    </xf>
    <xf numFmtId="183" fontId="50" fillId="16" borderId="0" xfId="8" applyNumberFormat="1" applyFont="1" applyFill="1" applyAlignment="1" applyProtection="1">
      <alignment horizontal="right" vertical="center"/>
    </xf>
    <xf numFmtId="9" fontId="21" fillId="16" borderId="0" xfId="8" applyFont="1" applyFill="1" applyAlignment="1" applyProtection="1">
      <alignment horizontal="right" vertical="center"/>
    </xf>
    <xf numFmtId="9" fontId="21" fillId="16" borderId="0" xfId="4" applyNumberFormat="1" applyFont="1" applyFill="1" applyAlignment="1" applyProtection="1">
      <alignment vertical="center"/>
    </xf>
    <xf numFmtId="3" fontId="21" fillId="16" borderId="0" xfId="8" applyNumberFormat="1" applyFont="1" applyFill="1" applyAlignment="1" applyProtection="1">
      <alignment horizontal="right" vertical="center"/>
    </xf>
    <xf numFmtId="180" fontId="21" fillId="16" borderId="0" xfId="4" applyNumberFormat="1" applyFont="1" applyFill="1" applyAlignment="1" applyProtection="1">
      <alignment horizontal="right" vertical="center"/>
    </xf>
    <xf numFmtId="3" fontId="21" fillId="16" borderId="0" xfId="4" applyNumberFormat="1" applyFont="1" applyFill="1" applyAlignment="1" applyProtection="1">
      <alignment horizontal="right" vertical="center"/>
    </xf>
    <xf numFmtId="183" fontId="55" fillId="16" borderId="0" xfId="8" applyNumberFormat="1" applyFont="1" applyFill="1" applyAlignment="1" applyProtection="1">
      <alignment horizontal="right" vertical="center"/>
    </xf>
    <xf numFmtId="9" fontId="50" fillId="16" borderId="0" xfId="4" applyNumberFormat="1" applyFont="1" applyFill="1" applyAlignment="1" applyProtection="1">
      <alignment vertical="center"/>
    </xf>
    <xf numFmtId="183" fontId="50" fillId="16" borderId="0" xfId="8" applyNumberFormat="1" applyFont="1" applyFill="1" applyAlignment="1" applyProtection="1">
      <alignment vertical="center"/>
    </xf>
    <xf numFmtId="178" fontId="21" fillId="16" borderId="0" xfId="4" applyFont="1" applyFill="1" applyAlignment="1" applyProtection="1">
      <alignment horizontal="right" vertical="center"/>
    </xf>
    <xf numFmtId="183" fontId="21" fillId="16" borderId="0" xfId="4" applyNumberFormat="1" applyFont="1" applyFill="1" applyAlignment="1" applyProtection="1">
      <alignment vertical="center"/>
    </xf>
    <xf numFmtId="181" fontId="21" fillId="16" borderId="0" xfId="12" applyNumberFormat="1" applyFont="1" applyFill="1" applyAlignment="1" applyProtection="1">
      <alignment horizontal="right" vertical="center"/>
    </xf>
    <xf numFmtId="180" fontId="21" fillId="16" borderId="0" xfId="4" applyNumberFormat="1" applyFont="1" applyFill="1" applyAlignment="1" applyProtection="1">
      <alignment vertical="center"/>
    </xf>
    <xf numFmtId="178" fontId="21" fillId="16" borderId="21" xfId="4" applyFont="1" applyFill="1" applyBorder="1" applyAlignment="1" applyProtection="1">
      <alignment vertical="center"/>
    </xf>
    <xf numFmtId="178" fontId="21" fillId="16" borderId="21" xfId="4" applyFont="1" applyFill="1" applyBorder="1" applyAlignment="1" applyProtection="1">
      <alignment horizontal="right" vertical="center"/>
    </xf>
    <xf numFmtId="181" fontId="21" fillId="16" borderId="21" xfId="4" applyNumberFormat="1" applyFont="1" applyFill="1" applyBorder="1" applyAlignment="1" applyProtection="1">
      <alignment horizontal="right" vertical="center"/>
    </xf>
    <xf numFmtId="196" fontId="21" fillId="5" borderId="0" xfId="4" applyNumberFormat="1" applyFont="1" applyFill="1" applyAlignment="1" applyProtection="1">
      <alignment horizontal="right"/>
    </xf>
    <xf numFmtId="197" fontId="21" fillId="5" borderId="0" xfId="4" applyNumberFormat="1" applyFont="1" applyFill="1" applyAlignment="1" applyProtection="1">
      <alignment horizontal="right" vertical="center"/>
    </xf>
    <xf numFmtId="197" fontId="21" fillId="5" borderId="0" xfId="4" applyNumberFormat="1" applyFont="1" applyFill="1" applyAlignment="1" applyProtection="1">
      <alignment vertical="center"/>
    </xf>
    <xf numFmtId="198" fontId="21" fillId="5" borderId="0" xfId="4" applyNumberFormat="1" applyFont="1" applyFill="1" applyAlignment="1" applyProtection="1">
      <alignment horizontal="right" vertical="center"/>
    </xf>
    <xf numFmtId="178" fontId="50" fillId="5" borderId="0" xfId="4" applyFont="1" applyFill="1" applyAlignment="1" applyProtection="1">
      <alignment horizontal="right" vertical="center"/>
    </xf>
    <xf numFmtId="39" fontId="61" fillId="5" borderId="0" xfId="4" applyNumberFormat="1" applyFont="1" applyFill="1" applyAlignment="1" applyProtection="1">
      <alignment horizontal="right" vertical="center"/>
    </xf>
    <xf numFmtId="2" fontId="61" fillId="5" borderId="0" xfId="4" applyNumberFormat="1" applyFont="1" applyFill="1" applyAlignment="1" applyProtection="1">
      <alignment horizontal="right" vertical="center"/>
    </xf>
    <xf numFmtId="39" fontId="62" fillId="5" borderId="0" xfId="4" applyNumberFormat="1" applyFont="1" applyFill="1" applyAlignment="1" applyProtection="1">
      <alignment horizontal="right" vertical="center"/>
    </xf>
    <xf numFmtId="178" fontId="21" fillId="13" borderId="0" xfId="4" applyFont="1" applyFill="1" applyAlignment="1" applyProtection="1">
      <alignment vertical="center"/>
    </xf>
    <xf numFmtId="3" fontId="50" fillId="13" borderId="0" xfId="12" applyNumberFormat="1" applyFont="1" applyFill="1" applyAlignment="1" applyProtection="1">
      <alignment horizontal="right" vertical="center"/>
    </xf>
    <xf numFmtId="183" fontId="50" fillId="5" borderId="0" xfId="8" applyNumberFormat="1" applyFont="1" applyFill="1" applyAlignment="1" applyProtection="1">
      <alignment vertical="center"/>
    </xf>
    <xf numFmtId="190" fontId="50" fillId="16" borderId="20" xfId="12" applyNumberFormat="1" applyFont="1" applyFill="1" applyBorder="1" applyAlignment="1" applyProtection="1">
      <alignment horizontal="right" vertical="center" wrapText="1"/>
    </xf>
    <xf numFmtId="3" fontId="50" fillId="16" borderId="20" xfId="12" applyNumberFormat="1" applyFont="1" applyFill="1" applyBorder="1" applyAlignment="1" applyProtection="1">
      <alignment horizontal="right" vertical="center" wrapText="1"/>
    </xf>
    <xf numFmtId="178" fontId="55" fillId="16" borderId="0" xfId="4" applyFont="1" applyFill="1" applyAlignment="1" applyProtection="1">
      <alignment vertical="center"/>
    </xf>
    <xf numFmtId="190" fontId="50" fillId="16" borderId="0" xfId="12" applyNumberFormat="1" applyFont="1" applyFill="1" applyAlignment="1" applyProtection="1">
      <alignment horizontal="right" vertical="center" wrapText="1"/>
    </xf>
    <xf numFmtId="3" fontId="50" fillId="16" borderId="0" xfId="12" applyNumberFormat="1" applyFont="1" applyFill="1" applyAlignment="1" applyProtection="1">
      <alignment horizontal="right" vertical="center" wrapText="1"/>
    </xf>
    <xf numFmtId="38" fontId="50" fillId="16" borderId="0" xfId="12" applyNumberFormat="1" applyFont="1" applyFill="1" applyAlignment="1" applyProtection="1">
      <alignment horizontal="right" vertical="center" wrapText="1"/>
    </xf>
    <xf numFmtId="183" fontId="55" fillId="16" borderId="21" xfId="8" applyNumberFormat="1" applyFont="1" applyFill="1" applyBorder="1" applyAlignment="1" applyProtection="1">
      <alignment vertical="center"/>
    </xf>
    <xf numFmtId="178" fontId="55" fillId="16" borderId="21" xfId="4" applyFont="1" applyFill="1" applyBorder="1" applyAlignment="1" applyProtection="1">
      <alignment vertical="center"/>
    </xf>
    <xf numFmtId="10" fontId="55" fillId="16" borderId="21" xfId="8" applyNumberFormat="1" applyFont="1" applyFill="1" applyBorder="1" applyAlignment="1" applyProtection="1">
      <alignment horizontal="right" vertical="center"/>
    </xf>
    <xf numFmtId="183" fontId="55" fillId="16" borderId="21" xfId="8" applyNumberFormat="1" applyFont="1" applyFill="1" applyBorder="1" applyAlignment="1" applyProtection="1">
      <alignment horizontal="right" vertical="center"/>
    </xf>
    <xf numFmtId="195" fontId="21" fillId="5" borderId="0" xfId="4" applyNumberFormat="1" applyFont="1" applyFill="1" applyAlignment="1" applyProtection="1">
      <alignment horizontal="right" vertical="center"/>
    </xf>
    <xf numFmtId="178" fontId="55" fillId="5" borderId="0" xfId="4" applyFont="1" applyFill="1" applyAlignment="1" applyProtection="1">
      <alignment vertical="center"/>
    </xf>
    <xf numFmtId="195" fontId="50" fillId="16" borderId="20" xfId="13" applyFont="1" applyFill="1" applyBorder="1" applyAlignment="1" applyProtection="1">
      <alignment horizontal="right" vertical="center" wrapText="1"/>
    </xf>
    <xf numFmtId="3" fontId="50" fillId="16" borderId="20" xfId="13" applyNumberFormat="1" applyFont="1" applyFill="1" applyBorder="1" applyAlignment="1" applyProtection="1">
      <alignment horizontal="right" vertical="center" wrapText="1"/>
    </xf>
    <xf numFmtId="183" fontId="55" fillId="16" borderId="0" xfId="8" applyNumberFormat="1" applyFont="1" applyFill="1" applyAlignment="1" applyProtection="1">
      <alignment vertical="center"/>
    </xf>
    <xf numFmtId="195" fontId="50" fillId="16" borderId="0" xfId="13" applyFont="1" applyFill="1" applyAlignment="1" applyProtection="1">
      <alignment horizontal="right" vertical="center" wrapText="1"/>
    </xf>
    <xf numFmtId="3" fontId="50" fillId="16" borderId="0" xfId="13" applyNumberFormat="1" applyFont="1" applyFill="1" applyAlignment="1" applyProtection="1">
      <alignment horizontal="right" vertical="center" wrapText="1"/>
    </xf>
    <xf numFmtId="183" fontId="21" fillId="0" borderId="0" xfId="4" applyNumberFormat="1" applyFont="1" applyAlignment="1" applyProtection="1">
      <alignment vertical="center"/>
    </xf>
    <xf numFmtId="195" fontId="21" fillId="5" borderId="0" xfId="4" applyNumberFormat="1" applyFont="1" applyFill="1" applyAlignment="1" applyProtection="1">
      <alignment vertical="center"/>
    </xf>
    <xf numFmtId="190" fontId="50" fillId="13" borderId="0" xfId="12" applyNumberFormat="1" applyFont="1" applyFill="1" applyAlignment="1" applyProtection="1">
      <alignment horizontal="right" vertical="center"/>
    </xf>
    <xf numFmtId="183" fontId="55" fillId="16" borderId="0" xfId="4" applyNumberFormat="1" applyFont="1" applyFill="1" applyAlignment="1" applyProtection="1">
      <alignment vertical="center"/>
    </xf>
    <xf numFmtId="178" fontId="63" fillId="16" borderId="0" xfId="4" applyFont="1" applyFill="1" applyAlignment="1" applyProtection="1">
      <alignment vertical="center"/>
    </xf>
    <xf numFmtId="183" fontId="64" fillId="16" borderId="21" xfId="8" applyNumberFormat="1" applyFont="1" applyFill="1" applyBorder="1" applyAlignment="1" applyProtection="1">
      <alignment horizontal="right" vertical="center"/>
    </xf>
    <xf numFmtId="190" fontId="21" fillId="5" borderId="0" xfId="8" applyNumberFormat="1" applyFont="1" applyFill="1" applyAlignment="1" applyProtection="1">
      <alignment horizontal="right" vertical="center"/>
    </xf>
    <xf numFmtId="3" fontId="21" fillId="5" borderId="0" xfId="4" applyNumberFormat="1" applyFont="1" applyFill="1" applyAlignment="1" applyProtection="1">
      <alignment horizontal="right" vertical="center"/>
    </xf>
    <xf numFmtId="183" fontId="21" fillId="5" borderId="0" xfId="4" applyNumberFormat="1" applyFont="1" applyFill="1" applyAlignment="1" applyProtection="1">
      <alignment vertical="center"/>
    </xf>
    <xf numFmtId="183" fontId="21" fillId="16" borderId="0" xfId="8" applyNumberFormat="1" applyFont="1" applyFill="1" applyAlignment="1" applyProtection="1">
      <alignment horizontal="left" vertical="center"/>
    </xf>
    <xf numFmtId="178" fontId="21" fillId="16" borderId="20" xfId="4" applyFont="1" applyFill="1" applyBorder="1" applyAlignment="1" applyProtection="1">
      <alignment horizontal="left" vertical="center"/>
    </xf>
    <xf numFmtId="10" fontId="21" fillId="16" borderId="20" xfId="8" applyNumberFormat="1" applyFont="1" applyFill="1" applyBorder="1" applyAlignment="1" applyProtection="1">
      <alignment horizontal="right" vertical="center"/>
    </xf>
    <xf numFmtId="3" fontId="65" fillId="16" borderId="20" xfId="8" applyNumberFormat="1" applyFont="1" applyFill="1" applyBorder="1" applyAlignment="1" applyProtection="1">
      <alignment horizontal="right" vertical="center"/>
    </xf>
    <xf numFmtId="3" fontId="21" fillId="16" borderId="20" xfId="8" applyNumberFormat="1" applyFont="1" applyFill="1" applyBorder="1" applyAlignment="1" applyProtection="1">
      <alignment horizontal="right" vertical="center"/>
    </xf>
    <xf numFmtId="183" fontId="55" fillId="16" borderId="0" xfId="8" applyNumberFormat="1" applyFont="1" applyFill="1" applyAlignment="1" applyProtection="1">
      <alignment horizontal="left" vertical="center"/>
    </xf>
    <xf numFmtId="10" fontId="55" fillId="16" borderId="0" xfId="8" applyNumberFormat="1" applyFont="1" applyFill="1" applyAlignment="1" applyProtection="1">
      <alignment horizontal="right" vertical="center"/>
    </xf>
    <xf numFmtId="183" fontId="66" fillId="16" borderId="0" xfId="8" applyNumberFormat="1" applyFont="1" applyFill="1" applyAlignment="1" applyProtection="1">
      <alignment horizontal="right" vertical="center"/>
    </xf>
    <xf numFmtId="178" fontId="21" fillId="16" borderId="0" xfId="4" applyFont="1" applyFill="1" applyAlignment="1" applyProtection="1">
      <alignment horizontal="left" vertical="center"/>
    </xf>
    <xf numFmtId="10" fontId="21" fillId="16" borderId="0" xfId="8" applyNumberFormat="1" applyFont="1" applyFill="1" applyAlignment="1" applyProtection="1">
      <alignment horizontal="right" vertical="center"/>
    </xf>
    <xf numFmtId="3" fontId="65" fillId="16" borderId="0" xfId="8" applyNumberFormat="1" applyFont="1" applyFill="1" applyAlignment="1" applyProtection="1">
      <alignment horizontal="right" vertical="center"/>
    </xf>
    <xf numFmtId="3" fontId="52" fillId="16" borderId="0" xfId="8" applyNumberFormat="1" applyFont="1" applyFill="1" applyAlignment="1" applyProtection="1">
      <alignment horizontal="right" vertical="center"/>
    </xf>
    <xf numFmtId="178" fontId="21" fillId="16" borderId="0" xfId="4" applyFont="1" applyFill="1" applyAlignment="1" applyProtection="1">
      <alignment horizontal="left"/>
    </xf>
    <xf numFmtId="37" fontId="21" fillId="16" borderId="0" xfId="4" applyNumberFormat="1" applyFont="1" applyFill="1" applyAlignment="1" applyProtection="1">
      <alignment horizontal="right" vertical="center"/>
    </xf>
    <xf numFmtId="199" fontId="21" fillId="16" borderId="0" xfId="4" applyNumberFormat="1" applyFont="1" applyFill="1" applyAlignment="1" applyProtection="1">
      <alignment horizontal="right" vertical="center"/>
    </xf>
    <xf numFmtId="3" fontId="57" fillId="16" borderId="0" xfId="4" applyNumberFormat="1" applyFont="1" applyFill="1" applyAlignment="1" applyProtection="1">
      <alignment horizontal="right" vertical="center"/>
    </xf>
    <xf numFmtId="183" fontId="55" fillId="16" borderId="21" xfId="8" applyNumberFormat="1" applyFont="1" applyFill="1" applyBorder="1" applyAlignment="1" applyProtection="1">
      <alignment horizontal="left" vertical="center"/>
    </xf>
    <xf numFmtId="37" fontId="67" fillId="16" borderId="21" xfId="4" applyNumberFormat="1" applyFont="1" applyFill="1" applyBorder="1" applyAlignment="1" applyProtection="1">
      <alignment horizontal="right" vertical="center"/>
    </xf>
    <xf numFmtId="37" fontId="21" fillId="5" borderId="0" xfId="13" applyNumberFormat="1" applyFont="1" applyFill="1" applyAlignment="1" applyProtection="1">
      <alignment horizontal="right" vertical="center"/>
    </xf>
    <xf numFmtId="37" fontId="57" fillId="5" borderId="0" xfId="13" applyNumberFormat="1" applyFont="1" applyFill="1" applyAlignment="1" applyProtection="1">
      <alignment horizontal="right" vertical="center"/>
    </xf>
    <xf numFmtId="3" fontId="20" fillId="5" borderId="0" xfId="13" applyNumberFormat="1" applyFont="1" applyFill="1" applyAlignment="1" applyProtection="1">
      <alignment horizontal="right" vertical="center"/>
    </xf>
    <xf numFmtId="183" fontId="55" fillId="5" borderId="0" xfId="8" applyNumberFormat="1" applyFont="1" applyFill="1" applyAlignment="1" applyProtection="1">
      <alignment horizontal="left" vertical="center"/>
    </xf>
    <xf numFmtId="183" fontId="21" fillId="5" borderId="0" xfId="8" applyNumberFormat="1" applyFont="1" applyFill="1" applyAlignment="1" applyProtection="1">
      <alignment horizontal="right" vertical="center"/>
    </xf>
    <xf numFmtId="183" fontId="57" fillId="5" borderId="0" xfId="8" applyNumberFormat="1" applyFont="1" applyFill="1" applyAlignment="1" applyProtection="1">
      <alignment horizontal="right" vertical="center"/>
    </xf>
    <xf numFmtId="37" fontId="21" fillId="16" borderId="20" xfId="4" applyNumberFormat="1" applyFont="1" applyFill="1" applyBorder="1" applyAlignment="1" applyProtection="1">
      <alignment horizontal="right" vertical="center"/>
    </xf>
    <xf numFmtId="10" fontId="66" fillId="16" borderId="0" xfId="8" applyNumberFormat="1" applyFont="1" applyFill="1" applyAlignment="1" applyProtection="1">
      <alignment horizontal="right" vertical="center"/>
    </xf>
    <xf numFmtId="3" fontId="55" fillId="16" borderId="0" xfId="8" applyNumberFormat="1" applyFont="1" applyFill="1" applyAlignment="1" applyProtection="1">
      <alignment horizontal="right" vertical="center"/>
    </xf>
    <xf numFmtId="10" fontId="66" fillId="16" borderId="21" xfId="8" applyNumberFormat="1" applyFont="1" applyFill="1" applyBorder="1" applyAlignment="1" applyProtection="1">
      <alignment horizontal="right" vertical="center"/>
    </xf>
    <xf numFmtId="190" fontId="63" fillId="5" borderId="0" xfId="12" applyNumberFormat="1" applyFont="1" applyFill="1" applyAlignment="1" applyProtection="1">
      <alignment horizontal="right" vertical="center"/>
    </xf>
    <xf numFmtId="3" fontId="55" fillId="5" borderId="0" xfId="8" applyNumberFormat="1" applyFont="1" applyFill="1" applyAlignment="1" applyProtection="1">
      <alignment horizontal="right" vertical="center"/>
    </xf>
    <xf numFmtId="10" fontId="55" fillId="5" borderId="0" xfId="8" applyNumberFormat="1" applyFont="1" applyFill="1" applyAlignment="1" applyProtection="1">
      <alignment horizontal="right" vertical="center"/>
    </xf>
    <xf numFmtId="10" fontId="67" fillId="5" borderId="0" xfId="8" applyNumberFormat="1" applyFont="1" applyFill="1" applyAlignment="1" applyProtection="1">
      <alignment horizontal="right" vertical="center"/>
    </xf>
    <xf numFmtId="3" fontId="57" fillId="5" borderId="0" xfId="4" applyNumberFormat="1" applyFont="1" applyFill="1" applyAlignment="1" applyProtection="1">
      <alignment horizontal="right" vertical="center"/>
    </xf>
    <xf numFmtId="37" fontId="21" fillId="5" borderId="0" xfId="4" applyNumberFormat="1" applyFont="1" applyFill="1" applyAlignment="1" applyProtection="1">
      <alignment vertical="center"/>
    </xf>
    <xf numFmtId="37" fontId="21" fillId="5" borderId="0" xfId="4" applyNumberFormat="1" applyFont="1" applyFill="1" applyAlignment="1" applyProtection="1">
      <alignment horizontal="right" vertical="center"/>
    </xf>
    <xf numFmtId="37" fontId="57" fillId="5" borderId="0" xfId="4" applyNumberFormat="1" applyFont="1" applyFill="1" applyAlignment="1" applyProtection="1">
      <alignment horizontal="right" vertical="center"/>
    </xf>
    <xf numFmtId="178" fontId="21" fillId="5" borderId="0" xfId="4" applyFont="1" applyFill="1" applyAlignment="1" applyProtection="1">
      <alignment horizontal="left" vertical="center" indent="1"/>
    </xf>
    <xf numFmtId="183" fontId="66" fillId="5" borderId="0" xfId="8" applyNumberFormat="1" applyFont="1" applyFill="1" applyAlignment="1" applyProtection="1">
      <alignment horizontal="right" vertical="center"/>
    </xf>
    <xf numFmtId="3" fontId="66" fillId="5" borderId="0" xfId="8" applyNumberFormat="1" applyFont="1" applyFill="1" applyAlignment="1" applyProtection="1">
      <alignment horizontal="right" vertical="center"/>
    </xf>
    <xf numFmtId="178" fontId="69" fillId="5" borderId="0" xfId="4" applyFont="1" applyFill="1" applyAlignment="1" applyProtection="1">
      <alignment vertical="center"/>
    </xf>
    <xf numFmtId="183" fontId="67" fillId="5" borderId="0" xfId="8" applyNumberFormat="1" applyFont="1" applyFill="1" applyAlignment="1" applyProtection="1">
      <alignment horizontal="right" vertical="center"/>
    </xf>
    <xf numFmtId="3" fontId="67" fillId="5" borderId="0" xfId="8" applyNumberFormat="1" applyFont="1" applyFill="1" applyAlignment="1" applyProtection="1">
      <alignment horizontal="right" vertical="center"/>
    </xf>
    <xf numFmtId="3" fontId="65" fillId="5" borderId="0" xfId="8" applyNumberFormat="1" applyFont="1" applyFill="1" applyAlignment="1" applyProtection="1">
      <alignment horizontal="right" vertical="center"/>
    </xf>
    <xf numFmtId="9" fontId="21" fillId="5" borderId="0" xfId="4" applyNumberFormat="1" applyFont="1" applyFill="1" applyAlignment="1" applyProtection="1">
      <alignment vertical="center"/>
    </xf>
    <xf numFmtId="3" fontId="59" fillId="13" borderId="0" xfId="12" applyNumberFormat="1" applyFont="1" applyFill="1" applyAlignment="1" applyProtection="1">
      <alignment horizontal="right" vertical="center"/>
    </xf>
    <xf numFmtId="194" fontId="50" fillId="5" borderId="0" xfId="4" applyNumberFormat="1" applyFont="1" applyFill="1" applyAlignment="1" applyProtection="1">
      <alignment horizontal="right" vertical="center"/>
    </xf>
    <xf numFmtId="183" fontId="59" fillId="5" borderId="0" xfId="8" applyNumberFormat="1" applyFont="1" applyFill="1" applyAlignment="1" applyProtection="1">
      <alignment horizontal="right" vertical="center"/>
    </xf>
    <xf numFmtId="183" fontId="50" fillId="5" borderId="0" xfId="8" applyNumberFormat="1" applyFont="1" applyFill="1" applyAlignment="1" applyProtection="1">
      <alignment horizontal="right" vertical="center"/>
    </xf>
    <xf numFmtId="4" fontId="21" fillId="16" borderId="20" xfId="4" applyNumberFormat="1" applyFont="1" applyFill="1" applyBorder="1" applyAlignment="1" applyProtection="1">
      <alignment horizontal="right" vertical="center"/>
    </xf>
    <xf numFmtId="2" fontId="21" fillId="0" borderId="20" xfId="4" applyNumberFormat="1" applyFont="1" applyBorder="1" applyAlignment="1" applyProtection="1">
      <alignment vertical="center"/>
    </xf>
    <xf numFmtId="178" fontId="21" fillId="0" borderId="20" xfId="4" applyFont="1" applyBorder="1" applyAlignment="1" applyProtection="1">
      <alignment vertical="center"/>
    </xf>
    <xf numFmtId="178" fontId="21" fillId="0" borderId="19" xfId="4" applyFont="1" applyBorder="1" applyAlignment="1" applyProtection="1">
      <alignment vertical="center"/>
    </xf>
    <xf numFmtId="193" fontId="21" fillId="16" borderId="0" xfId="12" applyFont="1" applyFill="1" applyAlignment="1" applyProtection="1">
      <alignment horizontal="right" vertical="center"/>
    </xf>
    <xf numFmtId="2" fontId="21" fillId="0" borderId="0" xfId="4" applyNumberFormat="1" applyFont="1" applyAlignment="1" applyProtection="1">
      <alignment vertical="center"/>
    </xf>
    <xf numFmtId="178" fontId="21" fillId="0" borderId="22" xfId="4" applyFont="1" applyBorder="1" applyAlignment="1" applyProtection="1">
      <alignment vertical="center"/>
    </xf>
    <xf numFmtId="183" fontId="21" fillId="16" borderId="0" xfId="12" applyNumberFormat="1" applyFont="1" applyFill="1" applyAlignment="1" applyProtection="1">
      <alignment horizontal="right" vertical="center"/>
    </xf>
    <xf numFmtId="9" fontId="21" fillId="0" borderId="0" xfId="4" applyNumberFormat="1" applyFont="1" applyAlignment="1" applyProtection="1">
      <alignment vertical="center"/>
    </xf>
    <xf numFmtId="9" fontId="21" fillId="0" borderId="0" xfId="4" applyNumberFormat="1" applyFont="1" applyAlignment="1" applyProtection="1">
      <alignment horizontal="right" vertical="center"/>
    </xf>
    <xf numFmtId="9" fontId="21" fillId="0" borderId="22" xfId="4" applyNumberFormat="1" applyFont="1" applyBorder="1" applyAlignment="1" applyProtection="1">
      <alignment horizontal="right" vertical="center"/>
    </xf>
    <xf numFmtId="181" fontId="21" fillId="0" borderId="22" xfId="4" applyNumberFormat="1" applyFont="1" applyBorder="1" applyAlignment="1" applyProtection="1">
      <alignment vertical="center"/>
    </xf>
    <xf numFmtId="37" fontId="65" fillId="16" borderId="0" xfId="4" applyNumberFormat="1" applyFont="1" applyFill="1" applyAlignment="1" applyProtection="1">
      <alignment horizontal="right" vertical="center"/>
    </xf>
    <xf numFmtId="3" fontId="65" fillId="16" borderId="0" xfId="4" applyNumberFormat="1" applyFont="1" applyFill="1" applyAlignment="1" applyProtection="1">
      <alignment horizontal="right" vertical="center"/>
    </xf>
    <xf numFmtId="183" fontId="21" fillId="0" borderId="22" xfId="4" applyNumberFormat="1" applyFont="1" applyBorder="1" applyAlignment="1" applyProtection="1">
      <alignment vertical="center"/>
    </xf>
    <xf numFmtId="39" fontId="21" fillId="16" borderId="0" xfId="4" applyNumberFormat="1" applyFont="1" applyFill="1" applyAlignment="1" applyProtection="1">
      <alignment horizontal="right" vertical="center"/>
    </xf>
    <xf numFmtId="183" fontId="21" fillId="0" borderId="21" xfId="4" applyNumberFormat="1" applyFont="1" applyBorder="1" applyAlignment="1" applyProtection="1">
      <alignment vertical="center"/>
    </xf>
    <xf numFmtId="183" fontId="21" fillId="0" borderId="24" xfId="4" applyNumberFormat="1" applyFont="1" applyBorder="1" applyAlignment="1" applyProtection="1">
      <alignment vertical="center"/>
    </xf>
    <xf numFmtId="183" fontId="50" fillId="0" borderId="0" xfId="4" applyNumberFormat="1" applyFont="1" applyAlignment="1" applyProtection="1">
      <alignment vertical="center"/>
    </xf>
    <xf numFmtId="183" fontId="57" fillId="16" borderId="0" xfId="8" applyNumberFormat="1" applyFont="1" applyFill="1" applyAlignment="1" applyProtection="1">
      <alignment horizontal="right" vertical="center"/>
    </xf>
    <xf numFmtId="201" fontId="21" fillId="16" borderId="0" xfId="12" applyNumberFormat="1" applyFont="1" applyFill="1" applyAlignment="1" applyProtection="1">
      <alignment horizontal="right" vertical="center"/>
    </xf>
    <xf numFmtId="183" fontId="21" fillId="16" borderId="21" xfId="8" applyNumberFormat="1" applyFont="1" applyFill="1" applyBorder="1" applyAlignment="1" applyProtection="1">
      <alignment horizontal="right" vertical="center"/>
    </xf>
    <xf numFmtId="202" fontId="50" fillId="5" borderId="0" xfId="13" applyNumberFormat="1" applyFont="1" applyFill="1" applyAlignment="1" applyProtection="1">
      <alignment horizontal="right" vertical="center"/>
    </xf>
    <xf numFmtId="183" fontId="64" fillId="5" borderId="0" xfId="8" applyNumberFormat="1" applyFont="1" applyFill="1" applyAlignment="1" applyProtection="1">
      <alignment horizontal="right" vertical="center"/>
    </xf>
    <xf numFmtId="39" fontId="55" fillId="5" borderId="0" xfId="4" applyNumberFormat="1" applyFont="1" applyFill="1" applyAlignment="1" applyProtection="1">
      <alignment horizontal="right" vertical="center"/>
    </xf>
    <xf numFmtId="9" fontId="21" fillId="5" borderId="0" xfId="13" applyNumberFormat="1" applyFont="1" applyFill="1" applyAlignment="1" applyProtection="1">
      <alignment horizontal="right" vertical="center"/>
    </xf>
    <xf numFmtId="195" fontId="50" fillId="5" borderId="0" xfId="13" applyFont="1" applyFill="1" applyAlignment="1" applyProtection="1">
      <alignment horizontal="right" vertical="center"/>
    </xf>
    <xf numFmtId="37" fontId="50" fillId="5" borderId="0" xfId="4" applyNumberFormat="1" applyFont="1" applyFill="1" applyProtection="1"/>
    <xf numFmtId="39" fontId="50" fillId="5" borderId="0" xfId="4" applyNumberFormat="1" applyFont="1" applyFill="1" applyProtection="1"/>
    <xf numFmtId="37" fontId="21" fillId="5" borderId="0" xfId="4" applyNumberFormat="1" applyFont="1" applyFill="1" applyProtection="1"/>
    <xf numFmtId="183" fontId="21" fillId="5" borderId="0" xfId="8" applyNumberFormat="1" applyFont="1" applyFill="1" applyProtection="1"/>
    <xf numFmtId="37" fontId="50" fillId="5" borderId="0" xfId="4" applyNumberFormat="1" applyFont="1" applyFill="1" applyAlignment="1" applyProtection="1">
      <alignment vertical="center"/>
    </xf>
    <xf numFmtId="39" fontId="21" fillId="5" borderId="0" xfId="4" applyNumberFormat="1" applyFont="1" applyFill="1" applyAlignment="1" applyProtection="1">
      <alignment horizontal="right" vertical="center"/>
    </xf>
    <xf numFmtId="178" fontId="21" fillId="5" borderId="0" xfId="4" applyFont="1" applyFill="1" applyProtection="1"/>
    <xf numFmtId="178" fontId="21" fillId="5" borderId="0" xfId="4" applyFont="1" applyFill="1" applyAlignment="1" applyProtection="1">
      <alignment horizontal="right"/>
    </xf>
    <xf numFmtId="193" fontId="21" fillId="5" borderId="0" xfId="13" applyNumberFormat="1" applyFont="1" applyFill="1" applyAlignment="1" applyProtection="1">
      <alignment horizontal="right" vertical="center"/>
    </xf>
    <xf numFmtId="178" fontId="21" fillId="5" borderId="0" xfId="4" applyFont="1" applyFill="1" applyAlignment="1" applyProtection="1">
      <alignment horizontal="left" vertical="center"/>
    </xf>
    <xf numFmtId="190" fontId="50" fillId="5" borderId="0" xfId="12" applyNumberFormat="1" applyFont="1" applyFill="1" applyAlignment="1" applyProtection="1">
      <alignment horizontal="right" vertical="center"/>
    </xf>
    <xf numFmtId="193" fontId="21" fillId="5" borderId="0" xfId="12" applyFont="1" applyFill="1" applyAlignment="1" applyProtection="1">
      <alignment vertical="center"/>
    </xf>
    <xf numFmtId="3" fontId="49" fillId="10" borderId="25" xfId="13" applyNumberFormat="1" applyFont="1" applyFill="1" applyBorder="1" applyAlignment="1" applyProtection="1">
      <alignment horizontal="right" vertical="center"/>
    </xf>
    <xf numFmtId="3" fontId="49" fillId="10" borderId="25" xfId="4" applyNumberFormat="1" applyFont="1" applyFill="1" applyBorder="1" applyAlignment="1" applyProtection="1">
      <alignment horizontal="right" vertical="center"/>
    </xf>
    <xf numFmtId="178" fontId="50" fillId="5" borderId="0" xfId="4" applyFont="1" applyFill="1" applyProtection="1"/>
    <xf numFmtId="38" fontId="21" fillId="5" borderId="0" xfId="4" applyNumberFormat="1" applyFont="1" applyFill="1" applyAlignment="1" applyProtection="1">
      <alignment horizontal="center" vertical="center"/>
    </xf>
    <xf numFmtId="38" fontId="21" fillId="5" borderId="0" xfId="4" applyNumberFormat="1" applyFont="1" applyFill="1" applyAlignment="1" applyProtection="1">
      <alignment horizontal="right" vertical="center"/>
    </xf>
    <xf numFmtId="38" fontId="21" fillId="5" borderId="0" xfId="13" applyNumberFormat="1" applyFont="1" applyFill="1" applyAlignment="1" applyProtection="1">
      <alignment vertical="center"/>
    </xf>
    <xf numFmtId="3" fontId="21" fillId="5" borderId="0" xfId="13" applyNumberFormat="1" applyFont="1" applyFill="1" applyAlignment="1" applyProtection="1">
      <alignment vertical="center"/>
    </xf>
    <xf numFmtId="3" fontId="65" fillId="0" borderId="0" xfId="13" applyNumberFormat="1" applyFont="1" applyAlignment="1" applyProtection="1">
      <alignment horizontal="right" vertical="center"/>
    </xf>
    <xf numFmtId="38" fontId="50" fillId="13" borderId="0" xfId="13" applyNumberFormat="1" applyFont="1" applyFill="1" applyAlignment="1" applyProtection="1">
      <alignment vertical="center"/>
    </xf>
    <xf numFmtId="3" fontId="50" fillId="13" borderId="0" xfId="13" applyNumberFormat="1" applyFont="1" applyFill="1" applyAlignment="1" applyProtection="1">
      <alignment vertical="center"/>
    </xf>
    <xf numFmtId="203" fontId="55" fillId="5" borderId="0" xfId="13" applyNumberFormat="1" applyFont="1" applyFill="1" applyAlignment="1" applyProtection="1">
      <alignment vertical="center"/>
    </xf>
    <xf numFmtId="183" fontId="55" fillId="5" borderId="0" xfId="4" applyNumberFormat="1" applyFont="1" applyFill="1" applyAlignment="1" applyProtection="1">
      <alignment vertical="center"/>
    </xf>
    <xf numFmtId="180" fontId="21" fillId="5" borderId="0" xfId="13" applyNumberFormat="1" applyFont="1" applyFill="1" applyAlignment="1" applyProtection="1">
      <alignment vertical="center"/>
    </xf>
    <xf numFmtId="180" fontId="21" fillId="5" borderId="0" xfId="4" applyNumberFormat="1" applyFont="1" applyFill="1" applyAlignment="1" applyProtection="1">
      <alignment vertical="center"/>
    </xf>
    <xf numFmtId="180" fontId="65" fillId="5" borderId="0" xfId="4" applyNumberFormat="1" applyFont="1" applyFill="1" applyAlignment="1" applyProtection="1">
      <alignment vertical="center"/>
    </xf>
    <xf numFmtId="38" fontId="21" fillId="5" borderId="0" xfId="12" applyNumberFormat="1" applyFont="1" applyFill="1" applyAlignment="1" applyProtection="1">
      <alignment vertical="center"/>
    </xf>
    <xf numFmtId="38" fontId="21" fillId="5" borderId="0" xfId="14" applyNumberFormat="1" applyFont="1" applyFill="1" applyAlignment="1" applyProtection="1">
      <alignment vertical="center"/>
    </xf>
    <xf numFmtId="3" fontId="21" fillId="5" borderId="0" xfId="14" applyNumberFormat="1" applyFont="1" applyFill="1" applyAlignment="1" applyProtection="1">
      <alignment vertical="center"/>
    </xf>
    <xf numFmtId="38" fontId="21" fillId="5" borderId="0" xfId="8" applyNumberFormat="1" applyFont="1" applyFill="1" applyAlignment="1" applyProtection="1">
      <alignment vertical="center"/>
    </xf>
    <xf numFmtId="38" fontId="50" fillId="13" borderId="0" xfId="4" applyNumberFormat="1" applyFont="1" applyFill="1" applyAlignment="1" applyProtection="1">
      <alignment vertical="center"/>
    </xf>
    <xf numFmtId="3" fontId="50" fillId="13" borderId="0" xfId="4" applyNumberFormat="1" applyFont="1" applyFill="1" applyAlignment="1" applyProtection="1">
      <alignment horizontal="right" vertical="center"/>
    </xf>
    <xf numFmtId="204" fontId="21" fillId="5" borderId="0" xfId="4" applyNumberFormat="1" applyFont="1" applyFill="1" applyAlignment="1" applyProtection="1">
      <alignment vertical="center"/>
    </xf>
    <xf numFmtId="204" fontId="21" fillId="5" borderId="0" xfId="12" applyNumberFormat="1" applyFont="1" applyFill="1" applyAlignment="1" applyProtection="1">
      <alignment vertical="center"/>
    </xf>
    <xf numFmtId="204" fontId="21" fillId="5" borderId="0" xfId="4" applyNumberFormat="1" applyFont="1" applyFill="1" applyAlignment="1" applyProtection="1">
      <alignment horizontal="right" vertical="center"/>
    </xf>
    <xf numFmtId="38" fontId="21" fillId="5" borderId="0" xfId="4" applyNumberFormat="1" applyFont="1" applyFill="1" applyAlignment="1" applyProtection="1">
      <alignment vertical="center"/>
    </xf>
    <xf numFmtId="178" fontId="21" fillId="0" borderId="0" xfId="4" quotePrefix="1" applyFont="1" applyAlignment="1" applyProtection="1">
      <alignment vertical="center"/>
    </xf>
    <xf numFmtId="205" fontId="21" fillId="0" borderId="0" xfId="4" applyNumberFormat="1" applyFont="1" applyAlignment="1" applyProtection="1">
      <alignment vertical="center"/>
    </xf>
    <xf numFmtId="3" fontId="21" fillId="0" borderId="0" xfId="4" applyNumberFormat="1" applyFont="1" applyAlignment="1" applyProtection="1">
      <alignment horizontal="left" vertical="center"/>
    </xf>
    <xf numFmtId="3" fontId="21" fillId="5" borderId="0" xfId="15" applyNumberFormat="1" applyFont="1" applyFill="1" applyAlignment="1" applyProtection="1">
      <alignment horizontal="left" vertical="center" wrapText="1"/>
    </xf>
    <xf numFmtId="195" fontId="21" fillId="5" borderId="0" xfId="15" applyFont="1" applyFill="1" applyAlignment="1" applyProtection="1">
      <alignment horizontal="right" vertical="center" wrapText="1"/>
    </xf>
    <xf numFmtId="3" fontId="21" fillId="5" borderId="0" xfId="15" applyNumberFormat="1" applyFont="1" applyFill="1" applyAlignment="1" applyProtection="1">
      <alignment horizontal="right" vertical="center" wrapText="1"/>
    </xf>
    <xf numFmtId="3" fontId="21" fillId="5" borderId="0" xfId="15" applyNumberFormat="1" applyFont="1" applyFill="1" applyAlignment="1" applyProtection="1">
      <alignment horizontal="left" vertical="center"/>
    </xf>
    <xf numFmtId="3" fontId="50" fillId="5" borderId="0" xfId="15" applyNumberFormat="1" applyFont="1" applyFill="1" applyAlignment="1" applyProtection="1">
      <alignment horizontal="left" vertical="center" wrapText="1"/>
    </xf>
    <xf numFmtId="37" fontId="50" fillId="5" borderId="0" xfId="15" applyNumberFormat="1" applyFont="1" applyFill="1" applyAlignment="1" applyProtection="1">
      <alignment horizontal="right" vertical="center" wrapText="1"/>
    </xf>
    <xf numFmtId="3" fontId="50" fillId="5" borderId="0" xfId="15" applyNumberFormat="1" applyFont="1" applyFill="1" applyAlignment="1" applyProtection="1">
      <alignment horizontal="right" vertical="center" wrapText="1"/>
    </xf>
    <xf numFmtId="3" fontId="21" fillId="5" borderId="0" xfId="4" applyNumberFormat="1" applyFont="1" applyFill="1" applyAlignment="1" applyProtection="1">
      <alignment horizontal="left" vertical="center"/>
    </xf>
    <xf numFmtId="206" fontId="21" fillId="5" borderId="0" xfId="12" applyNumberFormat="1" applyFont="1" applyFill="1" applyAlignment="1" applyProtection="1">
      <alignment vertical="center"/>
    </xf>
    <xf numFmtId="3" fontId="50" fillId="13" borderId="0" xfId="4" applyNumberFormat="1" applyFont="1" applyFill="1" applyAlignment="1" applyProtection="1">
      <alignment horizontal="left" vertical="center"/>
    </xf>
    <xf numFmtId="190" fontId="50" fillId="13" borderId="0" xfId="4" applyNumberFormat="1" applyFont="1" applyFill="1" applyAlignment="1" applyProtection="1">
      <alignment vertical="center"/>
    </xf>
    <xf numFmtId="3" fontId="50" fillId="13" borderId="0" xfId="4" applyNumberFormat="1" applyFont="1" applyFill="1" applyAlignment="1" applyProtection="1">
      <alignment vertical="center"/>
    </xf>
    <xf numFmtId="178" fontId="55" fillId="0" borderId="0" xfId="4" applyFont="1" applyAlignment="1" applyProtection="1">
      <alignment vertical="center"/>
    </xf>
    <xf numFmtId="3" fontId="55" fillId="5" borderId="0" xfId="4" applyNumberFormat="1" applyFont="1" applyFill="1" applyAlignment="1" applyProtection="1">
      <alignment horizontal="left" vertical="center"/>
    </xf>
    <xf numFmtId="3" fontId="21" fillId="16" borderId="20" xfId="12" applyNumberFormat="1" applyFont="1" applyFill="1" applyBorder="1" applyAlignment="1" applyProtection="1">
      <alignment horizontal="left" vertical="center"/>
    </xf>
    <xf numFmtId="190" fontId="50" fillId="16" borderId="20" xfId="12" applyNumberFormat="1" applyFont="1" applyFill="1" applyBorder="1" applyAlignment="1" applyProtection="1">
      <alignment vertical="center"/>
    </xf>
    <xf numFmtId="3" fontId="50" fillId="16" borderId="20" xfId="12" applyNumberFormat="1" applyFont="1" applyFill="1" applyBorder="1" applyAlignment="1" applyProtection="1">
      <alignment vertical="center"/>
    </xf>
    <xf numFmtId="3" fontId="55" fillId="16" borderId="0" xfId="4" applyNumberFormat="1" applyFont="1" applyFill="1" applyAlignment="1" applyProtection="1">
      <alignment horizontal="left" vertical="center"/>
    </xf>
    <xf numFmtId="185" fontId="55" fillId="16" borderId="0" xfId="4" applyNumberFormat="1" applyFont="1" applyFill="1" applyAlignment="1" applyProtection="1">
      <alignment vertical="center"/>
    </xf>
    <xf numFmtId="181" fontId="55" fillId="16" borderId="0" xfId="4" applyNumberFormat="1" applyFont="1" applyFill="1" applyAlignment="1" applyProtection="1">
      <alignment vertical="center"/>
    </xf>
    <xf numFmtId="181" fontId="67" fillId="16" borderId="0" xfId="4" applyNumberFormat="1" applyFont="1" applyFill="1" applyAlignment="1" applyProtection="1">
      <alignment vertical="center"/>
    </xf>
    <xf numFmtId="3" fontId="21" fillId="16" borderId="0" xfId="12" applyNumberFormat="1" applyFont="1" applyFill="1" applyAlignment="1" applyProtection="1">
      <alignment horizontal="left" vertical="center"/>
    </xf>
    <xf numFmtId="190" fontId="21" fillId="16" borderId="0" xfId="12" applyNumberFormat="1" applyFont="1" applyFill="1" applyAlignment="1" applyProtection="1">
      <alignment vertical="center"/>
    </xf>
    <xf numFmtId="9" fontId="21" fillId="16" borderId="0" xfId="8" applyFont="1" applyFill="1" applyAlignment="1" applyProtection="1">
      <alignment vertical="center"/>
    </xf>
    <xf numFmtId="3" fontId="50" fillId="0" borderId="0" xfId="4" applyNumberFormat="1" applyFont="1" applyAlignment="1" applyProtection="1">
      <alignment vertical="center"/>
    </xf>
    <xf numFmtId="3" fontId="21" fillId="16" borderId="0" xfId="4" applyNumberFormat="1" applyFont="1" applyFill="1" applyAlignment="1" applyProtection="1">
      <alignment horizontal="left" vertical="center"/>
    </xf>
    <xf numFmtId="3" fontId="50" fillId="16" borderId="0" xfId="4" applyNumberFormat="1" applyFont="1" applyFill="1" applyAlignment="1" applyProtection="1">
      <alignment vertical="center"/>
    </xf>
    <xf numFmtId="3" fontId="50" fillId="16" borderId="0" xfId="12" applyNumberFormat="1" applyFont="1" applyFill="1" applyAlignment="1" applyProtection="1">
      <alignment vertical="center"/>
    </xf>
    <xf numFmtId="193" fontId="21" fillId="16" borderId="0" xfId="12" applyFont="1" applyFill="1" applyAlignment="1" applyProtection="1">
      <alignment vertical="center"/>
    </xf>
    <xf numFmtId="185" fontId="57" fillId="16" borderId="0" xfId="4" applyNumberFormat="1" applyFont="1" applyFill="1" applyAlignment="1" applyProtection="1">
      <alignment vertical="center"/>
    </xf>
    <xf numFmtId="190" fontId="50" fillId="16" borderId="0" xfId="12" applyNumberFormat="1" applyFont="1" applyFill="1" applyAlignment="1" applyProtection="1">
      <alignment vertical="center"/>
    </xf>
    <xf numFmtId="185" fontId="55" fillId="16" borderId="21" xfId="4" applyNumberFormat="1" applyFont="1" applyFill="1" applyBorder="1" applyAlignment="1" applyProtection="1">
      <alignment vertical="center"/>
    </xf>
    <xf numFmtId="181" fontId="55" fillId="16" borderId="21" xfId="4" applyNumberFormat="1" applyFont="1" applyFill="1" applyBorder="1" applyAlignment="1" applyProtection="1">
      <alignment vertical="center"/>
    </xf>
    <xf numFmtId="181" fontId="67" fillId="16" borderId="21" xfId="4" applyNumberFormat="1" applyFont="1" applyFill="1" applyBorder="1" applyAlignment="1" applyProtection="1">
      <alignment vertical="center"/>
    </xf>
    <xf numFmtId="185" fontId="21" fillId="5" borderId="0" xfId="4" applyNumberFormat="1" applyFont="1" applyFill="1" applyAlignment="1" applyProtection="1">
      <alignment vertical="center"/>
    </xf>
    <xf numFmtId="185" fontId="57" fillId="5" borderId="0" xfId="4" applyNumberFormat="1" applyFont="1" applyFill="1" applyAlignment="1" applyProtection="1">
      <alignment vertical="center"/>
    </xf>
    <xf numFmtId="3" fontId="21" fillId="13" borderId="0" xfId="4" applyNumberFormat="1" applyFont="1" applyFill="1" applyAlignment="1" applyProtection="1">
      <alignment horizontal="left" vertical="center"/>
    </xf>
    <xf numFmtId="193" fontId="55" fillId="5" borderId="0" xfId="12" applyFont="1" applyFill="1" applyAlignment="1" applyProtection="1">
      <alignment vertical="center"/>
    </xf>
    <xf numFmtId="181" fontId="55" fillId="5" borderId="0" xfId="12" applyNumberFormat="1" applyFont="1" applyFill="1" applyAlignment="1" applyProtection="1">
      <alignment vertical="center"/>
    </xf>
    <xf numFmtId="181" fontId="67" fillId="5" borderId="0" xfId="4" applyNumberFormat="1" applyFont="1" applyFill="1" applyAlignment="1" applyProtection="1">
      <alignment vertical="center"/>
    </xf>
    <xf numFmtId="3" fontId="50" fillId="5" borderId="0" xfId="12" applyNumberFormat="1" applyFont="1" applyFill="1" applyAlignment="1" applyProtection="1">
      <alignment horizontal="left" vertical="center"/>
    </xf>
    <xf numFmtId="190" fontId="50" fillId="5" borderId="0" xfId="12" applyNumberFormat="1" applyFont="1" applyFill="1" applyAlignment="1" applyProtection="1">
      <alignment vertical="center"/>
    </xf>
    <xf numFmtId="193" fontId="50" fillId="13" borderId="0" xfId="12" applyFont="1" applyFill="1" applyAlignment="1" applyProtection="1">
      <alignment vertical="center"/>
    </xf>
    <xf numFmtId="3" fontId="50" fillId="13" borderId="0" xfId="12" applyNumberFormat="1" applyFont="1" applyFill="1" applyAlignment="1" applyProtection="1">
      <alignment vertical="center"/>
    </xf>
    <xf numFmtId="193" fontId="21" fillId="0" borderId="0" xfId="12" applyFont="1" applyAlignment="1" applyProtection="1">
      <alignment vertical="center"/>
    </xf>
    <xf numFmtId="181" fontId="55" fillId="0" borderId="0" xfId="4" applyNumberFormat="1" applyFont="1" applyAlignment="1" applyProtection="1">
      <alignment vertical="center"/>
    </xf>
    <xf numFmtId="181" fontId="67" fillId="0" borderId="0" xfId="4" applyNumberFormat="1" applyFont="1" applyAlignment="1" applyProtection="1">
      <alignment vertical="center"/>
    </xf>
    <xf numFmtId="3" fontId="60" fillId="13" borderId="0" xfId="4" applyNumberFormat="1" applyFont="1" applyFill="1" applyAlignment="1" applyProtection="1">
      <alignment vertical="center"/>
    </xf>
    <xf numFmtId="3" fontId="21" fillId="16" borderId="20" xfId="4" applyNumberFormat="1" applyFont="1" applyFill="1" applyBorder="1" applyAlignment="1" applyProtection="1">
      <alignment horizontal="left" vertical="center"/>
    </xf>
    <xf numFmtId="38" fontId="50" fillId="16" borderId="20" xfId="4" applyNumberFormat="1" applyFont="1" applyFill="1" applyBorder="1" applyAlignment="1" applyProtection="1">
      <alignment vertical="center"/>
    </xf>
    <xf numFmtId="3" fontId="50" fillId="16" borderId="20" xfId="4" applyNumberFormat="1" applyFont="1" applyFill="1" applyBorder="1" applyAlignment="1" applyProtection="1">
      <alignment vertical="center"/>
    </xf>
    <xf numFmtId="193" fontId="55" fillId="16" borderId="0" xfId="12" applyFont="1" applyFill="1" applyAlignment="1" applyProtection="1">
      <alignment vertical="center"/>
    </xf>
    <xf numFmtId="181" fontId="55" fillId="16" borderId="0" xfId="12" applyNumberFormat="1" applyFont="1" applyFill="1" applyAlignment="1" applyProtection="1">
      <alignment vertical="center"/>
    </xf>
    <xf numFmtId="181" fontId="21" fillId="16" borderId="0" xfId="4" applyNumberFormat="1" applyFont="1" applyFill="1" applyAlignment="1" applyProtection="1">
      <alignment vertical="center"/>
    </xf>
    <xf numFmtId="3" fontId="21" fillId="16" borderId="0" xfId="12" applyNumberFormat="1" applyFont="1" applyFill="1" applyAlignment="1" applyProtection="1">
      <alignment vertical="center"/>
    </xf>
    <xf numFmtId="190" fontId="55" fillId="16" borderId="0" xfId="12" applyNumberFormat="1" applyFont="1" applyFill="1" applyAlignment="1" applyProtection="1">
      <alignment vertical="center"/>
    </xf>
    <xf numFmtId="183" fontId="21" fillId="16" borderId="0" xfId="8" applyNumberFormat="1" applyFont="1" applyFill="1" applyAlignment="1" applyProtection="1">
      <alignment vertical="center"/>
    </xf>
    <xf numFmtId="183" fontId="57" fillId="16" borderId="0" xfId="8" applyNumberFormat="1" applyFont="1" applyFill="1" applyAlignment="1" applyProtection="1">
      <alignment vertical="center"/>
    </xf>
    <xf numFmtId="3" fontId="21" fillId="16" borderId="0" xfId="4" applyNumberFormat="1" applyFont="1" applyFill="1" applyAlignment="1" applyProtection="1">
      <alignment vertical="center"/>
    </xf>
    <xf numFmtId="193" fontId="55" fillId="16" borderId="21" xfId="12" applyFont="1" applyFill="1" applyBorder="1" applyAlignment="1" applyProtection="1">
      <alignment vertical="center"/>
    </xf>
    <xf numFmtId="181" fontId="55" fillId="16" borderId="21" xfId="12" applyNumberFormat="1" applyFont="1" applyFill="1" applyBorder="1" applyAlignment="1" applyProtection="1">
      <alignment vertical="center"/>
    </xf>
    <xf numFmtId="3" fontId="21" fillId="0" borderId="0" xfId="12" applyNumberFormat="1" applyFont="1" applyAlignment="1" applyProtection="1">
      <alignment horizontal="left" vertical="center"/>
    </xf>
    <xf numFmtId="190" fontId="21" fillId="0" borderId="0" xfId="12" applyNumberFormat="1" applyFont="1" applyAlignment="1" applyProtection="1">
      <alignment vertical="center"/>
    </xf>
    <xf numFmtId="185" fontId="67" fillId="0" borderId="0" xfId="4" applyNumberFormat="1" applyFont="1" applyAlignment="1" applyProtection="1">
      <alignment vertical="center"/>
    </xf>
    <xf numFmtId="185" fontId="57" fillId="0" borderId="0" xfId="4" applyNumberFormat="1" applyFont="1" applyAlignment="1" applyProtection="1">
      <alignment vertical="center"/>
    </xf>
    <xf numFmtId="3" fontId="50" fillId="13" borderId="0" xfId="12" applyNumberFormat="1" applyFont="1" applyFill="1" applyAlignment="1" applyProtection="1">
      <alignment horizontal="left" vertical="center"/>
    </xf>
    <xf numFmtId="185" fontId="50" fillId="13" borderId="0" xfId="4" applyNumberFormat="1" applyFont="1" applyFill="1" applyAlignment="1" applyProtection="1">
      <alignment vertical="center"/>
    </xf>
    <xf numFmtId="181" fontId="55" fillId="0" borderId="0" xfId="4" applyNumberFormat="1" applyFont="1" applyAlignment="1" applyProtection="1">
      <alignment horizontal="left" vertical="center"/>
    </xf>
    <xf numFmtId="183" fontId="55" fillId="0" borderId="0" xfId="4" applyNumberFormat="1" applyFont="1" applyAlignment="1" applyProtection="1">
      <alignment vertical="center"/>
    </xf>
    <xf numFmtId="9" fontId="67" fillId="0" borderId="0" xfId="4" applyNumberFormat="1" applyFont="1" applyAlignment="1" applyProtection="1">
      <alignment vertical="center"/>
    </xf>
    <xf numFmtId="38" fontId="21" fillId="0" borderId="0" xfId="4" applyNumberFormat="1" applyFont="1" applyAlignment="1" applyProtection="1">
      <alignment vertical="center"/>
    </xf>
    <xf numFmtId="3" fontId="50" fillId="0" borderId="0" xfId="4" applyNumberFormat="1" applyFont="1" applyAlignment="1" applyProtection="1">
      <alignment horizontal="left" vertical="center"/>
    </xf>
    <xf numFmtId="3" fontId="55" fillId="0" borderId="0" xfId="4" applyNumberFormat="1" applyFont="1" applyAlignment="1" applyProtection="1">
      <alignment horizontal="left" vertical="center"/>
    </xf>
    <xf numFmtId="193" fontId="55" fillId="0" borderId="0" xfId="12" applyFont="1" applyAlignment="1" applyProtection="1">
      <alignment vertical="center"/>
    </xf>
    <xf numFmtId="181" fontId="21" fillId="0" borderId="0" xfId="12" applyNumberFormat="1" applyFont="1" applyAlignment="1" applyProtection="1">
      <alignment vertical="center"/>
    </xf>
    <xf numFmtId="181" fontId="57" fillId="0" borderId="0" xfId="4" applyNumberFormat="1" applyFont="1" applyAlignment="1" applyProtection="1">
      <alignment vertical="center"/>
    </xf>
    <xf numFmtId="37" fontId="21" fillId="0" borderId="0" xfId="4" applyNumberFormat="1" applyFont="1" applyAlignment="1" applyProtection="1">
      <alignment vertical="center"/>
    </xf>
    <xf numFmtId="3" fontId="50" fillId="13" borderId="0" xfId="4" applyNumberFormat="1" applyFont="1" applyFill="1" applyProtection="1"/>
    <xf numFmtId="190" fontId="50" fillId="13" borderId="0" xfId="4" applyNumberFormat="1" applyFont="1" applyFill="1" applyAlignment="1" applyProtection="1">
      <alignment horizontal="right" vertical="center"/>
    </xf>
    <xf numFmtId="3" fontId="55" fillId="0" borderId="0" xfId="4" applyNumberFormat="1" applyFont="1" applyProtection="1"/>
    <xf numFmtId="178" fontId="55" fillId="0" borderId="0" xfId="4" applyFont="1" applyProtection="1"/>
    <xf numFmtId="183" fontId="21" fillId="0" borderId="0" xfId="8" applyNumberFormat="1" applyFont="1" applyAlignment="1" applyProtection="1">
      <alignment horizontal="right" vertical="center"/>
    </xf>
    <xf numFmtId="178" fontId="21" fillId="0" borderId="0" xfId="4" applyFont="1" applyProtection="1"/>
    <xf numFmtId="3" fontId="50" fillId="16" borderId="20" xfId="4" applyNumberFormat="1" applyFont="1" applyFill="1" applyBorder="1" applyProtection="1"/>
    <xf numFmtId="190" fontId="50" fillId="16" borderId="20" xfId="12" applyNumberFormat="1" applyFont="1" applyFill="1" applyBorder="1" applyAlignment="1" applyProtection="1">
      <alignment horizontal="right" vertical="center"/>
    </xf>
    <xf numFmtId="3" fontId="50" fillId="16" borderId="20" xfId="12" applyNumberFormat="1" applyFont="1" applyFill="1" applyBorder="1" applyAlignment="1" applyProtection="1">
      <alignment horizontal="right" vertical="center"/>
    </xf>
    <xf numFmtId="3" fontId="50" fillId="16" borderId="20" xfId="4" applyNumberFormat="1" applyFont="1" applyFill="1" applyBorder="1" applyAlignment="1" applyProtection="1">
      <alignment horizontal="right" vertical="center"/>
    </xf>
    <xf numFmtId="3" fontId="55" fillId="16" borderId="0" xfId="4" applyNumberFormat="1" applyFont="1" applyFill="1" applyProtection="1"/>
    <xf numFmtId="3" fontId="50" fillId="16" borderId="0" xfId="4" applyNumberFormat="1" applyFont="1" applyFill="1" applyProtection="1"/>
    <xf numFmtId="190" fontId="50" fillId="16" borderId="0" xfId="12" applyNumberFormat="1" applyFont="1" applyFill="1" applyAlignment="1" applyProtection="1">
      <alignment horizontal="right" vertical="center"/>
    </xf>
    <xf numFmtId="3" fontId="50" fillId="16" borderId="0" xfId="12" applyNumberFormat="1" applyFont="1" applyFill="1" applyAlignment="1" applyProtection="1">
      <alignment horizontal="right" vertical="center"/>
    </xf>
    <xf numFmtId="3" fontId="50" fillId="16" borderId="0" xfId="4" applyNumberFormat="1" applyFont="1" applyFill="1" applyAlignment="1" applyProtection="1">
      <alignment horizontal="right" vertical="center"/>
    </xf>
    <xf numFmtId="3" fontId="21" fillId="16" borderId="21" xfId="4" applyNumberFormat="1" applyFont="1" applyFill="1" applyBorder="1" applyAlignment="1" applyProtection="1">
      <alignment vertical="center"/>
    </xf>
    <xf numFmtId="178" fontId="50" fillId="0" borderId="0" xfId="4" applyFont="1" applyAlignment="1" applyProtection="1">
      <alignment horizontal="right" vertical="center"/>
    </xf>
    <xf numFmtId="183" fontId="48" fillId="0" borderId="0" xfId="4" applyNumberFormat="1" applyFont="1" applyAlignment="1" applyProtection="1">
      <alignment horizontal="right" vertical="center"/>
    </xf>
    <xf numFmtId="3" fontId="21" fillId="13" borderId="0" xfId="4" applyNumberFormat="1" applyFont="1" applyFill="1" applyAlignment="1" applyProtection="1">
      <alignment vertical="center"/>
    </xf>
    <xf numFmtId="197" fontId="50" fillId="13" borderId="0" xfId="4" applyNumberFormat="1" applyFont="1" applyFill="1" applyAlignment="1" applyProtection="1">
      <alignment horizontal="right" vertical="center"/>
    </xf>
    <xf numFmtId="197" fontId="50" fillId="16" borderId="20" xfId="4" applyNumberFormat="1" applyFont="1" applyFill="1" applyBorder="1" applyAlignment="1" applyProtection="1">
      <alignment horizontal="right" vertical="center"/>
    </xf>
    <xf numFmtId="3" fontId="55" fillId="16" borderId="0" xfId="4" applyNumberFormat="1" applyFont="1" applyFill="1" applyAlignment="1" applyProtection="1">
      <alignment vertical="center"/>
    </xf>
    <xf numFmtId="197" fontId="50" fillId="16" borderId="0" xfId="4" applyNumberFormat="1" applyFont="1" applyFill="1" applyAlignment="1" applyProtection="1">
      <alignment horizontal="right" vertical="center"/>
    </xf>
    <xf numFmtId="3" fontId="50" fillId="16" borderId="0" xfId="8" applyNumberFormat="1" applyFont="1" applyFill="1" applyAlignment="1" applyProtection="1">
      <alignment horizontal="right" vertical="center"/>
    </xf>
    <xf numFmtId="3" fontId="55" fillId="16" borderId="21" xfId="4" applyNumberFormat="1" applyFont="1" applyFill="1" applyBorder="1" applyAlignment="1" applyProtection="1">
      <alignment vertical="center"/>
    </xf>
    <xf numFmtId="9" fontId="50" fillId="0" borderId="0" xfId="8" applyFont="1" applyAlignment="1" applyProtection="1">
      <alignment horizontal="right" vertical="center"/>
    </xf>
    <xf numFmtId="178" fontId="50" fillId="0" borderId="0" xfId="4" applyFont="1" applyProtection="1"/>
    <xf numFmtId="197" fontId="50" fillId="0" borderId="0" xfId="4" applyNumberFormat="1" applyFont="1" applyAlignment="1" applyProtection="1">
      <alignment horizontal="right" vertical="center"/>
    </xf>
    <xf numFmtId="3" fontId="50" fillId="0" borderId="0" xfId="4" applyNumberFormat="1" applyFont="1" applyAlignment="1" applyProtection="1">
      <alignment horizontal="right" vertical="center"/>
    </xf>
    <xf numFmtId="3" fontId="50" fillId="0" borderId="0" xfId="12" applyNumberFormat="1" applyFont="1" applyAlignment="1" applyProtection="1">
      <alignment horizontal="right" vertical="center"/>
    </xf>
    <xf numFmtId="3" fontId="21" fillId="16" borderId="20" xfId="4" applyNumberFormat="1" applyFont="1" applyFill="1" applyBorder="1" applyAlignment="1" applyProtection="1">
      <alignment vertical="center"/>
    </xf>
    <xf numFmtId="3" fontId="50" fillId="0" borderId="0" xfId="4" applyNumberFormat="1" applyFont="1" applyProtection="1"/>
    <xf numFmtId="3" fontId="55" fillId="16" borderId="21" xfId="4" applyNumberFormat="1" applyFont="1" applyFill="1" applyBorder="1" applyProtection="1"/>
    <xf numFmtId="177" fontId="50" fillId="0" borderId="0" xfId="4" applyNumberFormat="1" applyFont="1" applyAlignment="1" applyProtection="1">
      <alignment horizontal="right" vertical="center"/>
    </xf>
    <xf numFmtId="177" fontId="50" fillId="13" borderId="0" xfId="4" applyNumberFormat="1" applyFont="1" applyFill="1" applyAlignment="1" applyProtection="1">
      <alignment horizontal="right" vertical="center"/>
    </xf>
    <xf numFmtId="178" fontId="50" fillId="13" borderId="0" xfId="4" applyFont="1" applyFill="1" applyAlignment="1" applyProtection="1">
      <alignment horizontal="right" vertical="center"/>
    </xf>
    <xf numFmtId="183" fontId="52" fillId="0" borderId="0" xfId="8" applyNumberFormat="1" applyFont="1" applyAlignment="1" applyProtection="1">
      <alignment horizontal="right" vertical="center"/>
    </xf>
    <xf numFmtId="38" fontId="21" fillId="0" borderId="0" xfId="4" applyNumberFormat="1" applyFont="1" applyAlignment="1" applyProtection="1">
      <alignment horizontal="right" vertical="center"/>
    </xf>
    <xf numFmtId="3" fontId="21" fillId="0" borderId="0" xfId="4" applyNumberFormat="1" applyFont="1" applyAlignment="1" applyProtection="1">
      <alignment horizontal="right" vertical="center"/>
    </xf>
    <xf numFmtId="38" fontId="21" fillId="16" borderId="20" xfId="4" applyNumberFormat="1" applyFont="1" applyFill="1" applyBorder="1" applyAlignment="1" applyProtection="1">
      <alignment horizontal="right" vertical="center"/>
    </xf>
    <xf numFmtId="38" fontId="21" fillId="16" borderId="0" xfId="4" applyNumberFormat="1" applyFont="1" applyFill="1" applyAlignment="1" applyProtection="1">
      <alignment horizontal="right" vertical="center"/>
    </xf>
    <xf numFmtId="3" fontId="21" fillId="16" borderId="0" xfId="12" applyNumberFormat="1" applyFont="1" applyFill="1" applyAlignment="1" applyProtection="1">
      <alignment horizontal="right" vertical="center"/>
    </xf>
    <xf numFmtId="3" fontId="52" fillId="16" borderId="0" xfId="4" applyNumberFormat="1" applyFont="1" applyFill="1" applyAlignment="1" applyProtection="1">
      <alignment horizontal="right" vertical="center"/>
    </xf>
    <xf numFmtId="178" fontId="50" fillId="16" borderId="0" xfId="4" applyFont="1" applyFill="1" applyAlignment="1" applyProtection="1">
      <alignment horizontal="right" vertical="center"/>
    </xf>
    <xf numFmtId="38" fontId="50" fillId="16" borderId="0" xfId="4" applyNumberFormat="1" applyFont="1" applyFill="1" applyAlignment="1" applyProtection="1">
      <alignment horizontal="right" vertical="center"/>
    </xf>
    <xf numFmtId="183" fontId="21" fillId="13" borderId="0" xfId="8" applyNumberFormat="1" applyFont="1" applyFill="1" applyAlignment="1" applyProtection="1">
      <alignment horizontal="right" vertical="center"/>
    </xf>
    <xf numFmtId="190" fontId="21" fillId="16" borderId="20" xfId="12" applyNumberFormat="1" applyFont="1" applyFill="1" applyBorder="1" applyAlignment="1" applyProtection="1">
      <alignment horizontal="right" vertical="center"/>
    </xf>
    <xf numFmtId="183" fontId="21" fillId="16" borderId="20" xfId="8" applyNumberFormat="1" applyFont="1" applyFill="1" applyBorder="1" applyAlignment="1" applyProtection="1">
      <alignment horizontal="right" vertical="center"/>
    </xf>
    <xf numFmtId="38" fontId="21" fillId="16" borderId="0" xfId="12" applyNumberFormat="1" applyFont="1" applyFill="1" applyAlignment="1" applyProtection="1">
      <alignment horizontal="right" vertical="center"/>
    </xf>
    <xf numFmtId="3" fontId="57" fillId="16" borderId="0" xfId="12" applyNumberFormat="1" applyFont="1" applyFill="1" applyAlignment="1" applyProtection="1">
      <alignment horizontal="right" vertical="center"/>
    </xf>
    <xf numFmtId="190" fontId="21" fillId="16" borderId="0" xfId="12" applyNumberFormat="1" applyFont="1" applyFill="1" applyAlignment="1" applyProtection="1">
      <alignment horizontal="right" vertical="center"/>
    </xf>
    <xf numFmtId="3" fontId="52" fillId="16" borderId="0" xfId="12" applyNumberFormat="1" applyFont="1" applyFill="1" applyAlignment="1" applyProtection="1">
      <alignment horizontal="right" vertical="center"/>
    </xf>
    <xf numFmtId="38" fontId="50" fillId="16" borderId="0" xfId="12" applyNumberFormat="1" applyFont="1" applyFill="1" applyAlignment="1" applyProtection="1">
      <alignment horizontal="right" vertical="center"/>
    </xf>
    <xf numFmtId="3" fontId="60" fillId="16" borderId="0" xfId="12" applyNumberFormat="1" applyFont="1" applyFill="1" applyAlignment="1" applyProtection="1">
      <alignment horizontal="right" vertical="center"/>
    </xf>
    <xf numFmtId="3" fontId="21" fillId="0" borderId="0" xfId="4" applyNumberFormat="1" applyFont="1" applyProtection="1"/>
    <xf numFmtId="3" fontId="65" fillId="16" borderId="0" xfId="12" applyNumberFormat="1" applyFont="1" applyFill="1" applyAlignment="1" applyProtection="1">
      <alignment horizontal="right" vertical="center"/>
    </xf>
    <xf numFmtId="38" fontId="65" fillId="16" borderId="0" xfId="12" applyNumberFormat="1" applyFont="1" applyFill="1" applyAlignment="1" applyProtection="1">
      <alignment horizontal="right" vertical="center"/>
    </xf>
    <xf numFmtId="3" fontId="50" fillId="16" borderId="21" xfId="4" applyNumberFormat="1" applyFont="1" applyFill="1" applyBorder="1" applyAlignment="1" applyProtection="1">
      <alignment vertical="center"/>
    </xf>
    <xf numFmtId="3" fontId="49" fillId="10" borderId="0" xfId="13" applyNumberFormat="1" applyFont="1" applyFill="1" applyAlignment="1" applyProtection="1">
      <alignment horizontal="right" vertical="center"/>
    </xf>
    <xf numFmtId="38" fontId="50" fillId="13" borderId="0" xfId="4" applyNumberFormat="1" applyFont="1" applyFill="1" applyAlignment="1" applyProtection="1">
      <alignment horizontal="right" vertical="center"/>
    </xf>
    <xf numFmtId="3" fontId="50" fillId="0" borderId="0" xfId="13" applyNumberFormat="1" applyFont="1" applyProtection="1"/>
    <xf numFmtId="38" fontId="50" fillId="0" borderId="0" xfId="4" applyNumberFormat="1" applyFont="1" applyAlignment="1" applyProtection="1">
      <alignment horizontal="right" vertical="center"/>
    </xf>
    <xf numFmtId="3" fontId="21" fillId="0" borderId="0" xfId="13" applyNumberFormat="1" applyFont="1" applyProtection="1"/>
    <xf numFmtId="3" fontId="65" fillId="0" borderId="0" xfId="4" applyNumberFormat="1" applyFont="1" applyAlignment="1" applyProtection="1">
      <alignment horizontal="right" vertical="center"/>
    </xf>
    <xf numFmtId="3" fontId="52" fillId="0" borderId="0" xfId="4" applyNumberFormat="1" applyFont="1" applyAlignment="1" applyProtection="1">
      <alignment horizontal="right" vertical="center"/>
    </xf>
    <xf numFmtId="38" fontId="73" fillId="0" borderId="0" xfId="4" applyNumberFormat="1" applyFont="1" applyAlignment="1" applyProtection="1">
      <alignment horizontal="right" vertical="center"/>
    </xf>
    <xf numFmtId="3" fontId="57" fillId="0" borderId="0" xfId="4" applyNumberFormat="1" applyFont="1" applyAlignment="1" applyProtection="1">
      <alignment horizontal="right" vertical="center"/>
    </xf>
    <xf numFmtId="183" fontId="50" fillId="0" borderId="0" xfId="8" applyNumberFormat="1" applyFont="1" applyAlignment="1" applyProtection="1">
      <alignment horizontal="right" vertical="center"/>
    </xf>
    <xf numFmtId="178" fontId="21" fillId="0" borderId="0" xfId="4" applyFont="1" applyAlignment="1" applyProtection="1">
      <alignment horizontal="right" vertical="center"/>
    </xf>
    <xf numFmtId="38" fontId="57" fillId="0" borderId="0" xfId="4" applyNumberFormat="1" applyFont="1" applyAlignment="1" applyProtection="1">
      <alignment horizontal="right" vertical="center"/>
    </xf>
    <xf numFmtId="3" fontId="50" fillId="0" borderId="0" xfId="8" applyNumberFormat="1" applyFont="1" applyAlignment="1" applyProtection="1">
      <alignment horizontal="right" vertical="center"/>
    </xf>
    <xf numFmtId="3" fontId="55" fillId="0" borderId="0" xfId="13" applyNumberFormat="1" applyFont="1" applyProtection="1"/>
    <xf numFmtId="183" fontId="55" fillId="0" borderId="0" xfId="8" applyNumberFormat="1" applyFont="1" applyAlignment="1" applyProtection="1">
      <alignment horizontal="right" vertical="center"/>
    </xf>
    <xf numFmtId="3" fontId="55" fillId="0" borderId="0" xfId="8" applyNumberFormat="1" applyFont="1" applyAlignment="1" applyProtection="1">
      <alignment horizontal="right" vertical="center"/>
    </xf>
    <xf numFmtId="183" fontId="66" fillId="0" borderId="0" xfId="8" applyNumberFormat="1" applyFont="1" applyAlignment="1" applyProtection="1">
      <alignment horizontal="right" vertical="center"/>
    </xf>
    <xf numFmtId="3" fontId="54" fillId="0" borderId="0" xfId="4" applyNumberFormat="1" applyFont="1" applyProtection="1"/>
    <xf numFmtId="3" fontId="54" fillId="0" borderId="0" xfId="4" applyNumberFormat="1" applyFont="1" applyAlignment="1" applyProtection="1">
      <alignment horizontal="left" indent="1"/>
    </xf>
    <xf numFmtId="183" fontId="57" fillId="0" borderId="0" xfId="8" applyNumberFormat="1" applyFont="1" applyAlignment="1" applyProtection="1">
      <alignment horizontal="right" vertical="center"/>
    </xf>
    <xf numFmtId="183" fontId="73" fillId="0" borderId="0" xfId="8" applyNumberFormat="1" applyFont="1" applyAlignment="1" applyProtection="1">
      <alignment horizontal="right" vertical="center"/>
    </xf>
    <xf numFmtId="3" fontId="72" fillId="0" borderId="0" xfId="4" applyNumberFormat="1" applyFont="1" applyProtection="1"/>
    <xf numFmtId="3" fontId="21" fillId="0" borderId="0" xfId="4" applyNumberFormat="1" applyFont="1" applyAlignment="1" applyProtection="1">
      <alignment horizontal="left" indent="1"/>
    </xf>
    <xf numFmtId="3" fontId="68" fillId="0" borderId="0" xfId="4" applyNumberFormat="1" applyFont="1" applyProtection="1"/>
    <xf numFmtId="183" fontId="55" fillId="0" borderId="0" xfId="4" applyNumberFormat="1" applyFont="1" applyAlignment="1" applyProtection="1">
      <alignment horizontal="right" vertical="center"/>
    </xf>
    <xf numFmtId="3" fontId="21" fillId="13" borderId="25" xfId="13" applyNumberFormat="1" applyFont="1" applyFill="1" applyBorder="1" applyProtection="1"/>
    <xf numFmtId="3" fontId="21" fillId="13" borderId="25" xfId="4" applyNumberFormat="1" applyFont="1" applyFill="1" applyBorder="1" applyProtection="1"/>
    <xf numFmtId="190" fontId="50" fillId="0" borderId="0" xfId="12" applyNumberFormat="1" applyFont="1" applyAlignment="1" applyProtection="1">
      <alignment horizontal="right" vertical="center"/>
    </xf>
    <xf numFmtId="197" fontId="57" fillId="0" borderId="0" xfId="4" applyNumberFormat="1" applyFont="1" applyAlignment="1" applyProtection="1">
      <alignment horizontal="right" vertical="center"/>
    </xf>
    <xf numFmtId="197" fontId="73" fillId="0" borderId="0" xfId="4" applyNumberFormat="1" applyFont="1" applyAlignment="1" applyProtection="1">
      <alignment horizontal="right" vertical="center"/>
    </xf>
    <xf numFmtId="38" fontId="21" fillId="13" borderId="0" xfId="4" applyNumberFormat="1" applyFont="1" applyFill="1" applyAlignment="1" applyProtection="1">
      <alignment horizontal="right" vertical="center"/>
    </xf>
    <xf numFmtId="197" fontId="57" fillId="13" borderId="0" xfId="4" applyNumberFormat="1" applyFont="1" applyFill="1" applyAlignment="1" applyProtection="1">
      <alignment horizontal="right" vertical="center"/>
    </xf>
    <xf numFmtId="197" fontId="73" fillId="13" borderId="0" xfId="4" applyNumberFormat="1" applyFont="1" applyFill="1" applyAlignment="1" applyProtection="1">
      <alignment horizontal="right" vertical="center"/>
    </xf>
    <xf numFmtId="10" fontId="57" fillId="0" borderId="0" xfId="8" applyNumberFormat="1" applyFont="1" applyAlignment="1" applyProtection="1">
      <alignment horizontal="right" vertical="center"/>
    </xf>
    <xf numFmtId="3" fontId="59" fillId="0" borderId="0" xfId="4" applyNumberFormat="1" applyFont="1" applyAlignment="1" applyProtection="1">
      <alignment horizontal="right" vertical="center"/>
    </xf>
    <xf numFmtId="3" fontId="73" fillId="0" borderId="0" xfId="4" applyNumberFormat="1" applyFont="1" applyAlignment="1" applyProtection="1">
      <alignment horizontal="right" vertical="center"/>
    </xf>
    <xf numFmtId="197" fontId="21" fillId="0" borderId="0" xfId="4" applyNumberFormat="1" applyFont="1" applyAlignment="1" applyProtection="1">
      <alignment horizontal="right" vertical="center"/>
    </xf>
    <xf numFmtId="197" fontId="21" fillId="13" borderId="0" xfId="4" applyNumberFormat="1" applyFont="1" applyFill="1" applyAlignment="1" applyProtection="1">
      <alignment horizontal="right" vertical="center"/>
    </xf>
    <xf numFmtId="3" fontId="65" fillId="13" borderId="0" xfId="4" applyNumberFormat="1" applyFont="1" applyFill="1" applyAlignment="1" applyProtection="1">
      <alignment horizontal="right" vertical="center"/>
    </xf>
    <xf numFmtId="178" fontId="74" fillId="0" borderId="0" xfId="4" applyFont="1" applyProtection="1"/>
    <xf numFmtId="178" fontId="49" fillId="10" borderId="25" xfId="13" applyNumberFormat="1" applyFont="1" applyFill="1" applyBorder="1" applyAlignment="1" applyProtection="1">
      <alignment horizontal="left" vertical="center"/>
    </xf>
    <xf numFmtId="0" fontId="49" fillId="10" borderId="0" xfId="4" applyNumberFormat="1" applyFont="1" applyFill="1" applyAlignment="1" applyProtection="1">
      <alignment horizontal="right"/>
    </xf>
    <xf numFmtId="178" fontId="50" fillId="0" borderId="0" xfId="4" applyFont="1" applyAlignment="1" applyProtection="1">
      <alignment horizontal="left"/>
    </xf>
    <xf numFmtId="207" fontId="21" fillId="0" borderId="0" xfId="12" applyNumberFormat="1" applyFont="1" applyProtection="1"/>
    <xf numFmtId="207" fontId="21" fillId="0" borderId="0" xfId="4" applyNumberFormat="1" applyFont="1" applyProtection="1"/>
    <xf numFmtId="207" fontId="50" fillId="0" borderId="0" xfId="12" applyNumberFormat="1" applyFont="1" applyProtection="1"/>
    <xf numFmtId="180" fontId="21" fillId="0" borderId="0" xfId="12" applyNumberFormat="1" applyFont="1" applyProtection="1"/>
    <xf numFmtId="180" fontId="21" fillId="0" borderId="0" xfId="4" applyNumberFormat="1" applyFont="1" applyProtection="1"/>
    <xf numFmtId="3" fontId="65" fillId="0" borderId="0" xfId="12" applyNumberFormat="1" applyFont="1" applyProtection="1"/>
    <xf numFmtId="3" fontId="65" fillId="0" borderId="0" xfId="4" applyNumberFormat="1" applyFont="1" applyProtection="1"/>
    <xf numFmtId="3" fontId="21" fillId="0" borderId="0" xfId="12" applyNumberFormat="1" applyFont="1" applyProtection="1"/>
    <xf numFmtId="178" fontId="53" fillId="0" borderId="0" xfId="4" applyFont="1" applyProtection="1"/>
    <xf numFmtId="178" fontId="54" fillId="0" borderId="0" xfId="4" applyFont="1" applyAlignment="1" applyProtection="1">
      <alignment horizontal="left"/>
    </xf>
    <xf numFmtId="178" fontId="21" fillId="0" borderId="0" xfId="4" quotePrefix="1" applyFont="1" applyAlignment="1" applyProtection="1">
      <alignment horizontal="left"/>
    </xf>
    <xf numFmtId="3" fontId="59" fillId="0" borderId="0" xfId="12" applyNumberFormat="1" applyFont="1" applyProtection="1"/>
    <xf numFmtId="3" fontId="50" fillId="0" borderId="0" xfId="12" applyNumberFormat="1" applyFont="1" applyProtection="1"/>
    <xf numFmtId="4" fontId="21" fillId="0" borderId="0" xfId="4" applyNumberFormat="1" applyFont="1" applyProtection="1"/>
    <xf numFmtId="4" fontId="65" fillId="0" borderId="0" xfId="4" applyNumberFormat="1" applyFont="1" applyProtection="1"/>
    <xf numFmtId="3" fontId="65" fillId="17" borderId="0" xfId="4" applyNumberFormat="1" applyFont="1" applyFill="1" applyProtection="1"/>
    <xf numFmtId="178" fontId="54" fillId="0" borderId="0" xfId="4" applyFont="1" applyProtection="1"/>
    <xf numFmtId="3" fontId="75" fillId="0" borderId="0" xfId="12" applyNumberFormat="1" applyFont="1" applyProtection="1"/>
    <xf numFmtId="178" fontId="76" fillId="0" borderId="0" xfId="4" applyFont="1" applyAlignment="1" applyProtection="1">
      <alignment horizontal="left"/>
    </xf>
    <xf numFmtId="3" fontId="70" fillId="0" borderId="0" xfId="12" applyNumberFormat="1" applyFont="1" applyProtection="1"/>
    <xf numFmtId="3" fontId="70" fillId="0" borderId="0" xfId="4" applyNumberFormat="1" applyFont="1" applyProtection="1"/>
    <xf numFmtId="38" fontId="21" fillId="0" borderId="0" xfId="12" applyNumberFormat="1" applyFont="1" applyProtection="1"/>
    <xf numFmtId="38" fontId="21" fillId="0" borderId="0" xfId="4" applyNumberFormat="1" applyFont="1" applyProtection="1"/>
    <xf numFmtId="190" fontId="21" fillId="0" borderId="0" xfId="12" applyNumberFormat="1" applyFont="1" applyProtection="1"/>
    <xf numFmtId="3" fontId="27" fillId="0" borderId="0" xfId="4" applyNumberFormat="1" applyFont="1" applyProtection="1"/>
    <xf numFmtId="3" fontId="35" fillId="10" borderId="26" xfId="13" applyNumberFormat="1" applyFont="1" applyFill="1" applyBorder="1" applyAlignment="1" applyProtection="1">
      <alignment horizontal="left" vertical="center" wrapText="1"/>
    </xf>
    <xf numFmtId="206" fontId="35" fillId="10" borderId="26" xfId="13" applyNumberFormat="1" applyFont="1" applyFill="1" applyBorder="1" applyAlignment="1" applyProtection="1">
      <alignment horizontal="right" vertical="center" wrapText="1"/>
    </xf>
    <xf numFmtId="178" fontId="35" fillId="10" borderId="26" xfId="4" applyFont="1" applyFill="1" applyBorder="1" applyAlignment="1" applyProtection="1">
      <alignment horizontal="right" vertical="center"/>
    </xf>
    <xf numFmtId="178" fontId="35" fillId="10" borderId="0" xfId="4" applyFont="1" applyFill="1" applyAlignment="1" applyProtection="1">
      <alignment horizontal="right" vertical="center"/>
    </xf>
    <xf numFmtId="178" fontId="35" fillId="0" borderId="0" xfId="4" applyFont="1" applyAlignment="1" applyProtection="1">
      <alignment horizontal="right" vertical="center"/>
    </xf>
    <xf numFmtId="3" fontId="28" fillId="0" borderId="0" xfId="4" applyNumberFormat="1" applyFont="1" applyAlignment="1" applyProtection="1">
      <alignment horizontal="left"/>
    </xf>
    <xf numFmtId="38" fontId="28" fillId="0" borderId="0" xfId="12" applyNumberFormat="1" applyFont="1" applyAlignment="1" applyProtection="1">
      <alignment horizontal="right" vertical="center" wrapText="1"/>
    </xf>
    <xf numFmtId="3" fontId="31" fillId="13" borderId="0" xfId="4" applyNumberFormat="1" applyFont="1" applyFill="1" applyProtection="1"/>
    <xf numFmtId="38" fontId="28" fillId="13" borderId="0" xfId="12" applyNumberFormat="1" applyFont="1" applyFill="1" applyAlignment="1" applyProtection="1">
      <alignment horizontal="right" vertical="center" wrapText="1"/>
    </xf>
    <xf numFmtId="183" fontId="31" fillId="13" borderId="0" xfId="8" applyNumberFormat="1" applyFont="1" applyFill="1" applyAlignment="1" applyProtection="1">
      <alignment horizontal="right" vertical="center" wrapText="1"/>
    </xf>
    <xf numFmtId="183" fontId="31" fillId="0" borderId="0" xfId="8" applyNumberFormat="1" applyFont="1" applyAlignment="1" applyProtection="1">
      <alignment horizontal="right" vertical="center" wrapText="1"/>
    </xf>
    <xf numFmtId="3" fontId="28" fillId="0" borderId="0" xfId="4" applyNumberFormat="1" applyFont="1" applyAlignment="1" applyProtection="1">
      <alignment horizontal="left" vertical="center" indent="1"/>
    </xf>
    <xf numFmtId="3" fontId="31" fillId="13" borderId="0" xfId="4" applyNumberFormat="1" applyFont="1" applyFill="1" applyAlignment="1" applyProtection="1">
      <alignment horizontal="left" vertical="center" indent="1"/>
    </xf>
    <xf numFmtId="3" fontId="28" fillId="0" borderId="0" xfId="4" applyNumberFormat="1" applyFont="1" applyAlignment="1" applyProtection="1">
      <alignment horizontal="left" indent="1"/>
    </xf>
    <xf numFmtId="3" fontId="31" fillId="13" borderId="0" xfId="4" applyNumberFormat="1" applyFont="1" applyFill="1" applyAlignment="1" applyProtection="1">
      <alignment horizontal="left" indent="1"/>
    </xf>
    <xf numFmtId="206" fontId="28" fillId="0" borderId="0" xfId="13" applyNumberFormat="1" applyFont="1" applyAlignment="1" applyProtection="1">
      <alignment horizontal="right" vertical="center" wrapText="1"/>
    </xf>
    <xf numFmtId="195" fontId="28" fillId="0" borderId="0" xfId="13" applyFont="1" applyAlignment="1" applyProtection="1">
      <alignment horizontal="right" vertical="center" wrapText="1"/>
    </xf>
    <xf numFmtId="206" fontId="28" fillId="13" borderId="0" xfId="13" applyNumberFormat="1" applyFont="1" applyFill="1" applyAlignment="1" applyProtection="1">
      <alignment horizontal="right" vertical="center" wrapText="1"/>
    </xf>
    <xf numFmtId="178" fontId="31" fillId="0" borderId="0" xfId="4" applyFont="1" applyProtection="1"/>
    <xf numFmtId="3" fontId="31" fillId="0" borderId="0" xfId="4" applyNumberFormat="1" applyFont="1" applyProtection="1"/>
    <xf numFmtId="9" fontId="28" fillId="0" borderId="0" xfId="12" applyNumberFormat="1" applyFont="1" applyAlignment="1" applyProtection="1">
      <alignment horizontal="right" vertical="center" wrapText="1"/>
    </xf>
    <xf numFmtId="183" fontId="28" fillId="0" borderId="0" xfId="12" applyNumberFormat="1" applyFont="1" applyAlignment="1" applyProtection="1">
      <alignment horizontal="right" vertical="center" wrapText="1"/>
    </xf>
    <xf numFmtId="183" fontId="27" fillId="0" borderId="0" xfId="8" applyNumberFormat="1" applyFont="1" applyAlignment="1" applyProtection="1">
      <alignment horizontal="right" vertical="center" wrapText="1"/>
    </xf>
    <xf numFmtId="38" fontId="78" fillId="0" borderId="0" xfId="12" applyNumberFormat="1" applyFont="1" applyAlignment="1" applyProtection="1">
      <alignment horizontal="right" vertical="center" wrapText="1"/>
    </xf>
    <xf numFmtId="183" fontId="31" fillId="0" borderId="0" xfId="12" applyNumberFormat="1" applyFont="1" applyAlignment="1" applyProtection="1">
      <alignment horizontal="right" vertical="center" wrapText="1"/>
    </xf>
    <xf numFmtId="183" fontId="28" fillId="0" borderId="0" xfId="8" applyNumberFormat="1" applyFont="1" applyAlignment="1" applyProtection="1">
      <alignment horizontal="right" vertical="center" wrapText="1"/>
    </xf>
    <xf numFmtId="3" fontId="28" fillId="13" borderId="0" xfId="4" applyNumberFormat="1" applyFont="1" applyFill="1" applyAlignment="1" applyProtection="1">
      <alignment horizontal="left"/>
    </xf>
    <xf numFmtId="183" fontId="28" fillId="13" borderId="0" xfId="8" applyNumberFormat="1" applyFont="1" applyFill="1" applyAlignment="1" applyProtection="1">
      <alignment horizontal="right" vertical="center" wrapText="1"/>
    </xf>
    <xf numFmtId="3" fontId="27" fillId="0" borderId="0" xfId="4" applyNumberFormat="1" applyFont="1" applyAlignment="1" applyProtection="1">
      <alignment horizontal="left" indent="1"/>
    </xf>
    <xf numFmtId="38" fontId="27" fillId="0" borderId="0" xfId="12" applyNumberFormat="1" applyFont="1" applyAlignment="1" applyProtection="1">
      <alignment horizontal="right" vertical="center" wrapText="1"/>
    </xf>
    <xf numFmtId="3" fontId="31" fillId="0" borderId="0" xfId="4" applyNumberFormat="1" applyFont="1" applyAlignment="1" applyProtection="1">
      <alignment horizontal="left"/>
    </xf>
    <xf numFmtId="38" fontId="31" fillId="0" borderId="0" xfId="12" applyNumberFormat="1" applyFont="1" applyAlignment="1" applyProtection="1">
      <alignment horizontal="right" vertical="center" wrapText="1"/>
    </xf>
    <xf numFmtId="3" fontId="31" fillId="0" borderId="0" xfId="8" applyNumberFormat="1" applyFont="1" applyAlignment="1" applyProtection="1">
      <alignment horizontal="right" vertical="center" wrapText="1"/>
    </xf>
    <xf numFmtId="183" fontId="27" fillId="0" borderId="0" xfId="4" applyNumberFormat="1" applyFont="1" applyProtection="1"/>
    <xf numFmtId="178" fontId="28" fillId="0" borderId="0" xfId="4" applyFont="1" applyProtection="1"/>
    <xf numFmtId="3" fontId="28" fillId="0" borderId="0" xfId="4" applyNumberFormat="1" applyFont="1" applyProtection="1"/>
    <xf numFmtId="181" fontId="28" fillId="0" borderId="0" xfId="4" applyNumberFormat="1" applyFont="1" applyProtection="1"/>
    <xf numFmtId="0" fontId="28" fillId="0" borderId="0" xfId="4" applyNumberFormat="1" applyFont="1" applyProtection="1"/>
    <xf numFmtId="183" fontId="28" fillId="0" borderId="0" xfId="4" applyNumberFormat="1" applyFont="1" applyProtection="1"/>
    <xf numFmtId="3" fontId="28" fillId="0" borderId="0" xfId="12" applyNumberFormat="1" applyFont="1" applyAlignment="1" applyProtection="1">
      <alignment horizontal="right" vertical="center" wrapText="1"/>
    </xf>
    <xf numFmtId="10" fontId="28" fillId="0" borderId="0" xfId="8" applyNumberFormat="1" applyFont="1" applyAlignment="1" applyProtection="1">
      <alignment horizontal="right" vertical="center" wrapText="1"/>
    </xf>
    <xf numFmtId="3" fontId="28" fillId="0" borderId="0" xfId="13" applyNumberFormat="1" applyFont="1" applyAlignment="1" applyProtection="1">
      <alignment horizontal="right" vertical="center" wrapText="1"/>
    </xf>
    <xf numFmtId="178" fontId="28" fillId="15" borderId="0" xfId="4" applyFont="1" applyFill="1" applyProtection="1"/>
    <xf numFmtId="3" fontId="28" fillId="15" borderId="0" xfId="4" applyNumberFormat="1" applyFont="1" applyFill="1" applyProtection="1"/>
    <xf numFmtId="0" fontId="28" fillId="15" borderId="0" xfId="4" applyNumberFormat="1" applyFont="1" applyFill="1" applyProtection="1"/>
    <xf numFmtId="0" fontId="28" fillId="15" borderId="0" xfId="4" applyNumberFormat="1" applyFont="1" applyFill="1" applyAlignment="1" applyProtection="1">
      <alignment horizontal="right"/>
    </xf>
    <xf numFmtId="183" fontId="31" fillId="0" borderId="0" xfId="4" applyNumberFormat="1" applyFont="1" applyProtection="1"/>
    <xf numFmtId="3" fontId="28" fillId="18" borderId="0" xfId="4" applyNumberFormat="1" applyFont="1" applyFill="1" applyProtection="1"/>
    <xf numFmtId="3" fontId="28" fillId="19" borderId="0" xfId="4" applyNumberFormat="1" applyFont="1" applyFill="1" applyProtection="1"/>
    <xf numFmtId="9" fontId="31" fillId="0" borderId="0" xfId="4" applyNumberFormat="1" applyFont="1" applyProtection="1"/>
    <xf numFmtId="3" fontId="33" fillId="0" borderId="0" xfId="4" applyNumberFormat="1" applyFont="1" applyProtection="1"/>
    <xf numFmtId="193" fontId="27" fillId="0" borderId="0" xfId="12" applyFont="1" applyProtection="1"/>
    <xf numFmtId="178" fontId="35" fillId="10" borderId="0" xfId="4" applyFont="1" applyFill="1" applyAlignment="1" applyProtection="1">
      <alignment vertical="center"/>
    </xf>
    <xf numFmtId="3" fontId="36" fillId="10" borderId="0" xfId="4" applyNumberFormat="1" applyFont="1" applyFill="1" applyProtection="1"/>
    <xf numFmtId="178" fontId="36" fillId="10" borderId="0" xfId="4" applyFont="1" applyFill="1" applyProtection="1"/>
    <xf numFmtId="178" fontId="28" fillId="0" borderId="0" xfId="4" applyFont="1" applyAlignment="1" applyProtection="1">
      <alignment vertical="center"/>
    </xf>
    <xf numFmtId="178" fontId="27" fillId="0" borderId="0" xfId="4" applyFont="1" applyAlignment="1" applyProtection="1">
      <alignment vertical="center"/>
    </xf>
    <xf numFmtId="3" fontId="28" fillId="0" borderId="0" xfId="12" applyNumberFormat="1" applyFont="1" applyAlignment="1" applyProtection="1">
      <alignment horizontal="right" vertical="center"/>
    </xf>
    <xf numFmtId="183" fontId="31" fillId="0" borderId="0" xfId="8" applyNumberFormat="1" applyFont="1" applyAlignment="1" applyProtection="1">
      <alignment vertical="center"/>
    </xf>
    <xf numFmtId="3" fontId="78" fillId="0" borderId="0" xfId="12" applyNumberFormat="1" applyFont="1" applyAlignment="1" applyProtection="1">
      <alignment horizontal="right" vertical="center" wrapText="1"/>
    </xf>
    <xf numFmtId="178" fontId="31" fillId="0" borderId="0" xfId="4" applyFont="1" applyAlignment="1" applyProtection="1">
      <alignment vertical="center"/>
    </xf>
    <xf numFmtId="3" fontId="84" fillId="0" borderId="0" xfId="12" applyNumberFormat="1" applyFont="1" applyAlignment="1" applyProtection="1">
      <alignment horizontal="right" vertical="center" wrapText="1"/>
    </xf>
    <xf numFmtId="3" fontId="33" fillId="0" borderId="0" xfId="12" applyNumberFormat="1" applyFont="1" applyAlignment="1" applyProtection="1">
      <alignment horizontal="right" vertical="center" wrapText="1"/>
    </xf>
    <xf numFmtId="9" fontId="27" fillId="0" borderId="0" xfId="8" applyFont="1" applyAlignment="1" applyProtection="1">
      <alignment vertical="center"/>
    </xf>
    <xf numFmtId="3" fontId="21" fillId="0" borderId="0" xfId="4" applyNumberFormat="1" applyFont="1" applyAlignment="1" applyProtection="1">
      <alignment horizontal="left"/>
    </xf>
    <xf numFmtId="3" fontId="50" fillId="0" borderId="0" xfId="4" applyNumberFormat="1" applyFont="1" applyAlignment="1" applyProtection="1">
      <alignment horizontal="left"/>
    </xf>
    <xf numFmtId="183" fontId="50" fillId="5" borderId="0" xfId="8" applyNumberFormat="1" applyFont="1" applyFill="1" applyProtection="1"/>
    <xf numFmtId="183" fontId="73" fillId="5" borderId="0" xfId="8" applyNumberFormat="1" applyFont="1" applyFill="1" applyProtection="1"/>
    <xf numFmtId="3" fontId="49" fillId="10" borderId="9" xfId="13" applyNumberFormat="1" applyFont="1" applyFill="1" applyBorder="1" applyAlignment="1" applyProtection="1">
      <alignment horizontal="left" vertical="center"/>
    </xf>
    <xf numFmtId="20" fontId="49" fillId="10" borderId="25" xfId="13" applyNumberFormat="1" applyFont="1" applyFill="1" applyBorder="1" applyAlignment="1" applyProtection="1">
      <alignment horizontal="right" vertical="center"/>
    </xf>
    <xf numFmtId="20" fontId="49" fillId="10" borderId="25" xfId="4" applyNumberFormat="1" applyFont="1" applyFill="1" applyBorder="1" applyAlignment="1" applyProtection="1">
      <alignment horizontal="right" vertical="center"/>
    </xf>
    <xf numFmtId="3" fontId="50" fillId="13" borderId="0" xfId="4" applyNumberFormat="1" applyFont="1" applyFill="1" applyAlignment="1" applyProtection="1">
      <alignment horizontal="left"/>
    </xf>
    <xf numFmtId="3" fontId="50" fillId="13" borderId="0" xfId="12" applyNumberFormat="1" applyFont="1" applyFill="1" applyAlignment="1" applyProtection="1">
      <alignment horizontal="right" vertical="center" wrapText="1"/>
    </xf>
    <xf numFmtId="3" fontId="59" fillId="13" borderId="0" xfId="12" applyNumberFormat="1" applyFont="1" applyFill="1" applyAlignment="1" applyProtection="1">
      <alignment horizontal="right" vertical="center" wrapText="1"/>
    </xf>
    <xf numFmtId="183" fontId="21" fillId="0" borderId="0" xfId="8" applyNumberFormat="1" applyFont="1" applyAlignment="1" applyProtection="1">
      <alignment horizontal="right" vertical="center" wrapText="1"/>
    </xf>
    <xf numFmtId="183" fontId="52" fillId="0" borderId="0" xfId="8" applyNumberFormat="1" applyFont="1" applyAlignment="1" applyProtection="1">
      <alignment horizontal="right" vertical="center" wrapText="1"/>
    </xf>
    <xf numFmtId="3" fontId="50" fillId="16" borderId="20" xfId="4" applyNumberFormat="1" applyFont="1" applyFill="1" applyBorder="1" applyAlignment="1" applyProtection="1">
      <alignment horizontal="left"/>
    </xf>
    <xf numFmtId="183" fontId="21" fillId="16" borderId="20" xfId="8" applyNumberFormat="1" applyFont="1" applyFill="1" applyBorder="1" applyAlignment="1" applyProtection="1">
      <alignment horizontal="right" vertical="center" wrapText="1"/>
    </xf>
    <xf numFmtId="190" fontId="21" fillId="16" borderId="20" xfId="12" applyNumberFormat="1" applyFont="1" applyFill="1" applyBorder="1" applyAlignment="1" applyProtection="1">
      <alignment horizontal="right" vertical="center" wrapText="1"/>
    </xf>
    <xf numFmtId="190" fontId="65" fillId="16" borderId="20" xfId="12" applyNumberFormat="1" applyFont="1" applyFill="1" applyBorder="1" applyAlignment="1" applyProtection="1">
      <alignment horizontal="right" vertical="center" wrapText="1"/>
    </xf>
    <xf numFmtId="38" fontId="65" fillId="16" borderId="20" xfId="12" applyNumberFormat="1" applyFont="1" applyFill="1" applyBorder="1" applyAlignment="1" applyProtection="1">
      <alignment horizontal="right" vertical="center" wrapText="1"/>
    </xf>
    <xf numFmtId="3" fontId="65" fillId="16" borderId="20" xfId="12" applyNumberFormat="1" applyFont="1" applyFill="1" applyBorder="1" applyAlignment="1" applyProtection="1">
      <alignment horizontal="right" vertical="center" wrapText="1"/>
    </xf>
    <xf numFmtId="183" fontId="21" fillId="16" borderId="0" xfId="8" applyNumberFormat="1" applyFont="1" applyFill="1" applyAlignment="1" applyProtection="1">
      <alignment horizontal="right" vertical="center" wrapText="1"/>
    </xf>
    <xf numFmtId="183" fontId="52" fillId="16" borderId="0" xfId="8" applyNumberFormat="1" applyFont="1" applyFill="1" applyAlignment="1" applyProtection="1">
      <alignment horizontal="right" vertical="center" wrapText="1"/>
    </xf>
    <xf numFmtId="3" fontId="50" fillId="16" borderId="0" xfId="4" applyNumberFormat="1" applyFont="1" applyFill="1" applyAlignment="1" applyProtection="1">
      <alignment horizontal="left"/>
    </xf>
    <xf numFmtId="190" fontId="65" fillId="16" borderId="0" xfId="12" applyNumberFormat="1" applyFont="1" applyFill="1" applyAlignment="1" applyProtection="1">
      <alignment horizontal="right" vertical="center" wrapText="1"/>
    </xf>
    <xf numFmtId="3" fontId="21" fillId="16" borderId="0" xfId="4" applyNumberFormat="1" applyFont="1" applyFill="1" applyAlignment="1" applyProtection="1">
      <alignment horizontal="left" indent="1"/>
    </xf>
    <xf numFmtId="190" fontId="21" fillId="16" borderId="0" xfId="12" applyNumberFormat="1" applyFont="1" applyFill="1" applyAlignment="1" applyProtection="1">
      <alignment horizontal="right" vertical="center" wrapText="1"/>
    </xf>
    <xf numFmtId="38" fontId="65" fillId="16" borderId="0" xfId="12" applyNumberFormat="1" applyFont="1" applyFill="1" applyAlignment="1" applyProtection="1">
      <alignment horizontal="right" vertical="center" wrapText="1"/>
    </xf>
    <xf numFmtId="3" fontId="55" fillId="16" borderId="0" xfId="4" applyNumberFormat="1" applyFont="1" applyFill="1" applyAlignment="1" applyProtection="1">
      <alignment horizontal="left" indent="1"/>
    </xf>
    <xf numFmtId="3" fontId="65" fillId="16" borderId="0" xfId="12" applyNumberFormat="1" applyFont="1" applyFill="1" applyAlignment="1" applyProtection="1">
      <alignment horizontal="right" vertical="center" wrapText="1"/>
    </xf>
    <xf numFmtId="3" fontId="55" fillId="16" borderId="21" xfId="4" applyNumberFormat="1" applyFont="1" applyFill="1" applyBorder="1" applyAlignment="1" applyProtection="1">
      <alignment horizontal="left" indent="1"/>
    </xf>
    <xf numFmtId="183" fontId="21" fillId="16" borderId="21" xfId="8" applyNumberFormat="1" applyFont="1" applyFill="1" applyBorder="1" applyAlignment="1" applyProtection="1">
      <alignment horizontal="right" vertical="center" wrapText="1"/>
    </xf>
    <xf numFmtId="190" fontId="21" fillId="16" borderId="21" xfId="12" applyNumberFormat="1" applyFont="1" applyFill="1" applyBorder="1" applyAlignment="1" applyProtection="1">
      <alignment horizontal="right" vertical="center" wrapText="1"/>
    </xf>
    <xf numFmtId="183" fontId="52" fillId="16" borderId="21" xfId="8" applyNumberFormat="1" applyFont="1" applyFill="1" applyBorder="1" applyAlignment="1" applyProtection="1">
      <alignment horizontal="right" vertical="center" wrapText="1"/>
    </xf>
    <xf numFmtId="38" fontId="50" fillId="0" borderId="0" xfId="12" applyNumberFormat="1" applyFont="1" applyAlignment="1" applyProtection="1">
      <alignment horizontal="right" vertical="center" wrapText="1"/>
    </xf>
    <xf numFmtId="38" fontId="59" fillId="0" borderId="0" xfId="12" applyNumberFormat="1" applyFont="1" applyAlignment="1" applyProtection="1">
      <alignment horizontal="right" vertical="center" wrapText="1"/>
    </xf>
    <xf numFmtId="183" fontId="55" fillId="0" borderId="0" xfId="8" applyNumberFormat="1" applyFont="1" applyAlignment="1" applyProtection="1">
      <alignment horizontal="right" vertical="center" wrapText="1"/>
    </xf>
    <xf numFmtId="3" fontId="21" fillId="16" borderId="20" xfId="4" applyNumberFormat="1" applyFont="1" applyFill="1" applyBorder="1" applyAlignment="1" applyProtection="1">
      <alignment horizontal="left"/>
    </xf>
    <xf numFmtId="3" fontId="21" fillId="16" borderId="0" xfId="4" applyNumberFormat="1" applyFont="1" applyFill="1" applyAlignment="1" applyProtection="1">
      <alignment horizontal="left"/>
    </xf>
    <xf numFmtId="3" fontId="65" fillId="16" borderId="0" xfId="8" applyNumberFormat="1" applyFont="1" applyFill="1" applyAlignment="1" applyProtection="1">
      <alignment horizontal="right" vertical="center" wrapText="1"/>
    </xf>
    <xf numFmtId="3" fontId="21" fillId="16" borderId="21" xfId="4" applyNumberFormat="1" applyFont="1" applyFill="1" applyBorder="1" applyAlignment="1" applyProtection="1">
      <alignment horizontal="left"/>
    </xf>
    <xf numFmtId="3" fontId="65" fillId="16" borderId="21" xfId="12" applyNumberFormat="1" applyFont="1" applyFill="1" applyBorder="1" applyAlignment="1" applyProtection="1">
      <alignment horizontal="right" vertical="center" wrapText="1"/>
    </xf>
    <xf numFmtId="190" fontId="21" fillId="0" borderId="0" xfId="12" applyNumberFormat="1" applyFont="1" applyAlignment="1" applyProtection="1">
      <alignment horizontal="right" vertical="center" wrapText="1"/>
    </xf>
    <xf numFmtId="3" fontId="65" fillId="0" borderId="0" xfId="12" applyNumberFormat="1" applyFont="1" applyAlignment="1" applyProtection="1">
      <alignment horizontal="right" vertical="center" wrapText="1"/>
    </xf>
    <xf numFmtId="208" fontId="21" fillId="0" borderId="0" xfId="12" applyNumberFormat="1" applyFont="1" applyAlignment="1" applyProtection="1">
      <alignment horizontal="right" vertical="center" wrapText="1"/>
    </xf>
    <xf numFmtId="183" fontId="50" fillId="0" borderId="0" xfId="8" applyNumberFormat="1" applyFont="1" applyAlignment="1" applyProtection="1">
      <alignment horizontal="right" vertical="center" wrapText="1"/>
    </xf>
    <xf numFmtId="190" fontId="50" fillId="0" borderId="0" xfId="12" applyNumberFormat="1" applyFont="1" applyAlignment="1" applyProtection="1">
      <alignment horizontal="right" vertical="center" wrapText="1"/>
    </xf>
    <xf numFmtId="3" fontId="59" fillId="0" borderId="0" xfId="12" applyNumberFormat="1" applyFont="1" applyAlignment="1" applyProtection="1">
      <alignment horizontal="right" vertical="center" wrapText="1"/>
    </xf>
    <xf numFmtId="181" fontId="50" fillId="0" borderId="0" xfId="12" applyNumberFormat="1" applyFont="1" applyAlignment="1" applyProtection="1">
      <alignment horizontal="right" vertical="center" wrapText="1"/>
    </xf>
    <xf numFmtId="3" fontId="21" fillId="0" borderId="0" xfId="8" applyNumberFormat="1" applyFont="1" applyAlignment="1" applyProtection="1">
      <alignment horizontal="right" vertical="center" wrapText="1"/>
    </xf>
    <xf numFmtId="181" fontId="50" fillId="0" borderId="0" xfId="4" applyNumberFormat="1" applyFont="1" applyAlignment="1" applyProtection="1">
      <alignment horizontal="right" vertical="center"/>
    </xf>
    <xf numFmtId="178" fontId="50" fillId="13" borderId="0" xfId="4" applyFont="1" applyFill="1" applyAlignment="1" applyProtection="1">
      <alignment horizontal="left"/>
    </xf>
    <xf numFmtId="38" fontId="50" fillId="13" borderId="0" xfId="12" applyNumberFormat="1" applyFont="1" applyFill="1" applyAlignment="1" applyProtection="1">
      <alignment horizontal="right" vertical="center" wrapText="1"/>
    </xf>
    <xf numFmtId="38" fontId="59" fillId="13" borderId="0" xfId="12" applyNumberFormat="1" applyFont="1" applyFill="1" applyAlignment="1" applyProtection="1">
      <alignment horizontal="right" vertical="center" wrapText="1"/>
    </xf>
    <xf numFmtId="190" fontId="65" fillId="0" borderId="0" xfId="12" applyNumberFormat="1" applyFont="1" applyAlignment="1" applyProtection="1">
      <alignment horizontal="right" vertical="center" wrapText="1"/>
    </xf>
    <xf numFmtId="9" fontId="21" fillId="0" borderId="0" xfId="8" applyFont="1" applyProtection="1"/>
    <xf numFmtId="3" fontId="21" fillId="0" borderId="0" xfId="8" applyNumberFormat="1" applyFont="1" applyProtection="1"/>
    <xf numFmtId="9" fontId="21" fillId="0" borderId="0" xfId="8" applyFont="1" applyAlignment="1" applyProtection="1">
      <alignment horizontal="right" vertical="center" wrapText="1"/>
    </xf>
    <xf numFmtId="183" fontId="57" fillId="0" borderId="0" xfId="8" applyNumberFormat="1" applyFont="1" applyAlignment="1" applyProtection="1">
      <alignment horizontal="right" vertical="center" wrapText="1"/>
    </xf>
    <xf numFmtId="3" fontId="21" fillId="0" borderId="0" xfId="12" applyNumberFormat="1" applyFont="1" applyAlignment="1" applyProtection="1">
      <alignment horizontal="right" vertical="center" wrapText="1"/>
    </xf>
    <xf numFmtId="38" fontId="65" fillId="0" borderId="0" xfId="12" applyNumberFormat="1" applyFont="1" applyAlignment="1" applyProtection="1">
      <alignment horizontal="right" vertical="center" wrapText="1"/>
    </xf>
    <xf numFmtId="183" fontId="55" fillId="0" borderId="0" xfId="12" applyNumberFormat="1" applyFont="1" applyAlignment="1" applyProtection="1">
      <alignment horizontal="right" vertical="center" wrapText="1"/>
    </xf>
    <xf numFmtId="38" fontId="50" fillId="0" borderId="0" xfId="12" applyNumberFormat="1" applyFont="1" applyAlignment="1" applyProtection="1">
      <alignment horizontal="right"/>
    </xf>
    <xf numFmtId="183" fontId="21" fillId="0" borderId="0" xfId="4" applyNumberFormat="1" applyFont="1" applyProtection="1"/>
    <xf numFmtId="183" fontId="21" fillId="0" borderId="0" xfId="4" applyNumberFormat="1" applyFont="1" applyAlignment="1" applyProtection="1">
      <alignment horizontal="left"/>
    </xf>
    <xf numFmtId="178" fontId="21" fillId="0" borderId="0" xfId="4" applyFont="1" applyAlignment="1" applyProtection="1">
      <alignment horizontal="left" indent="1"/>
    </xf>
    <xf numFmtId="10" fontId="21" fillId="0" borderId="0" xfId="8" applyNumberFormat="1" applyFont="1" applyAlignment="1" applyProtection="1">
      <alignment horizontal="right" vertical="center" wrapText="1"/>
    </xf>
    <xf numFmtId="38" fontId="65" fillId="13" borderId="0" xfId="12" applyNumberFormat="1" applyFont="1" applyFill="1" applyAlignment="1" applyProtection="1">
      <alignment horizontal="right" vertical="center" wrapText="1"/>
    </xf>
    <xf numFmtId="38" fontId="21" fillId="0" borderId="0" xfId="12" applyNumberFormat="1" applyFont="1" applyAlignment="1" applyProtection="1">
      <alignment horizontal="right" vertical="center" wrapText="1"/>
    </xf>
    <xf numFmtId="3" fontId="55" fillId="0" borderId="0" xfId="4" applyNumberFormat="1" applyFont="1" applyAlignment="1" applyProtection="1">
      <alignment horizontal="left"/>
    </xf>
    <xf numFmtId="178" fontId="55" fillId="0" borderId="0" xfId="4" applyFont="1" applyAlignment="1" applyProtection="1">
      <alignment horizontal="left"/>
    </xf>
    <xf numFmtId="10" fontId="55" fillId="0" borderId="0" xfId="8" applyNumberFormat="1" applyFont="1" applyAlignment="1" applyProtection="1">
      <alignment horizontal="right" vertical="center" wrapText="1"/>
    </xf>
    <xf numFmtId="9" fontId="55" fillId="0" borderId="0" xfId="8" applyFont="1" applyAlignment="1" applyProtection="1">
      <alignment horizontal="right" vertical="center" wrapText="1"/>
    </xf>
    <xf numFmtId="183" fontId="66" fillId="0" borderId="0" xfId="8" applyNumberFormat="1" applyFont="1" applyAlignment="1" applyProtection="1">
      <alignment horizontal="right" vertical="center" wrapText="1"/>
    </xf>
    <xf numFmtId="180" fontId="21" fillId="0" borderId="0" xfId="12" applyNumberFormat="1" applyFont="1" applyAlignment="1" applyProtection="1">
      <alignment horizontal="right" vertical="center" wrapText="1"/>
    </xf>
    <xf numFmtId="183" fontId="21" fillId="0" borderId="0" xfId="8" applyNumberFormat="1" applyFont="1" applyProtection="1"/>
    <xf numFmtId="38" fontId="21" fillId="0" borderId="0" xfId="12" applyNumberFormat="1" applyFont="1" applyAlignment="1" applyProtection="1">
      <alignment horizontal="right"/>
    </xf>
    <xf numFmtId="9" fontId="21" fillId="0" borderId="0" xfId="8" applyFont="1" applyAlignment="1" applyProtection="1">
      <alignment horizontal="right"/>
    </xf>
    <xf numFmtId="38" fontId="65" fillId="0" borderId="0" xfId="4" applyNumberFormat="1" applyFont="1" applyProtection="1"/>
    <xf numFmtId="178" fontId="65" fillId="0" borderId="0" xfId="4" applyFont="1" applyProtection="1"/>
    <xf numFmtId="38" fontId="65" fillId="0" borderId="0" xfId="12" applyNumberFormat="1" applyFont="1" applyAlignment="1" applyProtection="1">
      <alignment horizontal="right"/>
    </xf>
    <xf numFmtId="183" fontId="67" fillId="0" borderId="0" xfId="8" applyNumberFormat="1" applyFont="1" applyAlignment="1" applyProtection="1">
      <alignment horizontal="right" vertical="center" wrapText="1"/>
    </xf>
    <xf numFmtId="38" fontId="50" fillId="0" borderId="0" xfId="4" applyNumberFormat="1" applyFont="1" applyProtection="1"/>
    <xf numFmtId="178" fontId="21" fillId="0" borderId="0" xfId="4" applyFont="1" applyAlignment="1" applyProtection="1">
      <alignment horizontal="center"/>
    </xf>
    <xf numFmtId="10" fontId="50" fillId="0" borderId="0" xfId="8" applyNumberFormat="1" applyFont="1" applyAlignment="1" applyProtection="1">
      <alignment horizontal="right" vertical="center" wrapText="1"/>
    </xf>
    <xf numFmtId="10" fontId="21" fillId="0" borderId="0" xfId="4" applyNumberFormat="1" applyFont="1" applyProtection="1"/>
    <xf numFmtId="181" fontId="50" fillId="0" borderId="0" xfId="8" applyNumberFormat="1" applyFont="1" applyAlignment="1" applyProtection="1">
      <alignment horizontal="right" vertical="center" wrapText="1"/>
    </xf>
    <xf numFmtId="3" fontId="50" fillId="0" borderId="0" xfId="12" applyNumberFormat="1" applyFont="1" applyAlignment="1" applyProtection="1">
      <alignment horizontal="right" vertical="center" wrapText="1"/>
    </xf>
    <xf numFmtId="38" fontId="52" fillId="0" borderId="0" xfId="12" applyNumberFormat="1" applyFont="1" applyAlignment="1" applyProtection="1">
      <alignment horizontal="right" vertical="center" wrapText="1"/>
    </xf>
    <xf numFmtId="3" fontId="65" fillId="0" borderId="0" xfId="12" applyNumberFormat="1" applyFont="1" applyAlignment="1" applyProtection="1">
      <alignment horizontal="right"/>
    </xf>
    <xf numFmtId="206" fontId="50" fillId="0" borderId="0" xfId="13" applyNumberFormat="1" applyFont="1" applyAlignment="1" applyProtection="1">
      <alignment horizontal="right" vertical="center" wrapText="1"/>
    </xf>
    <xf numFmtId="188" fontId="50" fillId="0" borderId="0" xfId="13" applyNumberFormat="1" applyFont="1" applyAlignment="1" applyProtection="1">
      <alignment horizontal="right" vertical="center" wrapText="1"/>
    </xf>
    <xf numFmtId="183" fontId="60" fillId="5" borderId="0" xfId="8" applyNumberFormat="1" applyFont="1" applyFill="1" applyProtection="1"/>
    <xf numFmtId="201" fontId="50" fillId="0" borderId="0" xfId="12" applyNumberFormat="1" applyFont="1" applyAlignment="1" applyProtection="1">
      <alignment horizontal="right"/>
    </xf>
    <xf numFmtId="178" fontId="38" fillId="2" borderId="0" xfId="16" applyFont="1" applyFill="1" applyAlignment="1" applyProtection="1">
      <alignment vertical="center"/>
    </xf>
    <xf numFmtId="178" fontId="38" fillId="2" borderId="0" xfId="16" applyFont="1" applyFill="1" applyAlignment="1" applyProtection="1">
      <alignment horizontal="right" vertical="center"/>
    </xf>
    <xf numFmtId="178" fontId="38" fillId="0" borderId="0" xfId="16" applyFont="1" applyAlignment="1" applyProtection="1">
      <alignment vertical="center"/>
    </xf>
    <xf numFmtId="178" fontId="39" fillId="0" borderId="0" xfId="16" applyFont="1" applyAlignment="1" applyProtection="1">
      <alignment vertical="center"/>
    </xf>
    <xf numFmtId="178" fontId="85" fillId="2" borderId="0" xfId="16" applyFont="1" applyFill="1" applyAlignment="1" applyProtection="1">
      <alignment vertical="center"/>
    </xf>
    <xf numFmtId="178" fontId="39" fillId="2" borderId="0" xfId="16" applyFont="1" applyFill="1" applyAlignment="1" applyProtection="1">
      <alignment vertical="center"/>
    </xf>
    <xf numFmtId="178" fontId="39" fillId="2" borderId="0" xfId="16" applyFont="1" applyFill="1" applyAlignment="1" applyProtection="1">
      <alignment horizontal="right" vertical="center"/>
    </xf>
    <xf numFmtId="178" fontId="40" fillId="10" borderId="0" xfId="16" applyFont="1" applyFill="1" applyAlignment="1" applyProtection="1">
      <alignment vertical="center"/>
    </xf>
    <xf numFmtId="178" fontId="40" fillId="10" borderId="0" xfId="16" applyFont="1" applyFill="1" applyAlignment="1" applyProtection="1">
      <alignment horizontal="right" vertical="center"/>
    </xf>
    <xf numFmtId="178" fontId="40" fillId="10" borderId="0" xfId="16" applyFont="1" applyFill="1" applyAlignment="1" applyProtection="1">
      <alignment horizontal="right" vertical="center" wrapText="1"/>
    </xf>
    <xf numFmtId="180" fontId="38" fillId="2" borderId="0" xfId="17" applyNumberFormat="1" applyFont="1" applyFill="1" applyAlignment="1" applyProtection="1">
      <alignment horizontal="right" vertical="center"/>
    </xf>
    <xf numFmtId="180" fontId="38" fillId="0" borderId="0" xfId="17" applyNumberFormat="1" applyFont="1" applyAlignment="1" applyProtection="1">
      <alignment horizontal="right" vertical="center"/>
    </xf>
    <xf numFmtId="180" fontId="38" fillId="11" borderId="0" xfId="17" applyNumberFormat="1" applyFont="1" applyFill="1" applyAlignment="1" applyProtection="1">
      <alignment horizontal="right" vertical="center"/>
    </xf>
    <xf numFmtId="183" fontId="38" fillId="11" borderId="0" xfId="18" applyNumberFormat="1" applyFont="1" applyFill="1" applyAlignment="1" applyProtection="1">
      <alignment horizontal="right" vertical="center"/>
    </xf>
    <xf numFmtId="183" fontId="38" fillId="2" borderId="0" xfId="18" applyNumberFormat="1" applyFont="1" applyFill="1" applyAlignment="1" applyProtection="1">
      <alignment horizontal="right" vertical="center"/>
    </xf>
    <xf numFmtId="186" fontId="39" fillId="2" borderId="0" xfId="17" applyNumberFormat="1" applyFont="1" applyFill="1" applyAlignment="1" applyProtection="1">
      <alignment horizontal="right" vertical="center"/>
    </xf>
    <xf numFmtId="186" fontId="39" fillId="0" borderId="0" xfId="17" applyNumberFormat="1" applyFont="1" applyAlignment="1" applyProtection="1">
      <alignment horizontal="right" vertical="center"/>
    </xf>
    <xf numFmtId="186" fontId="39" fillId="11" borderId="0" xfId="17" applyNumberFormat="1" applyFont="1" applyFill="1" applyAlignment="1" applyProtection="1">
      <alignment horizontal="right" vertical="center"/>
    </xf>
    <xf numFmtId="183" fontId="39" fillId="11" borderId="0" xfId="18" applyNumberFormat="1" applyFont="1" applyFill="1" applyAlignment="1" applyProtection="1">
      <alignment horizontal="right" vertical="center"/>
    </xf>
    <xf numFmtId="183" fontId="39" fillId="2" borderId="0" xfId="18" applyNumberFormat="1" applyFont="1" applyFill="1" applyAlignment="1" applyProtection="1">
      <alignment horizontal="right" vertical="center"/>
    </xf>
    <xf numFmtId="38" fontId="38" fillId="2" borderId="0" xfId="17" applyNumberFormat="1" applyFont="1" applyFill="1" applyAlignment="1" applyProtection="1">
      <alignment horizontal="right" vertical="center"/>
    </xf>
    <xf numFmtId="38" fontId="38" fillId="0" borderId="0" xfId="17" applyNumberFormat="1" applyFont="1" applyAlignment="1" applyProtection="1">
      <alignment horizontal="right" vertical="center"/>
    </xf>
    <xf numFmtId="38" fontId="38" fillId="11" borderId="0" xfId="17" applyNumberFormat="1" applyFont="1" applyFill="1" applyAlignment="1" applyProtection="1">
      <alignment horizontal="right" vertical="center"/>
    </xf>
    <xf numFmtId="183" fontId="38" fillId="0" borderId="0" xfId="18" applyNumberFormat="1" applyFont="1" applyAlignment="1" applyProtection="1">
      <alignment horizontal="right" vertical="center"/>
    </xf>
    <xf numFmtId="178" fontId="44" fillId="2" borderId="0" xfId="16" applyFont="1" applyFill="1" applyAlignment="1" applyProtection="1">
      <alignment vertical="center"/>
    </xf>
    <xf numFmtId="178" fontId="43" fillId="2" borderId="0" xfId="16" applyFont="1" applyFill="1" applyAlignment="1" applyProtection="1">
      <alignment vertical="center"/>
    </xf>
    <xf numFmtId="38" fontId="60" fillId="13" borderId="0" xfId="12" applyNumberFormat="1" applyFont="1" applyFill="1" applyAlignment="1" applyProtection="1">
      <alignment horizontal="right" vertical="center" wrapText="1"/>
    </xf>
    <xf numFmtId="38" fontId="60" fillId="0" borderId="0" xfId="12" applyNumberFormat="1" applyFont="1" applyAlignment="1" applyProtection="1">
      <alignment horizontal="right" vertical="center" wrapText="1"/>
    </xf>
    <xf numFmtId="3" fontId="50" fillId="0" borderId="0" xfId="12" applyNumberFormat="1" applyFont="1" applyAlignment="1" applyProtection="1">
      <alignment horizontal="right"/>
    </xf>
    <xf numFmtId="3" fontId="60" fillId="13" borderId="0" xfId="12" applyNumberFormat="1" applyFont="1" applyFill="1" applyAlignment="1" applyProtection="1">
      <alignment horizontal="right" vertical="center" wrapText="1"/>
    </xf>
    <xf numFmtId="38" fontId="57" fillId="0" borderId="0" xfId="12" applyNumberFormat="1" applyFont="1" applyAlignment="1" applyProtection="1">
      <alignment horizontal="right" vertical="center" wrapText="1"/>
    </xf>
    <xf numFmtId="178" fontId="21" fillId="2" borderId="0" xfId="4" applyFont="1" applyFill="1" applyProtection="1"/>
    <xf numFmtId="178" fontId="49" fillId="2" borderId="0" xfId="4" applyFont="1" applyFill="1" applyAlignment="1" applyProtection="1">
      <alignment horizontal="right"/>
    </xf>
    <xf numFmtId="38" fontId="50" fillId="0" borderId="0" xfId="12" applyNumberFormat="1" applyFont="1" applyProtection="1"/>
    <xf numFmtId="178" fontId="50" fillId="2" borderId="0" xfId="4" applyFont="1" applyFill="1" applyProtection="1"/>
    <xf numFmtId="178" fontId="86" fillId="2" borderId="0" xfId="4" applyFont="1" applyFill="1" applyProtection="1"/>
    <xf numFmtId="3" fontId="59" fillId="0" borderId="0" xfId="4" applyNumberFormat="1" applyFont="1" applyProtection="1"/>
    <xf numFmtId="178" fontId="54" fillId="0" borderId="0" xfId="4" applyFont="1" applyAlignment="1" applyProtection="1">
      <alignment horizontal="left" indent="2"/>
    </xf>
    <xf numFmtId="178" fontId="21" fillId="0" borderId="0" xfId="4" applyFont="1" applyAlignment="1" applyProtection="1">
      <alignment horizontal="left" indent="2"/>
    </xf>
    <xf numFmtId="3" fontId="65" fillId="0" borderId="0" xfId="4" applyNumberFormat="1" applyFont="1" applyAlignment="1" applyProtection="1">
      <alignment wrapText="1"/>
    </xf>
    <xf numFmtId="3" fontId="21" fillId="0" borderId="0" xfId="4" applyNumberFormat="1" applyFont="1" applyAlignment="1" applyProtection="1">
      <alignment horizontal="right"/>
    </xf>
    <xf numFmtId="3" fontId="53" fillId="0" borderId="0" xfId="4" applyNumberFormat="1" applyFont="1" applyAlignment="1" applyProtection="1">
      <alignment horizontal="right"/>
    </xf>
    <xf numFmtId="178" fontId="49" fillId="0" borderId="0" xfId="4" applyFont="1" applyProtection="1"/>
    <xf numFmtId="0" fontId="21" fillId="0" borderId="0" xfId="4" applyNumberFormat="1" applyFont="1" applyProtection="1"/>
    <xf numFmtId="178" fontId="21" fillId="0" borderId="0" xfId="4" applyFont="1" applyAlignment="1" applyProtection="1">
      <alignment horizontal="left" wrapText="1" indent="1"/>
    </xf>
    <xf numFmtId="178" fontId="50" fillId="0" borderId="0" xfId="4" applyFont="1" applyAlignment="1" applyProtection="1">
      <alignment horizontal="left" indent="1"/>
    </xf>
    <xf numFmtId="209" fontId="21" fillId="0" borderId="0" xfId="12" applyNumberFormat="1" applyFont="1" applyProtection="1"/>
    <xf numFmtId="178" fontId="27" fillId="2" borderId="0" xfId="19" applyFont="1" applyFill="1" applyAlignment="1" applyProtection="1">
      <alignment vertical="center"/>
    </xf>
    <xf numFmtId="178" fontId="27" fillId="2" borderId="0" xfId="19" applyFont="1" applyFill="1" applyAlignment="1" applyProtection="1">
      <alignment horizontal="right" vertical="center"/>
    </xf>
    <xf numFmtId="178" fontId="27" fillId="0" borderId="0" xfId="19" applyFont="1" applyAlignment="1" applyProtection="1">
      <alignment vertical="center"/>
    </xf>
    <xf numFmtId="178" fontId="35" fillId="10" borderId="0" xfId="20" applyFont="1" applyFill="1" applyAlignment="1" applyProtection="1">
      <alignment vertical="center" wrapText="1"/>
    </xf>
    <xf numFmtId="178" fontId="35" fillId="10" borderId="0" xfId="20" applyFont="1" applyFill="1" applyAlignment="1" applyProtection="1">
      <alignment horizontal="right" vertical="center" wrapText="1"/>
    </xf>
    <xf numFmtId="178" fontId="35" fillId="10" borderId="0" xfId="19" applyFont="1" applyFill="1" applyAlignment="1" applyProtection="1">
      <alignment vertical="center"/>
    </xf>
    <xf numFmtId="178" fontId="35" fillId="10" borderId="0" xfId="19" applyFont="1" applyFill="1" applyAlignment="1" applyProtection="1">
      <alignment horizontal="right" vertical="center"/>
    </xf>
    <xf numFmtId="178" fontId="35" fillId="10" borderId="0" xfId="19" applyFont="1" applyFill="1" applyAlignment="1" applyProtection="1">
      <alignment horizontal="right" vertical="center" wrapText="1"/>
    </xf>
    <xf numFmtId="3" fontId="27" fillId="2" borderId="0" xfId="21" applyNumberFormat="1" applyFont="1" applyFill="1" applyAlignment="1" applyProtection="1">
      <alignment horizontal="right" vertical="center"/>
    </xf>
    <xf numFmtId="3" fontId="27" fillId="0" borderId="0" xfId="21" applyNumberFormat="1" applyFont="1" applyAlignment="1" applyProtection="1">
      <alignment horizontal="right" vertical="center"/>
    </xf>
    <xf numFmtId="3" fontId="27" fillId="13" borderId="0" xfId="21" applyNumberFormat="1" applyFont="1" applyFill="1" applyAlignment="1" applyProtection="1">
      <alignment horizontal="right" vertical="center"/>
    </xf>
    <xf numFmtId="183" fontId="27" fillId="13" borderId="0" xfId="18" applyNumberFormat="1" applyFont="1" applyFill="1" applyAlignment="1" applyProtection="1">
      <alignment horizontal="right" vertical="center"/>
    </xf>
    <xf numFmtId="183" fontId="27" fillId="2" borderId="0" xfId="18" applyNumberFormat="1" applyFont="1" applyFill="1" applyAlignment="1" applyProtection="1">
      <alignment horizontal="right" vertical="center"/>
    </xf>
    <xf numFmtId="3" fontId="87" fillId="2" borderId="0" xfId="21" applyNumberFormat="1" applyFont="1" applyFill="1" applyAlignment="1" applyProtection="1">
      <alignment horizontal="right" vertical="center"/>
    </xf>
    <xf numFmtId="178" fontId="28" fillId="2" borderId="0" xfId="19" applyFont="1" applyFill="1" applyAlignment="1" applyProtection="1">
      <alignment vertical="center"/>
    </xf>
    <xf numFmtId="4" fontId="28" fillId="2" borderId="0" xfId="21" applyNumberFormat="1" applyFont="1" applyFill="1" applyAlignment="1" applyProtection="1">
      <alignment horizontal="right" vertical="center"/>
    </xf>
    <xf numFmtId="4" fontId="28" fillId="0" borderId="0" xfId="21" applyNumberFormat="1" applyFont="1" applyAlignment="1" applyProtection="1">
      <alignment horizontal="right" vertical="center"/>
    </xf>
    <xf numFmtId="4" fontId="28" fillId="13" borderId="0" xfId="21" applyNumberFormat="1" applyFont="1" applyFill="1" applyAlignment="1" applyProtection="1">
      <alignment horizontal="right" vertical="center"/>
    </xf>
    <xf numFmtId="183" fontId="28" fillId="13" borderId="0" xfId="18" applyNumberFormat="1" applyFont="1" applyFill="1" applyAlignment="1" applyProtection="1">
      <alignment horizontal="right" vertical="center"/>
    </xf>
    <xf numFmtId="183" fontId="28" fillId="2" borderId="0" xfId="18" applyNumberFormat="1" applyFont="1" applyFill="1" applyAlignment="1" applyProtection="1">
      <alignment horizontal="right" vertical="center"/>
    </xf>
    <xf numFmtId="38" fontId="27" fillId="2" borderId="0" xfId="21" applyNumberFormat="1" applyFont="1" applyFill="1" applyAlignment="1" applyProtection="1">
      <alignment horizontal="right" vertical="center"/>
    </xf>
    <xf numFmtId="38" fontId="27" fillId="0" borderId="0" xfId="21" applyNumberFormat="1" applyFont="1" applyAlignment="1" applyProtection="1">
      <alignment horizontal="right" vertical="center"/>
    </xf>
    <xf numFmtId="38" fontId="27" fillId="13" borderId="0" xfId="21" applyNumberFormat="1" applyFont="1" applyFill="1" applyAlignment="1" applyProtection="1">
      <alignment horizontal="right" vertical="center"/>
    </xf>
    <xf numFmtId="183" fontId="27" fillId="0" borderId="0" xfId="18" applyNumberFormat="1" applyFont="1" applyAlignment="1" applyProtection="1">
      <alignment horizontal="right" vertical="center"/>
    </xf>
    <xf numFmtId="3" fontId="27" fillId="2" borderId="0" xfId="19" applyNumberFormat="1" applyFont="1" applyFill="1" applyAlignment="1" applyProtection="1">
      <alignment horizontal="right" vertical="center"/>
    </xf>
    <xf numFmtId="2" fontId="27" fillId="2" borderId="0" xfId="19" applyNumberFormat="1" applyFont="1" applyFill="1" applyAlignment="1" applyProtection="1">
      <alignment horizontal="right" vertical="center"/>
    </xf>
    <xf numFmtId="178" fontId="40" fillId="10" borderId="17" xfId="4" applyFont="1" applyFill="1" applyBorder="1" applyAlignment="1" applyProtection="1">
      <alignment horizontal="center" vertical="center"/>
    </xf>
    <xf numFmtId="178" fontId="40" fillId="10" borderId="0" xfId="4" applyFont="1" applyFill="1" applyAlignment="1" applyProtection="1">
      <alignment horizontal="center" vertical="center"/>
    </xf>
    <xf numFmtId="178" fontId="40" fillId="10" borderId="22" xfId="4" applyFont="1" applyFill="1" applyBorder="1" applyAlignment="1" applyProtection="1">
      <alignment horizontal="center" vertical="center"/>
    </xf>
    <xf numFmtId="178" fontId="40" fillId="10" borderId="23" xfId="4" applyFont="1" applyFill="1" applyBorder="1" applyAlignment="1" applyProtection="1">
      <alignment horizontal="center" vertical="center"/>
    </xf>
    <xf numFmtId="178" fontId="40" fillId="10" borderId="21" xfId="4" applyFont="1" applyFill="1" applyBorder="1" applyAlignment="1" applyProtection="1">
      <alignment horizontal="center" vertical="center"/>
    </xf>
    <xf numFmtId="178" fontId="40" fillId="10" borderId="24" xfId="4" applyFont="1" applyFill="1" applyBorder="1" applyAlignment="1" applyProtection="1">
      <alignment horizontal="center" vertical="center"/>
    </xf>
    <xf numFmtId="178" fontId="40" fillId="10" borderId="23" xfId="4" applyFont="1" applyFill="1" applyBorder="1" applyAlignment="1" applyProtection="1">
      <alignment horizontal="center" vertical="center" wrapText="1"/>
    </xf>
    <xf numFmtId="178" fontId="40" fillId="10" borderId="21" xfId="4" applyFont="1" applyFill="1" applyBorder="1" applyAlignment="1" applyProtection="1">
      <alignment horizontal="center" vertical="center" wrapText="1"/>
    </xf>
    <xf numFmtId="178" fontId="88" fillId="0" borderId="0" xfId="4" applyFont="1" applyProtection="1"/>
    <xf numFmtId="180" fontId="38" fillId="0" borderId="17" xfId="13" applyNumberFormat="1" applyFont="1" applyBorder="1" applyAlignment="1" applyProtection="1">
      <alignment horizontal="center" vertical="center"/>
    </xf>
    <xf numFmtId="180" fontId="38" fillId="0" borderId="0" xfId="13" applyNumberFormat="1" applyFont="1" applyAlignment="1" applyProtection="1">
      <alignment horizontal="center" vertical="center"/>
    </xf>
    <xf numFmtId="183" fontId="38" fillId="0" borderId="22" xfId="8" applyNumberFormat="1" applyFont="1" applyBorder="1" applyAlignment="1" applyProtection="1">
      <alignment horizontal="center" vertical="center"/>
    </xf>
    <xf numFmtId="178" fontId="38" fillId="0" borderId="0" xfId="4" applyFont="1" applyAlignment="1" applyProtection="1">
      <alignment vertical="center"/>
    </xf>
    <xf numFmtId="186" fontId="38" fillId="0" borderId="17" xfId="12" applyNumberFormat="1" applyFont="1" applyBorder="1" applyAlignment="1" applyProtection="1">
      <alignment horizontal="center" vertical="center"/>
    </xf>
    <xf numFmtId="186" fontId="38" fillId="0" borderId="0" xfId="12" applyNumberFormat="1" applyFont="1" applyAlignment="1" applyProtection="1">
      <alignment horizontal="center" vertical="center"/>
    </xf>
    <xf numFmtId="183" fontId="38" fillId="0" borderId="0" xfId="8" applyNumberFormat="1" applyFont="1" applyAlignment="1" applyProtection="1">
      <alignment horizontal="center" vertical="center"/>
    </xf>
    <xf numFmtId="3" fontId="38" fillId="0" borderId="17" xfId="13" applyNumberFormat="1" applyFont="1" applyBorder="1" applyAlignment="1" applyProtection="1">
      <alignment horizontal="center" vertical="center"/>
    </xf>
    <xf numFmtId="3" fontId="38" fillId="0" borderId="0" xfId="13" applyNumberFormat="1" applyFont="1" applyAlignment="1" applyProtection="1">
      <alignment horizontal="center" vertical="center"/>
    </xf>
    <xf numFmtId="4" fontId="38" fillId="0" borderId="17" xfId="12" applyNumberFormat="1" applyFont="1" applyBorder="1" applyAlignment="1" applyProtection="1">
      <alignment horizontal="center" vertical="center"/>
    </xf>
    <xf numFmtId="4" fontId="38" fillId="0" borderId="0" xfId="12" applyNumberFormat="1" applyFont="1" applyAlignment="1" applyProtection="1">
      <alignment horizontal="center" vertical="center"/>
    </xf>
    <xf numFmtId="178" fontId="27" fillId="0" borderId="0" xfId="4" applyFont="1" applyAlignment="1" applyProtection="1">
      <alignment horizontal="right" vertical="center"/>
    </xf>
    <xf numFmtId="178" fontId="28" fillId="13" borderId="0" xfId="4" applyFont="1" applyFill="1" applyAlignment="1" applyProtection="1">
      <alignment vertical="center"/>
    </xf>
    <xf numFmtId="178" fontId="28" fillId="13" borderId="0" xfId="4" applyFont="1" applyFill="1" applyAlignment="1" applyProtection="1">
      <alignment horizontal="right" vertical="center"/>
    </xf>
    <xf numFmtId="190" fontId="27" fillId="0" borderId="0" xfId="4" applyNumberFormat="1" applyFont="1" applyAlignment="1" applyProtection="1">
      <alignment horizontal="right" vertical="center"/>
    </xf>
    <xf numFmtId="3" fontId="27" fillId="0" borderId="0" xfId="12" applyNumberFormat="1" applyFont="1" applyAlignment="1" applyProtection="1">
      <alignment horizontal="right" vertical="center"/>
    </xf>
    <xf numFmtId="3" fontId="27" fillId="0" borderId="0" xfId="12" applyNumberFormat="1" applyFont="1" applyAlignment="1" applyProtection="1">
      <alignment vertical="center"/>
    </xf>
    <xf numFmtId="3" fontId="31" fillId="0" borderId="0" xfId="12" applyNumberFormat="1" applyFont="1" applyAlignment="1" applyProtection="1">
      <alignment horizontal="right" vertical="center"/>
    </xf>
    <xf numFmtId="3" fontId="31" fillId="0" borderId="0" xfId="12" applyNumberFormat="1" applyFont="1" applyAlignment="1" applyProtection="1">
      <alignment vertical="center"/>
    </xf>
    <xf numFmtId="38" fontId="28" fillId="13" borderId="0" xfId="12" applyNumberFormat="1" applyFont="1" applyFill="1" applyAlignment="1" applyProtection="1">
      <alignment horizontal="right" vertical="center"/>
    </xf>
    <xf numFmtId="38" fontId="27" fillId="0" borderId="0" xfId="12" applyNumberFormat="1" applyFont="1" applyAlignment="1" applyProtection="1">
      <alignment horizontal="right" vertical="center"/>
    </xf>
    <xf numFmtId="38" fontId="27" fillId="0" borderId="0" xfId="12" applyNumberFormat="1" applyFont="1" applyAlignment="1" applyProtection="1">
      <alignment vertical="center"/>
    </xf>
    <xf numFmtId="178" fontId="27" fillId="0" borderId="0" xfId="4" applyFont="1" applyAlignment="1" applyProtection="1">
      <alignment vertical="center" wrapText="1"/>
    </xf>
    <xf numFmtId="178" fontId="27" fillId="13" borderId="0" xfId="4" applyFont="1" applyFill="1" applyAlignment="1" applyProtection="1">
      <alignment horizontal="right" vertical="center"/>
    </xf>
    <xf numFmtId="183" fontId="27" fillId="0" borderId="0" xfId="4" applyNumberFormat="1" applyFont="1" applyAlignment="1" applyProtection="1">
      <alignment vertical="center"/>
    </xf>
    <xf numFmtId="39" fontId="27" fillId="0" borderId="0" xfId="4" applyNumberFormat="1" applyFont="1" applyAlignment="1" applyProtection="1">
      <alignment vertical="center"/>
    </xf>
    <xf numFmtId="193" fontId="27" fillId="0" borderId="0" xfId="4" applyNumberFormat="1" applyFont="1" applyAlignment="1" applyProtection="1">
      <alignment horizontal="right" vertical="center"/>
    </xf>
    <xf numFmtId="178" fontId="20" fillId="0" borderId="0" xfId="4" applyFont="1" applyAlignment="1" applyProtection="1">
      <alignment horizontal="center"/>
    </xf>
    <xf numFmtId="178" fontId="51" fillId="0" borderId="0" xfId="4" applyFont="1" applyProtection="1"/>
    <xf numFmtId="210" fontId="20" fillId="0" borderId="0" xfId="4" applyNumberFormat="1" applyFont="1" applyAlignment="1" applyProtection="1">
      <alignment horizontal="right"/>
    </xf>
    <xf numFmtId="181" fontId="20" fillId="0" borderId="0" xfId="4" applyNumberFormat="1" applyFont="1" applyAlignment="1" applyProtection="1">
      <alignment horizontal="center"/>
    </xf>
    <xf numFmtId="210" fontId="20" fillId="0" borderId="0" xfId="4" applyNumberFormat="1" applyFont="1" applyAlignment="1" applyProtection="1">
      <alignment horizontal="center"/>
    </xf>
    <xf numFmtId="183" fontId="21" fillId="0" borderId="0" xfId="4" applyNumberFormat="1" applyFont="1" applyAlignment="1" applyProtection="1">
      <alignment horizontal="center" vertical="center"/>
    </xf>
    <xf numFmtId="14" fontId="20" fillId="0" borderId="0" xfId="4" applyNumberFormat="1" applyFont="1" applyAlignment="1" applyProtection="1">
      <alignment horizontal="center"/>
    </xf>
    <xf numFmtId="0" fontId="87" fillId="0" borderId="0" xfId="22" applyFont="1" applyAlignment="1" applyProtection="1">
      <alignment vertical="center"/>
    </xf>
    <xf numFmtId="0" fontId="84" fillId="0" borderId="0" xfId="22" applyFont="1" applyAlignment="1" applyProtection="1">
      <alignment vertical="center"/>
    </xf>
    <xf numFmtId="0" fontId="35" fillId="10" borderId="0" xfId="22" applyFont="1" applyFill="1" applyAlignment="1" applyProtection="1">
      <alignment horizontal="left" vertical="center"/>
    </xf>
    <xf numFmtId="0" fontId="35" fillId="10" borderId="0" xfId="22" applyFont="1" applyFill="1" applyAlignment="1" applyProtection="1">
      <alignment horizontal="center" vertical="center"/>
    </xf>
    <xf numFmtId="0" fontId="84" fillId="17" borderId="0" xfId="22" applyFont="1" applyFill="1" applyAlignment="1" applyProtection="1">
      <alignment vertical="center"/>
    </xf>
    <xf numFmtId="3" fontId="87" fillId="17" borderId="13" xfId="22" applyNumberFormat="1" applyFont="1" applyFill="1" applyBorder="1" applyAlignment="1" applyProtection="1">
      <alignment horizontal="center" vertical="center"/>
    </xf>
    <xf numFmtId="3" fontId="87" fillId="17" borderId="0" xfId="22" applyNumberFormat="1" applyFont="1" applyFill="1" applyAlignment="1" applyProtection="1">
      <alignment horizontal="center" vertical="center"/>
    </xf>
    <xf numFmtId="3" fontId="84" fillId="17" borderId="0" xfId="22" applyNumberFormat="1" applyFont="1" applyFill="1" applyAlignment="1" applyProtection="1">
      <alignment horizontal="center" vertical="center"/>
    </xf>
    <xf numFmtId="3" fontId="87" fillId="0" borderId="13" xfId="22" applyNumberFormat="1" applyFont="1" applyBorder="1" applyAlignment="1" applyProtection="1">
      <alignment horizontal="center" vertical="center"/>
    </xf>
    <xf numFmtId="3" fontId="87" fillId="0" borderId="0" xfId="22" applyNumberFormat="1" applyFont="1" applyAlignment="1" applyProtection="1">
      <alignment horizontal="center" vertical="center"/>
    </xf>
    <xf numFmtId="3" fontId="84" fillId="0" borderId="0" xfId="22" applyNumberFormat="1" applyFont="1" applyAlignment="1" applyProtection="1">
      <alignment horizontal="center" vertical="center"/>
    </xf>
    <xf numFmtId="0" fontId="35" fillId="0" borderId="0" xfId="22" applyFont="1" applyAlignment="1" applyProtection="1">
      <alignment horizontal="center" vertical="center"/>
    </xf>
    <xf numFmtId="0" fontId="84" fillId="0" borderId="0" xfId="22" applyFont="1" applyAlignment="1" applyProtection="1">
      <alignment horizontal="center" vertical="center"/>
    </xf>
    <xf numFmtId="0" fontId="89" fillId="0" borderId="0" xfId="23" applyFont="1" applyAlignment="1" applyProtection="1">
      <alignment horizontal="center" vertical="center"/>
    </xf>
    <xf numFmtId="181" fontId="89" fillId="0" borderId="0" xfId="23" applyNumberFormat="1" applyFont="1" applyAlignment="1" applyProtection="1">
      <alignment horizontal="center" vertical="center"/>
    </xf>
    <xf numFmtId="0" fontId="89" fillId="0" borderId="0" xfId="23" applyFont="1" applyAlignment="1" applyProtection="1">
      <alignment vertical="center"/>
    </xf>
    <xf numFmtId="0" fontId="89" fillId="0" borderId="0" xfId="23" applyFont="1" applyAlignment="1" applyProtection="1">
      <alignment horizontal="center" vertical="center" wrapText="1"/>
    </xf>
    <xf numFmtId="14" fontId="89" fillId="0" borderId="0" xfId="23" applyNumberFormat="1" applyFont="1" applyAlignment="1" applyProtection="1">
      <alignment horizontal="center" vertical="center"/>
    </xf>
    <xf numFmtId="178" fontId="26" fillId="0" borderId="0" xfId="0" applyFont="1" applyAlignment="1"/>
    <xf numFmtId="178" fontId="90" fillId="16" borderId="0" xfId="0" applyFont="1" applyFill="1" applyAlignment="1">
      <alignment horizontal="center"/>
    </xf>
    <xf numFmtId="38" fontId="26" fillId="0" borderId="0" xfId="13" applyNumberFormat="1" applyFont="1" applyAlignment="1" applyProtection="1">
      <alignment horizontal="right" vertical="center"/>
    </xf>
    <xf numFmtId="1" fontId="26" fillId="0" borderId="0" xfId="0" applyNumberFormat="1" applyFont="1" applyAlignment="1"/>
    <xf numFmtId="178" fontId="26" fillId="0" borderId="21" xfId="0" applyFont="1" applyBorder="1" applyAlignment="1"/>
    <xf numFmtId="1" fontId="26" fillId="0" borderId="21" xfId="0" applyNumberFormat="1" applyFont="1" applyBorder="1" applyAlignment="1"/>
    <xf numFmtId="38" fontId="26" fillId="0" borderId="0" xfId="0" applyNumberFormat="1" applyFont="1" applyAlignment="1"/>
    <xf numFmtId="178" fontId="91" fillId="0" borderId="0" xfId="0" applyFont="1" applyAlignment="1">
      <alignment horizontal="right"/>
    </xf>
    <xf numFmtId="183" fontId="91" fillId="0" borderId="0" xfId="8" applyNumberFormat="1" applyFont="1" applyProtection="1"/>
    <xf numFmtId="183" fontId="26" fillId="0" borderId="0" xfId="8" applyNumberFormat="1" applyFont="1" applyProtection="1"/>
    <xf numFmtId="183" fontId="26" fillId="0" borderId="0" xfId="0" applyNumberFormat="1" applyFont="1" applyAlignment="1"/>
    <xf numFmtId="2" fontId="26" fillId="0" borderId="0" xfId="0" applyNumberFormat="1" applyFont="1" applyAlignment="1"/>
    <xf numFmtId="2" fontId="26" fillId="20" borderId="0" xfId="0" applyNumberFormat="1" applyFont="1" applyFill="1" applyAlignment="1"/>
    <xf numFmtId="38" fontId="26" fillId="0" borderId="21" xfId="13" applyNumberFormat="1" applyFont="1" applyBorder="1" applyAlignment="1" applyProtection="1">
      <alignment horizontal="right" vertical="center"/>
    </xf>
    <xf numFmtId="178" fontId="26" fillId="2" borderId="0" xfId="0" applyFont="1" applyFill="1" applyAlignment="1"/>
    <xf numFmtId="9" fontId="26" fillId="0" borderId="0" xfId="0" applyNumberFormat="1" applyFont="1" applyAlignment="1"/>
    <xf numFmtId="178" fontId="26" fillId="0" borderId="0" xfId="0" applyFont="1" applyAlignment="1">
      <alignment horizontal="right"/>
    </xf>
    <xf numFmtId="9" fontId="26" fillId="0" borderId="0" xfId="8" applyFont="1" applyProtection="1"/>
    <xf numFmtId="9" fontId="91" fillId="0" borderId="0" xfId="8" applyFont="1" applyProtection="1"/>
    <xf numFmtId="10" fontId="26" fillId="0" borderId="0" xfId="0" applyNumberFormat="1" applyFont="1" applyAlignment="1"/>
    <xf numFmtId="200" fontId="26" fillId="0" borderId="0" xfId="0" applyNumberFormat="1" applyFont="1" applyAlignment="1"/>
    <xf numFmtId="200" fontId="26" fillId="20" borderId="0" xfId="0" applyNumberFormat="1" applyFont="1" applyFill="1" applyAlignment="1"/>
    <xf numFmtId="200" fontId="26" fillId="21" borderId="0" xfId="0" applyNumberFormat="1" applyFont="1" applyFill="1" applyAlignment="1"/>
    <xf numFmtId="178" fontId="26" fillId="0" borderId="20" xfId="0" applyFont="1" applyBorder="1" applyAlignment="1"/>
    <xf numFmtId="178" fontId="26" fillId="0" borderId="0" xfId="0" applyFont="1" applyAlignment="1">
      <alignment horizontal="center"/>
    </xf>
    <xf numFmtId="185" fontId="26" fillId="0" borderId="0" xfId="0" applyNumberFormat="1" applyFont="1" applyAlignment="1"/>
    <xf numFmtId="9" fontId="26" fillId="0" borderId="21" xfId="8" applyFont="1" applyBorder="1" applyProtection="1"/>
    <xf numFmtId="178" fontId="38" fillId="0" borderId="0" xfId="0" applyFont="1" applyAlignment="1"/>
    <xf numFmtId="178" fontId="92" fillId="5" borderId="0" xfId="0" applyFont="1" applyFill="1" applyAlignment="1"/>
    <xf numFmtId="178" fontId="39" fillId="0" borderId="0" xfId="0" applyFont="1" applyAlignment="1"/>
    <xf numFmtId="178" fontId="39" fillId="8" borderId="0" xfId="0" applyFont="1" applyFill="1" applyAlignment="1"/>
    <xf numFmtId="178" fontId="39" fillId="8" borderId="9" xfId="0" applyFont="1" applyFill="1" applyBorder="1" applyAlignment="1"/>
    <xf numFmtId="183" fontId="39" fillId="8" borderId="9" xfId="8" applyNumberFormat="1" applyFont="1" applyFill="1" applyBorder="1" applyProtection="1"/>
    <xf numFmtId="183" fontId="39" fillId="0" borderId="0" xfId="8" applyNumberFormat="1" applyFont="1" applyProtection="1"/>
    <xf numFmtId="178" fontId="80" fillId="0" borderId="0" xfId="0" applyFont="1" applyAlignment="1"/>
    <xf numFmtId="183" fontId="38" fillId="0" borderId="0" xfId="8" applyNumberFormat="1" applyFont="1" applyProtection="1"/>
    <xf numFmtId="178" fontId="38" fillId="0" borderId="0" xfId="0" applyFont="1" applyAlignment="1">
      <alignment horizontal="left" indent="1"/>
    </xf>
    <xf numFmtId="10" fontId="38" fillId="0" borderId="0" xfId="8" applyNumberFormat="1" applyFont="1" applyProtection="1"/>
    <xf numFmtId="9" fontId="38" fillId="0" borderId="0" xfId="8" applyFont="1" applyProtection="1"/>
    <xf numFmtId="189" fontId="38" fillId="0" borderId="0" xfId="12" applyNumberFormat="1" applyFont="1" applyProtection="1"/>
    <xf numFmtId="178" fontId="39" fillId="8" borderId="0" xfId="0" applyFont="1" applyFill="1" applyAlignment="1">
      <alignment horizontal="left" indent="1"/>
    </xf>
    <xf numFmtId="183" fontId="39" fillId="8" borderId="0" xfId="8" applyNumberFormat="1" applyFont="1" applyFill="1" applyProtection="1"/>
    <xf numFmtId="178" fontId="38" fillId="8" borderId="0" xfId="0" applyFont="1" applyFill="1" applyAlignment="1"/>
    <xf numFmtId="178" fontId="80" fillId="8" borderId="0" xfId="0" applyFont="1" applyFill="1" applyAlignment="1"/>
    <xf numFmtId="211" fontId="38" fillId="0" borderId="0" xfId="0" applyNumberFormat="1" applyFont="1" applyAlignment="1">
      <alignment horizontal="right"/>
    </xf>
    <xf numFmtId="178" fontId="93" fillId="8" borderId="0" xfId="0" applyFont="1" applyFill="1" applyAlignment="1"/>
    <xf numFmtId="178" fontId="79" fillId="8" borderId="0" xfId="0" applyFont="1" applyFill="1" applyAlignment="1"/>
    <xf numFmtId="178" fontId="39" fillId="8" borderId="0" xfId="0" applyFont="1" applyFill="1" applyAlignment="1">
      <alignment horizontal="right" vertical="center"/>
    </xf>
    <xf numFmtId="190" fontId="38" fillId="0" borderId="0" xfId="12" applyNumberFormat="1" applyFont="1" applyProtection="1"/>
    <xf numFmtId="178" fontId="45" fillId="0" borderId="0" xfId="0" applyFont="1" applyAlignment="1"/>
    <xf numFmtId="178" fontId="45" fillId="8" borderId="0" xfId="0" applyFont="1" applyFill="1" applyAlignment="1"/>
    <xf numFmtId="183" fontId="38" fillId="8" borderId="0" xfId="8" applyNumberFormat="1" applyFont="1" applyFill="1" applyProtection="1"/>
    <xf numFmtId="190" fontId="38" fillId="8" borderId="0" xfId="12" applyNumberFormat="1" applyFont="1" applyFill="1" applyProtection="1"/>
    <xf numFmtId="38" fontId="38" fillId="8" borderId="0" xfId="12" applyNumberFormat="1" applyFont="1" applyFill="1" applyProtection="1"/>
    <xf numFmtId="38" fontId="38" fillId="0" borderId="0" xfId="12" applyNumberFormat="1" applyFont="1" applyProtection="1"/>
    <xf numFmtId="178" fontId="94" fillId="8" borderId="0" xfId="0" applyFont="1" applyFill="1" applyAlignment="1"/>
    <xf numFmtId="9" fontId="39" fillId="8" borderId="9" xfId="0" applyNumberFormat="1" applyFont="1" applyFill="1" applyBorder="1" applyAlignment="1">
      <alignment horizontal="left"/>
    </xf>
    <xf numFmtId="9" fontId="38" fillId="8" borderId="9" xfId="0" applyNumberFormat="1" applyFont="1" applyFill="1" applyBorder="1" applyAlignment="1">
      <alignment horizontal="left"/>
    </xf>
    <xf numFmtId="183" fontId="39" fillId="8" borderId="9" xfId="0" applyNumberFormat="1" applyFont="1" applyFill="1" applyBorder="1" applyAlignment="1">
      <alignment horizontal="right"/>
    </xf>
    <xf numFmtId="183" fontId="39" fillId="8" borderId="0" xfId="0" applyNumberFormat="1" applyFont="1" applyFill="1" applyAlignment="1">
      <alignment horizontal="center"/>
    </xf>
    <xf numFmtId="9" fontId="39" fillId="8" borderId="0" xfId="0" applyNumberFormat="1" applyFont="1" applyFill="1" applyAlignment="1">
      <alignment horizontal="center"/>
    </xf>
    <xf numFmtId="9" fontId="79" fillId="8" borderId="9" xfId="0" applyNumberFormat="1" applyFont="1" applyFill="1" applyBorder="1" applyAlignment="1">
      <alignment horizontal="left"/>
    </xf>
    <xf numFmtId="178" fontId="38" fillId="8" borderId="9" xfId="0" applyFont="1" applyFill="1" applyBorder="1" applyAlignment="1"/>
    <xf numFmtId="212" fontId="38" fillId="0" borderId="0" xfId="0" applyNumberFormat="1" applyFont="1" applyAlignment="1"/>
    <xf numFmtId="178" fontId="80" fillId="0" borderId="11" xfId="0" applyFont="1" applyBorder="1" applyAlignment="1"/>
    <xf numFmtId="178" fontId="94" fillId="0" borderId="11" xfId="0" applyFont="1" applyBorder="1" applyAlignment="1"/>
    <xf numFmtId="183" fontId="38" fillId="0" borderId="0" xfId="0" applyNumberFormat="1" applyFont="1" applyAlignment="1"/>
    <xf numFmtId="193" fontId="38" fillId="0" borderId="0" xfId="12" applyFont="1" applyProtection="1"/>
    <xf numFmtId="178" fontId="79" fillId="0" borderId="0" xfId="0" applyFont="1" applyAlignment="1"/>
    <xf numFmtId="185" fontId="38" fillId="0" borderId="0" xfId="0" applyNumberFormat="1" applyFont="1" applyAlignment="1"/>
    <xf numFmtId="185" fontId="39" fillId="8" borderId="0" xfId="0" applyNumberFormat="1" applyFont="1" applyFill="1" applyAlignment="1"/>
    <xf numFmtId="213" fontId="38" fillId="0" borderId="0" xfId="13" applyNumberFormat="1" applyFont="1" applyProtection="1"/>
    <xf numFmtId="185" fontId="39" fillId="0" borderId="0" xfId="0" applyNumberFormat="1" applyFont="1" applyAlignment="1"/>
    <xf numFmtId="214" fontId="38" fillId="0" borderId="0" xfId="0" applyNumberFormat="1" applyFont="1" applyAlignment="1"/>
    <xf numFmtId="183" fontId="39" fillId="8" borderId="0" xfId="0" applyNumberFormat="1" applyFont="1" applyFill="1" applyAlignment="1"/>
    <xf numFmtId="214" fontId="39" fillId="0" borderId="0" xfId="0" applyNumberFormat="1" applyFont="1" applyAlignment="1"/>
    <xf numFmtId="208" fontId="38" fillId="0" borderId="0" xfId="12" applyNumberFormat="1" applyFont="1" applyProtection="1"/>
    <xf numFmtId="178" fontId="95" fillId="0" borderId="0" xfId="0" applyFont="1" applyAlignment="1"/>
    <xf numFmtId="178" fontId="79" fillId="8" borderId="9" xfId="0" applyFont="1" applyFill="1" applyBorder="1" applyAlignment="1">
      <alignment horizontal="center"/>
    </xf>
    <xf numFmtId="183" fontId="39" fillId="8" borderId="9" xfId="0" applyNumberFormat="1" applyFont="1" applyFill="1" applyBorder="1" applyAlignment="1">
      <alignment horizontal="left"/>
    </xf>
    <xf numFmtId="183" fontId="38" fillId="8" borderId="9" xfId="0" applyNumberFormat="1" applyFont="1" applyFill="1" applyBorder="1" applyAlignment="1">
      <alignment horizontal="right"/>
    </xf>
    <xf numFmtId="183" fontId="96" fillId="8" borderId="9" xfId="8" applyNumberFormat="1" applyFont="1" applyFill="1" applyBorder="1" applyAlignment="1" applyProtection="1">
      <alignment horizontal="right"/>
    </xf>
    <xf numFmtId="178" fontId="38" fillId="0" borderId="9" xfId="0" applyFont="1" applyBorder="1" applyAlignment="1"/>
    <xf numFmtId="178" fontId="95" fillId="0" borderId="9" xfId="0" applyFont="1" applyBorder="1" applyAlignment="1"/>
    <xf numFmtId="183" fontId="38" fillId="0" borderId="11" xfId="8" applyNumberFormat="1" applyFont="1" applyBorder="1" applyAlignment="1" applyProtection="1">
      <alignment horizontal="center"/>
    </xf>
    <xf numFmtId="212" fontId="38" fillId="0" borderId="11" xfId="0" applyNumberFormat="1" applyFont="1" applyBorder="1" applyAlignment="1"/>
    <xf numFmtId="178" fontId="38" fillId="0" borderId="0" xfId="0" applyFont="1" applyAlignment="1">
      <alignment horizontal="center" vertical="center"/>
    </xf>
    <xf numFmtId="183" fontId="38" fillId="0" borderId="0" xfId="8" applyNumberFormat="1" applyFont="1" applyAlignment="1" applyProtection="1">
      <alignment horizontal="center"/>
    </xf>
    <xf numFmtId="212" fontId="38" fillId="8" borderId="27" xfId="0" applyNumberFormat="1" applyFont="1" applyFill="1" applyBorder="1" applyAlignment="1"/>
    <xf numFmtId="212" fontId="38" fillId="8" borderId="11" xfId="0" applyNumberFormat="1" applyFont="1" applyFill="1" applyBorder="1" applyAlignment="1"/>
    <xf numFmtId="212" fontId="38" fillId="8" borderId="12" xfId="0" applyNumberFormat="1" applyFont="1" applyFill="1" applyBorder="1" applyAlignment="1"/>
    <xf numFmtId="183" fontId="96" fillId="0" borderId="0" xfId="8" applyNumberFormat="1" applyFont="1" applyAlignment="1" applyProtection="1">
      <alignment horizontal="center"/>
    </xf>
    <xf numFmtId="212" fontId="38" fillId="8" borderId="28" xfId="0" applyNumberFormat="1" applyFont="1" applyFill="1" applyBorder="1" applyAlignment="1"/>
    <xf numFmtId="212" fontId="38" fillId="8" borderId="0" xfId="0" applyNumberFormat="1" applyFont="1" applyFill="1" applyAlignment="1"/>
    <xf numFmtId="212" fontId="38" fillId="8" borderId="13" xfId="0" applyNumberFormat="1" applyFont="1" applyFill="1" applyBorder="1" applyAlignment="1"/>
    <xf numFmtId="212" fontId="38" fillId="8" borderId="29" xfId="0" applyNumberFormat="1" applyFont="1" applyFill="1" applyBorder="1" applyAlignment="1"/>
    <xf numFmtId="212" fontId="38" fillId="8" borderId="9" xfId="0" applyNumberFormat="1" applyFont="1" applyFill="1" applyBorder="1" applyAlignment="1"/>
    <xf numFmtId="212" fontId="38" fillId="8" borderId="10" xfId="0" applyNumberFormat="1" applyFont="1" applyFill="1" applyBorder="1" applyAlignment="1"/>
    <xf numFmtId="9" fontId="38" fillId="0" borderId="0" xfId="0" applyNumberFormat="1" applyFont="1" applyAlignment="1"/>
    <xf numFmtId="178" fontId="38" fillId="0" borderId="0" xfId="0" applyFont="1" applyAlignment="1">
      <alignment horizontal="right"/>
    </xf>
    <xf numFmtId="178" fontId="39" fillId="0" borderId="0" xfId="0" applyFont="1" applyAlignment="1">
      <alignment horizontal="right"/>
    </xf>
    <xf numFmtId="190" fontId="38" fillId="0" borderId="0" xfId="0" applyNumberFormat="1" applyFont="1" applyAlignment="1">
      <alignment horizontal="right"/>
    </xf>
    <xf numFmtId="211" fontId="38" fillId="0" borderId="0" xfId="0" applyNumberFormat="1" applyFont="1" applyAlignment="1"/>
    <xf numFmtId="190" fontId="39" fillId="0" borderId="0" xfId="0" applyNumberFormat="1" applyFont="1" applyAlignment="1">
      <alignment horizontal="right"/>
    </xf>
    <xf numFmtId="190" fontId="38" fillId="0" borderId="0" xfId="12" applyNumberFormat="1" applyFont="1" applyAlignment="1" applyProtection="1">
      <alignment horizontal="right"/>
    </xf>
    <xf numFmtId="190" fontId="39" fillId="0" borderId="0" xfId="12" applyNumberFormat="1" applyFont="1" applyAlignment="1" applyProtection="1">
      <alignment horizontal="right"/>
    </xf>
    <xf numFmtId="215" fontId="38" fillId="0" borderId="0" xfId="0" applyNumberFormat="1" applyFont="1" applyAlignment="1"/>
    <xf numFmtId="178" fontId="39" fillId="0" borderId="0" xfId="0" applyFont="1" applyAlignment="1">
      <alignment horizontal="center"/>
    </xf>
    <xf numFmtId="178" fontId="38" fillId="0" borderId="0" xfId="0" applyFont="1" applyAlignment="1">
      <alignment horizontal="center"/>
    </xf>
    <xf numFmtId="177" fontId="38" fillId="0" borderId="0" xfId="0" applyNumberFormat="1" applyFont="1" applyAlignment="1">
      <alignment horizontal="right"/>
    </xf>
    <xf numFmtId="198" fontId="38" fillId="0" borderId="0" xfId="0" applyNumberFormat="1" applyFont="1" applyAlignment="1"/>
    <xf numFmtId="177" fontId="38" fillId="0" borderId="0" xfId="0" applyNumberFormat="1" applyFont="1" applyAlignment="1"/>
    <xf numFmtId="216" fontId="38" fillId="0" borderId="0" xfId="0" applyNumberFormat="1" applyFont="1" applyAlignment="1"/>
    <xf numFmtId="208" fontId="38" fillId="0" borderId="0" xfId="12" applyNumberFormat="1" applyFont="1" applyAlignment="1" applyProtection="1">
      <alignment horizontal="right"/>
    </xf>
    <xf numFmtId="214" fontId="39" fillId="0" borderId="0" xfId="0" applyNumberFormat="1" applyFont="1" applyAlignment="1">
      <alignment horizontal="right"/>
    </xf>
    <xf numFmtId="177" fontId="39" fillId="0" borderId="0" xfId="0" applyNumberFormat="1" applyFont="1" applyAlignment="1"/>
    <xf numFmtId="193" fontId="38" fillId="0" borderId="0" xfId="12" applyFont="1" applyAlignment="1" applyProtection="1">
      <alignment horizontal="right"/>
    </xf>
    <xf numFmtId="178" fontId="38" fillId="0" borderId="0" xfId="0" applyFont="1" applyAlignment="1">
      <alignment horizontal="left"/>
    </xf>
    <xf numFmtId="178" fontId="39" fillId="0" borderId="0" xfId="0" applyFont="1" applyAlignment="1">
      <alignment horizontal="left"/>
    </xf>
    <xf numFmtId="190" fontId="38" fillId="0" borderId="0" xfId="0" applyNumberFormat="1" applyFont="1" applyAlignment="1">
      <alignment horizontal="center"/>
    </xf>
    <xf numFmtId="190" fontId="38" fillId="0" borderId="0" xfId="12" applyNumberFormat="1" applyFont="1" applyAlignment="1" applyProtection="1">
      <alignment horizontal="center"/>
    </xf>
    <xf numFmtId="214" fontId="38" fillId="0" borderId="0" xfId="0" applyNumberFormat="1" applyFont="1" applyAlignment="1">
      <alignment horizontal="center"/>
    </xf>
    <xf numFmtId="211" fontId="38" fillId="0" borderId="0" xfId="0" applyNumberFormat="1" applyFont="1" applyAlignment="1">
      <alignment horizontal="center"/>
    </xf>
    <xf numFmtId="49" fontId="38" fillId="0" borderId="0" xfId="0" applyNumberFormat="1" applyFont="1" applyAlignment="1">
      <alignment horizontal="center"/>
    </xf>
    <xf numFmtId="190" fontId="39" fillId="0" borderId="0" xfId="0" applyNumberFormat="1" applyFont="1" applyAlignment="1">
      <alignment horizontal="center"/>
    </xf>
    <xf numFmtId="211" fontId="39" fillId="0" borderId="0" xfId="0" applyNumberFormat="1" applyFont="1" applyAlignment="1">
      <alignment horizontal="center"/>
    </xf>
    <xf numFmtId="211" fontId="39" fillId="0" borderId="0" xfId="0" applyNumberFormat="1" applyFont="1" applyAlignment="1"/>
    <xf numFmtId="214" fontId="39" fillId="0" borderId="0" xfId="0" applyNumberFormat="1" applyFont="1" applyAlignment="1">
      <alignment horizontal="center"/>
    </xf>
    <xf numFmtId="3" fontId="39" fillId="0" borderId="0" xfId="0" applyNumberFormat="1" applyFont="1" applyAlignment="1">
      <alignment horizontal="center"/>
    </xf>
    <xf numFmtId="214" fontId="38" fillId="0" borderId="0" xfId="0" applyNumberFormat="1" applyFont="1" applyAlignment="1">
      <alignment horizontal="right"/>
    </xf>
    <xf numFmtId="14" fontId="26" fillId="0" borderId="0" xfId="0" applyNumberFormat="1" applyFont="1" applyAlignment="1"/>
    <xf numFmtId="178" fontId="26" fillId="0" borderId="0" xfId="0" applyFont="1">
      <alignment vertical="center"/>
    </xf>
    <xf numFmtId="10" fontId="26" fillId="0" borderId="0" xfId="8" applyNumberFormat="1" applyFont="1" applyProtection="1"/>
    <xf numFmtId="178" fontId="38" fillId="5" borderId="0" xfId="0" applyFont="1" applyFill="1">
      <alignment vertical="center"/>
    </xf>
    <xf numFmtId="178" fontId="38" fillId="5" borderId="0" xfId="0" applyFont="1" applyFill="1" applyAlignment="1">
      <alignment horizontal="right" vertical="center"/>
    </xf>
    <xf numFmtId="178" fontId="97" fillId="5" borderId="0" xfId="0" applyFont="1" applyFill="1">
      <alignment vertical="center"/>
    </xf>
    <xf numFmtId="178" fontId="39" fillId="5" borderId="0" xfId="0" applyFont="1" applyFill="1">
      <alignment vertical="center"/>
    </xf>
    <xf numFmtId="39" fontId="98" fillId="5" borderId="0" xfId="0" applyNumberFormat="1" applyFont="1" applyFill="1" applyAlignment="1">
      <alignment horizontal="right" vertical="center"/>
    </xf>
    <xf numFmtId="39" fontId="98" fillId="5" borderId="0" xfId="0" applyNumberFormat="1" applyFont="1" applyFill="1">
      <alignment vertical="center"/>
    </xf>
    <xf numFmtId="178" fontId="98" fillId="5" borderId="0" xfId="0" applyFont="1" applyFill="1">
      <alignment vertical="center"/>
    </xf>
    <xf numFmtId="178" fontId="97" fillId="8" borderId="0" xfId="0" applyFont="1" applyFill="1">
      <alignment vertical="center"/>
    </xf>
    <xf numFmtId="178" fontId="38" fillId="8" borderId="0" xfId="0" applyFont="1" applyFill="1">
      <alignment vertical="center"/>
    </xf>
    <xf numFmtId="178" fontId="39" fillId="8" borderId="9" xfId="0" applyFont="1" applyFill="1" applyBorder="1" applyAlignment="1">
      <alignment horizontal="right" vertical="center"/>
    </xf>
    <xf numFmtId="178" fontId="39" fillId="22" borderId="0" xfId="0" applyFont="1" applyFill="1" applyAlignment="1">
      <alignment horizontal="right" vertical="center"/>
    </xf>
    <xf numFmtId="190" fontId="39" fillId="5" borderId="0" xfId="12" applyNumberFormat="1" applyFont="1" applyFill="1" applyAlignment="1" applyProtection="1">
      <alignment horizontal="right" vertical="center"/>
    </xf>
    <xf numFmtId="209" fontId="39" fillId="5" borderId="0" xfId="12" applyNumberFormat="1" applyFont="1" applyFill="1" applyAlignment="1" applyProtection="1">
      <alignment horizontal="right" vertical="center"/>
    </xf>
    <xf numFmtId="178" fontId="83" fillId="5" borderId="0" xfId="0" applyFont="1" applyFill="1">
      <alignment vertical="center"/>
    </xf>
    <xf numFmtId="178" fontId="79" fillId="5" borderId="0" xfId="0" applyFont="1" applyFill="1">
      <alignment vertical="center"/>
    </xf>
    <xf numFmtId="178" fontId="39" fillId="8" borderId="0" xfId="0" applyFont="1" applyFill="1">
      <alignment vertical="center"/>
    </xf>
    <xf numFmtId="190" fontId="39" fillId="8" borderId="0" xfId="12" applyNumberFormat="1" applyFont="1" applyFill="1" applyAlignment="1" applyProtection="1">
      <alignment horizontal="right" vertical="center"/>
    </xf>
    <xf numFmtId="190" fontId="38" fillId="5" borderId="0" xfId="12" applyNumberFormat="1" applyFont="1" applyFill="1" applyAlignment="1" applyProtection="1">
      <alignment vertical="center"/>
    </xf>
    <xf numFmtId="183" fontId="47" fillId="5" borderId="0" xfId="8" applyNumberFormat="1" applyFont="1" applyFill="1" applyAlignment="1" applyProtection="1">
      <alignment vertical="center"/>
    </xf>
    <xf numFmtId="178" fontId="80" fillId="8" borderId="18" xfId="0" applyFont="1" applyFill="1" applyBorder="1">
      <alignment vertical="center"/>
    </xf>
    <xf numFmtId="178" fontId="39" fillId="8" borderId="20" xfId="0" applyFont="1" applyFill="1" applyBorder="1">
      <alignment vertical="center"/>
    </xf>
    <xf numFmtId="190" fontId="38" fillId="8" borderId="20" xfId="12" applyNumberFormat="1" applyFont="1" applyFill="1" applyBorder="1" applyAlignment="1" applyProtection="1">
      <alignment horizontal="right" vertical="center" wrapText="1"/>
    </xf>
    <xf numFmtId="178" fontId="47" fillId="8" borderId="17" xfId="0" applyFont="1" applyFill="1" applyBorder="1">
      <alignment vertical="center"/>
    </xf>
    <xf numFmtId="178" fontId="47" fillId="8" borderId="0" xfId="0" applyFont="1" applyFill="1">
      <alignment vertical="center"/>
    </xf>
    <xf numFmtId="183" fontId="47" fillId="8" borderId="0" xfId="8" applyNumberFormat="1" applyFont="1" applyFill="1" applyAlignment="1" applyProtection="1">
      <alignment horizontal="right" vertical="center"/>
    </xf>
    <xf numFmtId="178" fontId="80" fillId="8" borderId="17" xfId="0" applyFont="1" applyFill="1" applyBorder="1">
      <alignment vertical="center"/>
    </xf>
    <xf numFmtId="190" fontId="38" fillId="8" borderId="0" xfId="12" applyNumberFormat="1" applyFont="1" applyFill="1" applyAlignment="1" applyProtection="1">
      <alignment horizontal="right" vertical="center" wrapText="1"/>
    </xf>
    <xf numFmtId="38" fontId="38" fillId="8" borderId="0" xfId="12" applyNumberFormat="1" applyFont="1" applyFill="1" applyAlignment="1" applyProtection="1">
      <alignment horizontal="right" vertical="center" wrapText="1"/>
    </xf>
    <xf numFmtId="178" fontId="99" fillId="8" borderId="23" xfId="0" applyFont="1" applyFill="1" applyBorder="1">
      <alignment vertical="center"/>
    </xf>
    <xf numFmtId="183" fontId="47" fillId="8" borderId="21" xfId="8" applyNumberFormat="1" applyFont="1" applyFill="1" applyBorder="1" applyAlignment="1" applyProtection="1">
      <alignment vertical="center"/>
    </xf>
    <xf numFmtId="10" fontId="47" fillId="8" borderId="21" xfId="8" applyNumberFormat="1" applyFont="1" applyFill="1" applyBorder="1" applyAlignment="1" applyProtection="1">
      <alignment horizontal="right" vertical="center"/>
    </xf>
    <xf numFmtId="10" fontId="98" fillId="8" borderId="21" xfId="8" applyNumberFormat="1" applyFont="1" applyFill="1" applyBorder="1" applyAlignment="1" applyProtection="1">
      <alignment horizontal="right" vertical="center"/>
    </xf>
    <xf numFmtId="195" fontId="38" fillId="5" borderId="0" xfId="0" applyNumberFormat="1" applyFont="1" applyFill="1" applyAlignment="1">
      <alignment horizontal="right" vertical="center"/>
    </xf>
    <xf numFmtId="195" fontId="39" fillId="5" borderId="0" xfId="0" applyNumberFormat="1" applyFont="1" applyFill="1" applyAlignment="1">
      <alignment horizontal="right" vertical="center"/>
    </xf>
    <xf numFmtId="178" fontId="47" fillId="5" borderId="0" xfId="0" applyFont="1" applyFill="1">
      <alignment vertical="center"/>
    </xf>
    <xf numFmtId="178" fontId="99" fillId="5" borderId="0" xfId="0" applyFont="1" applyFill="1">
      <alignment vertical="center"/>
    </xf>
    <xf numFmtId="195" fontId="38" fillId="8" borderId="20" xfId="13" applyFont="1" applyFill="1" applyBorder="1" applyAlignment="1" applyProtection="1">
      <alignment horizontal="right" vertical="center" wrapText="1"/>
    </xf>
    <xf numFmtId="9" fontId="47" fillId="8" borderId="0" xfId="8" applyFont="1" applyFill="1" applyAlignment="1" applyProtection="1">
      <alignment horizontal="right" vertical="center"/>
    </xf>
    <xf numFmtId="183" fontId="100" fillId="8" borderId="0" xfId="8" applyNumberFormat="1" applyFont="1" applyFill="1" applyAlignment="1" applyProtection="1">
      <alignment horizontal="right" vertical="center"/>
    </xf>
    <xf numFmtId="195" fontId="38" fillId="8" borderId="0" xfId="13" applyFont="1" applyFill="1" applyAlignment="1" applyProtection="1">
      <alignment horizontal="right" vertical="center" wrapText="1"/>
    </xf>
    <xf numFmtId="195" fontId="38" fillId="5" borderId="0" xfId="0" applyNumberFormat="1" applyFont="1" applyFill="1">
      <alignment vertical="center"/>
    </xf>
    <xf numFmtId="37" fontId="39" fillId="8" borderId="0" xfId="12" applyNumberFormat="1" applyFont="1" applyFill="1" applyAlignment="1" applyProtection="1">
      <alignment horizontal="right" vertical="center"/>
    </xf>
    <xf numFmtId="190" fontId="38" fillId="5" borderId="0" xfId="0" applyNumberFormat="1" applyFont="1" applyFill="1">
      <alignment vertical="center"/>
    </xf>
    <xf numFmtId="183" fontId="100" fillId="5" borderId="0" xfId="8" applyNumberFormat="1" applyFont="1" applyFill="1" applyAlignment="1" applyProtection="1">
      <alignment horizontal="right" vertical="center"/>
    </xf>
    <xf numFmtId="10" fontId="38" fillId="5" borderId="0" xfId="8" applyNumberFormat="1" applyFont="1" applyFill="1" applyAlignment="1" applyProtection="1">
      <alignment vertical="center"/>
    </xf>
    <xf numFmtId="178" fontId="47" fillId="8" borderId="21" xfId="0" applyFont="1" applyFill="1" applyBorder="1">
      <alignment vertical="center"/>
    </xf>
    <xf numFmtId="183" fontId="47" fillId="8" borderId="21" xfId="8" applyNumberFormat="1" applyFont="1" applyFill="1" applyBorder="1" applyAlignment="1" applyProtection="1">
      <alignment horizontal="right" vertical="center"/>
    </xf>
    <xf numFmtId="190" fontId="101" fillId="5" borderId="0" xfId="8" applyNumberFormat="1" applyFont="1" applyFill="1" applyAlignment="1" applyProtection="1">
      <alignment horizontal="right" vertical="center"/>
    </xf>
    <xf numFmtId="37" fontId="38" fillId="5" borderId="0" xfId="0" applyNumberFormat="1" applyFont="1" applyFill="1" applyAlignment="1">
      <alignment horizontal="right" vertical="center"/>
    </xf>
    <xf numFmtId="178" fontId="99" fillId="5" borderId="0" xfId="0" applyFont="1" applyFill="1" applyAlignment="1">
      <alignment horizontal="left" vertical="center"/>
    </xf>
    <xf numFmtId="10" fontId="47" fillId="5" borderId="0" xfId="8" applyNumberFormat="1" applyFont="1" applyFill="1" applyAlignment="1" applyProtection="1">
      <alignment horizontal="right" vertical="center"/>
    </xf>
    <xf numFmtId="10" fontId="98" fillId="5" borderId="0" xfId="8" applyNumberFormat="1" applyFont="1" applyFill="1" applyAlignment="1" applyProtection="1">
      <alignment horizontal="right" vertical="center"/>
    </xf>
    <xf numFmtId="37" fontId="80" fillId="5" borderId="0" xfId="13" applyNumberFormat="1" applyFont="1" applyFill="1" applyAlignment="1" applyProtection="1">
      <alignment vertical="center"/>
    </xf>
    <xf numFmtId="37" fontId="38" fillId="5" borderId="0" xfId="13" applyNumberFormat="1" applyFont="1" applyFill="1" applyAlignment="1" applyProtection="1">
      <alignment horizontal="right" vertical="center"/>
    </xf>
    <xf numFmtId="37" fontId="101" fillId="5" borderId="0" xfId="13" applyNumberFormat="1" applyFont="1" applyFill="1" applyAlignment="1" applyProtection="1">
      <alignment horizontal="right" vertical="center"/>
    </xf>
    <xf numFmtId="178" fontId="80" fillId="5" borderId="0" xfId="0" applyFont="1" applyFill="1">
      <alignment vertical="center"/>
    </xf>
    <xf numFmtId="190" fontId="100" fillId="5" borderId="0" xfId="12" applyNumberFormat="1" applyFont="1" applyFill="1" applyAlignment="1" applyProtection="1">
      <alignment horizontal="right" vertical="center"/>
    </xf>
    <xf numFmtId="37" fontId="101" fillId="5" borderId="0" xfId="0" applyNumberFormat="1" applyFont="1" applyFill="1" applyAlignment="1">
      <alignment horizontal="right" vertical="center"/>
    </xf>
    <xf numFmtId="9" fontId="101" fillId="5" borderId="0" xfId="8" applyFont="1" applyFill="1" applyAlignment="1" applyProtection="1">
      <alignment horizontal="right" vertical="center"/>
    </xf>
    <xf numFmtId="37" fontId="38" fillId="5" borderId="0" xfId="0" applyNumberFormat="1" applyFont="1" applyFill="1">
      <alignment vertical="center"/>
    </xf>
    <xf numFmtId="37" fontId="39" fillId="8" borderId="0" xfId="0" applyNumberFormat="1" applyFont="1" applyFill="1" applyAlignment="1">
      <alignment horizontal="right" vertical="center"/>
    </xf>
    <xf numFmtId="178" fontId="88" fillId="5" borderId="0" xfId="0" applyFont="1" applyFill="1">
      <alignment vertical="center"/>
    </xf>
    <xf numFmtId="183" fontId="98" fillId="5" borderId="0" xfId="8" applyNumberFormat="1" applyFont="1" applyFill="1" applyAlignment="1" applyProtection="1">
      <alignment horizontal="right" vertical="center"/>
    </xf>
    <xf numFmtId="37" fontId="39" fillId="5" borderId="0" xfId="0" applyNumberFormat="1" applyFont="1" applyFill="1">
      <alignment vertical="center"/>
    </xf>
    <xf numFmtId="37" fontId="39" fillId="5" borderId="0" xfId="0" applyNumberFormat="1" applyFont="1" applyFill="1" applyAlignment="1">
      <alignment horizontal="right" vertical="center"/>
    </xf>
    <xf numFmtId="190" fontId="47" fillId="5" borderId="0" xfId="8" applyNumberFormat="1" applyFont="1" applyFill="1" applyAlignment="1" applyProtection="1">
      <alignment horizontal="right" vertical="center"/>
    </xf>
    <xf numFmtId="213" fontId="47" fillId="5" borderId="0" xfId="13" applyNumberFormat="1" applyFont="1" applyFill="1" applyAlignment="1" applyProtection="1">
      <alignment horizontal="right" vertical="center"/>
    </xf>
    <xf numFmtId="213" fontId="38" fillId="5" borderId="0" xfId="13" applyNumberFormat="1" applyFont="1" applyFill="1" applyAlignment="1" applyProtection="1">
      <alignment horizontal="right" vertical="center"/>
    </xf>
    <xf numFmtId="39" fontId="38" fillId="8" borderId="20" xfId="0" applyNumberFormat="1" applyFont="1" applyFill="1" applyBorder="1" applyAlignment="1">
      <alignment horizontal="right" vertical="center"/>
    </xf>
    <xf numFmtId="39" fontId="38" fillId="22" borderId="20" xfId="0" applyNumberFormat="1" applyFont="1" applyFill="1" applyBorder="1" applyAlignment="1">
      <alignment horizontal="right" vertical="center"/>
    </xf>
    <xf numFmtId="39" fontId="38" fillId="22" borderId="19" xfId="0" applyNumberFormat="1" applyFont="1" applyFill="1" applyBorder="1" applyAlignment="1">
      <alignment horizontal="right" vertical="center"/>
    </xf>
    <xf numFmtId="193" fontId="38" fillId="5" borderId="0" xfId="12" applyFont="1" applyFill="1" applyAlignment="1" applyProtection="1">
      <alignment vertical="center"/>
    </xf>
    <xf numFmtId="178" fontId="80" fillId="8" borderId="17" xfId="0" applyFont="1" applyFill="1" applyBorder="1" applyAlignment="1">
      <alignment horizontal="left" vertical="center"/>
    </xf>
    <xf numFmtId="193" fontId="38" fillId="8" borderId="0" xfId="12" applyFont="1" applyFill="1" applyAlignment="1" applyProtection="1">
      <alignment horizontal="right" vertical="center"/>
    </xf>
    <xf numFmtId="193" fontId="38" fillId="22" borderId="0" xfId="12" applyFont="1" applyFill="1" applyAlignment="1" applyProtection="1">
      <alignment horizontal="right" vertical="center"/>
    </xf>
    <xf numFmtId="193" fontId="38" fillId="22" borderId="22" xfId="12" applyFont="1" applyFill="1" applyBorder="1" applyAlignment="1" applyProtection="1">
      <alignment horizontal="right" vertical="center"/>
    </xf>
    <xf numFmtId="40" fontId="38" fillId="5" borderId="0" xfId="12" applyNumberFormat="1" applyFont="1" applyFill="1" applyAlignment="1" applyProtection="1">
      <alignment horizontal="right" vertical="center"/>
    </xf>
    <xf numFmtId="9" fontId="38" fillId="5" borderId="0" xfId="0" applyNumberFormat="1" applyFont="1" applyFill="1">
      <alignment vertical="center"/>
    </xf>
    <xf numFmtId="37" fontId="38" fillId="8" borderId="0" xfId="0" applyNumberFormat="1" applyFont="1" applyFill="1" applyAlignment="1">
      <alignment horizontal="right" vertical="center"/>
    </xf>
    <xf numFmtId="37" fontId="38" fillId="22" borderId="0" xfId="0" applyNumberFormat="1" applyFont="1" applyFill="1" applyAlignment="1">
      <alignment horizontal="right" vertical="center"/>
    </xf>
    <xf numFmtId="37" fontId="38" fillId="22" borderId="22" xfId="0" applyNumberFormat="1" applyFont="1" applyFill="1" applyBorder="1" applyAlignment="1">
      <alignment horizontal="right" vertical="center"/>
    </xf>
    <xf numFmtId="39" fontId="38" fillId="8" borderId="0" xfId="0" applyNumberFormat="1" applyFont="1" applyFill="1" applyAlignment="1">
      <alignment horizontal="right" vertical="center"/>
    </xf>
    <xf numFmtId="39" fontId="38" fillId="22" borderId="0" xfId="0" applyNumberFormat="1" applyFont="1" applyFill="1" applyAlignment="1">
      <alignment horizontal="right" vertical="center"/>
    </xf>
    <xf numFmtId="39" fontId="38" fillId="22" borderId="22" xfId="0" applyNumberFormat="1" applyFont="1" applyFill="1" applyBorder="1" applyAlignment="1">
      <alignment horizontal="right" vertical="center"/>
    </xf>
    <xf numFmtId="178" fontId="38" fillId="8" borderId="17" xfId="0" applyFont="1" applyFill="1" applyBorder="1">
      <alignment vertical="center"/>
    </xf>
    <xf numFmtId="9" fontId="38" fillId="8" borderId="0" xfId="8" applyFont="1" applyFill="1" applyAlignment="1" applyProtection="1">
      <alignment horizontal="right" vertical="center"/>
    </xf>
    <xf numFmtId="183" fontId="38" fillId="8" borderId="0" xfId="8" applyNumberFormat="1" applyFont="1" applyFill="1" applyAlignment="1" applyProtection="1">
      <alignment horizontal="right" vertical="center"/>
    </xf>
    <xf numFmtId="9" fontId="101" fillId="22" borderId="0" xfId="8" applyFont="1" applyFill="1" applyAlignment="1" applyProtection="1">
      <alignment horizontal="right" vertical="center"/>
    </xf>
    <xf numFmtId="9" fontId="101" fillId="22" borderId="22" xfId="8" applyFont="1" applyFill="1" applyBorder="1" applyAlignment="1" applyProtection="1">
      <alignment horizontal="right" vertical="center"/>
    </xf>
    <xf numFmtId="183" fontId="38" fillId="22" borderId="0" xfId="8" applyNumberFormat="1" applyFont="1" applyFill="1" applyAlignment="1" applyProtection="1">
      <alignment horizontal="right" vertical="center"/>
    </xf>
    <xf numFmtId="183" fontId="38" fillId="22" borderId="22" xfId="8" applyNumberFormat="1" applyFont="1" applyFill="1" applyBorder="1" applyAlignment="1" applyProtection="1">
      <alignment horizontal="right" vertical="center"/>
    </xf>
    <xf numFmtId="178" fontId="39" fillId="5" borderId="0" xfId="0" applyFont="1" applyFill="1" applyAlignment="1">
      <alignment horizontal="right" vertical="center"/>
    </xf>
    <xf numFmtId="190" fontId="39" fillId="5" borderId="0" xfId="12" applyNumberFormat="1" applyFont="1" applyFill="1" applyAlignment="1" applyProtection="1">
      <alignment vertical="center"/>
    </xf>
    <xf numFmtId="185" fontId="39" fillId="5" borderId="0" xfId="0" applyNumberFormat="1" applyFont="1" applyFill="1">
      <alignment vertical="center"/>
    </xf>
    <xf numFmtId="201" fontId="38" fillId="8" borderId="0" xfId="12" applyNumberFormat="1" applyFont="1" applyFill="1" applyAlignment="1" applyProtection="1">
      <alignment horizontal="right" vertical="center"/>
    </xf>
    <xf numFmtId="201" fontId="38" fillId="22" borderId="0" xfId="12" applyNumberFormat="1" applyFont="1" applyFill="1" applyAlignment="1" applyProtection="1">
      <alignment horizontal="right" vertical="center"/>
    </xf>
    <xf numFmtId="201" fontId="38" fillId="22" borderId="22" xfId="12" applyNumberFormat="1" applyFont="1" applyFill="1" applyBorder="1" applyAlignment="1" applyProtection="1">
      <alignment horizontal="right" vertical="center"/>
    </xf>
    <xf numFmtId="178" fontId="38" fillId="8" borderId="23" xfId="0" applyFont="1" applyFill="1" applyBorder="1">
      <alignment vertical="center"/>
    </xf>
    <xf numFmtId="178" fontId="39" fillId="8" borderId="21" xfId="0" applyFont="1" applyFill="1" applyBorder="1">
      <alignment vertical="center"/>
    </xf>
    <xf numFmtId="183" fontId="38" fillId="8" borderId="21" xfId="8" applyNumberFormat="1" applyFont="1" applyFill="1" applyBorder="1" applyAlignment="1" applyProtection="1">
      <alignment horizontal="right" vertical="center"/>
    </xf>
    <xf numFmtId="183" fontId="38" fillId="22" borderId="21" xfId="8" applyNumberFormat="1" applyFont="1" applyFill="1" applyBorder="1" applyAlignment="1" applyProtection="1">
      <alignment horizontal="right" vertical="center"/>
    </xf>
    <xf numFmtId="183" fontId="38" fillId="22" borderId="24" xfId="8" applyNumberFormat="1" applyFont="1" applyFill="1" applyBorder="1" applyAlignment="1" applyProtection="1">
      <alignment horizontal="right" vertical="center"/>
    </xf>
    <xf numFmtId="195" fontId="38" fillId="5" borderId="0" xfId="13" applyFont="1" applyFill="1" applyAlignment="1" applyProtection="1">
      <alignment horizontal="right" vertical="center"/>
    </xf>
    <xf numFmtId="202" fontId="39" fillId="5" borderId="0" xfId="13" applyNumberFormat="1" applyFont="1" applyFill="1" applyAlignment="1" applyProtection="1">
      <alignment horizontal="right" vertical="center"/>
    </xf>
    <xf numFmtId="195" fontId="39" fillId="5" borderId="0" xfId="13" applyFont="1" applyFill="1" applyAlignment="1" applyProtection="1">
      <alignment horizontal="right" vertical="center"/>
    </xf>
    <xf numFmtId="37" fontId="39" fillId="5" borderId="0" xfId="0" applyNumberFormat="1" applyFont="1" applyFill="1" applyAlignment="1"/>
    <xf numFmtId="37" fontId="38" fillId="5" borderId="0" xfId="0" applyNumberFormat="1" applyFont="1" applyFill="1" applyAlignment="1"/>
    <xf numFmtId="183" fontId="38" fillId="5" borderId="0" xfId="8" applyNumberFormat="1" applyFont="1" applyFill="1" applyProtection="1"/>
    <xf numFmtId="39" fontId="38" fillId="5" borderId="0" xfId="0" applyNumberFormat="1" applyFont="1" applyFill="1" applyAlignment="1">
      <alignment horizontal="right" vertical="center"/>
    </xf>
    <xf numFmtId="178" fontId="38" fillId="5" borderId="0" xfId="0" applyFont="1" applyFill="1" applyAlignment="1"/>
    <xf numFmtId="178" fontId="38" fillId="5" borderId="0" xfId="0" applyFont="1" applyFill="1" applyAlignment="1">
      <alignment horizontal="right"/>
    </xf>
    <xf numFmtId="193" fontId="38" fillId="5" borderId="0" xfId="13" applyNumberFormat="1" applyFont="1" applyFill="1" applyAlignment="1" applyProtection="1">
      <alignment horizontal="right" vertical="center"/>
    </xf>
    <xf numFmtId="178" fontId="38" fillId="5" borderId="0" xfId="0" applyFont="1" applyFill="1" applyAlignment="1">
      <alignment horizontal="left" vertical="center"/>
    </xf>
    <xf numFmtId="178" fontId="13" fillId="0" borderId="0" xfId="0" applyFont="1" applyAlignment="1"/>
    <xf numFmtId="178" fontId="13" fillId="0" borderId="0" xfId="0" applyFont="1" applyAlignment="1">
      <alignment horizontal="right"/>
    </xf>
    <xf numFmtId="178" fontId="102" fillId="0" borderId="0" xfId="0" applyFont="1" applyAlignment="1"/>
    <xf numFmtId="178" fontId="103" fillId="10" borderId="0" xfId="0" applyFont="1" applyFill="1" applyAlignment="1">
      <alignment horizontal="right"/>
    </xf>
    <xf numFmtId="178" fontId="103" fillId="10" borderId="0" xfId="0" applyFont="1" applyFill="1" applyAlignment="1">
      <alignment horizontal="left"/>
    </xf>
    <xf numFmtId="178" fontId="104" fillId="10" borderId="0" xfId="0" applyFont="1" applyFill="1" applyAlignment="1">
      <alignment horizontal="right"/>
    </xf>
    <xf numFmtId="200" fontId="13" fillId="0" borderId="0" xfId="0" applyNumberFormat="1" applyFont="1" applyAlignment="1"/>
    <xf numFmtId="3" fontId="13" fillId="0" borderId="0" xfId="0" applyNumberFormat="1" applyFont="1" applyAlignment="1">
      <alignment horizontal="right"/>
    </xf>
    <xf numFmtId="183" fontId="13" fillId="0" borderId="0" xfId="8" applyNumberFormat="1" applyFont="1" applyAlignment="1" applyProtection="1">
      <alignment horizontal="right"/>
    </xf>
    <xf numFmtId="3" fontId="102" fillId="0" borderId="0" xfId="0" applyNumberFormat="1" applyFont="1" applyAlignment="1">
      <alignment horizontal="right"/>
    </xf>
    <xf numFmtId="183" fontId="102" fillId="0" borderId="0" xfId="8" applyNumberFormat="1" applyFont="1" applyAlignment="1" applyProtection="1">
      <alignment horizontal="right"/>
    </xf>
    <xf numFmtId="178" fontId="103" fillId="10" borderId="0" xfId="0" applyFont="1" applyFill="1" applyAlignment="1"/>
    <xf numFmtId="178" fontId="102" fillId="0" borderId="0" xfId="0" applyFont="1" applyAlignment="1">
      <alignment horizontal="right"/>
    </xf>
    <xf numFmtId="183" fontId="13" fillId="5" borderId="0" xfId="8" applyNumberFormat="1" applyFont="1" applyFill="1" applyAlignment="1" applyProtection="1">
      <alignment horizontal="right" vertical="center"/>
    </xf>
    <xf numFmtId="183" fontId="102" fillId="5" borderId="0" xfId="8" applyNumberFormat="1" applyFont="1" applyFill="1" applyAlignment="1" applyProtection="1">
      <alignment horizontal="right" vertical="center"/>
    </xf>
    <xf numFmtId="178" fontId="105" fillId="0" borderId="0" xfId="0" applyFont="1" applyAlignment="1"/>
    <xf numFmtId="178" fontId="90" fillId="0" borderId="0" xfId="0" applyFont="1" applyAlignment="1">
      <alignment horizontal="center"/>
    </xf>
    <xf numFmtId="178" fontId="106" fillId="0" borderId="0" xfId="0" applyFont="1" applyAlignment="1">
      <alignment horizontal="center" wrapText="1"/>
    </xf>
    <xf numFmtId="178" fontId="105" fillId="0" borderId="0" xfId="0" applyFont="1" applyAlignment="1">
      <alignment horizontal="center" wrapText="1"/>
    </xf>
    <xf numFmtId="178" fontId="90" fillId="0" borderId="0" xfId="0" applyFont="1" applyAlignment="1">
      <alignment horizontal="center" wrapText="1"/>
    </xf>
    <xf numFmtId="38" fontId="107" fillId="0" borderId="0" xfId="0" applyNumberFormat="1" applyFont="1" applyAlignment="1">
      <alignment horizontal="center" wrapText="1"/>
    </xf>
    <xf numFmtId="38" fontId="106" fillId="0" borderId="0" xfId="0" applyNumberFormat="1" applyFont="1" applyAlignment="1">
      <alignment horizontal="center" wrapText="1"/>
    </xf>
    <xf numFmtId="178" fontId="90" fillId="8" borderId="0" xfId="0" applyFont="1" applyFill="1" applyAlignment="1">
      <alignment horizontal="center" wrapText="1"/>
    </xf>
    <xf numFmtId="38" fontId="90" fillId="0" borderId="0" xfId="0" applyNumberFormat="1" applyFont="1" applyAlignment="1"/>
    <xf numFmtId="38" fontId="90" fillId="0" borderId="0" xfId="24" applyNumberFormat="1" applyFont="1" applyProtection="1"/>
    <xf numFmtId="178" fontId="108" fillId="0" borderId="0" xfId="0" applyFont="1" applyAlignment="1"/>
    <xf numFmtId="178" fontId="90" fillId="0" borderId="0" xfId="0" applyFont="1" applyAlignment="1"/>
    <xf numFmtId="178" fontId="106" fillId="0" borderId="0" xfId="0" applyFont="1" applyAlignment="1"/>
    <xf numFmtId="178" fontId="90" fillId="12" borderId="0" xfId="0" applyFont="1" applyFill="1" applyAlignment="1"/>
    <xf numFmtId="38" fontId="90" fillId="12" borderId="0" xfId="0" applyNumberFormat="1" applyFont="1" applyFill="1" applyAlignment="1"/>
    <xf numFmtId="38" fontId="90" fillId="12" borderId="0" xfId="24" applyNumberFormat="1" applyFont="1" applyFill="1" applyProtection="1"/>
    <xf numFmtId="178" fontId="102" fillId="0" borderId="0" xfId="0" applyFont="1" applyAlignment="1">
      <alignment horizontal="center" wrapText="1"/>
    </xf>
    <xf numFmtId="38" fontId="102" fillId="0" borderId="0" xfId="0" applyNumberFormat="1" applyFont="1" applyAlignment="1">
      <alignment horizontal="center" wrapText="1"/>
    </xf>
    <xf numFmtId="178" fontId="82" fillId="0" borderId="0" xfId="0" applyFont="1" applyAlignment="1"/>
    <xf numFmtId="178" fontId="109" fillId="0" borderId="0" xfId="0" applyFont="1" applyAlignment="1"/>
    <xf numFmtId="38" fontId="90" fillId="0" borderId="0" xfId="0" applyNumberFormat="1" applyFont="1" applyAlignment="1">
      <alignment horizontal="center" wrapText="1"/>
    </xf>
    <xf numFmtId="38" fontId="94" fillId="0" borderId="0" xfId="0" applyNumberFormat="1" applyFont="1" applyAlignment="1"/>
    <xf numFmtId="38" fontId="26" fillId="0" borderId="0" xfId="8" applyNumberFormat="1" applyFont="1" applyProtection="1"/>
    <xf numFmtId="49" fontId="106" fillId="0" borderId="0" xfId="0" applyNumberFormat="1" applyFont="1" applyAlignment="1">
      <alignment horizontal="center" wrapText="1"/>
    </xf>
    <xf numFmtId="183" fontId="90" fillId="0" borderId="0" xfId="8" applyNumberFormat="1" applyFont="1" applyProtection="1"/>
    <xf numFmtId="178" fontId="26" fillId="8" borderId="0" xfId="0" applyFont="1" applyFill="1" applyAlignment="1"/>
    <xf numFmtId="38" fontId="90" fillId="8" borderId="28" xfId="0" applyNumberFormat="1" applyFont="1" applyFill="1" applyBorder="1" applyAlignment="1"/>
    <xf numFmtId="38" fontId="90" fillId="8" borderId="0" xfId="0" applyNumberFormat="1" applyFont="1" applyFill="1" applyAlignment="1"/>
    <xf numFmtId="178" fontId="93" fillId="8" borderId="13" xfId="0" applyFont="1" applyFill="1" applyBorder="1" applyAlignment="1"/>
    <xf numFmtId="178" fontId="26" fillId="8" borderId="9" xfId="0" applyFont="1" applyFill="1" applyBorder="1" applyAlignment="1"/>
    <xf numFmtId="38" fontId="26" fillId="8" borderId="29" xfId="0" applyNumberFormat="1" applyFont="1" applyFill="1" applyBorder="1" applyAlignment="1">
      <alignment horizontal="center"/>
    </xf>
    <xf numFmtId="38" fontId="26" fillId="8" borderId="9" xfId="0" applyNumberFormat="1" applyFont="1" applyFill="1" applyBorder="1" applyAlignment="1">
      <alignment horizontal="center"/>
    </xf>
    <xf numFmtId="38" fontId="110" fillId="8" borderId="10" xfId="0" applyNumberFormat="1" applyFont="1" applyFill="1" applyBorder="1" applyAlignment="1">
      <alignment horizontal="center"/>
    </xf>
    <xf numFmtId="38" fontId="110" fillId="8" borderId="9" xfId="0" applyNumberFormat="1" applyFont="1" applyFill="1" applyBorder="1" applyAlignment="1">
      <alignment horizontal="center"/>
    </xf>
    <xf numFmtId="183" fontId="26" fillId="0" borderId="28" xfId="8" applyNumberFormat="1" applyFont="1" applyBorder="1" applyAlignment="1" applyProtection="1">
      <alignment horizontal="center"/>
    </xf>
    <xf numFmtId="183" fontId="26" fillId="0" borderId="0" xfId="8" applyNumberFormat="1" applyFont="1" applyAlignment="1" applyProtection="1">
      <alignment horizontal="center"/>
    </xf>
    <xf numFmtId="217" fontId="26" fillId="0" borderId="13" xfId="0" applyNumberFormat="1" applyFont="1" applyBorder="1" applyAlignment="1">
      <alignment horizontal="center"/>
    </xf>
    <xf numFmtId="217" fontId="26" fillId="0" borderId="0" xfId="0" applyNumberFormat="1" applyFont="1" applyAlignment="1">
      <alignment horizontal="center"/>
    </xf>
    <xf numFmtId="183" fontId="26" fillId="8" borderId="28" xfId="8" applyNumberFormat="1" applyFont="1" applyFill="1" applyBorder="1" applyAlignment="1" applyProtection="1">
      <alignment horizontal="center"/>
    </xf>
    <xf numFmtId="183" fontId="26" fillId="8" borderId="0" xfId="8" applyNumberFormat="1" applyFont="1" applyFill="1" applyAlignment="1" applyProtection="1">
      <alignment horizontal="center"/>
    </xf>
    <xf numFmtId="217" fontId="26" fillId="8" borderId="13" xfId="0" applyNumberFormat="1" applyFont="1" applyFill="1" applyBorder="1" applyAlignment="1">
      <alignment horizontal="center"/>
    </xf>
    <xf numFmtId="217" fontId="26" fillId="8" borderId="0" xfId="0" applyNumberFormat="1" applyFont="1" applyFill="1" applyAlignment="1">
      <alignment horizontal="center"/>
    </xf>
    <xf numFmtId="183" fontId="90" fillId="0" borderId="28" xfId="8" applyNumberFormat="1" applyFont="1" applyBorder="1" applyAlignment="1" applyProtection="1">
      <alignment horizontal="center"/>
    </xf>
    <xf numFmtId="183" fontId="90" fillId="0" borderId="0" xfId="8" applyNumberFormat="1" applyFont="1" applyAlignment="1" applyProtection="1">
      <alignment horizontal="center"/>
    </xf>
    <xf numFmtId="217" fontId="90" fillId="0" borderId="13" xfId="0" applyNumberFormat="1" applyFont="1" applyBorder="1" applyAlignment="1">
      <alignment horizontal="center"/>
    </xf>
    <xf numFmtId="217" fontId="90" fillId="0" borderId="0" xfId="0" applyNumberFormat="1" applyFont="1" applyAlignment="1">
      <alignment horizontal="center"/>
    </xf>
    <xf numFmtId="178" fontId="12" fillId="0" borderId="0" xfId="0" applyFont="1" applyAlignment="1"/>
    <xf numFmtId="10" fontId="12" fillId="0" borderId="0" xfId="0" applyNumberFormat="1" applyFont="1" applyAlignment="1"/>
    <xf numFmtId="178" fontId="111" fillId="0" borderId="0" xfId="0" applyFont="1" applyAlignment="1"/>
    <xf numFmtId="9" fontId="12" fillId="0" borderId="0" xfId="0" applyNumberFormat="1" applyFont="1" applyAlignment="1"/>
    <xf numFmtId="178" fontId="12" fillId="0" borderId="0" xfId="0" applyFont="1" applyAlignment="1">
      <alignment vertical="center" wrapText="1"/>
    </xf>
    <xf numFmtId="178" fontId="106" fillId="0" borderId="0" xfId="0" applyFont="1" applyAlignment="1">
      <alignment vertical="center" wrapText="1"/>
    </xf>
    <xf numFmtId="178" fontId="90" fillId="0" borderId="0" xfId="0" applyFont="1" applyAlignment="1">
      <alignment vertical="center" wrapText="1"/>
    </xf>
    <xf numFmtId="183" fontId="26" fillId="0" borderId="0" xfId="8" applyNumberFormat="1" applyFont="1" applyAlignment="1" applyProtection="1">
      <alignment vertical="center" wrapText="1"/>
    </xf>
    <xf numFmtId="38" fontId="90" fillId="0" borderId="0" xfId="0" applyNumberFormat="1" applyFont="1" applyAlignment="1">
      <alignment vertical="center" wrapText="1"/>
    </xf>
    <xf numFmtId="38" fontId="12" fillId="0" borderId="0" xfId="0" applyNumberFormat="1" applyFont="1" applyAlignment="1"/>
    <xf numFmtId="178" fontId="106" fillId="8" borderId="0" xfId="0" applyFont="1" applyFill="1" applyAlignment="1"/>
    <xf numFmtId="178" fontId="106" fillId="8" borderId="30" xfId="0" applyFont="1" applyFill="1" applyBorder="1" applyAlignment="1"/>
    <xf numFmtId="178" fontId="112" fillId="0" borderId="0" xfId="0" applyFont="1" applyAlignment="1">
      <alignment horizontal="center"/>
    </xf>
    <xf numFmtId="178" fontId="105" fillId="0" borderId="0" xfId="0" applyFont="1" applyAlignment="1">
      <alignment horizontal="right"/>
    </xf>
    <xf numFmtId="178" fontId="90" fillId="8" borderId="25" xfId="0" applyFont="1" applyFill="1" applyBorder="1" applyAlignment="1"/>
    <xf numFmtId="178" fontId="90" fillId="8" borderId="25" xfId="0" applyFont="1" applyFill="1" applyBorder="1" applyAlignment="1">
      <alignment horizontal="center" vertical="center" wrapText="1"/>
    </xf>
    <xf numFmtId="178" fontId="90" fillId="8" borderId="25" xfId="0" applyFont="1" applyFill="1" applyBorder="1" applyAlignment="1">
      <alignment horizontal="center" vertical="center"/>
    </xf>
    <xf numFmtId="178" fontId="105" fillId="0" borderId="0" xfId="0" applyFont="1" applyAlignment="1">
      <alignment horizontal="center"/>
    </xf>
    <xf numFmtId="38" fontId="26" fillId="0" borderId="0" xfId="0" applyNumberFormat="1" applyFont="1" applyAlignment="1">
      <alignment horizontal="right"/>
    </xf>
    <xf numFmtId="178" fontId="106" fillId="12" borderId="0" xfId="0" applyFont="1" applyFill="1" applyAlignment="1"/>
    <xf numFmtId="178" fontId="26" fillId="12" borderId="0" xfId="0" applyFont="1" applyFill="1" applyAlignment="1"/>
    <xf numFmtId="14" fontId="90" fillId="0" borderId="0" xfId="0" applyNumberFormat="1" applyFont="1" applyAlignment="1">
      <alignment horizontal="left"/>
    </xf>
    <xf numFmtId="38" fontId="90" fillId="0" borderId="0" xfId="0" applyNumberFormat="1" applyFont="1" applyAlignment="1">
      <alignment horizontal="right"/>
    </xf>
    <xf numFmtId="178" fontId="26" fillId="0" borderId="0" xfId="0" applyFont="1" applyAlignment="1">
      <alignment wrapText="1"/>
    </xf>
    <xf numFmtId="14" fontId="106" fillId="0" borderId="0" xfId="0" applyNumberFormat="1" applyFont="1" applyAlignment="1">
      <alignment horizontal="left"/>
    </xf>
    <xf numFmtId="40" fontId="90" fillId="0" borderId="0" xfId="0" applyNumberFormat="1" applyFont="1" applyAlignment="1">
      <alignment horizontal="right"/>
    </xf>
    <xf numFmtId="178" fontId="106" fillId="8" borderId="25" xfId="0" applyFont="1" applyFill="1" applyBorder="1" applyAlignment="1"/>
    <xf numFmtId="178" fontId="90" fillId="8" borderId="25" xfId="0" applyFont="1" applyFill="1" applyBorder="1" applyAlignment="1">
      <alignment horizontal="center"/>
    </xf>
    <xf numFmtId="178" fontId="90" fillId="8" borderId="25" xfId="0" applyFont="1" applyFill="1" applyBorder="1" applyAlignment="1">
      <alignment horizontal="center" wrapText="1"/>
    </xf>
    <xf numFmtId="193" fontId="38" fillId="0" borderId="0" xfId="12" applyFont="1" applyAlignment="1" applyProtection="1">
      <alignment horizontal="center"/>
    </xf>
    <xf numFmtId="37" fontId="39" fillId="8" borderId="0" xfId="12" applyNumberFormat="1" applyFont="1" applyFill="1" applyAlignment="1" applyProtection="1">
      <alignment horizontal="right"/>
    </xf>
    <xf numFmtId="178" fontId="39" fillId="22" borderId="9" xfId="0" applyFont="1" applyFill="1" applyBorder="1" applyAlignment="1">
      <alignment horizontal="right" vertical="center"/>
    </xf>
    <xf numFmtId="9" fontId="38" fillId="0" borderId="0" xfId="8" applyFont="1" applyAlignment="1" applyProtection="1">
      <alignment horizontal="right"/>
    </xf>
    <xf numFmtId="183" fontId="38" fillId="0" borderId="0" xfId="8" applyNumberFormat="1" applyFont="1" applyAlignment="1" applyProtection="1">
      <alignment horizontal="right"/>
    </xf>
    <xf numFmtId="218" fontId="38" fillId="0" borderId="0" xfId="0" applyNumberFormat="1" applyFont="1" applyAlignment="1">
      <alignment horizontal="right"/>
    </xf>
    <xf numFmtId="196" fontId="38" fillId="0" borderId="0" xfId="0" applyNumberFormat="1" applyFont="1" applyAlignment="1">
      <alignment horizontal="right"/>
    </xf>
    <xf numFmtId="190" fontId="38" fillId="0" borderId="0" xfId="12" applyNumberFormat="1" applyFont="1" applyAlignment="1" applyProtection="1">
      <alignment horizontal="right" vertical="center"/>
    </xf>
    <xf numFmtId="219" fontId="38" fillId="0" borderId="0" xfId="0" applyNumberFormat="1" applyFont="1" applyAlignment="1">
      <alignment horizontal="right"/>
    </xf>
    <xf numFmtId="220" fontId="38" fillId="0" borderId="0" xfId="0" applyNumberFormat="1" applyFont="1" applyAlignment="1">
      <alignment horizontal="right"/>
    </xf>
    <xf numFmtId="37" fontId="38" fillId="12" borderId="0" xfId="12" applyNumberFormat="1" applyFont="1" applyFill="1" applyAlignment="1" applyProtection="1">
      <alignment horizontal="left"/>
    </xf>
    <xf numFmtId="177" fontId="38" fillId="12" borderId="0" xfId="12" applyNumberFormat="1" applyFont="1" applyFill="1" applyAlignment="1" applyProtection="1">
      <alignment horizontal="right"/>
    </xf>
    <xf numFmtId="221" fontId="38" fillId="12" borderId="0" xfId="12" applyNumberFormat="1" applyFont="1" applyFill="1" applyAlignment="1" applyProtection="1">
      <alignment horizontal="right"/>
    </xf>
    <xf numFmtId="183" fontId="38" fillId="12" borderId="0" xfId="0" applyNumberFormat="1" applyFont="1" applyFill="1" applyAlignment="1">
      <alignment horizontal="right"/>
    </xf>
    <xf numFmtId="178" fontId="38" fillId="12" borderId="0" xfId="0" applyFont="1" applyFill="1" applyAlignment="1"/>
    <xf numFmtId="37" fontId="38" fillId="0" borderId="0" xfId="12" applyNumberFormat="1" applyFont="1" applyAlignment="1" applyProtection="1">
      <alignment horizontal="left"/>
    </xf>
    <xf numFmtId="183" fontId="38" fillId="0" borderId="0" xfId="0" applyNumberFormat="1" applyFont="1" applyAlignment="1">
      <alignment horizontal="right"/>
    </xf>
    <xf numFmtId="183" fontId="38" fillId="12" borderId="0" xfId="8" applyNumberFormat="1" applyFont="1" applyFill="1" applyProtection="1"/>
    <xf numFmtId="183" fontId="38" fillId="12" borderId="0" xfId="0" applyNumberFormat="1" applyFont="1" applyFill="1" applyAlignment="1"/>
    <xf numFmtId="10" fontId="38" fillId="12" borderId="0" xfId="0" applyNumberFormat="1" applyFont="1" applyFill="1" applyAlignment="1">
      <alignment horizontal="right"/>
    </xf>
    <xf numFmtId="193" fontId="38" fillId="12" borderId="0" xfId="12" applyFont="1" applyFill="1" applyAlignment="1" applyProtection="1">
      <alignment horizontal="right"/>
    </xf>
    <xf numFmtId="9" fontId="38" fillId="12" borderId="0" xfId="8" applyFont="1" applyFill="1" applyProtection="1"/>
    <xf numFmtId="193" fontId="38" fillId="12" borderId="0" xfId="12" applyFont="1" applyFill="1" applyProtection="1"/>
    <xf numFmtId="178" fontId="38" fillId="0" borderId="0" xfId="0" quotePrefix="1" applyFont="1" applyAlignment="1"/>
    <xf numFmtId="178" fontId="113" fillId="23" borderId="0" xfId="0" applyFont="1" applyFill="1" applyAlignment="1"/>
    <xf numFmtId="176" fontId="38" fillId="0" borderId="0" xfId="0" applyNumberFormat="1" applyFont="1" applyAlignment="1"/>
    <xf numFmtId="37" fontId="38" fillId="0" borderId="0" xfId="0" applyNumberFormat="1" applyFont="1" applyAlignment="1"/>
    <xf numFmtId="190" fontId="38" fillId="0" borderId="0" xfId="0" applyNumberFormat="1" applyFont="1" applyAlignment="1"/>
    <xf numFmtId="9" fontId="80" fillId="0" borderId="0" xfId="8" applyFont="1" applyProtection="1"/>
    <xf numFmtId="39" fontId="38" fillId="0" borderId="0" xfId="0" applyNumberFormat="1" applyFont="1" applyAlignment="1"/>
    <xf numFmtId="3" fontId="38" fillId="0" borderId="0" xfId="0" applyNumberFormat="1" applyFont="1" applyAlignment="1"/>
    <xf numFmtId="178" fontId="79" fillId="8" borderId="0" xfId="0" applyFont="1" applyFill="1">
      <alignment vertical="center"/>
    </xf>
    <xf numFmtId="177" fontId="38" fillId="5" borderId="0" xfId="0" applyNumberFormat="1" applyFont="1" applyFill="1">
      <alignment vertical="center"/>
    </xf>
    <xf numFmtId="37" fontId="39" fillId="5" borderId="0" xfId="12" applyNumberFormat="1" applyFont="1" applyFill="1" applyAlignment="1" applyProtection="1">
      <alignment horizontal="right" vertical="center"/>
    </xf>
    <xf numFmtId="37" fontId="38" fillId="5" borderId="0" xfId="13" applyNumberFormat="1" applyFont="1" applyFill="1" applyAlignment="1" applyProtection="1">
      <alignment vertical="center"/>
    </xf>
    <xf numFmtId="190" fontId="38" fillId="8" borderId="0" xfId="12" applyNumberFormat="1" applyFont="1" applyFill="1" applyAlignment="1" applyProtection="1">
      <alignment horizontal="right" vertical="center"/>
    </xf>
    <xf numFmtId="178" fontId="114" fillId="5" borderId="0" xfId="0" applyFont="1" applyFill="1">
      <alignment vertical="center"/>
    </xf>
    <xf numFmtId="178" fontId="38" fillId="5" borderId="0" xfId="0" applyFont="1" applyFill="1" applyAlignment="1">
      <alignment horizontal="center" vertical="center"/>
    </xf>
    <xf numFmtId="195" fontId="39" fillId="8" borderId="0" xfId="13" applyFont="1" applyFill="1" applyAlignment="1" applyProtection="1">
      <alignment horizontal="right" vertical="center"/>
    </xf>
    <xf numFmtId="38" fontId="38" fillId="5" borderId="0" xfId="13" applyNumberFormat="1" applyFont="1" applyFill="1" applyAlignment="1" applyProtection="1">
      <alignment horizontal="right" vertical="center"/>
    </xf>
    <xf numFmtId="38" fontId="38" fillId="5" borderId="0" xfId="0" applyNumberFormat="1" applyFont="1" applyFill="1">
      <alignment vertical="center"/>
    </xf>
    <xf numFmtId="38" fontId="101" fillId="5" borderId="0" xfId="13" applyNumberFormat="1" applyFont="1" applyFill="1" applyAlignment="1" applyProtection="1">
      <alignment horizontal="right" vertical="center"/>
    </xf>
    <xf numFmtId="38" fontId="39" fillId="8" borderId="0" xfId="13" applyNumberFormat="1" applyFont="1" applyFill="1" applyAlignment="1" applyProtection="1">
      <alignment horizontal="right" vertical="center"/>
    </xf>
    <xf numFmtId="38" fontId="39" fillId="5" borderId="0" xfId="13" applyNumberFormat="1" applyFont="1" applyFill="1" applyAlignment="1" applyProtection="1">
      <alignment horizontal="right" vertical="center"/>
    </xf>
    <xf numFmtId="38" fontId="38" fillId="5" borderId="0" xfId="8" applyNumberFormat="1" applyFont="1" applyFill="1" applyAlignment="1" applyProtection="1">
      <alignment horizontal="right" vertical="center"/>
    </xf>
    <xf numFmtId="178" fontId="26" fillId="5" borderId="0" xfId="0" applyFont="1" applyFill="1" applyAlignment="1">
      <alignment horizontal="left" indent="1"/>
    </xf>
    <xf numFmtId="38" fontId="101" fillId="5" borderId="0" xfId="8" applyNumberFormat="1" applyFont="1" applyFill="1" applyAlignment="1" applyProtection="1">
      <alignment horizontal="right" vertical="center"/>
    </xf>
    <xf numFmtId="183" fontId="100" fillId="5" borderId="0" xfId="8" applyNumberFormat="1" applyFont="1" applyFill="1" applyAlignment="1" applyProtection="1">
      <alignment vertical="center"/>
    </xf>
    <xf numFmtId="178" fontId="90" fillId="5" borderId="0" xfId="0" applyFont="1" applyFill="1" applyAlignment="1">
      <alignment horizontal="left"/>
    </xf>
    <xf numFmtId="178" fontId="26" fillId="5" borderId="0" xfId="0" applyFont="1" applyFill="1" applyAlignment="1">
      <alignment horizontal="left"/>
    </xf>
    <xf numFmtId="38" fontId="39" fillId="5" borderId="0" xfId="0" applyNumberFormat="1" applyFont="1" applyFill="1">
      <alignment vertical="center"/>
    </xf>
    <xf numFmtId="183" fontId="115" fillId="5" borderId="0" xfId="8" applyNumberFormat="1" applyFont="1" applyFill="1" applyAlignment="1" applyProtection="1">
      <alignment vertical="center"/>
    </xf>
    <xf numFmtId="38" fontId="38" fillId="8" borderId="20" xfId="13" applyNumberFormat="1" applyFont="1" applyFill="1" applyBorder="1" applyAlignment="1" applyProtection="1">
      <alignment horizontal="right" vertical="center"/>
    </xf>
    <xf numFmtId="38" fontId="38" fillId="22" borderId="18" xfId="13" applyNumberFormat="1" applyFont="1" applyFill="1" applyBorder="1" applyAlignment="1" applyProtection="1">
      <alignment horizontal="right" vertical="center"/>
    </xf>
    <xf numFmtId="38" fontId="38" fillId="22" borderId="20" xfId="13" applyNumberFormat="1" applyFont="1" applyFill="1" applyBorder="1" applyAlignment="1" applyProtection="1">
      <alignment horizontal="right" vertical="center"/>
    </xf>
    <xf numFmtId="38" fontId="38" fillId="5" borderId="20" xfId="13" applyNumberFormat="1" applyFont="1" applyFill="1" applyBorder="1" applyAlignment="1" applyProtection="1">
      <alignment horizontal="right" vertical="center"/>
    </xf>
    <xf numFmtId="38" fontId="38" fillId="8" borderId="0" xfId="13" applyNumberFormat="1" applyFont="1" applyFill="1" applyAlignment="1" applyProtection="1">
      <alignment horizontal="right" vertical="center"/>
    </xf>
    <xf numFmtId="38" fontId="38" fillId="22" borderId="17" xfId="13" applyNumberFormat="1" applyFont="1" applyFill="1" applyBorder="1" applyAlignment="1" applyProtection="1">
      <alignment horizontal="right" vertical="center"/>
    </xf>
    <xf numFmtId="38" fontId="38" fillId="22" borderId="0" xfId="13" applyNumberFormat="1" applyFont="1" applyFill="1" applyAlignment="1" applyProtection="1">
      <alignment horizontal="right" vertical="center"/>
    </xf>
    <xf numFmtId="38" fontId="38" fillId="8" borderId="0" xfId="13" applyNumberFormat="1" applyFont="1" applyFill="1" applyAlignment="1" applyProtection="1">
      <alignment horizontal="right" wrapText="1"/>
    </xf>
    <xf numFmtId="38" fontId="38" fillId="22" borderId="17" xfId="13" applyNumberFormat="1" applyFont="1" applyFill="1" applyBorder="1" applyAlignment="1" applyProtection="1">
      <alignment horizontal="right" wrapText="1"/>
    </xf>
    <xf numFmtId="38" fontId="38" fillId="22" borderId="0" xfId="13" applyNumberFormat="1" applyFont="1" applyFill="1" applyAlignment="1" applyProtection="1">
      <alignment horizontal="right" wrapText="1"/>
    </xf>
    <xf numFmtId="38" fontId="38" fillId="5" borderId="0" xfId="13" applyNumberFormat="1" applyFont="1" applyFill="1" applyAlignment="1" applyProtection="1">
      <alignment horizontal="right" wrapText="1"/>
    </xf>
    <xf numFmtId="178" fontId="80" fillId="8" borderId="23" xfId="0" applyFont="1" applyFill="1" applyBorder="1">
      <alignment vertical="center"/>
    </xf>
    <xf numFmtId="38" fontId="38" fillId="8" borderId="21" xfId="13" applyNumberFormat="1" applyFont="1" applyFill="1" applyBorder="1" applyAlignment="1" applyProtection="1">
      <alignment horizontal="right" wrapText="1"/>
    </xf>
    <xf numFmtId="38" fontId="38" fillId="22" borderId="23" xfId="13" applyNumberFormat="1" applyFont="1" applyFill="1" applyBorder="1" applyAlignment="1" applyProtection="1">
      <alignment horizontal="right" wrapText="1"/>
    </xf>
    <xf numFmtId="38" fontId="38" fillId="22" borderId="21" xfId="13" applyNumberFormat="1" applyFont="1" applyFill="1" applyBorder="1" applyAlignment="1" applyProtection="1">
      <alignment horizontal="right" wrapText="1"/>
    </xf>
    <xf numFmtId="38" fontId="38" fillId="5" borderId="21" xfId="13" applyNumberFormat="1" applyFont="1" applyFill="1" applyBorder="1" applyAlignment="1" applyProtection="1">
      <alignment horizontal="right" wrapText="1"/>
    </xf>
    <xf numFmtId="193" fontId="38" fillId="8" borderId="20" xfId="12" applyFont="1" applyFill="1" applyBorder="1" applyAlignment="1" applyProtection="1">
      <alignment horizontal="right" vertical="center"/>
    </xf>
    <xf numFmtId="193" fontId="38" fillId="22" borderId="18" xfId="12" applyFont="1" applyFill="1" applyBorder="1" applyAlignment="1" applyProtection="1">
      <alignment horizontal="right" vertical="center"/>
    </xf>
    <xf numFmtId="193" fontId="38" fillId="22" borderId="20" xfId="12" applyFont="1" applyFill="1" applyBorder="1" applyAlignment="1" applyProtection="1">
      <alignment horizontal="right" vertical="center"/>
    </xf>
    <xf numFmtId="178" fontId="39" fillId="5" borderId="20" xfId="0" applyFont="1" applyFill="1" applyBorder="1">
      <alignment vertical="center"/>
    </xf>
    <xf numFmtId="178" fontId="39" fillId="5" borderId="19" xfId="0" applyFont="1" applyFill="1" applyBorder="1">
      <alignment vertical="center"/>
    </xf>
    <xf numFmtId="193" fontId="38" fillId="22" borderId="17" xfId="12" applyFont="1" applyFill="1" applyBorder="1" applyAlignment="1" applyProtection="1">
      <alignment horizontal="right" vertical="center"/>
    </xf>
    <xf numFmtId="183" fontId="38" fillId="22" borderId="17" xfId="8" applyNumberFormat="1" applyFont="1" applyFill="1" applyBorder="1" applyAlignment="1" applyProtection="1">
      <alignment horizontal="right" vertical="center"/>
    </xf>
    <xf numFmtId="178" fontId="38" fillId="5" borderId="22" xfId="0" applyFont="1" applyFill="1" applyBorder="1">
      <alignment vertical="center"/>
    </xf>
    <xf numFmtId="178" fontId="79" fillId="8" borderId="17" xfId="0" applyFont="1" applyFill="1" applyBorder="1">
      <alignment vertical="center"/>
    </xf>
    <xf numFmtId="183" fontId="39" fillId="8" borderId="0" xfId="8" applyNumberFormat="1" applyFont="1" applyFill="1" applyAlignment="1" applyProtection="1">
      <alignment horizontal="right" vertical="center"/>
    </xf>
    <xf numFmtId="183" fontId="39" fillId="22" borderId="17" xfId="8" applyNumberFormat="1" applyFont="1" applyFill="1" applyBorder="1" applyAlignment="1" applyProtection="1">
      <alignment horizontal="right" vertical="center"/>
    </xf>
    <xf numFmtId="183" fontId="39" fillId="22" borderId="0" xfId="8" applyNumberFormat="1" applyFont="1" applyFill="1" applyAlignment="1" applyProtection="1">
      <alignment horizontal="right" vertical="center"/>
    </xf>
    <xf numFmtId="178" fontId="39" fillId="5" borderId="22" xfId="0" applyFont="1" applyFill="1" applyBorder="1">
      <alignment vertical="center"/>
    </xf>
    <xf numFmtId="9" fontId="38" fillId="22" borderId="17" xfId="8" applyFont="1" applyFill="1" applyBorder="1" applyAlignment="1" applyProtection="1">
      <alignment horizontal="right" vertical="center"/>
    </xf>
    <xf numFmtId="9" fontId="38" fillId="22" borderId="0" xfId="8" applyFont="1" applyFill="1" applyAlignment="1" applyProtection="1">
      <alignment horizontal="right" vertical="center"/>
    </xf>
    <xf numFmtId="178" fontId="38" fillId="22" borderId="0" xfId="0" applyFont="1" applyFill="1">
      <alignment vertical="center"/>
    </xf>
    <xf numFmtId="180" fontId="38" fillId="8" borderId="0" xfId="0" applyNumberFormat="1" applyFont="1" applyFill="1" applyAlignment="1">
      <alignment horizontal="right" vertical="center"/>
    </xf>
    <xf numFmtId="180" fontId="38" fillId="22" borderId="17" xfId="0" applyNumberFormat="1" applyFont="1" applyFill="1" applyBorder="1" applyAlignment="1">
      <alignment horizontal="right" vertical="center"/>
    </xf>
    <xf numFmtId="180" fontId="38" fillId="22" borderId="0" xfId="0" applyNumberFormat="1" applyFont="1" applyFill="1" applyAlignment="1">
      <alignment horizontal="right" vertical="center"/>
    </xf>
    <xf numFmtId="178" fontId="39" fillId="8" borderId="17" xfId="0" applyFont="1" applyFill="1" applyBorder="1">
      <alignment vertical="center"/>
    </xf>
    <xf numFmtId="183" fontId="45" fillId="8" borderId="0" xfId="8" applyNumberFormat="1" applyFont="1" applyFill="1" applyAlignment="1" applyProtection="1">
      <alignment horizontal="right" vertical="center"/>
    </xf>
    <xf numFmtId="183" fontId="45" fillId="22" borderId="17" xfId="8" applyNumberFormat="1" applyFont="1" applyFill="1" applyBorder="1" applyAlignment="1" applyProtection="1">
      <alignment horizontal="right" vertical="center"/>
    </xf>
    <xf numFmtId="183" fontId="45" fillId="22" borderId="0" xfId="8" applyNumberFormat="1" applyFont="1" applyFill="1" applyAlignment="1" applyProtection="1">
      <alignment horizontal="right" vertical="center"/>
    </xf>
    <xf numFmtId="178" fontId="39" fillId="22" borderId="0" xfId="0" applyFont="1" applyFill="1">
      <alignment vertical="center"/>
    </xf>
    <xf numFmtId="178" fontId="39" fillId="8" borderId="23" xfId="0" applyFont="1" applyFill="1" applyBorder="1">
      <alignment vertical="center"/>
    </xf>
    <xf numFmtId="183" fontId="39" fillId="8" borderId="21" xfId="8" applyNumberFormat="1" applyFont="1" applyFill="1" applyBorder="1" applyAlignment="1" applyProtection="1">
      <alignment horizontal="right" vertical="center"/>
    </xf>
    <xf numFmtId="183" fontId="39" fillId="22" borderId="23" xfId="8" applyNumberFormat="1" applyFont="1" applyFill="1" applyBorder="1" applyAlignment="1" applyProtection="1">
      <alignment horizontal="right" vertical="center"/>
    </xf>
    <xf numFmtId="183" fontId="39" fillId="22" borderId="21" xfId="8" applyNumberFormat="1" applyFont="1" applyFill="1" applyBorder="1" applyAlignment="1" applyProtection="1">
      <alignment horizontal="right" vertical="center"/>
    </xf>
    <xf numFmtId="178" fontId="39" fillId="5" borderId="21" xfId="0" applyFont="1" applyFill="1" applyBorder="1">
      <alignment vertical="center"/>
    </xf>
    <xf numFmtId="178" fontId="39" fillId="5" borderId="24" xfId="0" applyFont="1" applyFill="1" applyBorder="1">
      <alignment vertical="center"/>
    </xf>
    <xf numFmtId="196" fontId="38" fillId="5" borderId="0" xfId="0" applyNumberFormat="1" applyFont="1" applyFill="1" applyAlignment="1">
      <alignment horizontal="right"/>
    </xf>
    <xf numFmtId="197" fontId="38" fillId="5" borderId="0" xfId="0" applyNumberFormat="1" applyFont="1" applyFill="1" applyAlignment="1">
      <alignment horizontal="right" vertical="center"/>
    </xf>
    <xf numFmtId="197" fontId="38" fillId="5" borderId="0" xfId="0" applyNumberFormat="1" applyFont="1" applyFill="1">
      <alignment vertical="center"/>
    </xf>
    <xf numFmtId="198" fontId="38" fillId="5" borderId="0" xfId="0" applyNumberFormat="1" applyFont="1" applyFill="1" applyAlignment="1">
      <alignment horizontal="right" vertical="center"/>
    </xf>
    <xf numFmtId="204" fontId="116" fillId="5" borderId="0" xfId="0" applyNumberFormat="1" applyFont="1" applyFill="1">
      <alignment vertical="center"/>
    </xf>
    <xf numFmtId="204" fontId="116" fillId="5" borderId="0" xfId="12" applyNumberFormat="1" applyFont="1" applyFill="1" applyAlignment="1" applyProtection="1">
      <alignment vertical="center"/>
    </xf>
    <xf numFmtId="178" fontId="79" fillId="5" borderId="0" xfId="0" applyFont="1" applyFill="1" applyAlignment="1"/>
    <xf numFmtId="178" fontId="39" fillId="5" borderId="0" xfId="0" applyFont="1" applyFill="1" applyAlignment="1"/>
    <xf numFmtId="38" fontId="38" fillId="5" borderId="0" xfId="0" applyNumberFormat="1" applyFont="1" applyFill="1" applyAlignment="1">
      <alignment horizontal="right" vertical="center"/>
    </xf>
    <xf numFmtId="38" fontId="38" fillId="5" borderId="0" xfId="0" applyNumberFormat="1" applyFont="1" applyFill="1" applyAlignment="1">
      <alignment horizontal="center" vertical="center"/>
    </xf>
    <xf numFmtId="38" fontId="38" fillId="5" borderId="0" xfId="13" applyNumberFormat="1" applyFont="1" applyFill="1" applyAlignment="1" applyProtection="1">
      <alignment vertical="center"/>
    </xf>
    <xf numFmtId="40" fontId="38" fillId="5" borderId="0" xfId="0" applyNumberFormat="1" applyFont="1" applyFill="1">
      <alignment vertical="center"/>
    </xf>
    <xf numFmtId="38" fontId="39" fillId="8" borderId="0" xfId="13" applyNumberFormat="1" applyFont="1" applyFill="1" applyAlignment="1" applyProtection="1">
      <alignment vertical="center"/>
    </xf>
    <xf numFmtId="190" fontId="39" fillId="5" borderId="0" xfId="0" applyNumberFormat="1" applyFont="1" applyFill="1">
      <alignment vertical="center"/>
    </xf>
    <xf numFmtId="38" fontId="38" fillId="5" borderId="0" xfId="12" applyNumberFormat="1" applyFont="1" applyFill="1" applyAlignment="1" applyProtection="1">
      <alignment vertical="center"/>
    </xf>
    <xf numFmtId="178" fontId="38" fillId="5" borderId="0" xfId="0" applyFont="1" applyFill="1" applyAlignment="1">
      <alignment vertical="center" wrapText="1"/>
    </xf>
    <xf numFmtId="178" fontId="39" fillId="8" borderId="0" xfId="0" applyFont="1" applyFill="1" applyAlignment="1">
      <alignment vertical="center" wrapText="1"/>
    </xf>
    <xf numFmtId="38" fontId="39" fillId="8" borderId="0" xfId="0" applyNumberFormat="1" applyFont="1" applyFill="1">
      <alignment vertical="center"/>
    </xf>
    <xf numFmtId="198" fontId="38" fillId="5" borderId="0" xfId="0" applyNumberFormat="1" applyFont="1" applyFill="1">
      <alignment vertical="center"/>
    </xf>
    <xf numFmtId="178" fontId="80" fillId="8" borderId="0" xfId="0" applyFont="1" applyFill="1">
      <alignment vertical="center"/>
    </xf>
    <xf numFmtId="204" fontId="38" fillId="5" borderId="0" xfId="0" applyNumberFormat="1" applyFont="1" applyFill="1">
      <alignment vertical="center"/>
    </xf>
    <xf numFmtId="222" fontId="82" fillId="5" borderId="0" xfId="0" applyNumberFormat="1" applyFont="1" applyFill="1" applyAlignment="1">
      <alignment horizontal="right" vertical="center"/>
    </xf>
    <xf numFmtId="204" fontId="80" fillId="5" borderId="0" xfId="0" applyNumberFormat="1" applyFont="1" applyFill="1" applyAlignment="1">
      <alignment horizontal="right" vertical="center"/>
    </xf>
    <xf numFmtId="204" fontId="82" fillId="5" borderId="0" xfId="0" applyNumberFormat="1" applyFont="1" applyFill="1" applyAlignment="1">
      <alignment horizontal="right" vertical="center"/>
    </xf>
    <xf numFmtId="178" fontId="80" fillId="5" borderId="0" xfId="0" applyFont="1" applyFill="1" applyAlignment="1">
      <alignment horizontal="right" vertical="center"/>
    </xf>
    <xf numFmtId="178" fontId="82" fillId="5" borderId="0" xfId="0" applyFont="1" applyFill="1" applyAlignment="1">
      <alignment horizontal="right" vertical="center"/>
    </xf>
    <xf numFmtId="178" fontId="40" fillId="10" borderId="0" xfId="0" applyFont="1" applyFill="1" applyAlignment="1">
      <alignment horizontal="center" vertical="center"/>
    </xf>
    <xf numFmtId="178" fontId="40" fillId="10" borderId="0" xfId="0" applyFont="1" applyFill="1" applyAlignment="1">
      <alignment horizontal="center" vertical="center" wrapText="1"/>
    </xf>
    <xf numFmtId="178" fontId="117" fillId="10" borderId="0" xfId="0" applyFont="1" applyFill="1" applyAlignment="1">
      <alignment horizontal="center" vertical="center" wrapText="1"/>
    </xf>
    <xf numFmtId="178" fontId="13" fillId="0" borderId="0" xfId="0" applyFont="1">
      <alignment vertical="center"/>
    </xf>
    <xf numFmtId="178" fontId="38" fillId="0" borderId="0" xfId="0" applyFont="1">
      <alignment vertical="center"/>
    </xf>
    <xf numFmtId="178" fontId="79" fillId="0" borderId="0" xfId="0" applyFont="1" applyAlignment="1">
      <alignment vertical="center" wrapText="1"/>
    </xf>
    <xf numFmtId="178" fontId="5" fillId="0" borderId="0" xfId="0" applyFont="1" applyAlignment="1">
      <alignment vertical="center" wrapText="1"/>
    </xf>
    <xf numFmtId="3" fontId="9" fillId="0" borderId="0" xfId="0" applyNumberFormat="1" applyFont="1" applyAlignment="1">
      <alignment horizontal="center" vertical="center"/>
    </xf>
    <xf numFmtId="183" fontId="9" fillId="0" borderId="0" xfId="25" applyNumberFormat="1" applyFont="1" applyAlignment="1" applyProtection="1">
      <alignment horizontal="center" vertical="center"/>
    </xf>
    <xf numFmtId="183" fontId="9" fillId="0" borderId="0" xfId="25" applyNumberFormat="1" applyFont="1" applyAlignment="1" applyProtection="1">
      <alignment vertical="center"/>
    </xf>
    <xf numFmtId="180" fontId="38" fillId="0" borderId="0" xfId="12" applyNumberFormat="1" applyFont="1" applyProtection="1"/>
    <xf numFmtId="178" fontId="5" fillId="13" borderId="0" xfId="0" applyFont="1" applyFill="1" applyAlignment="1"/>
    <xf numFmtId="3" fontId="9" fillId="13" borderId="0" xfId="0" applyNumberFormat="1" applyFont="1" applyFill="1" applyAlignment="1">
      <alignment horizontal="center" vertical="center"/>
    </xf>
    <xf numFmtId="183" fontId="9" fillId="13" borderId="0" xfId="25" applyNumberFormat="1" applyFont="1" applyFill="1" applyAlignment="1" applyProtection="1">
      <alignment horizontal="center" vertical="center"/>
    </xf>
    <xf numFmtId="3" fontId="9" fillId="13" borderId="0" xfId="0" applyNumberFormat="1" applyFont="1" applyFill="1" applyAlignment="1">
      <alignment horizontal="center"/>
    </xf>
    <xf numFmtId="183" fontId="9" fillId="13" borderId="0" xfId="25" applyNumberFormat="1" applyFont="1" applyFill="1" applyAlignment="1" applyProtection="1">
      <alignment vertical="center"/>
    </xf>
    <xf numFmtId="178" fontId="5" fillId="0" borderId="0" xfId="0" applyFont="1" applyAlignment="1"/>
    <xf numFmtId="3" fontId="9" fillId="0" borderId="0" xfId="0" applyNumberFormat="1" applyFont="1" applyAlignment="1">
      <alignment horizontal="center"/>
    </xf>
    <xf numFmtId="190" fontId="39" fillId="0" borderId="0" xfId="12" applyNumberFormat="1" applyFont="1" applyProtection="1"/>
    <xf numFmtId="180" fontId="39" fillId="0" borderId="0" xfId="12" applyNumberFormat="1" applyFont="1" applyProtection="1"/>
    <xf numFmtId="183" fontId="13" fillId="0" borderId="0" xfId="0" applyNumberFormat="1" applyFont="1" applyAlignment="1"/>
    <xf numFmtId="178" fontId="117" fillId="10" borderId="0" xfId="0" applyFont="1" applyFill="1" applyAlignment="1"/>
    <xf numFmtId="178" fontId="40" fillId="10" borderId="0" xfId="0" applyFont="1" applyFill="1" applyAlignment="1"/>
    <xf numFmtId="178" fontId="13" fillId="13" borderId="0" xfId="0" applyFont="1" applyFill="1" applyAlignment="1"/>
    <xf numFmtId="193" fontId="38" fillId="13" borderId="0" xfId="12" applyFont="1" applyFill="1" applyProtection="1"/>
    <xf numFmtId="183" fontId="38" fillId="13" borderId="0" xfId="8" applyNumberFormat="1" applyFont="1" applyFill="1" applyProtection="1"/>
    <xf numFmtId="178" fontId="13" fillId="0" borderId="0" xfId="0" applyFont="1" applyAlignment="1">
      <alignment vertical="center" wrapText="1"/>
    </xf>
    <xf numFmtId="178" fontId="39" fillId="0" borderId="0" xfId="0" applyFont="1" applyAlignment="1">
      <alignment vertical="center" wrapText="1"/>
    </xf>
    <xf numFmtId="178" fontId="54" fillId="0" borderId="0" xfId="0" applyFont="1" applyAlignment="1">
      <alignment vertical="center" wrapText="1"/>
    </xf>
    <xf numFmtId="178" fontId="54" fillId="0" borderId="0" xfId="0" applyFont="1" applyAlignment="1"/>
    <xf numFmtId="178" fontId="80" fillId="13" borderId="0" xfId="0" applyFont="1" applyFill="1" applyAlignment="1"/>
    <xf numFmtId="180" fontId="38" fillId="13" borderId="0" xfId="12" applyNumberFormat="1" applyFont="1" applyFill="1" applyProtection="1"/>
    <xf numFmtId="178" fontId="39" fillId="0" borderId="0" xfId="0" quotePrefix="1" applyFont="1" applyAlignment="1">
      <alignment vertical="center" wrapText="1"/>
    </xf>
    <xf numFmtId="178" fontId="82" fillId="0" borderId="0" xfId="0" applyFont="1" applyAlignment="1">
      <alignment horizontal="center"/>
    </xf>
    <xf numFmtId="178" fontId="40" fillId="10" borderId="0" xfId="0" applyFont="1" applyFill="1" applyAlignment="1">
      <alignment horizontal="left" vertical="center" wrapText="1"/>
    </xf>
    <xf numFmtId="178" fontId="40" fillId="10" borderId="0" xfId="0" applyFont="1" applyFill="1" applyAlignment="1">
      <alignment vertical="center" wrapText="1"/>
    </xf>
    <xf numFmtId="178" fontId="38" fillId="0" borderId="0" xfId="0" applyFont="1" applyAlignment="1">
      <alignment vertical="center" wrapText="1"/>
    </xf>
    <xf numFmtId="178" fontId="38" fillId="0" borderId="0" xfId="0" applyFont="1" applyAlignment="1">
      <alignment horizontal="center" vertical="center" wrapText="1"/>
    </xf>
    <xf numFmtId="223" fontId="38" fillId="0" borderId="0" xfId="0" applyNumberFormat="1" applyFont="1" applyAlignment="1">
      <alignment horizontal="center" vertical="center" wrapText="1"/>
    </xf>
    <xf numFmtId="180" fontId="38" fillId="0" borderId="0" xfId="0" applyNumberFormat="1" applyFont="1" applyAlignment="1">
      <alignment horizontal="center" vertical="center" wrapText="1"/>
    </xf>
    <xf numFmtId="178" fontId="38" fillId="13" borderId="0" xfId="0" applyFont="1" applyFill="1" applyAlignment="1">
      <alignment vertical="center" wrapText="1"/>
    </xf>
    <xf numFmtId="178" fontId="38" fillId="13" borderId="0" xfId="0" applyFont="1" applyFill="1" applyAlignment="1">
      <alignment horizontal="center" vertical="center" wrapText="1"/>
    </xf>
    <xf numFmtId="223" fontId="38" fillId="13" borderId="0" xfId="0" applyNumberFormat="1" applyFont="1" applyFill="1" applyAlignment="1">
      <alignment horizontal="center" vertical="center" wrapText="1"/>
    </xf>
    <xf numFmtId="180" fontId="38" fillId="13" borderId="0" xfId="0" applyNumberFormat="1" applyFont="1" applyFill="1" applyAlignment="1">
      <alignment horizontal="center" vertical="center" wrapText="1"/>
    </xf>
    <xf numFmtId="178" fontId="38" fillId="5" borderId="0" xfId="0" applyFont="1" applyFill="1" applyAlignment="1">
      <alignment horizontal="center" vertical="center" wrapText="1"/>
    </xf>
    <xf numFmtId="223" fontId="38" fillId="5" borderId="0" xfId="0" applyNumberFormat="1" applyFont="1" applyFill="1" applyAlignment="1">
      <alignment horizontal="center" vertical="center" wrapText="1"/>
    </xf>
    <xf numFmtId="180" fontId="38" fillId="5" borderId="0" xfId="0" applyNumberFormat="1" applyFont="1" applyFill="1" applyAlignment="1">
      <alignment horizontal="center" vertical="center" wrapText="1"/>
    </xf>
    <xf numFmtId="14" fontId="38" fillId="0" borderId="0" xfId="0" applyNumberFormat="1" applyFont="1" applyAlignment="1">
      <alignment horizontal="center" vertical="center" wrapText="1"/>
    </xf>
    <xf numFmtId="38" fontId="38" fillId="0" borderId="0" xfId="0" applyNumberFormat="1" applyFont="1" applyAlignment="1">
      <alignment horizontal="center" vertical="center" wrapText="1"/>
    </xf>
    <xf numFmtId="180" fontId="38" fillId="0" borderId="0" xfId="0" applyNumberFormat="1" applyFont="1" applyAlignment="1">
      <alignment vertical="center" wrapText="1"/>
    </xf>
    <xf numFmtId="38" fontId="38" fillId="13" borderId="0" xfId="0" applyNumberFormat="1" applyFont="1" applyFill="1" applyAlignment="1">
      <alignment horizontal="center" vertical="center" wrapText="1"/>
    </xf>
    <xf numFmtId="180" fontId="38" fillId="13" borderId="0" xfId="0" applyNumberFormat="1" applyFont="1" applyFill="1" applyAlignment="1">
      <alignment vertical="center" wrapText="1"/>
    </xf>
    <xf numFmtId="14" fontId="38" fillId="13" borderId="0" xfId="0" applyNumberFormat="1" applyFont="1" applyFill="1" applyAlignment="1">
      <alignment horizontal="center" vertical="center" wrapText="1"/>
    </xf>
    <xf numFmtId="178" fontId="39" fillId="14" borderId="0" xfId="0" applyFont="1" applyFill="1" applyAlignment="1">
      <alignment vertical="center" wrapText="1"/>
    </xf>
    <xf numFmtId="178" fontId="38" fillId="14" borderId="0" xfId="0" applyFont="1" applyFill="1" applyAlignment="1">
      <alignment horizontal="center" vertical="center" wrapText="1"/>
    </xf>
    <xf numFmtId="223" fontId="38" fillId="14" borderId="0" xfId="0" applyNumberFormat="1" applyFont="1" applyFill="1" applyAlignment="1">
      <alignment horizontal="center" vertical="center" wrapText="1"/>
    </xf>
    <xf numFmtId="180" fontId="39" fillId="14" borderId="0" xfId="0" applyNumberFormat="1" applyFont="1" applyFill="1" applyAlignment="1">
      <alignment horizontal="center" vertical="center" wrapText="1"/>
    </xf>
    <xf numFmtId="178" fontId="39" fillId="14" borderId="0" xfId="0" applyFont="1" applyFill="1" applyAlignment="1">
      <alignment horizontal="center" vertical="center" wrapText="1"/>
    </xf>
    <xf numFmtId="178" fontId="38" fillId="14" borderId="0" xfId="0" applyFont="1" applyFill="1" applyAlignment="1">
      <alignment vertical="center" wrapText="1"/>
    </xf>
    <xf numFmtId="9" fontId="38" fillId="5" borderId="0" xfId="0" applyNumberFormat="1" applyFont="1" applyFill="1" applyAlignment="1">
      <alignment horizontal="center" vertical="center" wrapText="1"/>
    </xf>
    <xf numFmtId="178" fontId="117" fillId="10" borderId="0" xfId="0" applyFont="1" applyFill="1" applyAlignment="1">
      <alignment vertical="center" wrapText="1"/>
    </xf>
    <xf numFmtId="178" fontId="80" fillId="0" borderId="0" xfId="0" applyFont="1" applyAlignment="1">
      <alignment vertical="center" wrapText="1"/>
    </xf>
    <xf numFmtId="178" fontId="80" fillId="0" borderId="0" xfId="0" applyFont="1" applyAlignment="1">
      <alignment horizontal="center" vertical="center" wrapText="1"/>
    </xf>
    <xf numFmtId="178" fontId="80" fillId="13" borderId="0" xfId="0" applyFont="1" applyFill="1" applyAlignment="1">
      <alignment vertical="center" wrapText="1"/>
    </xf>
    <xf numFmtId="178" fontId="80" fillId="13" borderId="0" xfId="0" applyFont="1" applyFill="1" applyAlignment="1">
      <alignment horizontal="center" vertical="center" wrapText="1"/>
    </xf>
    <xf numFmtId="178" fontId="80" fillId="5" borderId="0" xfId="0" applyFont="1" applyFill="1" applyAlignment="1">
      <alignment vertical="center" wrapText="1"/>
    </xf>
    <xf numFmtId="178" fontId="80" fillId="5" borderId="0" xfId="0" applyFont="1" applyFill="1" applyAlignment="1">
      <alignment horizontal="center" vertical="center" wrapText="1"/>
    </xf>
    <xf numFmtId="178" fontId="79" fillId="0" borderId="0" xfId="0" applyFont="1">
      <alignment vertical="center"/>
    </xf>
    <xf numFmtId="178" fontId="39" fillId="0" borderId="0" xfId="0" applyFont="1" applyAlignment="1">
      <alignment horizontal="center" vertical="center"/>
    </xf>
    <xf numFmtId="38" fontId="39" fillId="0" borderId="0" xfId="0" applyNumberFormat="1" applyFont="1" applyAlignment="1">
      <alignment horizontal="center" vertical="center"/>
    </xf>
    <xf numFmtId="9" fontId="38" fillId="13" borderId="0" xfId="0" applyNumberFormat="1" applyFont="1" applyFill="1" applyAlignment="1">
      <alignment horizontal="center" vertical="center" wrapText="1"/>
    </xf>
    <xf numFmtId="9" fontId="38" fillId="0" borderId="0" xfId="0" applyNumberFormat="1" applyFont="1" applyAlignment="1">
      <alignment horizontal="center" vertical="center" wrapText="1"/>
    </xf>
    <xf numFmtId="178" fontId="94" fillId="0" borderId="0" xfId="0" applyFont="1" applyAlignment="1">
      <alignment horizontal="center"/>
    </xf>
    <xf numFmtId="178" fontId="118" fillId="10" borderId="0" xfId="0" applyFont="1" applyFill="1" applyAlignment="1"/>
    <xf numFmtId="178" fontId="40" fillId="10" borderId="0" xfId="0" applyFont="1" applyFill="1" applyAlignment="1">
      <alignment horizontal="right"/>
    </xf>
    <xf numFmtId="183" fontId="38" fillId="5" borderId="0" xfId="0" applyNumberFormat="1" applyFont="1" applyFill="1" applyAlignment="1">
      <alignment horizontal="center" vertical="center"/>
    </xf>
    <xf numFmtId="220" fontId="38" fillId="5" borderId="0" xfId="26" applyNumberFormat="1" applyFont="1" applyFill="1" applyAlignment="1" applyProtection="1">
      <alignment vertical="center"/>
    </xf>
    <xf numFmtId="178" fontId="94" fillId="0" borderId="0" xfId="0" applyFont="1" applyAlignment="1">
      <alignment vertical="center" wrapText="1"/>
    </xf>
    <xf numFmtId="183" fontId="38" fillId="13" borderId="0" xfId="0" applyNumberFormat="1" applyFont="1" applyFill="1" applyAlignment="1">
      <alignment horizontal="center" vertical="center" wrapText="1"/>
    </xf>
    <xf numFmtId="220" fontId="38" fillId="13" borderId="0" xfId="26" applyNumberFormat="1" applyFont="1" applyFill="1" applyAlignment="1" applyProtection="1">
      <alignment vertical="center"/>
    </xf>
    <xf numFmtId="178" fontId="38" fillId="5" borderId="0" xfId="0" applyFont="1" applyFill="1" applyAlignment="1">
      <alignment horizontal="right" vertical="center" wrapText="1"/>
    </xf>
    <xf numFmtId="183" fontId="38" fillId="13" borderId="0" xfId="0" applyNumberFormat="1" applyFont="1" applyFill="1" applyAlignment="1">
      <alignment horizontal="center" vertical="center"/>
    </xf>
    <xf numFmtId="178" fontId="38" fillId="13" borderId="0" xfId="0" applyFont="1" applyFill="1" applyAlignment="1">
      <alignment horizontal="right" vertical="center" wrapText="1"/>
    </xf>
    <xf numFmtId="183" fontId="38" fillId="0" borderId="0" xfId="0" applyNumberFormat="1" applyFont="1" applyAlignment="1">
      <alignment horizontal="center" vertical="center"/>
    </xf>
    <xf numFmtId="178" fontId="38" fillId="0" borderId="0" xfId="0" applyFont="1" applyAlignment="1">
      <alignment horizontal="right" vertical="center" wrapText="1"/>
    </xf>
    <xf numFmtId="178" fontId="80" fillId="0" borderId="0" xfId="0" applyFont="1">
      <alignment vertical="center"/>
    </xf>
    <xf numFmtId="178" fontId="80" fillId="0" borderId="0" xfId="0" applyFont="1" applyAlignment="1">
      <alignment horizontal="center" vertical="center"/>
    </xf>
    <xf numFmtId="220" fontId="38" fillId="0" borderId="0" xfId="26" applyNumberFormat="1" applyFont="1" applyAlignment="1" applyProtection="1">
      <alignment vertical="center"/>
    </xf>
    <xf numFmtId="178" fontId="80" fillId="0" borderId="0" xfId="0" applyFont="1" applyAlignment="1">
      <alignment horizontal="center"/>
    </xf>
    <xf numFmtId="220" fontId="38" fillId="13" borderId="0" xfId="26" applyNumberFormat="1" applyFont="1" applyFill="1" applyAlignment="1" applyProtection="1">
      <alignment horizontal="right" vertical="center"/>
    </xf>
    <xf numFmtId="178" fontId="119" fillId="0" borderId="0" xfId="0" applyFont="1" applyAlignment="1">
      <alignment vertical="top" wrapText="1"/>
    </xf>
    <xf numFmtId="178" fontId="119" fillId="0" borderId="0" xfId="0" applyFont="1" applyAlignment="1">
      <alignment horizontal="center" vertical="top" wrapText="1"/>
    </xf>
    <xf numFmtId="178" fontId="94" fillId="0" borderId="0" xfId="0" applyFont="1" applyAlignment="1">
      <alignment vertical="top" wrapText="1"/>
    </xf>
    <xf numFmtId="178" fontId="94" fillId="0" borderId="0" xfId="0" applyFont="1" applyAlignment="1">
      <alignment horizontal="center" vertical="top" wrapText="1"/>
    </xf>
    <xf numFmtId="178" fontId="94" fillId="0" borderId="31" xfId="0" applyFont="1" applyBorder="1" applyAlignment="1">
      <alignment vertical="top" wrapText="1"/>
    </xf>
    <xf numFmtId="178" fontId="94" fillId="0" borderId="32" xfId="0" applyFont="1" applyBorder="1" applyAlignment="1">
      <alignment vertical="top" wrapText="1"/>
    </xf>
    <xf numFmtId="178" fontId="94" fillId="0" borderId="32" xfId="0" applyFont="1" applyBorder="1" applyAlignment="1">
      <alignment horizontal="center" vertical="top" wrapText="1"/>
    </xf>
    <xf numFmtId="178" fontId="94" fillId="0" borderId="33" xfId="0" applyFont="1" applyBorder="1" applyAlignment="1">
      <alignment horizontal="center" vertical="top" wrapText="1"/>
    </xf>
    <xf numFmtId="178" fontId="94" fillId="0" borderId="34" xfId="0" applyFont="1" applyBorder="1" applyAlignment="1">
      <alignment vertical="top" wrapText="1"/>
    </xf>
    <xf numFmtId="178" fontId="120" fillId="0" borderId="0" xfId="27" quotePrefix="1" applyAlignment="1" applyProtection="1">
      <alignment horizontal="center" vertical="top" wrapText="1"/>
    </xf>
    <xf numFmtId="178" fontId="94" fillId="0" borderId="35" xfId="0" applyFont="1" applyBorder="1" applyAlignment="1">
      <alignment horizontal="center" vertical="top" wrapText="1"/>
    </xf>
    <xf numFmtId="178" fontId="94" fillId="0" borderId="36" xfId="0" applyFont="1" applyBorder="1" applyAlignment="1">
      <alignment vertical="top" wrapText="1"/>
    </xf>
    <xf numFmtId="178" fontId="94" fillId="0" borderId="37" xfId="0" applyFont="1" applyBorder="1" applyAlignment="1">
      <alignment vertical="top" wrapText="1"/>
    </xf>
    <xf numFmtId="178" fontId="94" fillId="0" borderId="37" xfId="0" applyFont="1" applyBorder="1" applyAlignment="1">
      <alignment horizontal="center" vertical="top" wrapText="1"/>
    </xf>
    <xf numFmtId="178" fontId="94" fillId="0" borderId="38" xfId="0" applyFont="1" applyBorder="1" applyAlignment="1">
      <alignment horizontal="center" vertical="top" wrapText="1"/>
    </xf>
    <xf numFmtId="178" fontId="120" fillId="0" borderId="37" xfId="27" quotePrefix="1" applyBorder="1" applyAlignment="1" applyProtection="1">
      <alignment horizontal="center" vertical="top" wrapText="1"/>
    </xf>
    <xf numFmtId="178" fontId="94" fillId="0" borderId="39" xfId="0" applyFont="1" applyBorder="1" applyAlignment="1">
      <alignment vertical="top" wrapText="1"/>
    </xf>
    <xf numFmtId="178" fontId="94" fillId="0" borderId="40" xfId="0" applyFont="1" applyBorder="1" applyAlignment="1">
      <alignment vertical="top" wrapText="1"/>
    </xf>
    <xf numFmtId="178" fontId="94" fillId="0" borderId="40" xfId="0" applyFont="1" applyBorder="1" applyAlignment="1">
      <alignment horizontal="center" vertical="top" wrapText="1"/>
    </xf>
    <xf numFmtId="178" fontId="94" fillId="0" borderId="41" xfId="0" applyFont="1" applyBorder="1" applyAlignment="1">
      <alignment horizontal="center" vertical="top" wrapText="1"/>
    </xf>
    <xf numFmtId="3" fontId="148" fillId="0" borderId="0" xfId="4" applyNumberFormat="1" applyFont="1" applyAlignment="1" applyProtection="1">
      <alignment horizontal="right"/>
    </xf>
    <xf numFmtId="178" fontId="30" fillId="10" borderId="26" xfId="4" applyFont="1" applyFill="1" applyBorder="1" applyAlignment="1" applyProtection="1">
      <alignment horizontal="right" vertical="center"/>
    </xf>
    <xf numFmtId="178" fontId="30" fillId="10" borderId="0" xfId="4" applyFont="1" applyFill="1" applyAlignment="1" applyProtection="1">
      <alignment horizontal="right" vertical="center"/>
    </xf>
    <xf numFmtId="178" fontId="40" fillId="10" borderId="0" xfId="4" applyFont="1" applyFill="1" applyAlignment="1" applyProtection="1">
      <alignment horizontal="right" wrapText="1"/>
    </xf>
    <xf numFmtId="39" fontId="27" fillId="24" borderId="0" xfId="7" applyNumberFormat="1" applyFont="1" applyFill="1" applyAlignment="1" applyProtection="1">
      <alignment horizontal="center" vertical="center"/>
    </xf>
    <xf numFmtId="178" fontId="79" fillId="11" borderId="0" xfId="7" applyFont="1" applyFill="1" applyAlignment="1" applyProtection="1">
      <alignment vertical="center"/>
    </xf>
    <xf numFmtId="178" fontId="151" fillId="2" borderId="0" xfId="7" applyFont="1" applyFill="1" applyAlignment="1" applyProtection="1">
      <alignment horizontal="left" vertical="center"/>
    </xf>
    <xf numFmtId="178" fontId="152" fillId="16" borderId="0" xfId="4" applyFont="1" applyFill="1" applyAlignment="1" applyProtection="1">
      <alignment horizontal="left" vertical="center"/>
    </xf>
    <xf numFmtId="178" fontId="40" fillId="10" borderId="0" xfId="4" applyFont="1" applyFill="1" applyAlignment="1" applyProtection="1">
      <alignment horizontal="right" vertical="center" wrapText="1"/>
    </xf>
    <xf numFmtId="178" fontId="30" fillId="10" borderId="0" xfId="4" applyFont="1" applyFill="1" applyAlignment="1" applyProtection="1">
      <alignment horizontal="right" vertical="center" wrapText="1"/>
    </xf>
    <xf numFmtId="39" fontId="27" fillId="25" borderId="0" xfId="7" applyNumberFormat="1" applyFont="1" applyFill="1" applyAlignment="1" applyProtection="1">
      <alignment horizontal="center" vertical="center"/>
    </xf>
    <xf numFmtId="206" fontId="153" fillId="10" borderId="26" xfId="13" applyNumberFormat="1" applyFont="1" applyFill="1" applyBorder="1" applyAlignment="1" applyProtection="1">
      <alignment horizontal="left" vertical="center" wrapText="1"/>
    </xf>
    <xf numFmtId="178" fontId="154" fillId="0" borderId="0" xfId="4" applyFont="1" applyAlignment="1" applyProtection="1">
      <alignment horizontal="left"/>
    </xf>
    <xf numFmtId="178" fontId="155" fillId="13" borderId="0" xfId="4" applyFont="1" applyFill="1" applyProtection="1"/>
    <xf numFmtId="178" fontId="154" fillId="0" borderId="0" xfId="4" applyFont="1" applyAlignment="1" applyProtection="1">
      <alignment horizontal="left" vertical="center" indent="1"/>
    </xf>
    <xf numFmtId="178" fontId="155" fillId="13" borderId="0" xfId="4" applyFont="1" applyFill="1" applyAlignment="1" applyProtection="1">
      <alignment horizontal="left" vertical="center" indent="1"/>
    </xf>
    <xf numFmtId="178" fontId="154" fillId="0" borderId="0" xfId="4" applyFont="1" applyAlignment="1" applyProtection="1">
      <alignment horizontal="left" indent="1"/>
    </xf>
    <xf numFmtId="178" fontId="155" fillId="13" borderId="0" xfId="4" applyFont="1" applyFill="1" applyAlignment="1" applyProtection="1">
      <alignment horizontal="left" indent="1"/>
    </xf>
    <xf numFmtId="178" fontId="155" fillId="0" borderId="0" xfId="4" applyFont="1" applyProtection="1"/>
    <xf numFmtId="178" fontId="151" fillId="0" borderId="0" xfId="4" applyFont="1" applyProtection="1"/>
    <xf numFmtId="178" fontId="154" fillId="13" borderId="0" xfId="4" applyFont="1" applyFill="1" applyAlignment="1" applyProtection="1">
      <alignment horizontal="left"/>
    </xf>
    <xf numFmtId="178" fontId="155" fillId="0" borderId="0" xfId="4" applyFont="1" applyAlignment="1" applyProtection="1">
      <alignment horizontal="left"/>
    </xf>
    <xf numFmtId="178" fontId="151" fillId="0" borderId="0" xfId="4" applyFont="1" applyAlignment="1" applyProtection="1">
      <alignment horizontal="left" indent="1"/>
    </xf>
    <xf numFmtId="183" fontId="154" fillId="0" borderId="0" xfId="8" applyNumberFormat="1" applyFont="1" applyAlignment="1" applyProtection="1">
      <alignment horizontal="left" vertical="center" wrapText="1"/>
    </xf>
    <xf numFmtId="183" fontId="154" fillId="13" borderId="0" xfId="8" applyNumberFormat="1" applyFont="1" applyFill="1" applyAlignment="1" applyProtection="1">
      <alignment horizontal="left" vertical="center" wrapText="1"/>
    </xf>
    <xf numFmtId="3" fontId="155" fillId="13" borderId="0" xfId="4" applyNumberFormat="1" applyFont="1" applyFill="1" applyProtection="1"/>
    <xf numFmtId="3" fontId="154" fillId="0" borderId="0" xfId="4" applyNumberFormat="1" applyFont="1" applyAlignment="1" applyProtection="1">
      <alignment horizontal="left"/>
    </xf>
    <xf numFmtId="178" fontId="154" fillId="15" borderId="0" xfId="4" applyFont="1" applyFill="1" applyProtection="1"/>
    <xf numFmtId="178" fontId="154" fillId="0" borderId="0" xfId="4" applyFont="1" applyProtection="1"/>
    <xf numFmtId="178" fontId="153" fillId="10" borderId="0" xfId="4" applyFont="1" applyFill="1" applyAlignment="1" applyProtection="1">
      <alignment vertical="center"/>
    </xf>
    <xf numFmtId="178" fontId="154" fillId="0" borderId="0" xfId="4" applyFont="1" applyAlignment="1" applyProtection="1">
      <alignment vertical="center"/>
    </xf>
    <xf numFmtId="183" fontId="155" fillId="0" borderId="0" xfId="8" applyNumberFormat="1" applyFont="1" applyAlignment="1" applyProtection="1">
      <alignment vertical="center"/>
    </xf>
    <xf numFmtId="178" fontId="155" fillId="0" borderId="0" xfId="4" applyFont="1" applyAlignment="1" applyProtection="1">
      <alignment vertical="center"/>
    </xf>
    <xf numFmtId="178" fontId="151" fillId="0" borderId="0" xfId="4" applyFont="1" applyAlignment="1" applyProtection="1">
      <alignment vertical="center"/>
    </xf>
    <xf numFmtId="9" fontId="154" fillId="0" borderId="0" xfId="8" applyFont="1" applyAlignment="1" applyProtection="1">
      <alignment vertical="center"/>
    </xf>
    <xf numFmtId="178" fontId="156" fillId="5" borderId="0" xfId="4" applyFont="1" applyFill="1" applyProtection="1"/>
    <xf numFmtId="178" fontId="157" fillId="10" borderId="0" xfId="4" applyFont="1" applyFill="1" applyAlignment="1" applyProtection="1">
      <alignment vertical="center"/>
    </xf>
    <xf numFmtId="178" fontId="156" fillId="13" borderId="0" xfId="4" applyFont="1" applyFill="1" applyAlignment="1" applyProtection="1">
      <alignment horizontal="left"/>
    </xf>
    <xf numFmtId="178" fontId="58" fillId="0" borderId="0" xfId="4" applyFont="1" applyProtection="1"/>
    <xf numFmtId="178" fontId="156" fillId="0" borderId="0" xfId="4" applyFont="1" applyAlignment="1" applyProtection="1">
      <alignment horizontal="left"/>
    </xf>
    <xf numFmtId="178" fontId="156" fillId="0" borderId="0" xfId="4" applyFont="1" applyProtection="1"/>
    <xf numFmtId="3" fontId="58" fillId="0" borderId="0" xfId="4" applyNumberFormat="1" applyFont="1" applyAlignment="1" applyProtection="1">
      <alignment horizontal="left"/>
    </xf>
    <xf numFmtId="178" fontId="58" fillId="0" borderId="0" xfId="4" applyFont="1" applyAlignment="1" applyProtection="1">
      <alignment horizontal="left"/>
    </xf>
    <xf numFmtId="178" fontId="58" fillId="0" borderId="0" xfId="4" applyFont="1" applyAlignment="1" applyProtection="1">
      <alignment horizontal="left" indent="1"/>
    </xf>
    <xf numFmtId="3" fontId="156" fillId="13" borderId="0" xfId="4" applyNumberFormat="1" applyFont="1" applyFill="1" applyAlignment="1" applyProtection="1">
      <alignment horizontal="left"/>
    </xf>
    <xf numFmtId="178" fontId="156" fillId="16" borderId="20" xfId="4" applyFont="1" applyFill="1" applyBorder="1" applyProtection="1"/>
    <xf numFmtId="178" fontId="152" fillId="16" borderId="0" xfId="4" applyFont="1" applyFill="1" applyProtection="1"/>
    <xf numFmtId="178" fontId="156" fillId="16" borderId="0" xfId="4" applyFont="1" applyFill="1" applyAlignment="1" applyProtection="1">
      <alignment horizontal="left"/>
    </xf>
    <xf numFmtId="3" fontId="152" fillId="16" borderId="0" xfId="4" applyNumberFormat="1" applyFont="1" applyFill="1" applyProtection="1"/>
    <xf numFmtId="178" fontId="58" fillId="16" borderId="0" xfId="4" applyFont="1" applyFill="1" applyAlignment="1" applyProtection="1">
      <alignment horizontal="left" indent="1"/>
    </xf>
    <xf numFmtId="178" fontId="152" fillId="16" borderId="0" xfId="4" applyFont="1" applyFill="1" applyAlignment="1" applyProtection="1">
      <alignment horizontal="left" indent="1"/>
    </xf>
    <xf numFmtId="178" fontId="152" fillId="16" borderId="21" xfId="4" applyFont="1" applyFill="1" applyBorder="1" applyAlignment="1" applyProtection="1">
      <alignment horizontal="left" indent="1"/>
    </xf>
    <xf numFmtId="178" fontId="152" fillId="0" borderId="0" xfId="4" applyFont="1" applyProtection="1"/>
    <xf numFmtId="178" fontId="58" fillId="16" borderId="20" xfId="4" applyFont="1" applyFill="1" applyBorder="1" applyProtection="1"/>
    <xf numFmtId="178" fontId="58" fillId="16" borderId="0" xfId="4" applyFont="1" applyFill="1" applyProtection="1"/>
    <xf numFmtId="178" fontId="58" fillId="16" borderId="0" xfId="4" applyFont="1" applyFill="1" applyAlignment="1" applyProtection="1">
      <alignment horizontal="left"/>
    </xf>
    <xf numFmtId="178" fontId="58" fillId="16" borderId="21" xfId="4" applyFont="1" applyFill="1" applyBorder="1" applyAlignment="1" applyProtection="1">
      <alignment horizontal="left"/>
    </xf>
    <xf numFmtId="9" fontId="58" fillId="0" borderId="0" xfId="8" applyFont="1" applyProtection="1"/>
    <xf numFmtId="183" fontId="152" fillId="0" borderId="0" xfId="4" applyNumberFormat="1" applyFont="1" applyAlignment="1" applyProtection="1">
      <alignment horizontal="left"/>
    </xf>
    <xf numFmtId="183" fontId="58" fillId="0" borderId="0" xfId="4" applyNumberFormat="1" applyFont="1" applyAlignment="1" applyProtection="1">
      <alignment horizontal="left"/>
    </xf>
    <xf numFmtId="178" fontId="152" fillId="0" borderId="0" xfId="4" applyFont="1" applyAlignment="1" applyProtection="1">
      <alignment horizontal="left"/>
    </xf>
    <xf numFmtId="3" fontId="58" fillId="0" borderId="0" xfId="4" applyNumberFormat="1" applyFont="1" applyProtection="1"/>
    <xf numFmtId="3" fontId="152" fillId="0" borderId="0" xfId="4" applyNumberFormat="1" applyFont="1" applyProtection="1"/>
    <xf numFmtId="3" fontId="58" fillId="5" borderId="0" xfId="12" applyNumberFormat="1" applyFont="1" applyFill="1" applyAlignment="1" applyProtection="1">
      <alignment vertical="center"/>
    </xf>
    <xf numFmtId="178" fontId="156" fillId="13" borderId="0" xfId="4" applyFont="1" applyFill="1" applyProtection="1"/>
    <xf numFmtId="178" fontId="156" fillId="16" borderId="0" xfId="4" applyFont="1" applyFill="1" applyProtection="1"/>
    <xf numFmtId="178" fontId="58" fillId="16" borderId="21" xfId="4" applyFont="1" applyFill="1" applyBorder="1" applyProtection="1"/>
    <xf numFmtId="3" fontId="156" fillId="16" borderId="0" xfId="4" applyNumberFormat="1" applyFont="1" applyFill="1" applyProtection="1"/>
    <xf numFmtId="178" fontId="152" fillId="16" borderId="21" xfId="4" applyFont="1" applyFill="1" applyBorder="1" applyProtection="1"/>
    <xf numFmtId="3" fontId="156" fillId="0" borderId="0" xfId="4" applyNumberFormat="1" applyFont="1" applyProtection="1"/>
    <xf numFmtId="3" fontId="156" fillId="16" borderId="20" xfId="4" applyNumberFormat="1" applyFont="1" applyFill="1" applyBorder="1" applyProtection="1"/>
    <xf numFmtId="178" fontId="156" fillId="16" borderId="21" xfId="4" applyFont="1" applyFill="1" applyBorder="1" applyProtection="1"/>
    <xf numFmtId="178" fontId="58" fillId="0" borderId="0" xfId="4" applyFont="1" applyAlignment="1" applyProtection="1">
      <alignment vertical="center"/>
    </xf>
    <xf numFmtId="178" fontId="156" fillId="5" borderId="0" xfId="4" applyFont="1" applyFill="1" applyAlignment="1" applyProtection="1">
      <alignment vertical="center"/>
    </xf>
    <xf numFmtId="178" fontId="156" fillId="13" borderId="0" xfId="4" applyFont="1" applyFill="1" applyAlignment="1" applyProtection="1">
      <alignment vertical="center"/>
    </xf>
    <xf numFmtId="178" fontId="152" fillId="5" borderId="0" xfId="4" applyFont="1" applyFill="1" applyAlignment="1" applyProtection="1">
      <alignment horizontal="left" vertical="center"/>
    </xf>
    <xf numFmtId="178" fontId="156" fillId="16" borderId="20" xfId="4" applyFont="1" applyFill="1" applyBorder="1" applyAlignment="1" applyProtection="1">
      <alignment vertical="center"/>
    </xf>
    <xf numFmtId="178" fontId="152" fillId="16" borderId="0" xfId="4" applyFont="1" applyFill="1" applyAlignment="1" applyProtection="1">
      <alignment vertical="center"/>
    </xf>
    <xf numFmtId="178" fontId="58" fillId="16" borderId="0" xfId="4" applyFont="1" applyFill="1" applyAlignment="1" applyProtection="1">
      <alignment vertical="center"/>
    </xf>
    <xf numFmtId="3" fontId="156" fillId="16" borderId="0" xfId="4" applyNumberFormat="1" applyFont="1" applyFill="1" applyAlignment="1" applyProtection="1">
      <alignment vertical="center"/>
    </xf>
    <xf numFmtId="178" fontId="156" fillId="16" borderId="0" xfId="4" applyFont="1" applyFill="1" applyAlignment="1" applyProtection="1">
      <alignment vertical="center"/>
    </xf>
    <xf numFmtId="178" fontId="152" fillId="16" borderId="21" xfId="4" applyFont="1" applyFill="1" applyBorder="1" applyAlignment="1" applyProtection="1">
      <alignment vertical="center"/>
    </xf>
    <xf numFmtId="178" fontId="152" fillId="0" borderId="0" xfId="4" applyFont="1" applyAlignment="1" applyProtection="1">
      <alignment vertical="center"/>
    </xf>
    <xf numFmtId="3" fontId="156" fillId="13" borderId="0" xfId="4" applyNumberFormat="1" applyFont="1" applyFill="1" applyAlignment="1" applyProtection="1">
      <alignment vertical="center"/>
    </xf>
    <xf numFmtId="178" fontId="58" fillId="5" borderId="0" xfId="4" applyFont="1" applyFill="1" applyAlignment="1" applyProtection="1">
      <alignment horizontal="right" vertical="center"/>
    </xf>
    <xf numFmtId="178" fontId="58" fillId="16" borderId="0" xfId="4" applyFont="1" applyFill="1" applyAlignment="1" applyProtection="1">
      <alignment horizontal="right" vertical="center"/>
    </xf>
    <xf numFmtId="178" fontId="158" fillId="16" borderId="0" xfId="4" applyFont="1" applyFill="1" applyAlignment="1" applyProtection="1">
      <alignment vertical="center"/>
    </xf>
    <xf numFmtId="178" fontId="156" fillId="0" borderId="0" xfId="4" applyFont="1" applyAlignment="1" applyProtection="1">
      <alignment vertical="center"/>
    </xf>
    <xf numFmtId="181" fontId="152" fillId="0" borderId="0" xfId="4" applyNumberFormat="1" applyFont="1" applyAlignment="1" applyProtection="1">
      <alignment vertical="center"/>
    </xf>
    <xf numFmtId="178" fontId="58" fillId="0" borderId="0" xfId="4" applyFont="1" applyAlignment="1" applyProtection="1">
      <alignment horizontal="left" vertical="center" indent="1"/>
    </xf>
    <xf numFmtId="181" fontId="152" fillId="0" borderId="0" xfId="4" applyNumberFormat="1" applyFont="1" applyAlignment="1" applyProtection="1">
      <alignment horizontal="left" vertical="center" indent="1"/>
    </xf>
    <xf numFmtId="203" fontId="152" fillId="5" borderId="0" xfId="4" applyNumberFormat="1" applyFont="1" applyFill="1" applyAlignment="1" applyProtection="1">
      <alignment vertical="center"/>
    </xf>
    <xf numFmtId="203" fontId="58" fillId="5" borderId="0" xfId="4" applyNumberFormat="1" applyFont="1" applyFill="1" applyAlignment="1" applyProtection="1">
      <alignment vertical="center"/>
    </xf>
    <xf numFmtId="204" fontId="58" fillId="5" borderId="0" xfId="4" applyNumberFormat="1" applyFont="1" applyFill="1" applyAlignment="1" applyProtection="1">
      <alignment vertical="center"/>
    </xf>
    <xf numFmtId="193" fontId="58" fillId="5" borderId="0" xfId="12" applyFont="1" applyFill="1" applyAlignment="1" applyProtection="1">
      <alignment vertical="center"/>
    </xf>
    <xf numFmtId="178" fontId="159" fillId="0" borderId="0" xfId="4" applyFont="1" applyAlignment="1" applyProtection="1">
      <alignment vertical="center"/>
    </xf>
    <xf numFmtId="183" fontId="152" fillId="5" borderId="0" xfId="8" applyNumberFormat="1" applyFont="1" applyFill="1" applyAlignment="1" applyProtection="1">
      <alignment vertical="center"/>
    </xf>
    <xf numFmtId="178" fontId="152" fillId="5" borderId="0" xfId="4" applyFont="1" applyFill="1" applyAlignment="1" applyProtection="1">
      <alignment vertical="center"/>
    </xf>
    <xf numFmtId="183" fontId="152" fillId="16" borderId="0" xfId="8" applyNumberFormat="1" applyFont="1" applyFill="1" applyAlignment="1" applyProtection="1">
      <alignment vertical="center"/>
    </xf>
    <xf numFmtId="183" fontId="152" fillId="16" borderId="21" xfId="4" applyNumberFormat="1" applyFont="1" applyFill="1" applyBorder="1" applyAlignment="1" applyProtection="1">
      <alignment vertical="center"/>
    </xf>
    <xf numFmtId="183" fontId="152" fillId="16" borderId="0" xfId="4" applyNumberFormat="1" applyFont="1" applyFill="1" applyAlignment="1" applyProtection="1">
      <alignment vertical="center"/>
    </xf>
    <xf numFmtId="183" fontId="152" fillId="5" borderId="0" xfId="4" applyNumberFormat="1" applyFont="1" applyFill="1" applyAlignment="1" applyProtection="1">
      <alignment horizontal="left" vertical="center"/>
    </xf>
    <xf numFmtId="178" fontId="58" fillId="16" borderId="20" xfId="4" applyFont="1" applyFill="1" applyBorder="1" applyAlignment="1" applyProtection="1">
      <alignment horizontal="left" vertical="center"/>
    </xf>
    <xf numFmtId="178" fontId="58" fillId="16" borderId="0" xfId="4" applyFont="1" applyFill="1" applyAlignment="1" applyProtection="1">
      <alignment horizontal="left" vertical="center"/>
    </xf>
    <xf numFmtId="37" fontId="58" fillId="5" borderId="0" xfId="13" applyNumberFormat="1" applyFont="1" applyFill="1" applyAlignment="1" applyProtection="1">
      <alignment vertical="center"/>
    </xf>
    <xf numFmtId="183" fontId="58" fillId="5" borderId="0" xfId="13" applyNumberFormat="1" applyFont="1" applyFill="1" applyAlignment="1" applyProtection="1">
      <alignment vertical="center"/>
    </xf>
    <xf numFmtId="178" fontId="58" fillId="16" borderId="20" xfId="4" applyFont="1" applyFill="1" applyBorder="1" applyAlignment="1" applyProtection="1">
      <alignment vertical="center"/>
    </xf>
    <xf numFmtId="178" fontId="152" fillId="16" borderId="21" xfId="4" applyFont="1" applyFill="1" applyBorder="1" applyAlignment="1" applyProtection="1">
      <alignment horizontal="left" vertical="center"/>
    </xf>
    <xf numFmtId="178" fontId="58" fillId="5" borderId="0" xfId="4" applyFont="1" applyFill="1" applyAlignment="1" applyProtection="1">
      <alignment horizontal="left" vertical="center" indent="1"/>
    </xf>
    <xf numFmtId="183" fontId="58" fillId="16" borderId="0" xfId="4" applyNumberFormat="1" applyFont="1" applyFill="1" applyAlignment="1" applyProtection="1">
      <alignment vertical="center"/>
    </xf>
    <xf numFmtId="178" fontId="58" fillId="16" borderId="21" xfId="4" applyFont="1" applyFill="1" applyBorder="1" applyAlignment="1" applyProtection="1">
      <alignment vertical="center"/>
    </xf>
    <xf numFmtId="178" fontId="157" fillId="10" borderId="25" xfId="13" applyNumberFormat="1" applyFont="1" applyFill="1" applyBorder="1" applyAlignment="1" applyProtection="1">
      <alignment horizontal="left" vertical="center"/>
    </xf>
    <xf numFmtId="178" fontId="58" fillId="0" borderId="0" xfId="4" applyFont="1" applyAlignment="1" applyProtection="1">
      <alignment horizontal="left" wrapText="1" indent="1"/>
    </xf>
    <xf numFmtId="178" fontId="156" fillId="0" borderId="0" xfId="4" applyFont="1" applyAlignment="1" applyProtection="1">
      <alignment horizontal="left" indent="1"/>
    </xf>
    <xf numFmtId="183" fontId="160" fillId="5" borderId="0" xfId="8" applyNumberFormat="1" applyFont="1" applyFill="1" applyAlignment="1" applyProtection="1">
      <alignment vertical="center"/>
    </xf>
    <xf numFmtId="183" fontId="58" fillId="5" borderId="0" xfId="8" applyNumberFormat="1" applyFont="1" applyFill="1" applyAlignment="1" applyProtection="1">
      <alignment vertical="center"/>
    </xf>
    <xf numFmtId="0" fontId="156" fillId="15" borderId="0" xfId="4" applyNumberFormat="1" applyFont="1" applyFill="1" applyProtection="1"/>
    <xf numFmtId="0" fontId="21" fillId="0" borderId="0" xfId="8" applyNumberFormat="1" applyFont="1" applyAlignment="1" applyProtection="1">
      <alignment horizontal="right" vertical="center" wrapText="1"/>
    </xf>
    <xf numFmtId="183" fontId="65" fillId="0" borderId="0" xfId="8" applyNumberFormat="1" applyFont="1" applyAlignment="1" applyProtection="1">
      <alignment horizontal="right" vertical="center" wrapText="1"/>
    </xf>
    <xf numFmtId="183" fontId="78" fillId="0" borderId="0" xfId="8" applyNumberFormat="1" applyFont="1" applyAlignment="1" applyProtection="1">
      <alignment horizontal="right" vertical="center" wrapText="1"/>
    </xf>
    <xf numFmtId="183" fontId="78" fillId="13" borderId="0" xfId="8" applyNumberFormat="1" applyFont="1" applyFill="1" applyAlignment="1" applyProtection="1">
      <alignment horizontal="right" vertical="center" wrapText="1"/>
    </xf>
    <xf numFmtId="10" fontId="31" fillId="13" borderId="0" xfId="8" applyNumberFormat="1" applyFont="1" applyFill="1" applyAlignment="1" applyProtection="1">
      <alignment horizontal="right" vertical="center" wrapText="1"/>
    </xf>
    <xf numFmtId="178" fontId="134" fillId="10" borderId="0" xfId="4" applyFont="1" applyFill="1" applyProtection="1"/>
    <xf numFmtId="178" fontId="162" fillId="10" borderId="0" xfId="10" applyFont="1" applyFill="1" applyAlignment="1" applyProtection="1">
      <alignment vertical="center"/>
    </xf>
    <xf numFmtId="178" fontId="30" fillId="10" borderId="0" xfId="10" applyFont="1" applyFill="1" applyAlignment="1" applyProtection="1">
      <alignment vertical="center"/>
    </xf>
    <xf numFmtId="0" fontId="40" fillId="10" borderId="0" xfId="4" applyNumberFormat="1" applyFont="1" applyFill="1" applyAlignment="1" applyProtection="1">
      <alignment horizontal="right" wrapText="1"/>
    </xf>
    <xf numFmtId="191" fontId="39" fillId="13" borderId="0" xfId="8" applyNumberFormat="1" applyFont="1" applyFill="1" applyAlignment="1" applyProtection="1">
      <alignment horizontal="right" vertical="center"/>
    </xf>
    <xf numFmtId="178" fontId="40" fillId="10" borderId="0" xfId="4" applyFont="1" applyFill="1" applyAlignment="1" applyProtection="1">
      <alignment vertical="center"/>
    </xf>
    <xf numFmtId="178" fontId="134" fillId="10" borderId="0" xfId="4" applyFont="1" applyFill="1" applyAlignment="1" applyProtection="1">
      <alignment vertical="center"/>
    </xf>
    <xf numFmtId="0" fontId="5" fillId="2" borderId="0" xfId="1" applyFont="1" applyFill="1" applyAlignment="1" applyProtection="1">
      <alignment vertical="top" wrapText="1"/>
    </xf>
    <xf numFmtId="0" fontId="6" fillId="0" borderId="0" xfId="1" applyFont="1" applyAlignment="1" applyProtection="1">
      <alignment vertical="center"/>
    </xf>
    <xf numFmtId="0" fontId="9" fillId="2" borderId="0" xfId="1" applyFont="1" applyFill="1" applyAlignment="1" applyProtection="1">
      <alignment horizontal="left" vertical="top" wrapText="1"/>
    </xf>
    <xf numFmtId="0" fontId="10" fillId="0" borderId="0" xfId="1" applyAlignment="1" applyProtection="1">
      <alignment vertical="center"/>
    </xf>
    <xf numFmtId="0" fontId="9" fillId="2" borderId="0" xfId="1" applyFont="1" applyFill="1" applyAlignment="1" applyProtection="1">
      <alignment vertical="top" wrapText="1"/>
    </xf>
    <xf numFmtId="178" fontId="20" fillId="8" borderId="1" xfId="4" applyFont="1" applyFill="1" applyBorder="1" applyAlignment="1">
      <alignment horizontal="left" vertical="top"/>
      <protection locked="0"/>
    </xf>
    <xf numFmtId="178" fontId="21" fillId="0" borderId="0" xfId="4" applyFont="1" applyAlignment="1">
      <alignment horizontal="left" vertical="top"/>
      <protection locked="0"/>
    </xf>
    <xf numFmtId="178" fontId="36" fillId="0" borderId="0" xfId="4" applyFont="1" applyAlignment="1" applyProtection="1">
      <alignment horizontal="center"/>
    </xf>
    <xf numFmtId="178" fontId="35" fillId="0" borderId="0" xfId="4" applyFont="1" applyAlignment="1" applyProtection="1">
      <alignment horizontal="center"/>
    </xf>
    <xf numFmtId="178" fontId="27" fillId="2" borderId="9" xfId="7" applyFont="1" applyFill="1" applyBorder="1" applyAlignment="1" applyProtection="1">
      <alignment horizontal="center" vertical="center"/>
    </xf>
    <xf numFmtId="178" fontId="27" fillId="2" borderId="10" xfId="7" applyFont="1" applyFill="1" applyBorder="1" applyAlignment="1" applyProtection="1">
      <alignment horizontal="center" vertical="center"/>
    </xf>
    <xf numFmtId="178" fontId="27" fillId="2" borderId="11" xfId="7" applyFont="1" applyFill="1" applyBorder="1" applyAlignment="1" applyProtection="1">
      <alignment horizontal="center" vertical="center" wrapText="1"/>
    </xf>
    <xf numFmtId="178" fontId="27" fillId="2" borderId="12" xfId="7" applyFont="1" applyFill="1" applyBorder="1" applyAlignment="1" applyProtection="1">
      <alignment horizontal="center" vertical="center" wrapText="1"/>
    </xf>
    <xf numFmtId="178" fontId="27" fillId="2" borderId="0" xfId="7" applyFont="1" applyFill="1" applyAlignment="1" applyProtection="1">
      <alignment horizontal="center" vertical="center" wrapText="1"/>
    </xf>
    <xf numFmtId="178" fontId="27" fillId="2" borderId="13" xfId="7" applyFont="1" applyFill="1" applyBorder="1" applyAlignment="1" applyProtection="1">
      <alignment horizontal="center" vertical="center" wrapText="1"/>
    </xf>
    <xf numFmtId="178" fontId="40" fillId="10" borderId="0" xfId="4" applyFont="1" applyFill="1" applyAlignment="1" applyProtection="1">
      <alignment horizontal="center" vertical="center"/>
    </xf>
    <xf numFmtId="178" fontId="40" fillId="10" borderId="22" xfId="4" applyFont="1" applyFill="1" applyBorder="1" applyAlignment="1" applyProtection="1">
      <alignment horizontal="center" vertical="center"/>
    </xf>
    <xf numFmtId="178" fontId="40" fillId="10" borderId="17" xfId="4" applyFont="1" applyFill="1" applyBorder="1" applyAlignment="1" applyProtection="1">
      <alignment horizontal="center" vertical="center"/>
    </xf>
    <xf numFmtId="178" fontId="40" fillId="10" borderId="0" xfId="4" applyFont="1" applyFill="1" applyAlignment="1" applyProtection="1">
      <alignment horizontal="left" vertical="center"/>
    </xf>
    <xf numFmtId="178" fontId="40" fillId="10" borderId="21" xfId="4" applyFont="1" applyFill="1" applyBorder="1" applyAlignment="1" applyProtection="1">
      <alignment horizontal="left" vertical="center"/>
    </xf>
    <xf numFmtId="178" fontId="40" fillId="10" borderId="22" xfId="4" applyFont="1" applyFill="1" applyBorder="1" applyAlignment="1" applyProtection="1">
      <alignment horizontal="left" vertical="center"/>
    </xf>
    <xf numFmtId="178" fontId="40" fillId="10" borderId="24" xfId="4" applyFont="1" applyFill="1" applyBorder="1" applyAlignment="1" applyProtection="1">
      <alignment horizontal="left" vertical="center"/>
    </xf>
    <xf numFmtId="0" fontId="35" fillId="10" borderId="0" xfId="22" applyFont="1" applyFill="1" applyAlignment="1" applyProtection="1">
      <alignment horizontal="left" vertical="center"/>
    </xf>
    <xf numFmtId="3" fontId="87" fillId="0" borderId="0" xfId="22" applyNumberFormat="1" applyFont="1" applyAlignment="1" applyProtection="1">
      <alignment horizontal="center" vertical="center"/>
    </xf>
    <xf numFmtId="3" fontId="87" fillId="0" borderId="13" xfId="22" applyNumberFormat="1" applyFont="1" applyBorder="1" applyAlignment="1" applyProtection="1">
      <alignment horizontal="center" vertical="center"/>
    </xf>
    <xf numFmtId="3" fontId="87" fillId="17" borderId="0" xfId="22" applyNumberFormat="1" applyFont="1" applyFill="1" applyAlignment="1" applyProtection="1">
      <alignment horizontal="center" vertical="center"/>
    </xf>
    <xf numFmtId="3" fontId="87" fillId="17" borderId="13" xfId="22" applyNumberFormat="1" applyFont="1" applyFill="1" applyBorder="1" applyAlignment="1" applyProtection="1">
      <alignment horizontal="center" vertical="center"/>
    </xf>
    <xf numFmtId="0" fontId="35" fillId="10" borderId="0" xfId="22" applyFont="1" applyFill="1" applyAlignment="1" applyProtection="1">
      <alignment horizontal="center" vertical="center"/>
    </xf>
    <xf numFmtId="178" fontId="26" fillId="0" borderId="0" xfId="0" applyFont="1" applyAlignment="1">
      <alignment horizontal="center" vertical="center"/>
    </xf>
    <xf numFmtId="178" fontId="26" fillId="0" borderId="21" xfId="0" applyFont="1" applyBorder="1" applyAlignment="1">
      <alignment horizontal="center" vertical="center"/>
    </xf>
    <xf numFmtId="178" fontId="38" fillId="0" borderId="0" xfId="0" applyFont="1" applyAlignment="1"/>
    <xf numFmtId="178" fontId="39" fillId="0" borderId="0" xfId="0" applyFont="1" applyAlignment="1">
      <alignment horizontal="center"/>
    </xf>
    <xf numFmtId="178" fontId="39" fillId="0" borderId="11" xfId="0" applyFont="1" applyBorder="1" applyAlignment="1">
      <alignment horizontal="center" vertical="center"/>
    </xf>
    <xf numFmtId="178" fontId="38" fillId="0" borderId="0" xfId="0" applyFont="1" applyAlignment="1">
      <alignment horizontal="center" vertical="center"/>
    </xf>
    <xf numFmtId="178" fontId="103" fillId="10" borderId="0" xfId="0" applyFont="1" applyFill="1" applyAlignment="1">
      <alignment horizontal="center"/>
    </xf>
    <xf numFmtId="178" fontId="103" fillId="10" borderId="0" xfId="0" applyFont="1" applyFill="1" applyAlignment="1">
      <alignment horizontal="center" vertical="center"/>
    </xf>
    <xf numFmtId="178" fontId="117" fillId="10" borderId="0" xfId="0" applyFont="1" applyFill="1" applyAlignment="1">
      <alignment horizontal="center"/>
    </xf>
    <xf numFmtId="178" fontId="40" fillId="10" borderId="0" xfId="0" applyFont="1" applyFill="1" applyAlignment="1">
      <alignment horizontal="left" vertical="center"/>
    </xf>
    <xf numFmtId="178" fontId="40" fillId="10" borderId="0" xfId="0" applyFont="1" applyFill="1" applyAlignment="1">
      <alignment horizontal="center" vertical="center"/>
    </xf>
    <xf numFmtId="178" fontId="40" fillId="10" borderId="0" xfId="0" applyFont="1" applyFill="1" applyAlignment="1">
      <alignment horizontal="center" vertical="center" wrapText="1"/>
    </xf>
    <xf numFmtId="178" fontId="40" fillId="10" borderId="0" xfId="0" applyFont="1" applyFill="1" applyAlignment="1">
      <alignment horizontal="center"/>
    </xf>
    <xf numFmtId="178" fontId="117" fillId="10" borderId="0" xfId="0" applyFont="1" applyFill="1" applyAlignment="1">
      <alignment horizontal="center" vertical="center"/>
    </xf>
    <xf numFmtId="178" fontId="117" fillId="10" borderId="0" xfId="0" applyFont="1" applyFill="1" applyAlignment="1">
      <alignment horizontal="center" vertical="center" wrapText="1"/>
    </xf>
  </cellXfs>
  <cellStyles count="28">
    <cellStyle name="Comma [0]" xfId="13" xr:uid="{00000000-0005-0000-0000-00000D000000}"/>
    <cellStyle name="Hyperlink" xfId="27" xr:uid="{00000000-0005-0000-0000-00001B000000}"/>
    <cellStyle name="百分比" xfId="8" builtinId="5"/>
    <cellStyle name="百分比 2 2" xfId="18" xr:uid="{00000000-0005-0000-0000-000012000000}"/>
    <cellStyle name="百分比 2 2 2" xfId="9" xr:uid="{00000000-0005-0000-0000-000009000000}"/>
    <cellStyle name="百分比 3" xfId="25" xr:uid="{00000000-0005-0000-0000-000019000000}"/>
    <cellStyle name="常规" xfId="0" builtinId="0"/>
    <cellStyle name="常规 10" xfId="1" xr:uid="{00000000-0005-0000-0000-000001000000}"/>
    <cellStyle name="常规 11" xfId="22" xr:uid="{00000000-0005-0000-0000-000016000000}"/>
    <cellStyle name="常规 12 2" xfId="23" xr:uid="{00000000-0005-0000-0000-000017000000}"/>
    <cellStyle name="常规 3 2 2 2 2 2" xfId="3" xr:uid="{00000000-0005-0000-0000-000003000000}"/>
    <cellStyle name="常规 3 2 2 2 2 2 2 2" xfId="20" xr:uid="{00000000-0005-0000-0000-000014000000}"/>
    <cellStyle name="常规 3 2 3 2" xfId="7" xr:uid="{00000000-0005-0000-0000-000007000000}"/>
    <cellStyle name="常规 3 4" xfId="2" xr:uid="{00000000-0005-0000-0000-000002000000}"/>
    <cellStyle name="常规 5" xfId="4" xr:uid="{00000000-0005-0000-0000-000004000000}"/>
    <cellStyle name="常规 5 2 2 2 2" xfId="16" xr:uid="{00000000-0005-0000-0000-000010000000}"/>
    <cellStyle name="常规 7 2 2 2" xfId="19" xr:uid="{00000000-0005-0000-0000-000013000000}"/>
    <cellStyle name="常规_3383.HK Agile 2008.8.20" xfId="6" xr:uid="{00000000-0005-0000-0000-000006000000}"/>
    <cellStyle name="常规_Sheet3" xfId="14" xr:uid="{00000000-0005-0000-0000-00000E000000}"/>
    <cellStyle name="常规_Yutong Auto (3)" xfId="10" xr:uid="{00000000-0005-0000-0000-00000A000000}"/>
    <cellStyle name="千位分隔" xfId="12" builtinId="3"/>
    <cellStyle name="千位分隔 2 2 2 2 2" xfId="17" xr:uid="{00000000-0005-0000-0000-000011000000}"/>
    <cellStyle name="千位分隔 4 2 2 2" xfId="21" xr:uid="{00000000-0005-0000-0000-000015000000}"/>
    <cellStyle name="千位分隔[0]_B Sheet" xfId="15" xr:uid="{00000000-0005-0000-0000-00000F000000}"/>
    <cellStyle name="千位分隔[0]_Yutong Auto (3)" xfId="11" xr:uid="{00000000-0005-0000-0000-00000B000000}"/>
    <cellStyle name="千位分隔_3383.HK Agile 2008.8.20" xfId="5" xr:uid="{00000000-0005-0000-0000-000005000000}"/>
    <cellStyle name="千位分隔_分部数据" xfId="24" xr:uid="{00000000-0005-0000-0000-000018000000}"/>
    <cellStyle name="千位分隔_首次关注附表_1123" xfId="26" xr:uid="{00000000-0005-0000-0000-00001A000000}"/>
  </cellStyles>
  <dxfs count="0"/>
  <tableStyles count="1" defaultTableStyle="TableStyleMedium9" defaultPivotStyle="PivotStyleLight16">
    <tableStyle name="Invisible" pivot="0" table="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27" Type="http://www.wps.cn/officeDocument/2020/cellImage" Target="NUL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BS!$B$95</c:f>
              <c:strCache>
                <c:ptCount val="1"/>
                <c:pt idx="0">
                  <c:v>资产负债率</c:v>
                </c:pt>
              </c:strCache>
            </c:strRef>
          </c:tx>
          <c:spPr>
            <a:ln w="19050">
              <a:solidFill>
                <a:srgbClr val="640000"/>
              </a:solidFill>
            </a:ln>
          </c:spPr>
          <c:marker>
            <c:symbol val="none"/>
          </c:marker>
          <c:cat>
            <c:numRef>
              <c:f>BS!$I$87:$S$87</c:f>
              <c:numCache>
                <c:formatCode>General</c:formatCode>
                <c:ptCount val="6"/>
                <c:pt idx="0">
                  <c:v>2016</c:v>
                </c:pt>
                <c:pt idx="1">
                  <c:v>2017</c:v>
                </c:pt>
                <c:pt idx="2">
                  <c:v>2018</c:v>
                </c:pt>
                <c:pt idx="3">
                  <c:v>2019</c:v>
                </c:pt>
                <c:pt idx="4">
                  <c:v>2020</c:v>
                </c:pt>
                <c:pt idx="5">
                  <c:v>2021</c:v>
                </c:pt>
              </c:numCache>
            </c:numRef>
          </c:cat>
          <c:val>
            <c:numRef>
              <c:f>BS!$I$95:$S$95</c:f>
              <c:numCache>
                <c:formatCode>0.0%</c:formatCode>
                <c:ptCount val="6"/>
                <c:pt idx="0">
                  <c:v>0.70211217490289612</c:v>
                </c:pt>
                <c:pt idx="1">
                  <c:v>0.67546851615024794</c:v>
                </c:pt>
                <c:pt idx="2">
                  <c:v>0.6835322636940685</c:v>
                </c:pt>
                <c:pt idx="3">
                  <c:v>0.68463428244576641</c:v>
                </c:pt>
                <c:pt idx="4">
                  <c:v>0.68802987390907766</c:v>
                </c:pt>
                <c:pt idx="5">
                  <c:v>0.69803477378751366</c:v>
                </c:pt>
              </c:numCache>
            </c:numRef>
          </c:val>
          <c:smooth val="0"/>
          <c:extLst>
            <c:ext xmlns:c16="http://schemas.microsoft.com/office/drawing/2014/chart" uri="{C3380CC4-5D6E-409C-BE32-E72D297353CC}">
              <c16:uniqueId val="{00000000-F337-447C-8FCC-A82E2F2C936E}"/>
            </c:ext>
          </c:extLst>
        </c:ser>
        <c:dLbls>
          <c:showLegendKey val="0"/>
          <c:showVal val="0"/>
          <c:showCatName val="0"/>
          <c:showSerName val="0"/>
          <c:showPercent val="0"/>
          <c:showBubbleSize val="0"/>
        </c:dLbls>
        <c:marker val="1"/>
        <c:smooth val="0"/>
        <c:axId val="546004352"/>
        <c:axId val="546010240"/>
      </c:lineChart>
      <c:lineChart>
        <c:grouping val="standard"/>
        <c:varyColors val="0"/>
        <c:ser>
          <c:idx val="1"/>
          <c:order val="1"/>
          <c:tx>
            <c:strRef>
              <c:f>BS!$B$96</c:f>
              <c:strCache>
                <c:ptCount val="1"/>
                <c:pt idx="0">
                  <c:v>有息负债/总资产（右轴）</c:v>
                </c:pt>
              </c:strCache>
            </c:strRef>
          </c:tx>
          <c:spPr>
            <a:ln w="19050">
              <a:solidFill>
                <a:srgbClr val="B9B8A6"/>
              </a:solidFill>
            </a:ln>
          </c:spPr>
          <c:marker>
            <c:symbol val="none"/>
          </c:marker>
          <c:cat>
            <c:strRef>
              <c:f>BS!$I$2:$S$2</c:f>
              <c:strCache>
                <c:ptCount val="6"/>
                <c:pt idx="0">
                  <c:v>2016A</c:v>
                </c:pt>
                <c:pt idx="1">
                  <c:v>2017A</c:v>
                </c:pt>
                <c:pt idx="2">
                  <c:v>2018A</c:v>
                </c:pt>
                <c:pt idx="3">
                  <c:v>2019A</c:v>
                </c:pt>
                <c:pt idx="4">
                  <c:v>2020A</c:v>
                </c:pt>
                <c:pt idx="5">
                  <c:v>2021A</c:v>
                </c:pt>
              </c:strCache>
            </c:strRef>
          </c:cat>
          <c:val>
            <c:numRef>
              <c:f>BS!$I$96:$S$96</c:f>
              <c:numCache>
                <c:formatCode>0.0%</c:formatCode>
                <c:ptCount val="6"/>
                <c:pt idx="0">
                  <c:v>0.2459373541657274</c:v>
                </c:pt>
                <c:pt idx="1">
                  <c:v>0.24788655163748458</c:v>
                </c:pt>
                <c:pt idx="2">
                  <c:v>0.30149951928081969</c:v>
                </c:pt>
                <c:pt idx="3">
                  <c:v>0.28251475867238823</c:v>
                </c:pt>
                <c:pt idx="4">
                  <c:v>0.29107045431677214</c:v>
                </c:pt>
                <c:pt idx="5">
                  <c:v>0.32074714380649699</c:v>
                </c:pt>
              </c:numCache>
            </c:numRef>
          </c:val>
          <c:smooth val="0"/>
          <c:extLst>
            <c:ext xmlns:c16="http://schemas.microsoft.com/office/drawing/2014/chart" uri="{C3380CC4-5D6E-409C-BE32-E72D297353CC}">
              <c16:uniqueId val="{00000001-F337-447C-8FCC-A82E2F2C936E}"/>
            </c:ext>
          </c:extLst>
        </c:ser>
        <c:dLbls>
          <c:showLegendKey val="0"/>
          <c:showVal val="0"/>
          <c:showCatName val="0"/>
          <c:showSerName val="0"/>
          <c:showPercent val="0"/>
          <c:showBubbleSize val="0"/>
        </c:dLbls>
        <c:marker val="1"/>
        <c:smooth val="0"/>
        <c:axId val="546013568"/>
        <c:axId val="546011776"/>
      </c:lineChart>
      <c:catAx>
        <c:axId val="546004352"/>
        <c:scaling>
          <c:orientation val="minMax"/>
        </c:scaling>
        <c:delete val="0"/>
        <c:axPos val="b"/>
        <c:numFmt formatCode="General" sourceLinked="1"/>
        <c:majorTickMark val="out"/>
        <c:minorTickMark val="none"/>
        <c:tickLblPos val="nextTo"/>
        <c:txPr>
          <a:bodyPr rot="-2700000"/>
          <a:lstStyle/>
          <a:p>
            <a:pPr>
              <a:defRPr sz="800">
                <a:latin typeface="思源黑体 Normal" pitchFamily="34" charset="-122"/>
                <a:ea typeface="思源黑体 Normal" pitchFamily="34" charset="-122"/>
                <a:cs typeface="Arial"/>
              </a:defRPr>
            </a:pPr>
            <a:endParaRPr lang="zh-CN"/>
          </a:p>
        </c:txPr>
        <c:crossAx val="546010240"/>
        <c:crosses val="autoZero"/>
        <c:auto val="1"/>
        <c:lblAlgn val="ctr"/>
        <c:lblOffset val="100"/>
        <c:tickLblSkip val="1"/>
        <c:noMultiLvlLbl val="0"/>
      </c:catAx>
      <c:valAx>
        <c:axId val="546010240"/>
        <c:scaling>
          <c:orientation val="minMax"/>
          <c:min val="0.4"/>
        </c:scaling>
        <c:delete val="0"/>
        <c:axPos val="l"/>
        <c:majorGridlines>
          <c:spPr>
            <a:ln w="9525" cap="flat" cmpd="sng" algn="ctr">
              <a:noFill/>
              <a:prstDash val="solid"/>
              <a:round/>
            </a:ln>
            <a:effectLst/>
          </c:spPr>
        </c:majorGridlines>
        <c:numFmt formatCode="0%" sourceLinked="0"/>
        <c:majorTickMark val="none"/>
        <c:minorTickMark val="none"/>
        <c:tickLblPos val="nextTo"/>
        <c:txPr>
          <a:bodyPr/>
          <a:lstStyle/>
          <a:p>
            <a:pPr>
              <a:defRPr sz="800">
                <a:solidFill>
                  <a:srgbClr val="000000"/>
                </a:solidFill>
                <a:latin typeface="思源黑体 Normal" pitchFamily="34" charset="-122"/>
                <a:ea typeface="思源黑体 Normal" pitchFamily="34" charset="-122"/>
                <a:cs typeface="Arial"/>
              </a:defRPr>
            </a:pPr>
            <a:endParaRPr lang="zh-CN"/>
          </a:p>
        </c:txPr>
        <c:crossAx val="546004352"/>
        <c:crosses val="autoZero"/>
        <c:crossBetween val="between"/>
      </c:valAx>
      <c:valAx>
        <c:axId val="546011776"/>
        <c:scaling>
          <c:orientation val="minMax"/>
        </c:scaling>
        <c:delete val="0"/>
        <c:axPos val="r"/>
        <c:numFmt formatCode="0%" sourceLinked="0"/>
        <c:majorTickMark val="out"/>
        <c:minorTickMark val="none"/>
        <c:tickLblPos val="nextTo"/>
        <c:txPr>
          <a:bodyPr/>
          <a:lstStyle/>
          <a:p>
            <a:pPr>
              <a:defRPr sz="800">
                <a:latin typeface="思源黑体 Normal" pitchFamily="34" charset="-122"/>
                <a:ea typeface="思源黑体 Normal" pitchFamily="34" charset="-122"/>
              </a:defRPr>
            </a:pPr>
            <a:endParaRPr lang="zh-CN"/>
          </a:p>
        </c:txPr>
        <c:crossAx val="546013568"/>
        <c:crosses val="max"/>
        <c:crossBetween val="between"/>
      </c:valAx>
      <c:catAx>
        <c:axId val="546013568"/>
        <c:scaling>
          <c:orientation val="minMax"/>
        </c:scaling>
        <c:delete val="1"/>
        <c:axPos val="b"/>
        <c:numFmt formatCode="General" sourceLinked="1"/>
        <c:majorTickMark val="out"/>
        <c:minorTickMark val="none"/>
        <c:tickLblPos val="nextTo"/>
        <c:crossAx val="546011776"/>
        <c:crosses val="autoZero"/>
        <c:auto val="1"/>
        <c:lblAlgn val="ctr"/>
        <c:lblOffset val="100"/>
        <c:noMultiLvlLbl val="0"/>
      </c:catAx>
      <c:spPr>
        <a:noFill/>
      </c:spPr>
    </c:plotArea>
    <c:legend>
      <c:legendPos val="t"/>
      <c:overlay val="0"/>
      <c:txPr>
        <a:bodyPr/>
        <a:lstStyle/>
        <a:p>
          <a:pPr>
            <a:defRPr sz="800">
              <a:solidFill>
                <a:srgbClr val="000000"/>
              </a:solidFill>
              <a:latin typeface="Arial"/>
              <a:ea typeface="黑体"/>
              <a:cs typeface="Arial"/>
            </a:defRPr>
          </a:pPr>
          <a:endParaRPr lang="zh-CN"/>
        </a:p>
      </c:txPr>
    </c:legend>
    <c:plotVisOnly val="1"/>
    <c:dispBlanksAs val="gap"/>
    <c:showDLblsOverMax val="0"/>
  </c:chart>
  <c:spPr>
    <a:noFill/>
    <a:ln w="9525" cap="flat" cmpd="sng" algn="ctr">
      <a:noFill/>
      <a:prstDash val="solid"/>
      <a:roun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PL!$B$142</c:f>
              <c:strCache>
                <c:ptCount val="1"/>
                <c:pt idx="0">
                  <c:v>总资产周转天数</c:v>
                </c:pt>
              </c:strCache>
            </c:strRef>
          </c:tx>
          <c:spPr>
            <a:ln w="19050">
              <a:solidFill>
                <a:srgbClr val="640000"/>
              </a:solidFill>
            </a:ln>
          </c:spPr>
          <c:marker>
            <c:symbol val="none"/>
          </c:marker>
          <c:cat>
            <c:strRef>
              <c:f>PL!$I$3:$S$3</c:f>
              <c:strCache>
                <c:ptCount val="6"/>
                <c:pt idx="0">
                  <c:v>2016A</c:v>
                </c:pt>
                <c:pt idx="1">
                  <c:v>2017A</c:v>
                </c:pt>
                <c:pt idx="2">
                  <c:v>2018A</c:v>
                </c:pt>
                <c:pt idx="3">
                  <c:v>2019A</c:v>
                </c:pt>
                <c:pt idx="4">
                  <c:v>2020A</c:v>
                </c:pt>
                <c:pt idx="5">
                  <c:v>2021A</c:v>
                </c:pt>
              </c:strCache>
            </c:strRef>
          </c:cat>
          <c:val>
            <c:numRef>
              <c:f>PL!$I$142:$T$142</c:f>
              <c:numCache>
                <c:formatCode>#,##0</c:formatCode>
                <c:ptCount val="7"/>
                <c:pt idx="0">
                  <c:v>629.08247616383039</c:v>
                </c:pt>
                <c:pt idx="1">
                  <c:v>744.85625160161442</c:v>
                </c:pt>
                <c:pt idx="2">
                  <c:v>835.42969940983323</c:v>
                </c:pt>
                <c:pt idx="3">
                  <c:v>880.53230803313102</c:v>
                </c:pt>
                <c:pt idx="4">
                  <c:v>1017.5304471360912</c:v>
                </c:pt>
                <c:pt idx="5">
                  <c:v>958.64495054909992</c:v>
                </c:pt>
                <c:pt idx="6">
                  <c:v>802.00385951436363</c:v>
                </c:pt>
              </c:numCache>
            </c:numRef>
          </c:val>
          <c:smooth val="0"/>
          <c:extLst>
            <c:ext xmlns:c16="http://schemas.microsoft.com/office/drawing/2014/chart" uri="{C3380CC4-5D6E-409C-BE32-E72D297353CC}">
              <c16:uniqueId val="{00000000-E094-4881-8C43-BAEB5F2A28EB}"/>
            </c:ext>
          </c:extLst>
        </c:ser>
        <c:ser>
          <c:idx val="1"/>
          <c:order val="1"/>
          <c:tx>
            <c:strRef>
              <c:f>PL!$B$143</c:f>
              <c:strCache>
                <c:ptCount val="1"/>
                <c:pt idx="0">
                  <c:v>流动资产周转天数</c:v>
                </c:pt>
              </c:strCache>
            </c:strRef>
          </c:tx>
          <c:spPr>
            <a:ln w="19050"/>
          </c:spPr>
          <c:marker>
            <c:symbol val="none"/>
          </c:marker>
          <c:cat>
            <c:strRef>
              <c:f>PL!$I$3:$S$3</c:f>
              <c:strCache>
                <c:ptCount val="6"/>
                <c:pt idx="0">
                  <c:v>2016A</c:v>
                </c:pt>
                <c:pt idx="1">
                  <c:v>2017A</c:v>
                </c:pt>
                <c:pt idx="2">
                  <c:v>2018A</c:v>
                </c:pt>
                <c:pt idx="3">
                  <c:v>2019A</c:v>
                </c:pt>
                <c:pt idx="4">
                  <c:v>2020A</c:v>
                </c:pt>
                <c:pt idx="5">
                  <c:v>2021A</c:v>
                </c:pt>
              </c:strCache>
            </c:strRef>
          </c:cat>
          <c:val>
            <c:numRef>
              <c:f>PL!$I$143:$T$143</c:f>
              <c:numCache>
                <c:formatCode>#,##0</c:formatCode>
                <c:ptCount val="7"/>
                <c:pt idx="0">
                  <c:v>286.58974711425691</c:v>
                </c:pt>
                <c:pt idx="1">
                  <c:v>347.95651864899173</c:v>
                </c:pt>
                <c:pt idx="2">
                  <c:v>379.72333489027068</c:v>
                </c:pt>
                <c:pt idx="3">
                  <c:v>401.76343052253333</c:v>
                </c:pt>
                <c:pt idx="4">
                  <c:v>477.76049769694077</c:v>
                </c:pt>
                <c:pt idx="5">
                  <c:v>476.76372798860439</c:v>
                </c:pt>
                <c:pt idx="6">
                  <c:v>433.34087972215627</c:v>
                </c:pt>
              </c:numCache>
            </c:numRef>
          </c:val>
          <c:smooth val="0"/>
          <c:extLst>
            <c:ext xmlns:c16="http://schemas.microsoft.com/office/drawing/2014/chart" uri="{C3380CC4-5D6E-409C-BE32-E72D297353CC}">
              <c16:uniqueId val="{00000001-E094-4881-8C43-BAEB5F2A28EB}"/>
            </c:ext>
          </c:extLst>
        </c:ser>
        <c:ser>
          <c:idx val="2"/>
          <c:order val="2"/>
          <c:tx>
            <c:strRef>
              <c:f>PL!$B$144</c:f>
              <c:strCache>
                <c:ptCount val="1"/>
                <c:pt idx="0">
                  <c:v>非流动资产周转天数</c:v>
                </c:pt>
              </c:strCache>
            </c:strRef>
          </c:tx>
          <c:spPr>
            <a:ln w="19050"/>
          </c:spPr>
          <c:marker>
            <c:symbol val="none"/>
          </c:marker>
          <c:cat>
            <c:strRef>
              <c:f>PL!$I$3:$S$3</c:f>
              <c:strCache>
                <c:ptCount val="6"/>
                <c:pt idx="0">
                  <c:v>2016A</c:v>
                </c:pt>
                <c:pt idx="1">
                  <c:v>2017A</c:v>
                </c:pt>
                <c:pt idx="2">
                  <c:v>2018A</c:v>
                </c:pt>
                <c:pt idx="3">
                  <c:v>2019A</c:v>
                </c:pt>
                <c:pt idx="4">
                  <c:v>2020A</c:v>
                </c:pt>
                <c:pt idx="5">
                  <c:v>2021A</c:v>
                </c:pt>
              </c:strCache>
            </c:strRef>
          </c:cat>
          <c:val>
            <c:numRef>
              <c:f>PL!$I$144:$T$144</c:f>
              <c:numCache>
                <c:formatCode>#,##0</c:formatCode>
                <c:ptCount val="7"/>
                <c:pt idx="0">
                  <c:v>342.49272904957348</c:v>
                </c:pt>
                <c:pt idx="1">
                  <c:v>396.89973295262268</c:v>
                </c:pt>
                <c:pt idx="2">
                  <c:v>455.70636451956256</c:v>
                </c:pt>
                <c:pt idx="3">
                  <c:v>478.76887751059763</c:v>
                </c:pt>
                <c:pt idx="4">
                  <c:v>539.76994943915042</c:v>
                </c:pt>
                <c:pt idx="5">
                  <c:v>481.88122256049553</c:v>
                </c:pt>
                <c:pt idx="6">
                  <c:v>368.66297979220747</c:v>
                </c:pt>
              </c:numCache>
            </c:numRef>
          </c:val>
          <c:smooth val="0"/>
          <c:extLst>
            <c:ext xmlns:c16="http://schemas.microsoft.com/office/drawing/2014/chart" uri="{C3380CC4-5D6E-409C-BE32-E72D297353CC}">
              <c16:uniqueId val="{00000002-E094-4881-8C43-BAEB5F2A28EB}"/>
            </c:ext>
          </c:extLst>
        </c:ser>
        <c:dLbls>
          <c:showLegendKey val="0"/>
          <c:showVal val="0"/>
          <c:showCatName val="0"/>
          <c:showSerName val="0"/>
          <c:showPercent val="0"/>
          <c:showBubbleSize val="0"/>
        </c:dLbls>
        <c:smooth val="0"/>
        <c:axId val="579451904"/>
        <c:axId val="579453696"/>
      </c:lineChart>
      <c:catAx>
        <c:axId val="579451904"/>
        <c:scaling>
          <c:orientation val="minMax"/>
        </c:scaling>
        <c:delete val="0"/>
        <c:axPos val="b"/>
        <c:numFmt formatCode="General" sourceLinked="0"/>
        <c:majorTickMark val="out"/>
        <c:minorTickMark val="none"/>
        <c:tickLblPos val="nextTo"/>
        <c:txPr>
          <a:bodyPr/>
          <a:lstStyle/>
          <a:p>
            <a:pPr>
              <a:defRPr sz="800">
                <a:latin typeface="Arial"/>
                <a:ea typeface="Arial"/>
                <a:cs typeface="Arial"/>
              </a:defRPr>
            </a:pPr>
            <a:endParaRPr lang="zh-CN"/>
          </a:p>
        </c:txPr>
        <c:crossAx val="579453696"/>
        <c:crosses val="autoZero"/>
        <c:auto val="1"/>
        <c:lblAlgn val="ctr"/>
        <c:lblOffset val="100"/>
        <c:noMultiLvlLbl val="0"/>
      </c:catAx>
      <c:valAx>
        <c:axId val="579453696"/>
        <c:scaling>
          <c:orientation val="minMax"/>
        </c:scaling>
        <c:delete val="0"/>
        <c:axPos val="l"/>
        <c:majorGridlines>
          <c:spPr>
            <a:ln w="9525" cap="flat" cmpd="sng" algn="ctr">
              <a:noFill/>
              <a:prstDash val="solid"/>
              <a:round/>
            </a:ln>
            <a:effectLst/>
          </c:spPr>
        </c:majorGridlines>
        <c:numFmt formatCode="#,##0" sourceLinked="1"/>
        <c:majorTickMark val="none"/>
        <c:minorTickMark val="none"/>
        <c:tickLblPos val="nextTo"/>
        <c:txPr>
          <a:bodyPr/>
          <a:lstStyle/>
          <a:p>
            <a:pPr>
              <a:defRPr sz="800">
                <a:solidFill>
                  <a:srgbClr val="000000"/>
                </a:solidFill>
                <a:latin typeface="Arial"/>
                <a:ea typeface="Arial"/>
                <a:cs typeface="Arial"/>
              </a:defRPr>
            </a:pPr>
            <a:endParaRPr lang="zh-CN"/>
          </a:p>
        </c:txPr>
        <c:crossAx val="579451904"/>
        <c:crosses val="autoZero"/>
        <c:crossBetween val="between"/>
      </c:valAx>
      <c:spPr>
        <a:noFill/>
      </c:spPr>
    </c:plotArea>
    <c:legend>
      <c:legendPos val="t"/>
      <c:overlay val="0"/>
      <c:txPr>
        <a:bodyPr/>
        <a:lstStyle/>
        <a:p>
          <a:pPr>
            <a:defRPr sz="800">
              <a:solidFill>
                <a:srgbClr val="000000"/>
              </a:solidFill>
              <a:latin typeface="Arial"/>
              <a:ea typeface="黑体"/>
              <a:cs typeface="Arial"/>
            </a:defRPr>
          </a:pPr>
          <a:endParaRPr lang="zh-CN"/>
        </a:p>
      </c:txPr>
    </c:legend>
    <c:plotVisOnly val="1"/>
    <c:dispBlanksAs val="gap"/>
    <c:showDLblsOverMax val="0"/>
  </c:chart>
  <c:spPr>
    <a:noFill/>
    <a:ln w="9525" cap="flat" cmpd="sng" algn="ctr">
      <a:noFill/>
      <a:prstDash val="solid"/>
      <a:roun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446574074074076"/>
          <c:y val="0.18136064814814815"/>
          <c:w val="0.8084972222222222"/>
          <c:h val="0.64150601851851852"/>
        </c:manualLayout>
      </c:layout>
      <c:barChart>
        <c:barDir val="col"/>
        <c:grouping val="clustered"/>
        <c:varyColors val="0"/>
        <c:ser>
          <c:idx val="0"/>
          <c:order val="0"/>
          <c:tx>
            <c:strRef>
              <c:f>Financing!$B$40</c:f>
              <c:strCache>
                <c:ptCount val="1"/>
                <c:pt idx="0">
                  <c:v>有息负债余额</c:v>
                </c:pt>
              </c:strCache>
            </c:strRef>
          </c:tx>
          <c:spPr>
            <a:solidFill>
              <a:schemeClr val="bg1">
                <a:lumMod val="75000"/>
              </a:schemeClr>
            </a:solidFill>
          </c:spPr>
          <c:invertIfNegative val="0"/>
          <c:cat>
            <c:numRef>
              <c:f>Financing!$I$39:$S$39</c:f>
              <c:numCache>
                <c:formatCode>General</c:formatCode>
                <c:ptCount val="6"/>
                <c:pt idx="0">
                  <c:v>2016</c:v>
                </c:pt>
                <c:pt idx="1">
                  <c:v>2017</c:v>
                </c:pt>
                <c:pt idx="2">
                  <c:v>2018</c:v>
                </c:pt>
                <c:pt idx="3">
                  <c:v>2019</c:v>
                </c:pt>
                <c:pt idx="4">
                  <c:v>2020</c:v>
                </c:pt>
                <c:pt idx="5">
                  <c:v>2021</c:v>
                </c:pt>
              </c:numCache>
            </c:numRef>
          </c:cat>
          <c:val>
            <c:numRef>
              <c:f>Financing!$I$40:$S$40</c:f>
              <c:numCache>
                <c:formatCode>#,##0</c:formatCode>
                <c:ptCount val="6"/>
                <c:pt idx="0">
                  <c:v>21193.514999999999</c:v>
                </c:pt>
                <c:pt idx="1">
                  <c:v>29379.085999999999</c:v>
                </c:pt>
                <c:pt idx="2">
                  <c:v>41040.744999999995</c:v>
                </c:pt>
                <c:pt idx="3">
                  <c:v>45604.635000000002</c:v>
                </c:pt>
                <c:pt idx="4">
                  <c:v>54375.252</c:v>
                </c:pt>
                <c:pt idx="5">
                  <c:v>70334.853000000003</c:v>
                </c:pt>
              </c:numCache>
            </c:numRef>
          </c:val>
          <c:extLst>
            <c:ext xmlns:c16="http://schemas.microsoft.com/office/drawing/2014/chart" uri="{C3380CC4-5D6E-409C-BE32-E72D297353CC}">
              <c16:uniqueId val="{00000000-BAD7-467B-8F69-F392C088F9CD}"/>
            </c:ext>
          </c:extLst>
        </c:ser>
        <c:dLbls>
          <c:showLegendKey val="0"/>
          <c:showVal val="0"/>
          <c:showCatName val="0"/>
          <c:showSerName val="0"/>
          <c:showPercent val="0"/>
          <c:showBubbleSize val="0"/>
        </c:dLbls>
        <c:gapWidth val="150"/>
        <c:axId val="579572096"/>
        <c:axId val="579573632"/>
      </c:barChart>
      <c:lineChart>
        <c:grouping val="standard"/>
        <c:varyColors val="0"/>
        <c:ser>
          <c:idx val="1"/>
          <c:order val="1"/>
          <c:tx>
            <c:strRef>
              <c:f>Financing!$B$44</c:f>
              <c:strCache>
                <c:ptCount val="1"/>
                <c:pt idx="0">
                  <c:v>YoY</c:v>
                </c:pt>
              </c:strCache>
            </c:strRef>
          </c:tx>
          <c:spPr>
            <a:ln w="19050"/>
          </c:spPr>
          <c:marker>
            <c:symbol val="none"/>
          </c:marker>
          <c:cat>
            <c:numRef>
              <c:f>Financing!$I$39:$S$39</c:f>
              <c:numCache>
                <c:formatCode>General</c:formatCode>
                <c:ptCount val="6"/>
                <c:pt idx="0">
                  <c:v>2016</c:v>
                </c:pt>
                <c:pt idx="1">
                  <c:v>2017</c:v>
                </c:pt>
                <c:pt idx="2">
                  <c:v>2018</c:v>
                </c:pt>
                <c:pt idx="3">
                  <c:v>2019</c:v>
                </c:pt>
                <c:pt idx="4">
                  <c:v>2020</c:v>
                </c:pt>
                <c:pt idx="5">
                  <c:v>2021</c:v>
                </c:pt>
              </c:numCache>
            </c:numRef>
          </c:cat>
          <c:val>
            <c:numRef>
              <c:f>Financing!$I$44:$S$44</c:f>
              <c:numCache>
                <c:formatCode>0.0%</c:formatCode>
                <c:ptCount val="6"/>
                <c:pt idx="0">
                  <c:v>0.19244140043783875</c:v>
                </c:pt>
                <c:pt idx="1">
                  <c:v>0.38622998591786217</c:v>
                </c:pt>
                <c:pt idx="2">
                  <c:v>0.39693743365603673</c:v>
                </c:pt>
                <c:pt idx="3">
                  <c:v>0.11120387799977816</c:v>
                </c:pt>
                <c:pt idx="4">
                  <c:v>0.19231854393747483</c:v>
                </c:pt>
                <c:pt idx="5">
                  <c:v>0.29350854318799291</c:v>
                </c:pt>
              </c:numCache>
            </c:numRef>
          </c:val>
          <c:smooth val="0"/>
          <c:extLst>
            <c:ext xmlns:c16="http://schemas.microsoft.com/office/drawing/2014/chart" uri="{C3380CC4-5D6E-409C-BE32-E72D297353CC}">
              <c16:uniqueId val="{00000001-BAD7-467B-8F69-F392C088F9CD}"/>
            </c:ext>
          </c:extLst>
        </c:ser>
        <c:dLbls>
          <c:showLegendKey val="0"/>
          <c:showVal val="0"/>
          <c:showCatName val="0"/>
          <c:showSerName val="0"/>
          <c:showPercent val="0"/>
          <c:showBubbleSize val="0"/>
        </c:dLbls>
        <c:marker val="1"/>
        <c:smooth val="0"/>
        <c:axId val="579581056"/>
        <c:axId val="579575168"/>
      </c:lineChart>
      <c:catAx>
        <c:axId val="579572096"/>
        <c:scaling>
          <c:orientation val="minMax"/>
        </c:scaling>
        <c:delete val="0"/>
        <c:axPos val="b"/>
        <c:numFmt formatCode="General" sourceLinked="1"/>
        <c:majorTickMark val="out"/>
        <c:minorTickMark val="none"/>
        <c:tickLblPos val="nextTo"/>
        <c:txPr>
          <a:bodyPr rot="-5400000" vert="horz"/>
          <a:lstStyle/>
          <a:p>
            <a:pPr>
              <a:defRPr sz="800">
                <a:latin typeface="Arial"/>
                <a:ea typeface="Arial"/>
                <a:cs typeface="Arial"/>
              </a:defRPr>
            </a:pPr>
            <a:endParaRPr lang="zh-CN"/>
          </a:p>
        </c:txPr>
        <c:crossAx val="579573632"/>
        <c:crosses val="autoZero"/>
        <c:auto val="1"/>
        <c:lblAlgn val="ctr"/>
        <c:lblOffset val="100"/>
        <c:noMultiLvlLbl val="0"/>
      </c:catAx>
      <c:valAx>
        <c:axId val="579573632"/>
        <c:scaling>
          <c:orientation val="minMax"/>
        </c:scaling>
        <c:delete val="0"/>
        <c:axPos val="l"/>
        <c:majorGridlines>
          <c:spPr>
            <a:ln w="9525" cap="flat" cmpd="sng" algn="ctr">
              <a:noFill/>
              <a:prstDash val="solid"/>
              <a:round/>
            </a:ln>
            <a:effectLst/>
          </c:spPr>
        </c:majorGridlines>
        <c:numFmt formatCode="#,##0" sourceLinked="1"/>
        <c:majorTickMark val="none"/>
        <c:minorTickMark val="none"/>
        <c:tickLblPos val="nextTo"/>
        <c:txPr>
          <a:bodyPr/>
          <a:lstStyle/>
          <a:p>
            <a:pPr>
              <a:defRPr sz="800">
                <a:solidFill>
                  <a:srgbClr val="000000"/>
                </a:solidFill>
                <a:latin typeface="思源黑体 ExtraLight" pitchFamily="34" charset="-122"/>
                <a:ea typeface="思源黑体 ExtraLight" pitchFamily="34" charset="-122"/>
                <a:cs typeface="Arial"/>
              </a:defRPr>
            </a:pPr>
            <a:endParaRPr lang="zh-CN"/>
          </a:p>
        </c:txPr>
        <c:crossAx val="579572096"/>
        <c:crosses val="autoZero"/>
        <c:crossBetween val="between"/>
      </c:valAx>
      <c:valAx>
        <c:axId val="579575168"/>
        <c:scaling>
          <c:orientation val="minMax"/>
        </c:scaling>
        <c:delete val="0"/>
        <c:axPos val="r"/>
        <c:numFmt formatCode="0%" sourceLinked="0"/>
        <c:majorTickMark val="out"/>
        <c:minorTickMark val="none"/>
        <c:tickLblPos val="nextTo"/>
        <c:txPr>
          <a:bodyPr/>
          <a:lstStyle/>
          <a:p>
            <a:pPr>
              <a:defRPr sz="800">
                <a:latin typeface="思源黑体 Normal" pitchFamily="34" charset="-122"/>
                <a:ea typeface="思源黑体 Normal" pitchFamily="34" charset="-122"/>
              </a:defRPr>
            </a:pPr>
            <a:endParaRPr lang="zh-CN"/>
          </a:p>
        </c:txPr>
        <c:crossAx val="579581056"/>
        <c:crosses val="max"/>
        <c:crossBetween val="between"/>
      </c:valAx>
      <c:catAx>
        <c:axId val="579581056"/>
        <c:scaling>
          <c:orientation val="minMax"/>
        </c:scaling>
        <c:delete val="1"/>
        <c:axPos val="b"/>
        <c:numFmt formatCode="General" sourceLinked="1"/>
        <c:majorTickMark val="out"/>
        <c:minorTickMark val="none"/>
        <c:tickLblPos val="nextTo"/>
        <c:crossAx val="579575168"/>
        <c:crosses val="autoZero"/>
        <c:auto val="1"/>
        <c:lblAlgn val="ctr"/>
        <c:lblOffset val="100"/>
        <c:noMultiLvlLbl val="0"/>
      </c:catAx>
      <c:spPr>
        <a:noFill/>
      </c:spPr>
    </c:plotArea>
    <c:legend>
      <c:legendPos val="t"/>
      <c:overlay val="0"/>
      <c:txPr>
        <a:bodyPr/>
        <a:lstStyle/>
        <a:p>
          <a:pPr>
            <a:defRPr sz="800">
              <a:solidFill>
                <a:srgbClr val="000000"/>
              </a:solidFill>
              <a:latin typeface="Arial"/>
              <a:ea typeface="黑体"/>
              <a:cs typeface="Arial"/>
            </a:defRPr>
          </a:pPr>
          <a:endParaRPr lang="zh-CN"/>
        </a:p>
      </c:txPr>
    </c:legend>
    <c:plotVisOnly val="1"/>
    <c:dispBlanksAs val="gap"/>
    <c:showDLblsOverMax val="0"/>
  </c:chart>
  <c:spPr>
    <a:noFill/>
    <a:ln w="9525" cap="flat" cmpd="sng" algn="ctr">
      <a:noFill/>
      <a:prstDash val="solid"/>
      <a:roun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446574074074076"/>
          <c:y val="0.18136064814814815"/>
          <c:w val="0.8084972222222222"/>
          <c:h val="0.64150601851851852"/>
        </c:manualLayout>
      </c:layout>
      <c:barChart>
        <c:barDir val="col"/>
        <c:grouping val="percentStacked"/>
        <c:varyColors val="0"/>
        <c:ser>
          <c:idx val="0"/>
          <c:order val="0"/>
          <c:tx>
            <c:strRef>
              <c:f>Financing!$B$41</c:f>
              <c:strCache>
                <c:ptCount val="1"/>
                <c:pt idx="0">
                  <c:v>长期借款</c:v>
                </c:pt>
              </c:strCache>
            </c:strRef>
          </c:tx>
          <c:spPr>
            <a:solidFill>
              <a:schemeClr val="bg1">
                <a:lumMod val="75000"/>
              </a:schemeClr>
            </a:solidFill>
          </c:spPr>
          <c:invertIfNegative val="0"/>
          <c:cat>
            <c:numRef>
              <c:f>Financing!$I$39:$S$39</c:f>
              <c:numCache>
                <c:formatCode>General</c:formatCode>
                <c:ptCount val="6"/>
                <c:pt idx="0">
                  <c:v>2016</c:v>
                </c:pt>
                <c:pt idx="1">
                  <c:v>2017</c:v>
                </c:pt>
                <c:pt idx="2">
                  <c:v>2018</c:v>
                </c:pt>
                <c:pt idx="3">
                  <c:v>2019</c:v>
                </c:pt>
                <c:pt idx="4">
                  <c:v>2020</c:v>
                </c:pt>
                <c:pt idx="5">
                  <c:v>2021</c:v>
                </c:pt>
              </c:numCache>
            </c:numRef>
          </c:cat>
          <c:val>
            <c:numRef>
              <c:f>Financing!$I$41:$S$41</c:f>
              <c:numCache>
                <c:formatCode>#,##0</c:formatCode>
                <c:ptCount val="6"/>
                <c:pt idx="0">
                  <c:v>15849.056</c:v>
                </c:pt>
                <c:pt idx="1">
                  <c:v>20592.442999999999</c:v>
                </c:pt>
                <c:pt idx="2">
                  <c:v>32033.95</c:v>
                </c:pt>
                <c:pt idx="3">
                  <c:v>29347.618000000002</c:v>
                </c:pt>
                <c:pt idx="4">
                  <c:v>35488.760999999999</c:v>
                </c:pt>
                <c:pt idx="5">
                  <c:v>47848.334999999999</c:v>
                </c:pt>
              </c:numCache>
            </c:numRef>
          </c:val>
          <c:extLst>
            <c:ext xmlns:c16="http://schemas.microsoft.com/office/drawing/2014/chart" uri="{C3380CC4-5D6E-409C-BE32-E72D297353CC}">
              <c16:uniqueId val="{00000000-E822-4A0E-8BEF-12B50C8E9C31}"/>
            </c:ext>
          </c:extLst>
        </c:ser>
        <c:ser>
          <c:idx val="1"/>
          <c:order val="1"/>
          <c:tx>
            <c:strRef>
              <c:f>Financing!$B$42</c:f>
              <c:strCache>
                <c:ptCount val="1"/>
                <c:pt idx="0">
                  <c:v>短期借款</c:v>
                </c:pt>
              </c:strCache>
            </c:strRef>
          </c:tx>
          <c:invertIfNegative val="0"/>
          <c:cat>
            <c:numRef>
              <c:f>Financing!$I$39:$S$39</c:f>
              <c:numCache>
                <c:formatCode>General</c:formatCode>
                <c:ptCount val="6"/>
                <c:pt idx="0">
                  <c:v>2016</c:v>
                </c:pt>
                <c:pt idx="1">
                  <c:v>2017</c:v>
                </c:pt>
                <c:pt idx="2">
                  <c:v>2018</c:v>
                </c:pt>
                <c:pt idx="3">
                  <c:v>2019</c:v>
                </c:pt>
                <c:pt idx="4">
                  <c:v>2020</c:v>
                </c:pt>
                <c:pt idx="5">
                  <c:v>2021</c:v>
                </c:pt>
              </c:numCache>
            </c:numRef>
          </c:cat>
          <c:val>
            <c:numRef>
              <c:f>Financing!$I$42:$S$42</c:f>
              <c:numCache>
                <c:formatCode>#,##0</c:formatCode>
                <c:ptCount val="6"/>
                <c:pt idx="0">
                  <c:v>1455.62</c:v>
                </c:pt>
                <c:pt idx="1">
                  <c:v>2580.59</c:v>
                </c:pt>
                <c:pt idx="2">
                  <c:v>2795.8319999999999</c:v>
                </c:pt>
                <c:pt idx="3">
                  <c:v>10040.968000000001</c:v>
                </c:pt>
                <c:pt idx="4">
                  <c:v>9707.491</c:v>
                </c:pt>
                <c:pt idx="5">
                  <c:v>10104.945</c:v>
                </c:pt>
              </c:numCache>
            </c:numRef>
          </c:val>
          <c:extLst>
            <c:ext xmlns:c16="http://schemas.microsoft.com/office/drawing/2014/chart" uri="{C3380CC4-5D6E-409C-BE32-E72D297353CC}">
              <c16:uniqueId val="{00000001-E822-4A0E-8BEF-12B50C8E9C31}"/>
            </c:ext>
          </c:extLst>
        </c:ser>
        <c:ser>
          <c:idx val="2"/>
          <c:order val="2"/>
          <c:tx>
            <c:strRef>
              <c:f>Financing!$B$43</c:f>
              <c:strCache>
                <c:ptCount val="1"/>
                <c:pt idx="0">
                  <c:v>应付担保票据</c:v>
                </c:pt>
              </c:strCache>
            </c:strRef>
          </c:tx>
          <c:invertIfNegative val="0"/>
          <c:cat>
            <c:numRef>
              <c:f>Financing!$I$39:$S$39</c:f>
              <c:numCache>
                <c:formatCode>General</c:formatCode>
                <c:ptCount val="6"/>
                <c:pt idx="0">
                  <c:v>2016</c:v>
                </c:pt>
                <c:pt idx="1">
                  <c:v>2017</c:v>
                </c:pt>
                <c:pt idx="2">
                  <c:v>2018</c:v>
                </c:pt>
                <c:pt idx="3">
                  <c:v>2019</c:v>
                </c:pt>
                <c:pt idx="4">
                  <c:v>2020</c:v>
                </c:pt>
                <c:pt idx="5">
                  <c:v>2021</c:v>
                </c:pt>
              </c:numCache>
            </c:numRef>
          </c:cat>
          <c:val>
            <c:numRef>
              <c:f>Financing!$I$43:$S$43</c:f>
              <c:numCache>
                <c:formatCode>#,##0</c:formatCode>
                <c:ptCount val="6"/>
                <c:pt idx="0">
                  <c:v>3888.8389999999999</c:v>
                </c:pt>
                <c:pt idx="1">
                  <c:v>6206.0529999999999</c:v>
                </c:pt>
                <c:pt idx="2">
                  <c:v>6210.9629999999997</c:v>
                </c:pt>
                <c:pt idx="3">
                  <c:v>6216.049</c:v>
                </c:pt>
                <c:pt idx="4">
                  <c:v>9179</c:v>
                </c:pt>
                <c:pt idx="5">
                  <c:v>16667.727999999999</c:v>
                </c:pt>
              </c:numCache>
            </c:numRef>
          </c:val>
          <c:extLst>
            <c:ext xmlns:c16="http://schemas.microsoft.com/office/drawing/2014/chart" uri="{C3380CC4-5D6E-409C-BE32-E72D297353CC}">
              <c16:uniqueId val="{00000002-E822-4A0E-8BEF-12B50C8E9C31}"/>
            </c:ext>
          </c:extLst>
        </c:ser>
        <c:dLbls>
          <c:showLegendKey val="0"/>
          <c:showVal val="0"/>
          <c:showCatName val="0"/>
          <c:showSerName val="0"/>
          <c:showPercent val="0"/>
          <c:showBubbleSize val="0"/>
        </c:dLbls>
        <c:gapWidth val="150"/>
        <c:overlap val="100"/>
        <c:axId val="541789568"/>
        <c:axId val="541807744"/>
      </c:barChart>
      <c:catAx>
        <c:axId val="541789568"/>
        <c:scaling>
          <c:orientation val="minMax"/>
        </c:scaling>
        <c:delete val="0"/>
        <c:axPos val="b"/>
        <c:numFmt formatCode="General" sourceLinked="1"/>
        <c:majorTickMark val="out"/>
        <c:minorTickMark val="none"/>
        <c:tickLblPos val="nextTo"/>
        <c:txPr>
          <a:bodyPr rot="-5400000" vert="horz"/>
          <a:lstStyle/>
          <a:p>
            <a:pPr>
              <a:defRPr sz="800">
                <a:latin typeface="Arial"/>
                <a:ea typeface="Arial"/>
                <a:cs typeface="Arial"/>
              </a:defRPr>
            </a:pPr>
            <a:endParaRPr lang="zh-CN"/>
          </a:p>
        </c:txPr>
        <c:crossAx val="541807744"/>
        <c:crosses val="autoZero"/>
        <c:auto val="1"/>
        <c:lblAlgn val="ctr"/>
        <c:lblOffset val="100"/>
        <c:noMultiLvlLbl val="0"/>
      </c:catAx>
      <c:valAx>
        <c:axId val="541807744"/>
        <c:scaling>
          <c:orientation val="minMax"/>
        </c:scaling>
        <c:delete val="0"/>
        <c:axPos val="l"/>
        <c:majorGridlines>
          <c:spPr>
            <a:ln w="9525" cap="flat" cmpd="sng" algn="ctr">
              <a:noFill/>
              <a:prstDash val="solid"/>
              <a:round/>
            </a:ln>
            <a:effectLst/>
          </c:spPr>
        </c:majorGridlines>
        <c:numFmt formatCode="0%" sourceLinked="1"/>
        <c:majorTickMark val="none"/>
        <c:minorTickMark val="none"/>
        <c:tickLblPos val="nextTo"/>
        <c:txPr>
          <a:bodyPr/>
          <a:lstStyle/>
          <a:p>
            <a:pPr>
              <a:defRPr sz="800">
                <a:solidFill>
                  <a:srgbClr val="000000"/>
                </a:solidFill>
                <a:latin typeface="Arial"/>
                <a:ea typeface="Arial"/>
                <a:cs typeface="Arial"/>
              </a:defRPr>
            </a:pPr>
            <a:endParaRPr lang="zh-CN"/>
          </a:p>
        </c:txPr>
        <c:crossAx val="541789568"/>
        <c:crosses val="autoZero"/>
        <c:crossBetween val="between"/>
      </c:valAx>
      <c:spPr>
        <a:noFill/>
      </c:spPr>
    </c:plotArea>
    <c:legend>
      <c:legendPos val="t"/>
      <c:overlay val="0"/>
      <c:txPr>
        <a:bodyPr/>
        <a:lstStyle/>
        <a:p>
          <a:pPr>
            <a:defRPr sz="800">
              <a:solidFill>
                <a:srgbClr val="000000"/>
              </a:solidFill>
              <a:latin typeface="Arial"/>
              <a:ea typeface="黑体"/>
              <a:cs typeface="Arial"/>
            </a:defRPr>
          </a:pPr>
          <a:endParaRPr lang="zh-CN"/>
        </a:p>
      </c:txPr>
    </c:legend>
    <c:plotVisOnly val="1"/>
    <c:dispBlanksAs val="gap"/>
    <c:showDLblsOverMax val="0"/>
  </c:chart>
  <c:spPr>
    <a:noFill/>
    <a:ln w="9525" cap="flat" cmpd="sng" algn="ctr">
      <a:noFill/>
      <a:prstDash val="solid"/>
      <a:roun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446574074074076"/>
          <c:y val="0.16372175925925925"/>
          <c:w val="0.78889845679012349"/>
          <c:h val="0.65914490740740739"/>
        </c:manualLayout>
      </c:layout>
      <c:lineChart>
        <c:grouping val="standard"/>
        <c:varyColors val="0"/>
        <c:ser>
          <c:idx val="0"/>
          <c:order val="0"/>
          <c:tx>
            <c:strRef>
              <c:f>Financing!$B$45</c:f>
              <c:strCache>
                <c:ptCount val="1"/>
                <c:pt idx="0">
                  <c:v>财务费用隐含实际利率</c:v>
                </c:pt>
              </c:strCache>
            </c:strRef>
          </c:tx>
          <c:spPr>
            <a:ln w="19050">
              <a:solidFill>
                <a:srgbClr val="640000"/>
              </a:solidFill>
            </a:ln>
          </c:spPr>
          <c:marker>
            <c:symbol val="none"/>
          </c:marker>
          <c:cat>
            <c:numRef>
              <c:f>Financing!$I$39:$S$39</c:f>
              <c:numCache>
                <c:formatCode>General</c:formatCode>
                <c:ptCount val="6"/>
                <c:pt idx="0">
                  <c:v>2016</c:v>
                </c:pt>
                <c:pt idx="1">
                  <c:v>2017</c:v>
                </c:pt>
                <c:pt idx="2">
                  <c:v>2018</c:v>
                </c:pt>
                <c:pt idx="3">
                  <c:v>2019</c:v>
                </c:pt>
                <c:pt idx="4">
                  <c:v>2020</c:v>
                </c:pt>
                <c:pt idx="5">
                  <c:v>2021</c:v>
                </c:pt>
              </c:numCache>
            </c:numRef>
          </c:cat>
          <c:val>
            <c:numRef>
              <c:f>Financing!$I$45:$S$45</c:f>
              <c:numCache>
                <c:formatCode>0.0%</c:formatCode>
                <c:ptCount val="6"/>
                <c:pt idx="0">
                  <c:v>3.5531903012231358E-2</c:v>
                </c:pt>
                <c:pt idx="1">
                  <c:v>4.2305674568725464E-2</c:v>
                </c:pt>
                <c:pt idx="2">
                  <c:v>5.0602705933787323E-2</c:v>
                </c:pt>
                <c:pt idx="3">
                  <c:v>5.2604882106812849E-2</c:v>
                </c:pt>
                <c:pt idx="4">
                  <c:v>5.3610322644193423E-2</c:v>
                </c:pt>
                <c:pt idx="5">
                  <c:v>4.3580429990015643E-2</c:v>
                </c:pt>
              </c:numCache>
            </c:numRef>
          </c:val>
          <c:smooth val="0"/>
          <c:extLst>
            <c:ext xmlns:c16="http://schemas.microsoft.com/office/drawing/2014/chart" uri="{C3380CC4-5D6E-409C-BE32-E72D297353CC}">
              <c16:uniqueId val="{00000000-4A0D-4071-97EA-393C0A2528D2}"/>
            </c:ext>
          </c:extLst>
        </c:ser>
        <c:ser>
          <c:idx val="1"/>
          <c:order val="1"/>
          <c:tx>
            <c:strRef>
              <c:f>Financing!$B$46</c:f>
              <c:strCache>
                <c:ptCount val="1"/>
                <c:pt idx="0">
                  <c:v>隐含借款利率</c:v>
                </c:pt>
              </c:strCache>
            </c:strRef>
          </c:tx>
          <c:spPr>
            <a:ln w="19050">
              <a:solidFill>
                <a:schemeClr val="bg1">
                  <a:lumMod val="75000"/>
                </a:schemeClr>
              </a:solidFill>
            </a:ln>
          </c:spPr>
          <c:marker>
            <c:symbol val="none"/>
          </c:marker>
          <c:val>
            <c:numRef>
              <c:f>Financing!$I$46:$S$46</c:f>
              <c:numCache>
                <c:formatCode>0.0%</c:formatCode>
                <c:ptCount val="6"/>
                <c:pt idx="0">
                  <c:v>3.2123911332209584E-2</c:v>
                </c:pt>
                <c:pt idx="1">
                  <c:v>4.3142757906580134E-2</c:v>
                </c:pt>
                <c:pt idx="2">
                  <c:v>5.1107795371655669E-2</c:v>
                </c:pt>
                <c:pt idx="3">
                  <c:v>4.8783934456764128E-2</c:v>
                </c:pt>
                <c:pt idx="4">
                  <c:v>4.8725281001306638E-2</c:v>
                </c:pt>
                <c:pt idx="5">
                  <c:v>4.0075024286101463E-2</c:v>
                </c:pt>
              </c:numCache>
            </c:numRef>
          </c:val>
          <c:smooth val="0"/>
          <c:extLst>
            <c:ext xmlns:c16="http://schemas.microsoft.com/office/drawing/2014/chart" uri="{C3380CC4-5D6E-409C-BE32-E72D297353CC}">
              <c16:uniqueId val="{00000001-4A0D-4071-97EA-393C0A2528D2}"/>
            </c:ext>
          </c:extLst>
        </c:ser>
        <c:dLbls>
          <c:showLegendKey val="0"/>
          <c:showVal val="0"/>
          <c:showCatName val="0"/>
          <c:showSerName val="0"/>
          <c:showPercent val="0"/>
          <c:showBubbleSize val="0"/>
        </c:dLbls>
        <c:smooth val="0"/>
        <c:axId val="578627840"/>
        <c:axId val="578629632"/>
      </c:lineChart>
      <c:catAx>
        <c:axId val="578627840"/>
        <c:scaling>
          <c:orientation val="minMax"/>
        </c:scaling>
        <c:delete val="0"/>
        <c:axPos val="b"/>
        <c:numFmt formatCode="General" sourceLinked="1"/>
        <c:majorTickMark val="out"/>
        <c:minorTickMark val="none"/>
        <c:tickLblPos val="nextTo"/>
        <c:txPr>
          <a:bodyPr rot="-5400000" vert="horz"/>
          <a:lstStyle/>
          <a:p>
            <a:pPr>
              <a:defRPr sz="800">
                <a:latin typeface="Arial"/>
                <a:ea typeface="Arial"/>
                <a:cs typeface="Arial"/>
              </a:defRPr>
            </a:pPr>
            <a:endParaRPr lang="zh-CN"/>
          </a:p>
        </c:txPr>
        <c:crossAx val="578629632"/>
        <c:crosses val="autoZero"/>
        <c:auto val="1"/>
        <c:lblAlgn val="ctr"/>
        <c:lblOffset val="100"/>
        <c:noMultiLvlLbl val="0"/>
      </c:catAx>
      <c:valAx>
        <c:axId val="578629632"/>
        <c:scaling>
          <c:orientation val="minMax"/>
        </c:scaling>
        <c:delete val="0"/>
        <c:axPos val="l"/>
        <c:majorGridlines>
          <c:spPr>
            <a:ln w="9525" cap="flat" cmpd="sng" algn="ctr">
              <a:noFill/>
              <a:prstDash val="solid"/>
              <a:round/>
            </a:ln>
            <a:effectLst/>
          </c:spPr>
        </c:majorGridlines>
        <c:numFmt formatCode="0.0%" sourceLinked="1"/>
        <c:majorTickMark val="none"/>
        <c:minorTickMark val="none"/>
        <c:tickLblPos val="nextTo"/>
        <c:txPr>
          <a:bodyPr/>
          <a:lstStyle/>
          <a:p>
            <a:pPr>
              <a:defRPr sz="800">
                <a:solidFill>
                  <a:srgbClr val="000000"/>
                </a:solidFill>
                <a:latin typeface="Arial"/>
                <a:ea typeface="Arial"/>
                <a:cs typeface="Arial"/>
              </a:defRPr>
            </a:pPr>
            <a:endParaRPr lang="zh-CN"/>
          </a:p>
        </c:txPr>
        <c:crossAx val="578627840"/>
        <c:crosses val="autoZero"/>
        <c:crossBetween val="between"/>
      </c:valAx>
      <c:spPr>
        <a:noFill/>
      </c:spPr>
    </c:plotArea>
    <c:legend>
      <c:legendPos val="t"/>
      <c:overlay val="0"/>
      <c:txPr>
        <a:bodyPr/>
        <a:lstStyle/>
        <a:p>
          <a:pPr>
            <a:defRPr sz="800">
              <a:solidFill>
                <a:srgbClr val="000000"/>
              </a:solidFill>
              <a:latin typeface="Arial"/>
              <a:ea typeface="黑体"/>
              <a:cs typeface="Arial"/>
            </a:defRPr>
          </a:pPr>
          <a:endParaRPr lang="zh-CN"/>
        </a:p>
      </c:txPr>
    </c:legend>
    <c:plotVisOnly val="1"/>
    <c:dispBlanksAs val="gap"/>
    <c:showDLblsOverMax val="0"/>
  </c:chart>
  <c:spPr>
    <a:noFill/>
    <a:ln w="9525" cap="flat" cmpd="sng" algn="ctr">
      <a:noFill/>
      <a:prstDash val="solid"/>
      <a:roun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zh-CN" altLang="en-US" sz="800">
                <a:latin typeface="思源黑体 Normal" pitchFamily="34" charset="-122"/>
                <a:ea typeface="思源黑体 Normal" pitchFamily="34" charset="-122"/>
              </a:rPr>
              <a:t>集团借款币种结构</a:t>
            </a:r>
          </a:p>
        </c:rich>
      </c:tx>
      <c:overlay val="0"/>
    </c:title>
    <c:autoTitleDeleted val="0"/>
    <c:plotArea>
      <c:layout>
        <c:manualLayout>
          <c:layoutTarget val="inner"/>
          <c:xMode val="edge"/>
          <c:yMode val="edge"/>
          <c:x val="0.14446574074074076"/>
          <c:y val="0.28719398148148151"/>
          <c:w val="0.80457746913580241"/>
          <c:h val="0.53567268518518518"/>
        </c:manualLayout>
      </c:layout>
      <c:barChart>
        <c:barDir val="col"/>
        <c:grouping val="percentStacked"/>
        <c:varyColors val="0"/>
        <c:ser>
          <c:idx val="0"/>
          <c:order val="0"/>
          <c:tx>
            <c:strRef>
              <c:f>Financing!$B$21</c:f>
              <c:strCache>
                <c:ptCount val="1"/>
                <c:pt idx="0">
                  <c:v>人民币</c:v>
                </c:pt>
              </c:strCache>
            </c:strRef>
          </c:tx>
          <c:spPr>
            <a:solidFill>
              <a:schemeClr val="bg1">
                <a:lumMod val="75000"/>
              </a:schemeClr>
            </a:solidFill>
          </c:spPr>
          <c:invertIfNegative val="0"/>
          <c:cat>
            <c:numRef>
              <c:f>Financing!$M$39:$S$39</c:f>
              <c:numCache>
                <c:formatCode>General</c:formatCode>
                <c:ptCount val="6"/>
                <c:pt idx="0">
                  <c:v>2016</c:v>
                </c:pt>
                <c:pt idx="1">
                  <c:v>2017</c:v>
                </c:pt>
                <c:pt idx="2">
                  <c:v>2018</c:v>
                </c:pt>
                <c:pt idx="3">
                  <c:v>2019</c:v>
                </c:pt>
                <c:pt idx="4">
                  <c:v>2020</c:v>
                </c:pt>
                <c:pt idx="5">
                  <c:v>2021</c:v>
                </c:pt>
              </c:numCache>
            </c:numRef>
          </c:cat>
          <c:val>
            <c:numRef>
              <c:f>Financing!$M$21:$S$21</c:f>
              <c:numCache>
                <c:formatCode>0%</c:formatCode>
                <c:ptCount val="6"/>
                <c:pt idx="0">
                  <c:v>0.24</c:v>
                </c:pt>
                <c:pt idx="1">
                  <c:v>0.45</c:v>
                </c:pt>
                <c:pt idx="2">
                  <c:v>0.59</c:v>
                </c:pt>
                <c:pt idx="3">
                  <c:v>0.68</c:v>
                </c:pt>
                <c:pt idx="4">
                  <c:v>0.78</c:v>
                </c:pt>
                <c:pt idx="5">
                  <c:v>0.81</c:v>
                </c:pt>
              </c:numCache>
            </c:numRef>
          </c:val>
          <c:extLst>
            <c:ext xmlns:c16="http://schemas.microsoft.com/office/drawing/2014/chart" uri="{C3380CC4-5D6E-409C-BE32-E72D297353CC}">
              <c16:uniqueId val="{00000000-00D1-4CD1-B288-F733CA46E6B4}"/>
            </c:ext>
          </c:extLst>
        </c:ser>
        <c:ser>
          <c:idx val="1"/>
          <c:order val="1"/>
          <c:tx>
            <c:strRef>
              <c:f>Financing!$B$22</c:f>
              <c:strCache>
                <c:ptCount val="1"/>
                <c:pt idx="0">
                  <c:v>外币</c:v>
                </c:pt>
              </c:strCache>
            </c:strRef>
          </c:tx>
          <c:invertIfNegative val="0"/>
          <c:cat>
            <c:numRef>
              <c:f>Financing!$M$39:$S$39</c:f>
              <c:numCache>
                <c:formatCode>General</c:formatCode>
                <c:ptCount val="6"/>
                <c:pt idx="0">
                  <c:v>2016</c:v>
                </c:pt>
                <c:pt idx="1">
                  <c:v>2017</c:v>
                </c:pt>
                <c:pt idx="2">
                  <c:v>2018</c:v>
                </c:pt>
                <c:pt idx="3">
                  <c:v>2019</c:v>
                </c:pt>
                <c:pt idx="4">
                  <c:v>2020</c:v>
                </c:pt>
                <c:pt idx="5">
                  <c:v>2021</c:v>
                </c:pt>
              </c:numCache>
            </c:numRef>
          </c:cat>
          <c:val>
            <c:numRef>
              <c:f>Financing!$M$22:$S$22</c:f>
              <c:numCache>
                <c:formatCode>0%</c:formatCode>
                <c:ptCount val="6"/>
                <c:pt idx="0">
                  <c:v>0.76</c:v>
                </c:pt>
                <c:pt idx="1">
                  <c:v>0.55000000000000004</c:v>
                </c:pt>
                <c:pt idx="2">
                  <c:v>0.41000000000000003</c:v>
                </c:pt>
                <c:pt idx="3">
                  <c:v>0.31999999999999995</c:v>
                </c:pt>
                <c:pt idx="4">
                  <c:v>0.21999999999999997</c:v>
                </c:pt>
                <c:pt idx="5">
                  <c:v>0.18999999999999995</c:v>
                </c:pt>
              </c:numCache>
            </c:numRef>
          </c:val>
          <c:extLst>
            <c:ext xmlns:c16="http://schemas.microsoft.com/office/drawing/2014/chart" uri="{C3380CC4-5D6E-409C-BE32-E72D297353CC}">
              <c16:uniqueId val="{00000001-00D1-4CD1-B288-F733CA46E6B4}"/>
            </c:ext>
          </c:extLst>
        </c:ser>
        <c:dLbls>
          <c:showLegendKey val="0"/>
          <c:showVal val="0"/>
          <c:showCatName val="0"/>
          <c:showSerName val="0"/>
          <c:showPercent val="0"/>
          <c:showBubbleSize val="0"/>
        </c:dLbls>
        <c:gapWidth val="150"/>
        <c:overlap val="100"/>
        <c:axId val="578897024"/>
        <c:axId val="578898560"/>
      </c:barChart>
      <c:catAx>
        <c:axId val="578897024"/>
        <c:scaling>
          <c:orientation val="minMax"/>
        </c:scaling>
        <c:delete val="0"/>
        <c:axPos val="b"/>
        <c:numFmt formatCode="General" sourceLinked="1"/>
        <c:majorTickMark val="out"/>
        <c:minorTickMark val="none"/>
        <c:tickLblPos val="nextTo"/>
        <c:txPr>
          <a:bodyPr rot="-5400000" vert="horz"/>
          <a:lstStyle/>
          <a:p>
            <a:pPr>
              <a:defRPr sz="800">
                <a:latin typeface="Arial"/>
                <a:ea typeface="Arial"/>
                <a:cs typeface="Arial"/>
              </a:defRPr>
            </a:pPr>
            <a:endParaRPr lang="zh-CN"/>
          </a:p>
        </c:txPr>
        <c:crossAx val="578898560"/>
        <c:crosses val="autoZero"/>
        <c:auto val="1"/>
        <c:lblAlgn val="ctr"/>
        <c:lblOffset val="100"/>
        <c:noMultiLvlLbl val="0"/>
      </c:catAx>
      <c:valAx>
        <c:axId val="578898560"/>
        <c:scaling>
          <c:orientation val="minMax"/>
        </c:scaling>
        <c:delete val="0"/>
        <c:axPos val="l"/>
        <c:majorGridlines>
          <c:spPr>
            <a:ln w="9525" cap="flat" cmpd="sng" algn="ctr">
              <a:noFill/>
              <a:prstDash val="solid"/>
              <a:round/>
            </a:ln>
            <a:effectLst/>
          </c:spPr>
        </c:majorGridlines>
        <c:numFmt formatCode="0%" sourceLinked="1"/>
        <c:majorTickMark val="none"/>
        <c:minorTickMark val="none"/>
        <c:tickLblPos val="nextTo"/>
        <c:txPr>
          <a:bodyPr/>
          <a:lstStyle/>
          <a:p>
            <a:pPr>
              <a:defRPr sz="800">
                <a:solidFill>
                  <a:srgbClr val="000000"/>
                </a:solidFill>
                <a:latin typeface="Arial"/>
                <a:ea typeface="Arial"/>
                <a:cs typeface="Arial"/>
              </a:defRPr>
            </a:pPr>
            <a:endParaRPr lang="zh-CN"/>
          </a:p>
        </c:txPr>
        <c:crossAx val="578897024"/>
        <c:crosses val="autoZero"/>
        <c:crossBetween val="between"/>
      </c:valAx>
      <c:spPr>
        <a:noFill/>
      </c:spPr>
    </c:plotArea>
    <c:legend>
      <c:legendPos val="t"/>
      <c:overlay val="0"/>
      <c:txPr>
        <a:bodyPr/>
        <a:lstStyle/>
        <a:p>
          <a:pPr>
            <a:defRPr sz="800">
              <a:solidFill>
                <a:srgbClr val="000000"/>
              </a:solidFill>
              <a:latin typeface="Arial"/>
              <a:ea typeface="黑体"/>
              <a:cs typeface="Arial"/>
            </a:defRPr>
          </a:pPr>
          <a:endParaRPr lang="zh-CN"/>
        </a:p>
      </c:txPr>
    </c:legend>
    <c:plotVisOnly val="1"/>
    <c:dispBlanksAs val="gap"/>
    <c:showDLblsOverMax val="0"/>
  </c:chart>
  <c:spPr>
    <a:noFill/>
    <a:ln w="9525" cap="flat" cmpd="sng" algn="ctr">
      <a:noFill/>
      <a:prstDash val="solid"/>
      <a:roun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BS!$B$106</c:f>
              <c:strCache>
                <c:ptCount val="1"/>
                <c:pt idx="0">
                  <c:v>短期资产占比</c:v>
                </c:pt>
              </c:strCache>
            </c:strRef>
          </c:tx>
          <c:spPr>
            <a:ln w="19050">
              <a:solidFill>
                <a:srgbClr val="640000"/>
              </a:solidFill>
            </a:ln>
          </c:spPr>
          <c:marker>
            <c:symbol val="none"/>
          </c:marker>
          <c:cat>
            <c:numRef>
              <c:f>BS!$I$87:$S$87</c:f>
              <c:numCache>
                <c:formatCode>General</c:formatCode>
                <c:ptCount val="6"/>
                <c:pt idx="0">
                  <c:v>2016</c:v>
                </c:pt>
                <c:pt idx="1">
                  <c:v>2017</c:v>
                </c:pt>
                <c:pt idx="2">
                  <c:v>2018</c:v>
                </c:pt>
                <c:pt idx="3">
                  <c:v>2019</c:v>
                </c:pt>
                <c:pt idx="4">
                  <c:v>2020</c:v>
                </c:pt>
                <c:pt idx="5">
                  <c:v>2021</c:v>
                </c:pt>
              </c:numCache>
            </c:numRef>
          </c:cat>
          <c:val>
            <c:numRef>
              <c:f>BS!$I$106:$S$106</c:f>
              <c:numCache>
                <c:formatCode>0.0%</c:formatCode>
                <c:ptCount val="6"/>
                <c:pt idx="0">
                  <c:v>0.46584251282384243</c:v>
                </c:pt>
                <c:pt idx="1">
                  <c:v>0.46809353187250718</c:v>
                </c:pt>
                <c:pt idx="2">
                  <c:v>0.44271041942780615</c:v>
                </c:pt>
                <c:pt idx="3">
                  <c:v>0.46771041708736288</c:v>
                </c:pt>
                <c:pt idx="4">
                  <c:v>0.47110125405846015</c:v>
                </c:pt>
                <c:pt idx="5">
                  <c:v>0.51967622871528618</c:v>
                </c:pt>
              </c:numCache>
            </c:numRef>
          </c:val>
          <c:smooth val="0"/>
          <c:extLst>
            <c:ext xmlns:c16="http://schemas.microsoft.com/office/drawing/2014/chart" uri="{C3380CC4-5D6E-409C-BE32-E72D297353CC}">
              <c16:uniqueId val="{00000000-2782-4503-AC05-762C9A9EC3C2}"/>
            </c:ext>
          </c:extLst>
        </c:ser>
        <c:ser>
          <c:idx val="1"/>
          <c:order val="1"/>
          <c:tx>
            <c:strRef>
              <c:f>BS!$B$107</c:f>
              <c:strCache>
                <c:ptCount val="1"/>
                <c:pt idx="0">
                  <c:v>短期负债占比</c:v>
                </c:pt>
              </c:strCache>
            </c:strRef>
          </c:tx>
          <c:spPr>
            <a:ln w="19050">
              <a:solidFill>
                <a:srgbClr val="B9B8A6"/>
              </a:solidFill>
            </a:ln>
          </c:spPr>
          <c:marker>
            <c:symbol val="none"/>
          </c:marker>
          <c:cat>
            <c:numRef>
              <c:f>BS!$I$87:$S$87</c:f>
              <c:numCache>
                <c:formatCode>General</c:formatCode>
                <c:ptCount val="6"/>
                <c:pt idx="0">
                  <c:v>2016</c:v>
                </c:pt>
                <c:pt idx="1">
                  <c:v>2017</c:v>
                </c:pt>
                <c:pt idx="2">
                  <c:v>2018</c:v>
                </c:pt>
                <c:pt idx="3">
                  <c:v>2019</c:v>
                </c:pt>
                <c:pt idx="4">
                  <c:v>2020</c:v>
                </c:pt>
                <c:pt idx="5">
                  <c:v>2021</c:v>
                </c:pt>
              </c:numCache>
            </c:numRef>
          </c:cat>
          <c:val>
            <c:numRef>
              <c:f>BS!$I$107:$S$107</c:f>
              <c:numCache>
                <c:formatCode>0.0%</c:formatCode>
                <c:ptCount val="6"/>
                <c:pt idx="0">
                  <c:v>0.65641991661163868</c:v>
                </c:pt>
                <c:pt idx="1">
                  <c:v>0.65963991268942113</c:v>
                </c:pt>
                <c:pt idx="2">
                  <c:v>0.57639483090557275</c:v>
                </c:pt>
                <c:pt idx="3">
                  <c:v>0.64339600177486889</c:v>
                </c:pt>
                <c:pt idx="4">
                  <c:v>0.62194349474402277</c:v>
                </c:pt>
                <c:pt idx="5">
                  <c:v>0.60706584336281988</c:v>
                </c:pt>
              </c:numCache>
            </c:numRef>
          </c:val>
          <c:smooth val="0"/>
          <c:extLst>
            <c:ext xmlns:c16="http://schemas.microsoft.com/office/drawing/2014/chart" uri="{C3380CC4-5D6E-409C-BE32-E72D297353CC}">
              <c16:uniqueId val="{00000001-2782-4503-AC05-762C9A9EC3C2}"/>
            </c:ext>
          </c:extLst>
        </c:ser>
        <c:dLbls>
          <c:showLegendKey val="0"/>
          <c:showVal val="0"/>
          <c:showCatName val="0"/>
          <c:showSerName val="0"/>
          <c:showPercent val="0"/>
          <c:showBubbleSize val="0"/>
        </c:dLbls>
        <c:smooth val="0"/>
        <c:axId val="579277184"/>
        <c:axId val="579278720"/>
      </c:lineChart>
      <c:catAx>
        <c:axId val="579277184"/>
        <c:scaling>
          <c:orientation val="minMax"/>
        </c:scaling>
        <c:delete val="0"/>
        <c:axPos val="b"/>
        <c:numFmt formatCode="General" sourceLinked="1"/>
        <c:majorTickMark val="out"/>
        <c:minorTickMark val="none"/>
        <c:tickLblPos val="nextTo"/>
        <c:txPr>
          <a:bodyPr rot="-2700000"/>
          <a:lstStyle/>
          <a:p>
            <a:pPr>
              <a:defRPr sz="800">
                <a:latin typeface="思源黑体 Normal" pitchFamily="34" charset="-122"/>
                <a:ea typeface="思源黑体 Normal" pitchFamily="34" charset="-122"/>
                <a:cs typeface="Arial"/>
              </a:defRPr>
            </a:pPr>
            <a:endParaRPr lang="zh-CN"/>
          </a:p>
        </c:txPr>
        <c:crossAx val="579278720"/>
        <c:crosses val="autoZero"/>
        <c:auto val="1"/>
        <c:lblAlgn val="ctr"/>
        <c:lblOffset val="100"/>
        <c:noMultiLvlLbl val="0"/>
      </c:catAx>
      <c:valAx>
        <c:axId val="579278720"/>
        <c:scaling>
          <c:orientation val="minMax"/>
          <c:min val="0.4"/>
        </c:scaling>
        <c:delete val="0"/>
        <c:axPos val="l"/>
        <c:majorGridlines>
          <c:spPr>
            <a:ln w="9525" cap="flat" cmpd="sng" algn="ctr">
              <a:noFill/>
              <a:prstDash val="solid"/>
              <a:round/>
            </a:ln>
            <a:effectLst/>
          </c:spPr>
        </c:majorGridlines>
        <c:numFmt formatCode="0%" sourceLinked="0"/>
        <c:majorTickMark val="none"/>
        <c:minorTickMark val="none"/>
        <c:tickLblPos val="nextTo"/>
        <c:txPr>
          <a:bodyPr/>
          <a:lstStyle/>
          <a:p>
            <a:pPr>
              <a:defRPr sz="800">
                <a:solidFill>
                  <a:srgbClr val="000000"/>
                </a:solidFill>
                <a:latin typeface="思源黑体 Normal" pitchFamily="34" charset="-122"/>
                <a:ea typeface="思源黑体 Normal" pitchFamily="34" charset="-122"/>
                <a:cs typeface="Arial"/>
              </a:defRPr>
            </a:pPr>
            <a:endParaRPr lang="zh-CN"/>
          </a:p>
        </c:txPr>
        <c:crossAx val="579277184"/>
        <c:crosses val="autoZero"/>
        <c:crossBetween val="between"/>
      </c:valAx>
      <c:spPr>
        <a:noFill/>
      </c:spPr>
    </c:plotArea>
    <c:legend>
      <c:legendPos val="t"/>
      <c:overlay val="0"/>
      <c:txPr>
        <a:bodyPr/>
        <a:lstStyle/>
        <a:p>
          <a:pPr>
            <a:defRPr sz="800">
              <a:solidFill>
                <a:srgbClr val="000000"/>
              </a:solidFill>
              <a:latin typeface="Arial"/>
              <a:ea typeface="黑体"/>
              <a:cs typeface="Arial"/>
            </a:defRPr>
          </a:pPr>
          <a:endParaRPr lang="zh-CN"/>
        </a:p>
      </c:txPr>
    </c:legend>
    <c:plotVisOnly val="1"/>
    <c:dispBlanksAs val="gap"/>
    <c:showDLblsOverMax val="0"/>
  </c:chart>
  <c:spPr>
    <a:noFill/>
    <a:ln w="9525" cap="flat" cmpd="sng" algn="ctr">
      <a:noFill/>
      <a:prstDash val="solid"/>
      <a:roun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ltLang="en-US" sz="800" b="1">
                <a:latin typeface="Arial"/>
                <a:ea typeface="黑体"/>
                <a:cs typeface="黑体"/>
              </a:defRPr>
            </a:pPr>
            <a:r>
              <a:rPr lang="zh-CN" altLang="en-US" sz="800">
                <a:latin typeface="Arial"/>
                <a:ea typeface="黑体"/>
              </a:rPr>
              <a:t>近十年集团分部利润拆分</a:t>
            </a:r>
          </a:p>
        </c:rich>
      </c:tx>
      <c:overlay val="0"/>
    </c:title>
    <c:autoTitleDeleted val="0"/>
    <c:plotArea>
      <c:layout>
        <c:manualLayout>
          <c:layoutTarget val="inner"/>
          <c:xMode val="edge"/>
          <c:yMode val="edge"/>
          <c:x val="0.13750833333333334"/>
          <c:y val="0.31098041158314277"/>
          <c:w val="0.80369537037037042"/>
          <c:h val="0.54511271059596733"/>
        </c:manualLayout>
      </c:layout>
      <c:barChart>
        <c:barDir val="col"/>
        <c:grouping val="stacked"/>
        <c:varyColors val="0"/>
        <c:ser>
          <c:idx val="0"/>
          <c:order val="0"/>
          <c:tx>
            <c:strRef>
              <c:f>Summary!$A$189</c:f>
              <c:strCache>
                <c:ptCount val="1"/>
                <c:pt idx="0">
                  <c:v>集团经营业绩合计</c:v>
                </c:pt>
              </c:strCache>
            </c:strRef>
          </c:tx>
          <c:spPr>
            <a:solidFill>
              <a:schemeClr val="accent2">
                <a:lumMod val="40000"/>
                <a:lumOff val="60000"/>
              </a:schemeClr>
            </a:solidFill>
          </c:spPr>
          <c:invertIfNegative val="0"/>
          <c:cat>
            <c:numRef>
              <c:f>Summary!$J$188:$T$188</c:f>
              <c:numCache>
                <c:formatCode>General</c:formatCode>
                <c:ptCount val="2"/>
                <c:pt idx="0">
                  <c:v>2020</c:v>
                </c:pt>
                <c:pt idx="1">
                  <c:v>2021</c:v>
                </c:pt>
              </c:numCache>
            </c:numRef>
          </c:cat>
          <c:val>
            <c:numRef>
              <c:f>Summary!$J$189:$T$189</c:f>
              <c:numCache>
                <c:formatCode>#,##0</c:formatCode>
                <c:ptCount val="2"/>
                <c:pt idx="0">
                  <c:v>8313.1820000000007</c:v>
                </c:pt>
                <c:pt idx="1">
                  <c:v>10873.171</c:v>
                </c:pt>
              </c:numCache>
            </c:numRef>
          </c:val>
          <c:extLst>
            <c:ext xmlns:c16="http://schemas.microsoft.com/office/drawing/2014/chart" uri="{C3380CC4-5D6E-409C-BE32-E72D297353CC}">
              <c16:uniqueId val="{00000000-2F40-4E8D-BFBE-F528EC33A0C0}"/>
            </c:ext>
          </c:extLst>
        </c:ser>
        <c:ser>
          <c:idx val="1"/>
          <c:order val="1"/>
          <c:tx>
            <c:strRef>
              <c:f>Summary!$A$198</c:f>
              <c:strCache>
                <c:ptCount val="1"/>
                <c:pt idx="0">
                  <c:v>应占合营联营公司盈利</c:v>
                </c:pt>
              </c:strCache>
            </c:strRef>
          </c:tx>
          <c:spPr>
            <a:solidFill>
              <a:schemeClr val="bg1">
                <a:lumMod val="85000"/>
              </a:schemeClr>
            </a:solidFill>
          </c:spPr>
          <c:invertIfNegative val="0"/>
          <c:cat>
            <c:numRef>
              <c:f>Summary!$J$188:$T$188</c:f>
              <c:numCache>
                <c:formatCode>General</c:formatCode>
                <c:ptCount val="2"/>
                <c:pt idx="0">
                  <c:v>2020</c:v>
                </c:pt>
                <c:pt idx="1">
                  <c:v>2021</c:v>
                </c:pt>
              </c:numCache>
            </c:numRef>
          </c:cat>
          <c:val>
            <c:numRef>
              <c:f>Summary!$J$198:$T$198</c:f>
              <c:numCache>
                <c:formatCode>#,##0</c:formatCode>
                <c:ptCount val="2"/>
                <c:pt idx="0">
                  <c:v>2581.5209999999997</c:v>
                </c:pt>
                <c:pt idx="1">
                  <c:v>1152.0540000000001</c:v>
                </c:pt>
              </c:numCache>
            </c:numRef>
          </c:val>
          <c:extLst>
            <c:ext xmlns:c16="http://schemas.microsoft.com/office/drawing/2014/chart" uri="{C3380CC4-5D6E-409C-BE32-E72D297353CC}">
              <c16:uniqueId val="{00000001-2F40-4E8D-BFBE-F528EC33A0C0}"/>
            </c:ext>
          </c:extLst>
        </c:ser>
        <c:ser>
          <c:idx val="2"/>
          <c:order val="2"/>
          <c:tx>
            <c:strRef>
              <c:f>Summary!$A$201</c:f>
              <c:strCache>
                <c:ptCount val="1"/>
                <c:pt idx="0">
                  <c:v>其他费用损益</c:v>
                </c:pt>
              </c:strCache>
            </c:strRef>
          </c:tx>
          <c:spPr>
            <a:solidFill>
              <a:schemeClr val="accent1">
                <a:lumMod val="60000"/>
                <a:lumOff val="40000"/>
              </a:schemeClr>
            </a:solidFill>
          </c:spPr>
          <c:invertIfNegative val="0"/>
          <c:cat>
            <c:numRef>
              <c:f>Summary!$J$188:$T$188</c:f>
              <c:numCache>
                <c:formatCode>General</c:formatCode>
                <c:ptCount val="2"/>
                <c:pt idx="0">
                  <c:v>2020</c:v>
                </c:pt>
                <c:pt idx="1">
                  <c:v>2021</c:v>
                </c:pt>
              </c:numCache>
            </c:numRef>
          </c:cat>
          <c:val>
            <c:numRef>
              <c:f>Summary!$J$201:$T$201</c:f>
              <c:numCache>
                <c:formatCode>#,##0</c:formatCode>
                <c:ptCount val="2"/>
                <c:pt idx="0">
                  <c:v>29.749999999996362</c:v>
                </c:pt>
                <c:pt idx="1">
                  <c:v>28.154999999998836</c:v>
                </c:pt>
              </c:numCache>
            </c:numRef>
          </c:val>
          <c:extLst>
            <c:ext xmlns:c16="http://schemas.microsoft.com/office/drawing/2014/chart" uri="{C3380CC4-5D6E-409C-BE32-E72D297353CC}">
              <c16:uniqueId val="{00000002-2F40-4E8D-BFBE-F528EC33A0C0}"/>
            </c:ext>
          </c:extLst>
        </c:ser>
        <c:ser>
          <c:idx val="3"/>
          <c:order val="3"/>
          <c:tx>
            <c:strRef>
              <c:f>Summary!$A$204</c:f>
              <c:strCache>
                <c:ptCount val="1"/>
                <c:pt idx="0">
                  <c:v>财务费用</c:v>
                </c:pt>
              </c:strCache>
            </c:strRef>
          </c:tx>
          <c:spPr>
            <a:solidFill>
              <a:srgbClr val="BE9F5D"/>
            </a:solidFill>
          </c:spPr>
          <c:invertIfNegative val="0"/>
          <c:cat>
            <c:numRef>
              <c:f>Summary!$J$188:$T$188</c:f>
              <c:numCache>
                <c:formatCode>General</c:formatCode>
                <c:ptCount val="2"/>
                <c:pt idx="0">
                  <c:v>2020</c:v>
                </c:pt>
                <c:pt idx="1">
                  <c:v>2021</c:v>
                </c:pt>
              </c:numCache>
            </c:numRef>
          </c:cat>
          <c:val>
            <c:numRef>
              <c:f>Summary!$J$204:$T$204</c:f>
              <c:numCache>
                <c:formatCode>#,##0</c:formatCode>
                <c:ptCount val="2"/>
                <c:pt idx="0">
                  <c:v>-2679.9769999999999</c:v>
                </c:pt>
                <c:pt idx="1">
                  <c:v>-2668.2020000000002</c:v>
                </c:pt>
              </c:numCache>
            </c:numRef>
          </c:val>
          <c:extLst>
            <c:ext xmlns:c16="http://schemas.microsoft.com/office/drawing/2014/chart" uri="{C3380CC4-5D6E-409C-BE32-E72D297353CC}">
              <c16:uniqueId val="{00000003-2F40-4E8D-BFBE-F528EC33A0C0}"/>
            </c:ext>
          </c:extLst>
        </c:ser>
        <c:dLbls>
          <c:showLegendKey val="0"/>
          <c:showVal val="0"/>
          <c:showCatName val="0"/>
          <c:showSerName val="0"/>
          <c:showPercent val="0"/>
          <c:showBubbleSize val="0"/>
        </c:dLbls>
        <c:gapWidth val="150"/>
        <c:overlap val="100"/>
        <c:axId val="580068480"/>
        <c:axId val="580070016"/>
      </c:barChart>
      <c:catAx>
        <c:axId val="580068480"/>
        <c:scaling>
          <c:orientation val="minMax"/>
        </c:scaling>
        <c:delete val="0"/>
        <c:axPos val="b"/>
        <c:numFmt formatCode="General" sourceLinked="1"/>
        <c:majorTickMark val="out"/>
        <c:minorTickMark val="none"/>
        <c:tickLblPos val="low"/>
        <c:txPr>
          <a:bodyPr/>
          <a:lstStyle/>
          <a:p>
            <a:pPr>
              <a:defRPr sz="800">
                <a:latin typeface="思源黑体 Normal" pitchFamily="34" charset="-122"/>
                <a:ea typeface="思源黑体 Normal" pitchFamily="34" charset="-122"/>
                <a:cs typeface="Arial"/>
              </a:defRPr>
            </a:pPr>
            <a:endParaRPr lang="zh-CN"/>
          </a:p>
        </c:txPr>
        <c:crossAx val="580070016"/>
        <c:crosses val="autoZero"/>
        <c:auto val="1"/>
        <c:lblAlgn val="ctr"/>
        <c:lblOffset val="100"/>
        <c:noMultiLvlLbl val="0"/>
      </c:catAx>
      <c:valAx>
        <c:axId val="580070016"/>
        <c:scaling>
          <c:orientation val="minMax"/>
          <c:min val="-3000"/>
        </c:scaling>
        <c:delete val="0"/>
        <c:axPos val="l"/>
        <c:majorGridlines>
          <c:spPr>
            <a:ln w="9525" cap="flat" cmpd="sng" algn="ctr">
              <a:noFill/>
              <a:prstDash val="solid"/>
              <a:round/>
            </a:ln>
            <a:effectLst/>
          </c:spPr>
        </c:majorGridlines>
        <c:numFmt formatCode="#,##0_);[Red]\(#,##0\)" sourceLinked="0"/>
        <c:majorTickMark val="none"/>
        <c:minorTickMark val="none"/>
        <c:tickLblPos val="nextTo"/>
        <c:txPr>
          <a:bodyPr/>
          <a:lstStyle/>
          <a:p>
            <a:pPr>
              <a:defRPr sz="800">
                <a:solidFill>
                  <a:srgbClr val="000000"/>
                </a:solidFill>
                <a:latin typeface="思源黑体 Normal" pitchFamily="34" charset="-122"/>
                <a:ea typeface="思源黑体 Normal" pitchFamily="34" charset="-122"/>
                <a:cs typeface="Arial"/>
              </a:defRPr>
            </a:pPr>
            <a:endParaRPr lang="zh-CN"/>
          </a:p>
        </c:txPr>
        <c:crossAx val="580068480"/>
        <c:crosses val="autoZero"/>
        <c:crossBetween val="between"/>
        <c:majorUnit val="2000"/>
      </c:valAx>
      <c:spPr>
        <a:noFill/>
      </c:spPr>
    </c:plotArea>
    <c:legend>
      <c:legendPos val="t"/>
      <c:layout>
        <c:manualLayout>
          <c:xMode val="edge"/>
          <c:yMode val="edge"/>
          <c:x val="2.028703703703701E-3"/>
          <c:y val="0.11582865007932867"/>
          <c:w val="0.9841833333333333"/>
          <c:h val="0.12459623861285249"/>
        </c:manualLayout>
      </c:layout>
      <c:overlay val="0"/>
      <c:txPr>
        <a:bodyPr/>
        <a:lstStyle/>
        <a:p>
          <a:pPr>
            <a:defRPr sz="800">
              <a:solidFill>
                <a:srgbClr val="000000"/>
              </a:solidFill>
              <a:latin typeface="Arial"/>
              <a:ea typeface="黑体"/>
              <a:cs typeface="Arial"/>
            </a:defRPr>
          </a:pPr>
          <a:endParaRPr lang="zh-CN"/>
        </a:p>
      </c:txPr>
    </c:legend>
    <c:plotVisOnly val="1"/>
    <c:dispBlanksAs val="gap"/>
    <c:showDLblsOverMax val="0"/>
  </c:chart>
  <c:spPr>
    <a:noFill/>
    <a:ln w="9525" cap="flat" cmpd="sng" algn="ctr">
      <a:noFill/>
      <a:prstDash val="solid"/>
      <a:roun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ltLang="en-US" sz="800" b="1">
                <a:latin typeface="Arial"/>
                <a:ea typeface="黑体"/>
                <a:cs typeface="黑体"/>
              </a:defRPr>
            </a:pPr>
            <a:r>
              <a:rPr lang="zh-CN" altLang="en-US" sz="800">
                <a:latin typeface="Arial"/>
                <a:ea typeface="黑体"/>
              </a:rPr>
              <a:t>近十年集团分部利润增速拆分</a:t>
            </a:r>
          </a:p>
        </c:rich>
      </c:tx>
      <c:overlay val="0"/>
    </c:title>
    <c:autoTitleDeleted val="0"/>
    <c:plotArea>
      <c:layout>
        <c:manualLayout>
          <c:layoutTarget val="inner"/>
          <c:xMode val="edge"/>
          <c:yMode val="edge"/>
          <c:x val="0.13750833333333334"/>
          <c:y val="0.33449891921346331"/>
          <c:w val="0.80369537037037042"/>
          <c:h val="0.52159420296564674"/>
        </c:manualLayout>
      </c:layout>
      <c:barChart>
        <c:barDir val="col"/>
        <c:grouping val="stacked"/>
        <c:varyColors val="0"/>
        <c:ser>
          <c:idx val="0"/>
          <c:order val="0"/>
          <c:tx>
            <c:strRef>
              <c:f>Summary!$A$223</c:f>
              <c:strCache>
                <c:ptCount val="1"/>
                <c:pt idx="0">
                  <c:v>集团经营业绩</c:v>
                </c:pt>
              </c:strCache>
            </c:strRef>
          </c:tx>
          <c:spPr>
            <a:solidFill>
              <a:schemeClr val="accent2">
                <a:lumMod val="40000"/>
                <a:lumOff val="60000"/>
              </a:schemeClr>
            </a:solidFill>
          </c:spPr>
          <c:invertIfNegative val="0"/>
          <c:dLbls>
            <c:dLbl>
              <c:idx val="5"/>
              <c:layout>
                <c:manualLayout>
                  <c:x val="0"/>
                  <c:y val="-6.194441576647418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9F7-4701-B8F6-F057CA85A28D}"/>
                </c:ext>
              </c:extLst>
            </c:dLbl>
            <c:dLbl>
              <c:idx val="8"/>
              <c:layout>
                <c:manualLayout>
                  <c:x val="0"/>
                  <c:y val="-1.027175450381735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9F7-4701-B8F6-F057CA85A28D}"/>
                </c:ext>
              </c:extLst>
            </c:dLbl>
            <c:dLbl>
              <c:idx val="10"/>
              <c:spPr/>
              <c:txPr>
                <a:bodyPr/>
                <a:lstStyle/>
                <a:p>
                  <a:pPr>
                    <a:defRPr sz="800" b="1"/>
                  </a:pPr>
                  <a:endParaRPr lang="zh-CN"/>
                </a:p>
              </c:txPr>
              <c:dLblPos val="inEnd"/>
              <c:showLegendKey val="0"/>
              <c:showVal val="1"/>
              <c:showCatName val="0"/>
              <c:showSerName val="0"/>
              <c:showPercent val="0"/>
              <c:showBubbleSize val="0"/>
              <c:extLst>
                <c:ext xmlns:c16="http://schemas.microsoft.com/office/drawing/2014/chart" uri="{C3380CC4-5D6E-409C-BE32-E72D297353CC}">
                  <c16:uniqueId val="{00000002-D9F7-4701-B8F6-F057CA85A28D}"/>
                </c:ext>
              </c:extLst>
            </c:dLbl>
            <c:spPr>
              <a:noFill/>
              <a:ln>
                <a:noFill/>
              </a:ln>
              <a:effectLst/>
            </c:spPr>
            <c:txPr>
              <a:bodyPr/>
              <a:lstStyle/>
              <a:p>
                <a:pPr>
                  <a:defRPr sz="800"/>
                </a:pPr>
                <a:endParaRPr lang="zh-CN"/>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Summary!$K$188:$AN$188</c:f>
              <c:strCache>
                <c:ptCount val="10"/>
                <c:pt idx="0">
                  <c:v>2020</c:v>
                </c:pt>
                <c:pt idx="1">
                  <c:v>2021</c:v>
                </c:pt>
                <c:pt idx="2">
                  <c:v>2022</c:v>
                </c:pt>
                <c:pt idx="3">
                  <c:v>2023</c:v>
                </c:pt>
                <c:pt idx="4">
                  <c:v>2024</c:v>
                </c:pt>
                <c:pt idx="5">
                  <c:v>2025</c:v>
                </c:pt>
                <c:pt idx="7">
                  <c:v>1H21</c:v>
                </c:pt>
                <c:pt idx="8">
                  <c:v>2H21</c:v>
                </c:pt>
                <c:pt idx="9">
                  <c:v>1H22</c:v>
                </c:pt>
              </c:strCache>
            </c:strRef>
          </c:cat>
          <c:val>
            <c:numRef>
              <c:f>Summary!$K$223:$AN$223</c:f>
              <c:numCache>
                <c:formatCode>0%</c:formatCode>
                <c:ptCount val="10"/>
                <c:pt idx="0">
                  <c:v>-2.6028108286792372E-2</c:v>
                </c:pt>
                <c:pt idx="1">
                  <c:v>0.3105096066748208</c:v>
                </c:pt>
                <c:pt idx="2">
                  <c:v>0.18085442812059599</c:v>
                </c:pt>
                <c:pt idx="3">
                  <c:v>0.1656801363060523</c:v>
                </c:pt>
                <c:pt idx="4">
                  <c:v>0.12879199791598278</c:v>
                </c:pt>
                <c:pt idx="5">
                  <c:v>-0.14722551001800022</c:v>
                </c:pt>
                <c:pt idx="7" formatCode="0.0%">
                  <c:v>0.18479754455184821</c:v>
                </c:pt>
                <c:pt idx="8" formatCode="0.0%">
                  <c:v>0.42606873002947582</c:v>
                </c:pt>
                <c:pt idx="9" formatCode="0.0%">
                  <c:v>0.22408703757954454</c:v>
                </c:pt>
              </c:numCache>
            </c:numRef>
          </c:val>
          <c:extLst>
            <c:ext xmlns:c16="http://schemas.microsoft.com/office/drawing/2014/chart" uri="{C3380CC4-5D6E-409C-BE32-E72D297353CC}">
              <c16:uniqueId val="{00000003-D9F7-4701-B8F6-F057CA85A28D}"/>
            </c:ext>
          </c:extLst>
        </c:ser>
        <c:ser>
          <c:idx val="1"/>
          <c:order val="1"/>
          <c:tx>
            <c:strRef>
              <c:f>Summary!$A$224</c:f>
              <c:strCache>
                <c:ptCount val="1"/>
                <c:pt idx="0">
                  <c:v>应占合营联营企业业绩</c:v>
                </c:pt>
              </c:strCache>
            </c:strRef>
          </c:tx>
          <c:spPr>
            <a:solidFill>
              <a:schemeClr val="bg1">
                <a:lumMod val="85000"/>
              </a:schemeClr>
            </a:solidFill>
          </c:spPr>
          <c:invertIfNegative val="0"/>
          <c:cat>
            <c:strRef>
              <c:f>Summary!$K$188:$AN$188</c:f>
              <c:strCache>
                <c:ptCount val="10"/>
                <c:pt idx="0">
                  <c:v>2020</c:v>
                </c:pt>
                <c:pt idx="1">
                  <c:v>2021</c:v>
                </c:pt>
                <c:pt idx="2">
                  <c:v>2022</c:v>
                </c:pt>
                <c:pt idx="3">
                  <c:v>2023</c:v>
                </c:pt>
                <c:pt idx="4">
                  <c:v>2024</c:v>
                </c:pt>
                <c:pt idx="5">
                  <c:v>2025</c:v>
                </c:pt>
                <c:pt idx="7">
                  <c:v>1H21</c:v>
                </c:pt>
                <c:pt idx="8">
                  <c:v>2H21</c:v>
                </c:pt>
                <c:pt idx="9">
                  <c:v>1H22</c:v>
                </c:pt>
              </c:strCache>
            </c:strRef>
          </c:cat>
          <c:val>
            <c:numRef>
              <c:f>Summary!$K$224:$AN$224</c:f>
              <c:numCache>
                <c:formatCode>0.0%</c:formatCode>
                <c:ptCount val="10"/>
                <c:pt idx="0">
                  <c:v>0.16593160985883526</c:v>
                </c:pt>
                <c:pt idx="1">
                  <c:v>-0.17338482154596604</c:v>
                </c:pt>
                <c:pt idx="2">
                  <c:v>-5.784908927672975E-2</c:v>
                </c:pt>
                <c:pt idx="3">
                  <c:v>3.1114927284729085E-2</c:v>
                </c:pt>
                <c:pt idx="4">
                  <c:v>-9.6001610106524957E-3</c:v>
                </c:pt>
                <c:pt idx="5">
                  <c:v>2.5478833563542355E-3</c:v>
                </c:pt>
                <c:pt idx="7">
                  <c:v>2.9649739032660723E-3</c:v>
                </c:pt>
                <c:pt idx="8">
                  <c:v>-0.33549200061642959</c:v>
                </c:pt>
                <c:pt idx="9">
                  <c:v>-7.0669415896855145E-2</c:v>
                </c:pt>
              </c:numCache>
            </c:numRef>
          </c:val>
          <c:extLst>
            <c:ext xmlns:c16="http://schemas.microsoft.com/office/drawing/2014/chart" uri="{C3380CC4-5D6E-409C-BE32-E72D297353CC}">
              <c16:uniqueId val="{00000004-D9F7-4701-B8F6-F057CA85A28D}"/>
            </c:ext>
          </c:extLst>
        </c:ser>
        <c:ser>
          <c:idx val="2"/>
          <c:order val="2"/>
          <c:tx>
            <c:strRef>
              <c:f>Summary!$A$225</c:f>
              <c:strCache>
                <c:ptCount val="1"/>
                <c:pt idx="0">
                  <c:v>其他费用损益</c:v>
                </c:pt>
              </c:strCache>
            </c:strRef>
          </c:tx>
          <c:spPr>
            <a:solidFill>
              <a:schemeClr val="accent1">
                <a:lumMod val="60000"/>
                <a:lumOff val="40000"/>
              </a:schemeClr>
            </a:solidFill>
          </c:spPr>
          <c:invertIfNegative val="0"/>
          <c:cat>
            <c:strRef>
              <c:f>Summary!$K$188:$AN$188</c:f>
              <c:strCache>
                <c:ptCount val="10"/>
                <c:pt idx="0">
                  <c:v>2020</c:v>
                </c:pt>
                <c:pt idx="1">
                  <c:v>2021</c:v>
                </c:pt>
                <c:pt idx="2">
                  <c:v>2022</c:v>
                </c:pt>
                <c:pt idx="3">
                  <c:v>2023</c:v>
                </c:pt>
                <c:pt idx="4">
                  <c:v>2024</c:v>
                </c:pt>
                <c:pt idx="5">
                  <c:v>2025</c:v>
                </c:pt>
                <c:pt idx="7">
                  <c:v>1H21</c:v>
                </c:pt>
                <c:pt idx="8">
                  <c:v>2H21</c:v>
                </c:pt>
                <c:pt idx="9">
                  <c:v>1H22</c:v>
                </c:pt>
              </c:strCache>
            </c:strRef>
          </c:cat>
          <c:val>
            <c:numRef>
              <c:f>Summary!$K$225:$AN$225</c:f>
              <c:numCache>
                <c:formatCode>0.0%</c:formatCode>
                <c:ptCount val="10"/>
                <c:pt idx="0">
                  <c:v>4.6931891142128819E-2</c:v>
                </c:pt>
                <c:pt idx="1">
                  <c:v>-1.934628713817017E-4</c:v>
                </c:pt>
                <c:pt idx="2">
                  <c:v>5.9913301591082969E-2</c:v>
                </c:pt>
                <c:pt idx="3">
                  <c:v>-5.4129051920525716E-2</c:v>
                </c:pt>
                <c:pt idx="4">
                  <c:v>-0.16217964866001722</c:v>
                </c:pt>
                <c:pt idx="5">
                  <c:v>0.11508020067843869</c:v>
                </c:pt>
                <c:pt idx="7">
                  <c:v>6.3257672642363181E-3</c:v>
                </c:pt>
                <c:pt idx="8">
                  <c:v>-6.1861775456690908E-3</c:v>
                </c:pt>
                <c:pt idx="9">
                  <c:v>5.076040034155091E-2</c:v>
                </c:pt>
              </c:numCache>
            </c:numRef>
          </c:val>
          <c:extLst>
            <c:ext xmlns:c16="http://schemas.microsoft.com/office/drawing/2014/chart" uri="{C3380CC4-5D6E-409C-BE32-E72D297353CC}">
              <c16:uniqueId val="{00000005-D9F7-4701-B8F6-F057CA85A28D}"/>
            </c:ext>
          </c:extLst>
        </c:ser>
        <c:ser>
          <c:idx val="3"/>
          <c:order val="3"/>
          <c:tx>
            <c:strRef>
              <c:f>Summary!$A$226</c:f>
              <c:strCache>
                <c:ptCount val="1"/>
                <c:pt idx="0">
                  <c:v>财务费用</c:v>
                </c:pt>
              </c:strCache>
            </c:strRef>
          </c:tx>
          <c:spPr>
            <a:solidFill>
              <a:srgbClr val="BE9F5D"/>
            </a:solidFill>
          </c:spPr>
          <c:invertIfNegative val="0"/>
          <c:dLbls>
            <c:dLbl>
              <c:idx val="10"/>
              <c:spPr/>
              <c:txPr>
                <a:bodyPr/>
                <a:lstStyle/>
                <a:p>
                  <a:pPr>
                    <a:defRPr sz="800" b="1"/>
                  </a:pPr>
                  <a:endParaRPr lang="zh-CN"/>
                </a:p>
              </c:txPr>
              <c:dLblPos val="inBase"/>
              <c:showLegendKey val="0"/>
              <c:showVal val="1"/>
              <c:showCatName val="0"/>
              <c:showSerName val="0"/>
              <c:showPercent val="0"/>
              <c:showBubbleSize val="0"/>
              <c:extLst>
                <c:ext xmlns:c16="http://schemas.microsoft.com/office/drawing/2014/chart" uri="{C3380CC4-5D6E-409C-BE32-E72D297353CC}">
                  <c16:uniqueId val="{00000006-D9F7-4701-B8F6-F057CA85A28D}"/>
                </c:ext>
              </c:extLst>
            </c:dLbl>
            <c:spPr>
              <a:noFill/>
              <a:ln>
                <a:noFill/>
              </a:ln>
              <a:effectLst/>
            </c:spPr>
            <c:txPr>
              <a:bodyPr/>
              <a:lstStyle/>
              <a:p>
                <a:pPr>
                  <a:defRPr sz="800"/>
                </a:pPr>
                <a:endParaRPr lang="zh-CN"/>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Summary!$K$188:$AN$188</c:f>
              <c:strCache>
                <c:ptCount val="10"/>
                <c:pt idx="0">
                  <c:v>2020</c:v>
                </c:pt>
                <c:pt idx="1">
                  <c:v>2021</c:v>
                </c:pt>
                <c:pt idx="2">
                  <c:v>2022</c:v>
                </c:pt>
                <c:pt idx="3">
                  <c:v>2023</c:v>
                </c:pt>
                <c:pt idx="4">
                  <c:v>2024</c:v>
                </c:pt>
                <c:pt idx="5">
                  <c:v>2025</c:v>
                </c:pt>
                <c:pt idx="7">
                  <c:v>1H21</c:v>
                </c:pt>
                <c:pt idx="8">
                  <c:v>2H21</c:v>
                </c:pt>
                <c:pt idx="9">
                  <c:v>1H22</c:v>
                </c:pt>
              </c:strCache>
            </c:strRef>
          </c:cat>
          <c:val>
            <c:numRef>
              <c:f>Summary!$K$226:$AN$226</c:f>
              <c:numCache>
                <c:formatCode>0%</c:formatCode>
                <c:ptCount val="10"/>
                <c:pt idx="0">
                  <c:v>-5.5047511342965011E-2</c:v>
                </c:pt>
                <c:pt idx="1">
                  <c:v>1.4282290348106585E-3</c:v>
                </c:pt>
                <c:pt idx="2">
                  <c:v>-3.4439091085965511E-2</c:v>
                </c:pt>
                <c:pt idx="3">
                  <c:v>-1.975101786535189E-2</c:v>
                </c:pt>
                <c:pt idx="4">
                  <c:v>2.1150576768942213E-2</c:v>
                </c:pt>
                <c:pt idx="5">
                  <c:v>4.0428612007917045E-2</c:v>
                </c:pt>
                <c:pt idx="7" formatCode="0.0%">
                  <c:v>2.21889347822233E-2</c:v>
                </c:pt>
                <c:pt idx="8" formatCode="0.0%">
                  <c:v>-1.7655770669594312E-2</c:v>
                </c:pt>
                <c:pt idx="9" formatCode="0.0%">
                  <c:v>-4.5396028440915392E-2</c:v>
                </c:pt>
              </c:numCache>
            </c:numRef>
          </c:val>
          <c:extLst>
            <c:ext xmlns:c16="http://schemas.microsoft.com/office/drawing/2014/chart" uri="{C3380CC4-5D6E-409C-BE32-E72D297353CC}">
              <c16:uniqueId val="{00000007-D9F7-4701-B8F6-F057CA85A28D}"/>
            </c:ext>
          </c:extLst>
        </c:ser>
        <c:dLbls>
          <c:showLegendKey val="0"/>
          <c:showVal val="0"/>
          <c:showCatName val="0"/>
          <c:showSerName val="0"/>
          <c:showPercent val="0"/>
          <c:showBubbleSize val="0"/>
        </c:dLbls>
        <c:gapWidth val="150"/>
        <c:overlap val="100"/>
        <c:axId val="580218880"/>
        <c:axId val="580220416"/>
      </c:barChart>
      <c:lineChart>
        <c:grouping val="standard"/>
        <c:varyColors val="0"/>
        <c:ser>
          <c:idx val="4"/>
          <c:order val="4"/>
          <c:tx>
            <c:strRef>
              <c:f>Summary!$A$227</c:f>
              <c:strCache>
                <c:ptCount val="1"/>
                <c:pt idx="0">
                  <c:v>税前利润</c:v>
                </c:pt>
              </c:strCache>
            </c:strRef>
          </c:tx>
          <c:spPr>
            <a:ln w="19050">
              <a:solidFill>
                <a:srgbClr val="640000"/>
              </a:solidFill>
            </a:ln>
          </c:spPr>
          <c:marker>
            <c:symbol val="none"/>
          </c:marker>
          <c:cat>
            <c:strRef>
              <c:f>Summary!$K$188:$AN$188</c:f>
              <c:strCache>
                <c:ptCount val="10"/>
                <c:pt idx="0">
                  <c:v>2020</c:v>
                </c:pt>
                <c:pt idx="1">
                  <c:v>2021</c:v>
                </c:pt>
                <c:pt idx="2">
                  <c:v>2022</c:v>
                </c:pt>
                <c:pt idx="3">
                  <c:v>2023</c:v>
                </c:pt>
                <c:pt idx="4">
                  <c:v>2024</c:v>
                </c:pt>
                <c:pt idx="5">
                  <c:v>2025</c:v>
                </c:pt>
                <c:pt idx="7">
                  <c:v>1H21</c:v>
                </c:pt>
                <c:pt idx="8">
                  <c:v>2H21</c:v>
                </c:pt>
                <c:pt idx="9">
                  <c:v>1H22</c:v>
                </c:pt>
              </c:strCache>
            </c:strRef>
          </c:cat>
          <c:val>
            <c:numRef>
              <c:f>Summary!$K$227:$AN$227</c:f>
              <c:numCache>
                <c:formatCode>0.0%</c:formatCode>
                <c:ptCount val="10"/>
                <c:pt idx="0">
                  <c:v>0.13178788137120701</c:v>
                </c:pt>
                <c:pt idx="1">
                  <c:v>0.13835955129228372</c:v>
                </c:pt>
                <c:pt idx="2">
                  <c:v>0.14847954934898344</c:v>
                </c:pt>
                <c:pt idx="3">
                  <c:v>0.12291499380490389</c:v>
                </c:pt>
                <c:pt idx="4">
                  <c:v>-2.1837234985744636E-2</c:v>
                </c:pt>
                <c:pt idx="5">
                  <c:v>1.0831186024709671E-2</c:v>
                </c:pt>
                <c:pt idx="7">
                  <c:v>0.21627722050157372</c:v>
                </c:pt>
                <c:pt idx="8">
                  <c:v>6.6734781197782533E-2</c:v>
                </c:pt>
                <c:pt idx="9">
                  <c:v>0.15878199358332479</c:v>
                </c:pt>
              </c:numCache>
            </c:numRef>
          </c:val>
          <c:smooth val="0"/>
          <c:extLst>
            <c:ext xmlns:c16="http://schemas.microsoft.com/office/drawing/2014/chart" uri="{C3380CC4-5D6E-409C-BE32-E72D297353CC}">
              <c16:uniqueId val="{00000008-D9F7-4701-B8F6-F057CA85A28D}"/>
            </c:ext>
          </c:extLst>
        </c:ser>
        <c:dLbls>
          <c:showLegendKey val="0"/>
          <c:showVal val="0"/>
          <c:showCatName val="0"/>
          <c:showSerName val="0"/>
          <c:showPercent val="0"/>
          <c:showBubbleSize val="0"/>
        </c:dLbls>
        <c:marker val="1"/>
        <c:smooth val="0"/>
        <c:axId val="580218880"/>
        <c:axId val="580220416"/>
      </c:lineChart>
      <c:catAx>
        <c:axId val="580218880"/>
        <c:scaling>
          <c:orientation val="minMax"/>
        </c:scaling>
        <c:delete val="0"/>
        <c:axPos val="b"/>
        <c:numFmt formatCode="General" sourceLinked="1"/>
        <c:majorTickMark val="out"/>
        <c:minorTickMark val="none"/>
        <c:tickLblPos val="low"/>
        <c:txPr>
          <a:bodyPr/>
          <a:lstStyle/>
          <a:p>
            <a:pPr>
              <a:defRPr sz="800">
                <a:latin typeface="思源黑体 Normal" pitchFamily="34" charset="-122"/>
                <a:ea typeface="思源黑体 Normal" pitchFamily="34" charset="-122"/>
                <a:cs typeface="Arial"/>
              </a:defRPr>
            </a:pPr>
            <a:endParaRPr lang="zh-CN"/>
          </a:p>
        </c:txPr>
        <c:crossAx val="580220416"/>
        <c:crosses val="autoZero"/>
        <c:auto val="1"/>
        <c:lblAlgn val="ctr"/>
        <c:lblOffset val="100"/>
        <c:noMultiLvlLbl val="0"/>
      </c:catAx>
      <c:valAx>
        <c:axId val="580220416"/>
        <c:scaling>
          <c:orientation val="minMax"/>
          <c:max val="0.60000000000000009"/>
          <c:min val="-0.4"/>
        </c:scaling>
        <c:delete val="0"/>
        <c:axPos val="l"/>
        <c:majorGridlines>
          <c:spPr>
            <a:ln w="9525" cap="flat" cmpd="sng" algn="ctr">
              <a:noFill/>
              <a:prstDash val="solid"/>
              <a:round/>
            </a:ln>
            <a:effectLst/>
          </c:spPr>
        </c:majorGridlines>
        <c:numFmt formatCode="0%" sourceLinked="0"/>
        <c:majorTickMark val="none"/>
        <c:minorTickMark val="none"/>
        <c:tickLblPos val="nextTo"/>
        <c:txPr>
          <a:bodyPr/>
          <a:lstStyle/>
          <a:p>
            <a:pPr>
              <a:defRPr sz="800">
                <a:solidFill>
                  <a:srgbClr val="000000"/>
                </a:solidFill>
                <a:latin typeface="思源黑体 Normal" pitchFamily="34" charset="-122"/>
                <a:ea typeface="思源黑体 Normal" pitchFamily="34" charset="-122"/>
                <a:cs typeface="Arial"/>
              </a:defRPr>
            </a:pPr>
            <a:endParaRPr lang="zh-CN"/>
          </a:p>
        </c:txPr>
        <c:crossAx val="580218880"/>
        <c:crosses val="autoZero"/>
        <c:crossBetween val="between"/>
        <c:majorUnit val="0.2"/>
      </c:valAx>
      <c:spPr>
        <a:noFill/>
      </c:spPr>
    </c:plotArea>
    <c:legend>
      <c:legendPos val="t"/>
      <c:layout>
        <c:manualLayout>
          <c:xMode val="edge"/>
          <c:yMode val="edge"/>
          <c:x val="2.028703703703701E-3"/>
          <c:y val="0.11582865007932867"/>
          <c:w val="0.9841833333333333"/>
          <c:h val="0.16575362696591345"/>
        </c:manualLayout>
      </c:layout>
      <c:overlay val="0"/>
      <c:txPr>
        <a:bodyPr/>
        <a:lstStyle/>
        <a:p>
          <a:pPr>
            <a:defRPr sz="800">
              <a:solidFill>
                <a:srgbClr val="000000"/>
              </a:solidFill>
              <a:latin typeface="Arial"/>
              <a:ea typeface="黑体"/>
              <a:cs typeface="Arial"/>
            </a:defRPr>
          </a:pPr>
          <a:endParaRPr lang="zh-CN"/>
        </a:p>
      </c:txPr>
    </c:legend>
    <c:plotVisOnly val="1"/>
    <c:dispBlanksAs val="gap"/>
    <c:showDLblsOverMax val="0"/>
  </c:chart>
  <c:spPr>
    <a:noFill/>
    <a:ln w="9525" cap="flat" cmpd="sng" algn="ctr">
      <a:noFill/>
      <a:prstDash val="solid"/>
      <a:roun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ltLang="en-US" sz="800" b="1">
                <a:latin typeface="Arial"/>
                <a:ea typeface="黑体"/>
                <a:cs typeface="黑体"/>
              </a:defRPr>
            </a:pPr>
            <a:r>
              <a:rPr lang="zh-CN" altLang="en-US" sz="800">
                <a:latin typeface="Arial"/>
                <a:ea typeface="黑体"/>
              </a:rPr>
              <a:t>近十年集团经营业绩拆分</a:t>
            </a:r>
          </a:p>
        </c:rich>
      </c:tx>
      <c:overlay val="0"/>
    </c:title>
    <c:autoTitleDeleted val="0"/>
    <c:plotArea>
      <c:layout>
        <c:manualLayout>
          <c:layoutTarget val="inner"/>
          <c:xMode val="edge"/>
          <c:yMode val="edge"/>
          <c:x val="0.13750833333333334"/>
          <c:y val="0.31098041158314277"/>
          <c:w val="0.80369537037037042"/>
          <c:h val="0.54511271059596733"/>
        </c:manualLayout>
      </c:layout>
      <c:barChart>
        <c:barDir val="col"/>
        <c:grouping val="stacked"/>
        <c:varyColors val="0"/>
        <c:ser>
          <c:idx val="0"/>
          <c:order val="0"/>
          <c:tx>
            <c:strRef>
              <c:f>Summary!$A$190</c:f>
              <c:strCache>
                <c:ptCount val="1"/>
                <c:pt idx="0">
                  <c:v>香港</c:v>
                </c:pt>
              </c:strCache>
            </c:strRef>
          </c:tx>
          <c:spPr>
            <a:solidFill>
              <a:schemeClr val="bg1">
                <a:lumMod val="75000"/>
              </a:schemeClr>
            </a:solidFill>
          </c:spPr>
          <c:invertIfNegative val="0"/>
          <c:cat>
            <c:numRef>
              <c:f>Summary!$J$188:$T$188</c:f>
              <c:numCache>
                <c:formatCode>General</c:formatCode>
                <c:ptCount val="2"/>
                <c:pt idx="0">
                  <c:v>2020</c:v>
                </c:pt>
                <c:pt idx="1">
                  <c:v>2021</c:v>
                </c:pt>
              </c:numCache>
            </c:numRef>
          </c:cat>
          <c:val>
            <c:numRef>
              <c:f>Summary!$J$190:$T$190</c:f>
              <c:numCache>
                <c:formatCode>#,##0</c:formatCode>
                <c:ptCount val="2"/>
                <c:pt idx="0">
                  <c:v>990.02499999999998</c:v>
                </c:pt>
                <c:pt idx="1">
                  <c:v>849.71900000000005</c:v>
                </c:pt>
              </c:numCache>
            </c:numRef>
          </c:val>
          <c:extLst>
            <c:ext xmlns:c16="http://schemas.microsoft.com/office/drawing/2014/chart" uri="{C3380CC4-5D6E-409C-BE32-E72D297353CC}">
              <c16:uniqueId val="{00000000-CB21-4DEC-8730-AA0AC63994D9}"/>
            </c:ext>
          </c:extLst>
        </c:ser>
        <c:ser>
          <c:idx val="1"/>
          <c:order val="1"/>
          <c:tx>
            <c:strRef>
              <c:f>Summary!$A$191</c:f>
              <c:strCache>
                <c:ptCount val="1"/>
                <c:pt idx="0">
                  <c:v>澳门</c:v>
                </c:pt>
              </c:strCache>
            </c:strRef>
          </c:tx>
          <c:spPr>
            <a:solidFill>
              <a:schemeClr val="accent2">
                <a:lumMod val="75000"/>
              </a:schemeClr>
            </a:solidFill>
          </c:spPr>
          <c:invertIfNegative val="0"/>
          <c:cat>
            <c:numRef>
              <c:f>Summary!$J$188:$T$188</c:f>
              <c:numCache>
                <c:formatCode>General</c:formatCode>
                <c:ptCount val="2"/>
                <c:pt idx="0">
                  <c:v>2020</c:v>
                </c:pt>
                <c:pt idx="1">
                  <c:v>2021</c:v>
                </c:pt>
              </c:numCache>
            </c:numRef>
          </c:cat>
          <c:val>
            <c:numRef>
              <c:f>Summary!$J$191:$T$191</c:f>
              <c:numCache>
                <c:formatCode>#,##0</c:formatCode>
                <c:ptCount val="2"/>
                <c:pt idx="0">
                  <c:v>509.601</c:v>
                </c:pt>
                <c:pt idx="1">
                  <c:v>832.38</c:v>
                </c:pt>
              </c:numCache>
            </c:numRef>
          </c:val>
          <c:extLst>
            <c:ext xmlns:c16="http://schemas.microsoft.com/office/drawing/2014/chart" uri="{C3380CC4-5D6E-409C-BE32-E72D297353CC}">
              <c16:uniqueId val="{00000001-CB21-4DEC-8730-AA0AC63994D9}"/>
            </c:ext>
          </c:extLst>
        </c:ser>
        <c:ser>
          <c:idx val="2"/>
          <c:order val="2"/>
          <c:tx>
            <c:strRef>
              <c:f>Summary!$A$192</c:f>
              <c:strCache>
                <c:ptCount val="1"/>
                <c:pt idx="0">
                  <c:v>大陆</c:v>
                </c:pt>
              </c:strCache>
            </c:strRef>
          </c:tx>
          <c:spPr>
            <a:solidFill>
              <a:schemeClr val="accent2">
                <a:lumMod val="40000"/>
                <a:lumOff val="60000"/>
              </a:schemeClr>
            </a:solidFill>
          </c:spPr>
          <c:invertIfNegative val="0"/>
          <c:cat>
            <c:numRef>
              <c:f>Summary!$J$188:$T$188</c:f>
              <c:numCache>
                <c:formatCode>General</c:formatCode>
                <c:ptCount val="2"/>
                <c:pt idx="0">
                  <c:v>2020</c:v>
                </c:pt>
                <c:pt idx="1">
                  <c:v>2021</c:v>
                </c:pt>
              </c:numCache>
            </c:numRef>
          </c:cat>
          <c:val>
            <c:numRef>
              <c:f>Summary!$J$192:$T$192</c:f>
              <c:numCache>
                <c:formatCode>#,##0</c:formatCode>
                <c:ptCount val="2"/>
                <c:pt idx="0">
                  <c:v>6503.3130000000001</c:v>
                </c:pt>
                <c:pt idx="1">
                  <c:v>8784.2119999999995</c:v>
                </c:pt>
              </c:numCache>
            </c:numRef>
          </c:val>
          <c:extLst>
            <c:ext xmlns:c16="http://schemas.microsoft.com/office/drawing/2014/chart" uri="{C3380CC4-5D6E-409C-BE32-E72D297353CC}">
              <c16:uniqueId val="{00000002-CB21-4DEC-8730-AA0AC63994D9}"/>
            </c:ext>
          </c:extLst>
        </c:ser>
        <c:ser>
          <c:idx val="3"/>
          <c:order val="3"/>
          <c:tx>
            <c:strRef>
              <c:f>Summary!$A$193</c:f>
              <c:strCache>
                <c:ptCount val="1"/>
                <c:pt idx="0">
                  <c:v>中建兴业</c:v>
                </c:pt>
              </c:strCache>
            </c:strRef>
          </c:tx>
          <c:spPr>
            <a:solidFill>
              <a:schemeClr val="accent1">
                <a:lumMod val="60000"/>
                <a:lumOff val="40000"/>
              </a:schemeClr>
            </a:solidFill>
          </c:spPr>
          <c:invertIfNegative val="0"/>
          <c:cat>
            <c:numRef>
              <c:f>Summary!$J$188:$T$188</c:f>
              <c:numCache>
                <c:formatCode>General</c:formatCode>
                <c:ptCount val="2"/>
                <c:pt idx="0">
                  <c:v>2020</c:v>
                </c:pt>
                <c:pt idx="1">
                  <c:v>2021</c:v>
                </c:pt>
              </c:numCache>
            </c:numRef>
          </c:cat>
          <c:val>
            <c:numRef>
              <c:f>Summary!$J$193:$T$193</c:f>
              <c:numCache>
                <c:formatCode>#,##0</c:formatCode>
                <c:ptCount val="2"/>
                <c:pt idx="0">
                  <c:v>316.11200000000002</c:v>
                </c:pt>
                <c:pt idx="1">
                  <c:v>406.86</c:v>
                </c:pt>
              </c:numCache>
            </c:numRef>
          </c:val>
          <c:extLst>
            <c:ext xmlns:c16="http://schemas.microsoft.com/office/drawing/2014/chart" uri="{C3380CC4-5D6E-409C-BE32-E72D297353CC}">
              <c16:uniqueId val="{00000003-CB21-4DEC-8730-AA0AC63994D9}"/>
            </c:ext>
          </c:extLst>
        </c:ser>
        <c:dLbls>
          <c:showLegendKey val="0"/>
          <c:showVal val="0"/>
          <c:showCatName val="0"/>
          <c:showSerName val="0"/>
          <c:showPercent val="0"/>
          <c:showBubbleSize val="0"/>
        </c:dLbls>
        <c:gapWidth val="150"/>
        <c:overlap val="100"/>
        <c:axId val="580924928"/>
        <c:axId val="580926464"/>
      </c:barChart>
      <c:catAx>
        <c:axId val="580924928"/>
        <c:scaling>
          <c:orientation val="minMax"/>
        </c:scaling>
        <c:delete val="0"/>
        <c:axPos val="b"/>
        <c:numFmt formatCode="General" sourceLinked="1"/>
        <c:majorTickMark val="out"/>
        <c:minorTickMark val="none"/>
        <c:tickLblPos val="low"/>
        <c:txPr>
          <a:bodyPr/>
          <a:lstStyle/>
          <a:p>
            <a:pPr>
              <a:defRPr sz="800">
                <a:latin typeface="思源黑体 Normal" pitchFamily="34" charset="-122"/>
                <a:ea typeface="思源黑体 Normal" pitchFamily="34" charset="-122"/>
                <a:cs typeface="Arial"/>
              </a:defRPr>
            </a:pPr>
            <a:endParaRPr lang="zh-CN"/>
          </a:p>
        </c:txPr>
        <c:crossAx val="580926464"/>
        <c:crosses val="autoZero"/>
        <c:auto val="1"/>
        <c:lblAlgn val="ctr"/>
        <c:lblOffset val="100"/>
        <c:noMultiLvlLbl val="0"/>
      </c:catAx>
      <c:valAx>
        <c:axId val="580926464"/>
        <c:scaling>
          <c:orientation val="minMax"/>
          <c:min val="0"/>
        </c:scaling>
        <c:delete val="0"/>
        <c:axPos val="l"/>
        <c:majorGridlines>
          <c:spPr>
            <a:ln w="9525" cap="flat" cmpd="sng" algn="ctr">
              <a:noFill/>
              <a:prstDash val="solid"/>
              <a:round/>
            </a:ln>
            <a:effectLst/>
          </c:spPr>
        </c:majorGridlines>
        <c:numFmt formatCode="#,##0_);[Red]\(#,##0\)" sourceLinked="0"/>
        <c:majorTickMark val="none"/>
        <c:minorTickMark val="none"/>
        <c:tickLblPos val="nextTo"/>
        <c:txPr>
          <a:bodyPr/>
          <a:lstStyle/>
          <a:p>
            <a:pPr>
              <a:defRPr sz="800">
                <a:solidFill>
                  <a:srgbClr val="000000"/>
                </a:solidFill>
                <a:latin typeface="思源黑体 Normal" pitchFamily="34" charset="-122"/>
                <a:ea typeface="思源黑体 Normal" pitchFamily="34" charset="-122"/>
                <a:cs typeface="Arial"/>
              </a:defRPr>
            </a:pPr>
            <a:endParaRPr lang="zh-CN"/>
          </a:p>
        </c:txPr>
        <c:crossAx val="580924928"/>
        <c:crosses val="autoZero"/>
        <c:crossBetween val="between"/>
        <c:majorUnit val="2000"/>
      </c:valAx>
      <c:spPr>
        <a:noFill/>
      </c:spPr>
    </c:plotArea>
    <c:legend>
      <c:legendPos val="t"/>
      <c:layout>
        <c:manualLayout>
          <c:xMode val="edge"/>
          <c:yMode val="edge"/>
          <c:x val="2.028703703703701E-3"/>
          <c:y val="0.11582865007932867"/>
          <c:w val="0.9841833333333333"/>
          <c:h val="0.12459623861285249"/>
        </c:manualLayout>
      </c:layout>
      <c:overlay val="0"/>
      <c:txPr>
        <a:bodyPr/>
        <a:lstStyle/>
        <a:p>
          <a:pPr>
            <a:defRPr sz="800">
              <a:solidFill>
                <a:srgbClr val="000000"/>
              </a:solidFill>
              <a:latin typeface="Arial"/>
              <a:ea typeface="黑体"/>
              <a:cs typeface="Arial"/>
            </a:defRPr>
          </a:pPr>
          <a:endParaRPr lang="zh-CN"/>
        </a:p>
      </c:txPr>
    </c:legend>
    <c:plotVisOnly val="1"/>
    <c:dispBlanksAs val="gap"/>
    <c:showDLblsOverMax val="0"/>
  </c:chart>
  <c:spPr>
    <a:noFill/>
    <a:ln w="9525" cap="flat" cmpd="sng" algn="ctr">
      <a:noFill/>
      <a:prstDash val="solid"/>
      <a:roun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ltLang="en-US" sz="800" b="1">
                <a:latin typeface="Arial"/>
                <a:ea typeface="黑体"/>
                <a:cs typeface="黑体"/>
              </a:defRPr>
            </a:pPr>
            <a:r>
              <a:rPr lang="zh-CN" altLang="en-US" sz="800">
                <a:latin typeface="Arial"/>
                <a:ea typeface="黑体"/>
              </a:rPr>
              <a:t>近十年集团经营业绩增速拆分</a:t>
            </a:r>
          </a:p>
        </c:rich>
      </c:tx>
      <c:overlay val="0"/>
    </c:title>
    <c:autoTitleDeleted val="0"/>
    <c:plotArea>
      <c:layout>
        <c:manualLayout>
          <c:layoutTarget val="inner"/>
          <c:xMode val="edge"/>
          <c:yMode val="edge"/>
          <c:x val="0.11790956790123458"/>
          <c:y val="0.31098041158314277"/>
          <c:w val="0.80369537037037042"/>
          <c:h val="0.54511271059596733"/>
        </c:manualLayout>
      </c:layout>
      <c:barChart>
        <c:barDir val="col"/>
        <c:grouping val="stacked"/>
        <c:varyColors val="0"/>
        <c:ser>
          <c:idx val="0"/>
          <c:order val="0"/>
          <c:tx>
            <c:strRef>
              <c:f>Summary!$A$229</c:f>
              <c:strCache>
                <c:ptCount val="1"/>
                <c:pt idx="0">
                  <c:v>香港</c:v>
                </c:pt>
              </c:strCache>
            </c:strRef>
          </c:tx>
          <c:spPr>
            <a:solidFill>
              <a:schemeClr val="bg1">
                <a:lumMod val="75000"/>
              </a:schemeClr>
            </a:solidFill>
          </c:spPr>
          <c:invertIfNegative val="0"/>
          <c:dLbls>
            <c:dLbl>
              <c:idx val="9"/>
              <c:layout>
                <c:manualLayout>
                  <c:x val="-3.9237652574994125E-3"/>
                  <c:y val="-2.3366183980181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DC1-4266-A933-81C0B55A54F9}"/>
                </c:ext>
              </c:extLst>
            </c:dLbl>
            <c:dLbl>
              <c:idx val="10"/>
              <c:spPr/>
              <c:txPr>
                <a:bodyPr/>
                <a:lstStyle/>
                <a:p>
                  <a:pPr>
                    <a:defRPr sz="800" b="1"/>
                  </a:pPr>
                  <a:endParaRPr lang="zh-CN"/>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C1-4266-A933-81C0B55A54F9}"/>
                </c:ext>
              </c:extLst>
            </c:dLbl>
            <c:spPr>
              <a:noFill/>
              <a:ln>
                <a:noFill/>
              </a:ln>
              <a:effectLst/>
            </c:spPr>
            <c:txPr>
              <a:bodyPr/>
              <a:lstStyle/>
              <a:p>
                <a:pPr>
                  <a:defRPr sz="800"/>
                </a:pPr>
                <a:endParaRPr lang="zh-CN"/>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Summary!$K$188:$AN$188</c:f>
              <c:strCache>
                <c:ptCount val="10"/>
                <c:pt idx="0">
                  <c:v>2020</c:v>
                </c:pt>
                <c:pt idx="1">
                  <c:v>2021</c:v>
                </c:pt>
                <c:pt idx="2">
                  <c:v>2022</c:v>
                </c:pt>
                <c:pt idx="3">
                  <c:v>2023</c:v>
                </c:pt>
                <c:pt idx="4">
                  <c:v>2024</c:v>
                </c:pt>
                <c:pt idx="5">
                  <c:v>2025</c:v>
                </c:pt>
                <c:pt idx="7">
                  <c:v>1H21</c:v>
                </c:pt>
                <c:pt idx="8">
                  <c:v>2H21</c:v>
                </c:pt>
                <c:pt idx="9">
                  <c:v>1H22</c:v>
                </c:pt>
              </c:strCache>
            </c:strRef>
          </c:cat>
          <c:val>
            <c:numRef>
              <c:f>Summary!$K$229:$AN$229</c:f>
              <c:numCache>
                <c:formatCode>0.0%</c:formatCode>
                <c:ptCount val="10"/>
                <c:pt idx="0">
                  <c:v>-4.9801420034481583E-2</c:v>
                </c:pt>
                <c:pt idx="1">
                  <c:v>-1.7018182841456505E-2</c:v>
                </c:pt>
                <c:pt idx="2">
                  <c:v>4.4892062782400072E-2</c:v>
                </c:pt>
                <c:pt idx="3">
                  <c:v>-2.2776433303320409E-2</c:v>
                </c:pt>
                <c:pt idx="4">
                  <c:v>1.5769344308738581E-2</c:v>
                </c:pt>
                <c:pt idx="5">
                  <c:v>2.1391577617446548E-3</c:v>
                </c:pt>
                <c:pt idx="7">
                  <c:v>-6.5662978598398994E-2</c:v>
                </c:pt>
                <c:pt idx="8">
                  <c:v>2.7697891801720168E-2</c:v>
                </c:pt>
                <c:pt idx="9">
                  <c:v>8.4442009753062749E-2</c:v>
                </c:pt>
              </c:numCache>
            </c:numRef>
          </c:val>
          <c:extLst>
            <c:ext xmlns:c16="http://schemas.microsoft.com/office/drawing/2014/chart" uri="{C3380CC4-5D6E-409C-BE32-E72D297353CC}">
              <c16:uniqueId val="{00000002-3DC1-4266-A933-81C0B55A54F9}"/>
            </c:ext>
          </c:extLst>
        </c:ser>
        <c:ser>
          <c:idx val="1"/>
          <c:order val="1"/>
          <c:tx>
            <c:strRef>
              <c:f>Summary!$A$230</c:f>
              <c:strCache>
                <c:ptCount val="1"/>
                <c:pt idx="0">
                  <c:v>澳门</c:v>
                </c:pt>
              </c:strCache>
            </c:strRef>
          </c:tx>
          <c:spPr>
            <a:solidFill>
              <a:schemeClr val="accent2">
                <a:lumMod val="75000"/>
              </a:schemeClr>
            </a:solidFill>
          </c:spPr>
          <c:invertIfNegative val="0"/>
          <c:cat>
            <c:strRef>
              <c:f>Summary!$K$188:$AN$188</c:f>
              <c:strCache>
                <c:ptCount val="10"/>
                <c:pt idx="0">
                  <c:v>2020</c:v>
                </c:pt>
                <c:pt idx="1">
                  <c:v>2021</c:v>
                </c:pt>
                <c:pt idx="2">
                  <c:v>2022</c:v>
                </c:pt>
                <c:pt idx="3">
                  <c:v>2023</c:v>
                </c:pt>
                <c:pt idx="4">
                  <c:v>2024</c:v>
                </c:pt>
                <c:pt idx="5">
                  <c:v>2025</c:v>
                </c:pt>
                <c:pt idx="7">
                  <c:v>1H21</c:v>
                </c:pt>
                <c:pt idx="8">
                  <c:v>2H21</c:v>
                </c:pt>
                <c:pt idx="9">
                  <c:v>1H22</c:v>
                </c:pt>
              </c:strCache>
            </c:strRef>
          </c:cat>
          <c:val>
            <c:numRef>
              <c:f>Summary!$K$230:$AN$230</c:f>
              <c:numCache>
                <c:formatCode>0.0%</c:formatCode>
                <c:ptCount val="10"/>
                <c:pt idx="0">
                  <c:v>5.0486850726703392E-3</c:v>
                </c:pt>
                <c:pt idx="1">
                  <c:v>3.9150941794238961E-2</c:v>
                </c:pt>
                <c:pt idx="2">
                  <c:v>-3.0726108764266378E-2</c:v>
                </c:pt>
                <c:pt idx="3">
                  <c:v>3.8616584490594186E-2</c:v>
                </c:pt>
                <c:pt idx="4">
                  <c:v>1.1608828387248785E-2</c:v>
                </c:pt>
                <c:pt idx="5">
                  <c:v>-2.9830126750545364E-2</c:v>
                </c:pt>
                <c:pt idx="7">
                  <c:v>5.4818082592807377E-2</c:v>
                </c:pt>
                <c:pt idx="8">
                  <c:v>2.4749133204181116E-2</c:v>
                </c:pt>
                <c:pt idx="9">
                  <c:v>-1.291580180640497E-2</c:v>
                </c:pt>
              </c:numCache>
            </c:numRef>
          </c:val>
          <c:extLst>
            <c:ext xmlns:c16="http://schemas.microsoft.com/office/drawing/2014/chart" uri="{C3380CC4-5D6E-409C-BE32-E72D297353CC}">
              <c16:uniqueId val="{00000003-3DC1-4266-A933-81C0B55A54F9}"/>
            </c:ext>
          </c:extLst>
        </c:ser>
        <c:ser>
          <c:idx val="2"/>
          <c:order val="2"/>
          <c:tx>
            <c:strRef>
              <c:f>Summary!$A$231</c:f>
              <c:strCache>
                <c:ptCount val="1"/>
                <c:pt idx="0">
                  <c:v>大陆</c:v>
                </c:pt>
              </c:strCache>
            </c:strRef>
          </c:tx>
          <c:spPr>
            <a:solidFill>
              <a:schemeClr val="accent2">
                <a:lumMod val="40000"/>
                <a:lumOff val="60000"/>
              </a:schemeClr>
            </a:solidFill>
          </c:spPr>
          <c:invertIfNegative val="0"/>
          <c:dLbls>
            <c:dLbl>
              <c:idx val="9"/>
              <c:layout>
                <c:manualLayout>
                  <c:x val="0"/>
                  <c:y val="-3.5277761445480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DC1-4266-A933-81C0B55A54F9}"/>
                </c:ext>
              </c:extLst>
            </c:dLbl>
            <c:dLbl>
              <c:idx val="10"/>
              <c:spPr/>
              <c:txPr>
                <a:bodyPr/>
                <a:lstStyle/>
                <a:p>
                  <a:pPr>
                    <a:defRPr sz="800" b="1"/>
                  </a:pPr>
                  <a:endParaRPr lang="zh-CN"/>
                </a:p>
              </c:txPr>
              <c:showLegendKey val="0"/>
              <c:showVal val="1"/>
              <c:showCatName val="0"/>
              <c:showSerName val="0"/>
              <c:showPercent val="0"/>
              <c:showBubbleSize val="0"/>
              <c:extLst>
                <c:ext xmlns:c16="http://schemas.microsoft.com/office/drawing/2014/chart" uri="{C3380CC4-5D6E-409C-BE32-E72D297353CC}">
                  <c16:uniqueId val="{00000005-3DC1-4266-A933-81C0B55A54F9}"/>
                </c:ext>
              </c:extLst>
            </c:dLbl>
            <c:spPr>
              <a:noFill/>
              <a:ln>
                <a:noFill/>
              </a:ln>
              <a:effectLst/>
            </c:spPr>
            <c:txPr>
              <a:bodyPr/>
              <a:lstStyle/>
              <a:p>
                <a:pPr>
                  <a:defRPr sz="800"/>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Summary!$K$188:$AN$188</c:f>
              <c:strCache>
                <c:ptCount val="10"/>
                <c:pt idx="0">
                  <c:v>2020</c:v>
                </c:pt>
                <c:pt idx="1">
                  <c:v>2021</c:v>
                </c:pt>
                <c:pt idx="2">
                  <c:v>2022</c:v>
                </c:pt>
                <c:pt idx="3">
                  <c:v>2023</c:v>
                </c:pt>
                <c:pt idx="4">
                  <c:v>2024</c:v>
                </c:pt>
                <c:pt idx="5">
                  <c:v>2025</c:v>
                </c:pt>
                <c:pt idx="7">
                  <c:v>1H21</c:v>
                </c:pt>
                <c:pt idx="8">
                  <c:v>2H21</c:v>
                </c:pt>
                <c:pt idx="9">
                  <c:v>1H22</c:v>
                </c:pt>
              </c:strCache>
            </c:strRef>
          </c:cat>
          <c:val>
            <c:numRef>
              <c:f>Summary!$K$231:$AN$231</c:f>
              <c:numCache>
                <c:formatCode>0.0%</c:formatCode>
                <c:ptCount val="10"/>
                <c:pt idx="0" formatCode="0%">
                  <c:v>2.6941558281994682E-2</c:v>
                </c:pt>
                <c:pt idx="1">
                  <c:v>0.27665784944974064</c:v>
                </c:pt>
                <c:pt idx="2">
                  <c:v>0.15978077347067898</c:v>
                </c:pt>
                <c:pt idx="3">
                  <c:v>0.11821571926445588</c:v>
                </c:pt>
                <c:pt idx="4">
                  <c:v>0.10355790744646996</c:v>
                </c:pt>
                <c:pt idx="5">
                  <c:v>-7.8027903651577551E-2</c:v>
                </c:pt>
                <c:pt idx="7">
                  <c:v>0.17478303370416617</c:v>
                </c:pt>
                <c:pt idx="8">
                  <c:v>0.37030490447903086</c:v>
                </c:pt>
                <c:pt idx="9">
                  <c:v>0.13636527366645981</c:v>
                </c:pt>
              </c:numCache>
            </c:numRef>
          </c:val>
          <c:extLst>
            <c:ext xmlns:c16="http://schemas.microsoft.com/office/drawing/2014/chart" uri="{C3380CC4-5D6E-409C-BE32-E72D297353CC}">
              <c16:uniqueId val="{00000006-3DC1-4266-A933-81C0B55A54F9}"/>
            </c:ext>
          </c:extLst>
        </c:ser>
        <c:ser>
          <c:idx val="3"/>
          <c:order val="3"/>
          <c:tx>
            <c:strRef>
              <c:f>Summary!$A$232</c:f>
              <c:strCache>
                <c:ptCount val="1"/>
                <c:pt idx="0">
                  <c:v>中建兴业</c:v>
                </c:pt>
              </c:strCache>
            </c:strRef>
          </c:tx>
          <c:spPr>
            <a:solidFill>
              <a:schemeClr val="accent1">
                <a:lumMod val="60000"/>
                <a:lumOff val="40000"/>
              </a:schemeClr>
            </a:solidFill>
          </c:spPr>
          <c:invertIfNegative val="0"/>
          <c:cat>
            <c:strRef>
              <c:f>Summary!$K$188:$AN$188</c:f>
              <c:strCache>
                <c:ptCount val="10"/>
                <c:pt idx="0">
                  <c:v>2020</c:v>
                </c:pt>
                <c:pt idx="1">
                  <c:v>2021</c:v>
                </c:pt>
                <c:pt idx="2">
                  <c:v>2022</c:v>
                </c:pt>
                <c:pt idx="3">
                  <c:v>2023</c:v>
                </c:pt>
                <c:pt idx="4">
                  <c:v>2024</c:v>
                </c:pt>
                <c:pt idx="5">
                  <c:v>2025</c:v>
                </c:pt>
                <c:pt idx="7">
                  <c:v>1H21</c:v>
                </c:pt>
                <c:pt idx="8">
                  <c:v>2H21</c:v>
                </c:pt>
                <c:pt idx="9">
                  <c:v>1H22</c:v>
                </c:pt>
              </c:strCache>
            </c:strRef>
          </c:cat>
          <c:val>
            <c:numRef>
              <c:f>Summary!$K$232:$AN$232</c:f>
              <c:numCache>
                <c:formatCode>0.0%</c:formatCode>
                <c:ptCount val="10"/>
                <c:pt idx="0">
                  <c:v>-9.3618328633609717E-3</c:v>
                </c:pt>
                <c:pt idx="1">
                  <c:v>1.1007127681613726E-2</c:v>
                </c:pt>
                <c:pt idx="2">
                  <c:v>6.9077006317834339E-3</c:v>
                </c:pt>
                <c:pt idx="3">
                  <c:v>3.1624265854322695E-2</c:v>
                </c:pt>
                <c:pt idx="4">
                  <c:v>-2.1440822264746041E-3</c:v>
                </c:pt>
                <c:pt idx="5">
                  <c:v>-4.1506637377621988E-2</c:v>
                </c:pt>
                <c:pt idx="7">
                  <c:v>2.0946269344631369E-2</c:v>
                </c:pt>
                <c:pt idx="8">
                  <c:v>1.870705304320169E-3</c:v>
                </c:pt>
                <c:pt idx="9">
                  <c:v>1.5656703518094339E-2</c:v>
                </c:pt>
              </c:numCache>
            </c:numRef>
          </c:val>
          <c:extLst>
            <c:ext xmlns:c16="http://schemas.microsoft.com/office/drawing/2014/chart" uri="{C3380CC4-5D6E-409C-BE32-E72D297353CC}">
              <c16:uniqueId val="{00000007-3DC1-4266-A933-81C0B55A54F9}"/>
            </c:ext>
          </c:extLst>
        </c:ser>
        <c:dLbls>
          <c:showLegendKey val="0"/>
          <c:showVal val="0"/>
          <c:showCatName val="0"/>
          <c:showSerName val="0"/>
          <c:showPercent val="0"/>
          <c:showBubbleSize val="0"/>
        </c:dLbls>
        <c:gapWidth val="150"/>
        <c:overlap val="100"/>
        <c:axId val="580967040"/>
        <c:axId val="580981120"/>
      </c:barChart>
      <c:lineChart>
        <c:grouping val="standard"/>
        <c:varyColors val="0"/>
        <c:ser>
          <c:idx val="4"/>
          <c:order val="4"/>
          <c:tx>
            <c:strRef>
              <c:f>Summary!$A$223</c:f>
              <c:strCache>
                <c:ptCount val="1"/>
                <c:pt idx="0">
                  <c:v>集团经营业绩</c:v>
                </c:pt>
              </c:strCache>
            </c:strRef>
          </c:tx>
          <c:spPr>
            <a:ln w="19050">
              <a:solidFill>
                <a:srgbClr val="640000"/>
              </a:solidFill>
            </a:ln>
          </c:spPr>
          <c:marker>
            <c:symbol val="none"/>
          </c:marker>
          <c:val>
            <c:numRef>
              <c:f>Summary!$K$223:$AN$223</c:f>
              <c:numCache>
                <c:formatCode>0%</c:formatCode>
                <c:ptCount val="10"/>
                <c:pt idx="0">
                  <c:v>-2.6028108286792372E-2</c:v>
                </c:pt>
                <c:pt idx="1">
                  <c:v>0.3105096066748208</c:v>
                </c:pt>
                <c:pt idx="2">
                  <c:v>0.18085442812059599</c:v>
                </c:pt>
                <c:pt idx="3">
                  <c:v>0.1656801363060523</c:v>
                </c:pt>
                <c:pt idx="4">
                  <c:v>0.12879199791598278</c:v>
                </c:pt>
                <c:pt idx="5">
                  <c:v>-0.14722551001800022</c:v>
                </c:pt>
                <c:pt idx="7" formatCode="0.0%">
                  <c:v>0.18479754455184821</c:v>
                </c:pt>
                <c:pt idx="8" formatCode="0.0%">
                  <c:v>0.42606873002947582</c:v>
                </c:pt>
                <c:pt idx="9" formatCode="0.0%">
                  <c:v>0.22408703757954454</c:v>
                </c:pt>
              </c:numCache>
            </c:numRef>
          </c:val>
          <c:smooth val="0"/>
          <c:extLst>
            <c:ext xmlns:c16="http://schemas.microsoft.com/office/drawing/2014/chart" uri="{C3380CC4-5D6E-409C-BE32-E72D297353CC}">
              <c16:uniqueId val="{00000008-3DC1-4266-A933-81C0B55A54F9}"/>
            </c:ext>
          </c:extLst>
        </c:ser>
        <c:dLbls>
          <c:showLegendKey val="0"/>
          <c:showVal val="0"/>
          <c:showCatName val="0"/>
          <c:showSerName val="0"/>
          <c:showPercent val="0"/>
          <c:showBubbleSize val="0"/>
        </c:dLbls>
        <c:marker val="1"/>
        <c:smooth val="0"/>
        <c:axId val="580967040"/>
        <c:axId val="580981120"/>
      </c:lineChart>
      <c:catAx>
        <c:axId val="580967040"/>
        <c:scaling>
          <c:orientation val="minMax"/>
        </c:scaling>
        <c:delete val="0"/>
        <c:axPos val="b"/>
        <c:numFmt formatCode="General" sourceLinked="1"/>
        <c:majorTickMark val="out"/>
        <c:minorTickMark val="none"/>
        <c:tickLblPos val="low"/>
        <c:txPr>
          <a:bodyPr/>
          <a:lstStyle/>
          <a:p>
            <a:pPr>
              <a:defRPr sz="800">
                <a:latin typeface="思源黑体 Normal" pitchFamily="34" charset="-122"/>
                <a:ea typeface="思源黑体 Normal" pitchFamily="34" charset="-122"/>
                <a:cs typeface="Arial"/>
              </a:defRPr>
            </a:pPr>
            <a:endParaRPr lang="zh-CN"/>
          </a:p>
        </c:txPr>
        <c:crossAx val="580981120"/>
        <c:crosses val="autoZero"/>
        <c:auto val="1"/>
        <c:lblAlgn val="ctr"/>
        <c:lblOffset val="100"/>
        <c:noMultiLvlLbl val="0"/>
      </c:catAx>
      <c:valAx>
        <c:axId val="580981120"/>
        <c:scaling>
          <c:orientation val="minMax"/>
        </c:scaling>
        <c:delete val="0"/>
        <c:axPos val="l"/>
        <c:majorGridlines>
          <c:spPr>
            <a:ln w="9525" cap="flat" cmpd="sng" algn="ctr">
              <a:noFill/>
              <a:prstDash val="solid"/>
              <a:round/>
            </a:ln>
            <a:effectLst/>
          </c:spPr>
        </c:majorGridlines>
        <c:numFmt formatCode="0%" sourceLinked="0"/>
        <c:majorTickMark val="none"/>
        <c:minorTickMark val="none"/>
        <c:tickLblPos val="nextTo"/>
        <c:txPr>
          <a:bodyPr/>
          <a:lstStyle/>
          <a:p>
            <a:pPr>
              <a:defRPr sz="800">
                <a:solidFill>
                  <a:srgbClr val="000000"/>
                </a:solidFill>
                <a:latin typeface="思源黑体 Normal" pitchFamily="34" charset="-122"/>
                <a:ea typeface="思源黑体 Normal" pitchFamily="34" charset="-122"/>
                <a:cs typeface="Arial"/>
              </a:defRPr>
            </a:pPr>
            <a:endParaRPr lang="zh-CN"/>
          </a:p>
        </c:txPr>
        <c:crossAx val="580967040"/>
        <c:crosses val="autoZero"/>
        <c:crossBetween val="between"/>
      </c:valAx>
      <c:spPr>
        <a:noFill/>
      </c:spPr>
    </c:plotArea>
    <c:legend>
      <c:legendPos val="t"/>
      <c:layout>
        <c:manualLayout>
          <c:xMode val="edge"/>
          <c:yMode val="edge"/>
          <c:x val="8.826327160493827E-2"/>
          <c:y val="0.10994902317174853"/>
          <c:w val="0.84666666666666668"/>
          <c:h val="0.16575362696591345"/>
        </c:manualLayout>
      </c:layout>
      <c:overlay val="0"/>
      <c:txPr>
        <a:bodyPr/>
        <a:lstStyle/>
        <a:p>
          <a:pPr>
            <a:defRPr sz="800">
              <a:solidFill>
                <a:srgbClr val="000000"/>
              </a:solidFill>
              <a:latin typeface="Arial"/>
              <a:ea typeface="黑体"/>
              <a:cs typeface="Arial"/>
            </a:defRPr>
          </a:pPr>
          <a:endParaRPr lang="zh-CN"/>
        </a:p>
      </c:txPr>
    </c:legend>
    <c:plotVisOnly val="1"/>
    <c:dispBlanksAs val="gap"/>
    <c:showDLblsOverMax val="0"/>
  </c:chart>
  <c:spPr>
    <a:noFill/>
    <a:ln w="9525" cap="flat" cmpd="sng" algn="ctr">
      <a:noFill/>
      <a:prstDash val="solid"/>
      <a:roun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800"/>
              <a:t>Breakdown of Group segment profit growth rate</a:t>
            </a:r>
            <a:endParaRPr lang="zh-CN" sz="800"/>
          </a:p>
        </c:rich>
      </c:tx>
      <c:layout>
        <c:manualLayout>
          <c:xMode val="edge"/>
          <c:yMode val="edge"/>
          <c:x val="0.13410948559402489"/>
          <c:y val="2.1746519486679401E-2"/>
        </c:manualLayout>
      </c:layout>
      <c:overlay val="0"/>
    </c:title>
    <c:autoTitleDeleted val="0"/>
    <c:plotArea>
      <c:layout>
        <c:manualLayout>
          <c:layoutTarget val="inner"/>
          <c:xMode val="edge"/>
          <c:yMode val="edge"/>
          <c:x val="0.13750833333333334"/>
          <c:y val="0.33449891921346331"/>
          <c:w val="0.80369537037037042"/>
          <c:h val="0.55934231333309936"/>
        </c:manualLayout>
      </c:layout>
      <c:barChart>
        <c:barDir val="col"/>
        <c:grouping val="stacked"/>
        <c:varyColors val="0"/>
        <c:ser>
          <c:idx val="0"/>
          <c:order val="0"/>
          <c:tx>
            <c:strRef>
              <c:f>Summary!$B$223</c:f>
              <c:strCache>
                <c:ptCount val="1"/>
                <c:pt idx="0">
                  <c:v>Group operating profit</c:v>
                </c:pt>
              </c:strCache>
            </c:strRef>
          </c:tx>
          <c:spPr>
            <a:solidFill>
              <a:schemeClr val="accent2">
                <a:lumMod val="40000"/>
                <a:lumOff val="60000"/>
              </a:schemeClr>
            </a:solidFill>
          </c:spPr>
          <c:invertIfNegative val="0"/>
          <c:dLbls>
            <c:dLbl>
              <c:idx val="5"/>
              <c:layout>
                <c:manualLayout>
                  <c:x val="0"/>
                  <c:y val="-6.194441576647418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6BD-4684-B8CD-BAC9F7FABA56}"/>
                </c:ext>
              </c:extLst>
            </c:dLbl>
            <c:dLbl>
              <c:idx val="8"/>
              <c:layout>
                <c:manualLayout>
                  <c:x val="0"/>
                  <c:y val="-1.027175450381735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BD-4684-B8CD-BAC9F7FABA56}"/>
                </c:ext>
              </c:extLst>
            </c:dLbl>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Summary!$K$188:$AN$188</c:f>
              <c:strCache>
                <c:ptCount val="10"/>
                <c:pt idx="0">
                  <c:v>2020</c:v>
                </c:pt>
                <c:pt idx="1">
                  <c:v>2021</c:v>
                </c:pt>
                <c:pt idx="2">
                  <c:v>2022</c:v>
                </c:pt>
                <c:pt idx="3">
                  <c:v>2023</c:v>
                </c:pt>
                <c:pt idx="4">
                  <c:v>2024</c:v>
                </c:pt>
                <c:pt idx="5">
                  <c:v>2025</c:v>
                </c:pt>
                <c:pt idx="7">
                  <c:v>1H21</c:v>
                </c:pt>
                <c:pt idx="8">
                  <c:v>2H21</c:v>
                </c:pt>
                <c:pt idx="9">
                  <c:v>1H22</c:v>
                </c:pt>
              </c:strCache>
            </c:strRef>
          </c:cat>
          <c:val>
            <c:numRef>
              <c:f>Summary!$K$223:$AN$223</c:f>
              <c:numCache>
                <c:formatCode>0%</c:formatCode>
                <c:ptCount val="10"/>
                <c:pt idx="0">
                  <c:v>-2.6028108286792372E-2</c:v>
                </c:pt>
                <c:pt idx="1">
                  <c:v>0.3105096066748208</c:v>
                </c:pt>
                <c:pt idx="2">
                  <c:v>0.18085442812059599</c:v>
                </c:pt>
                <c:pt idx="3">
                  <c:v>0.1656801363060523</c:v>
                </c:pt>
                <c:pt idx="4">
                  <c:v>0.12879199791598278</c:v>
                </c:pt>
                <c:pt idx="5">
                  <c:v>-0.14722551001800022</c:v>
                </c:pt>
                <c:pt idx="7" formatCode="0.0%">
                  <c:v>0.18479754455184821</c:v>
                </c:pt>
                <c:pt idx="8" formatCode="0.0%">
                  <c:v>0.42606873002947582</c:v>
                </c:pt>
                <c:pt idx="9" formatCode="0.0%">
                  <c:v>0.22408703757954454</c:v>
                </c:pt>
              </c:numCache>
            </c:numRef>
          </c:val>
          <c:extLst>
            <c:ext xmlns:c16="http://schemas.microsoft.com/office/drawing/2014/chart" uri="{C3380CC4-5D6E-409C-BE32-E72D297353CC}">
              <c16:uniqueId val="{00000002-46BD-4684-B8CD-BAC9F7FABA56}"/>
            </c:ext>
          </c:extLst>
        </c:ser>
        <c:ser>
          <c:idx val="1"/>
          <c:order val="1"/>
          <c:tx>
            <c:strRef>
              <c:f>Summary!$B$224</c:f>
              <c:strCache>
                <c:ptCount val="1"/>
                <c:pt idx="0">
                  <c:v>Share of profits of JV/associates</c:v>
                </c:pt>
              </c:strCache>
            </c:strRef>
          </c:tx>
          <c:spPr>
            <a:solidFill>
              <a:schemeClr val="bg1">
                <a:lumMod val="85000"/>
              </a:schemeClr>
            </a:solidFill>
          </c:spPr>
          <c:invertIfNegative val="0"/>
          <c:cat>
            <c:strRef>
              <c:f>Summary!$K$188:$AN$188</c:f>
              <c:strCache>
                <c:ptCount val="10"/>
                <c:pt idx="0">
                  <c:v>2020</c:v>
                </c:pt>
                <c:pt idx="1">
                  <c:v>2021</c:v>
                </c:pt>
                <c:pt idx="2">
                  <c:v>2022</c:v>
                </c:pt>
                <c:pt idx="3">
                  <c:v>2023</c:v>
                </c:pt>
                <c:pt idx="4">
                  <c:v>2024</c:v>
                </c:pt>
                <c:pt idx="5">
                  <c:v>2025</c:v>
                </c:pt>
                <c:pt idx="7">
                  <c:v>1H21</c:v>
                </c:pt>
                <c:pt idx="8">
                  <c:v>2H21</c:v>
                </c:pt>
                <c:pt idx="9">
                  <c:v>1H22</c:v>
                </c:pt>
              </c:strCache>
            </c:strRef>
          </c:cat>
          <c:val>
            <c:numRef>
              <c:f>Summary!$K$224:$AN$224</c:f>
              <c:numCache>
                <c:formatCode>0.0%</c:formatCode>
                <c:ptCount val="10"/>
                <c:pt idx="0">
                  <c:v>0.16593160985883526</c:v>
                </c:pt>
                <c:pt idx="1">
                  <c:v>-0.17338482154596604</c:v>
                </c:pt>
                <c:pt idx="2">
                  <c:v>-5.784908927672975E-2</c:v>
                </c:pt>
                <c:pt idx="3">
                  <c:v>3.1114927284729085E-2</c:v>
                </c:pt>
                <c:pt idx="4">
                  <c:v>-9.6001610106524957E-3</c:v>
                </c:pt>
                <c:pt idx="5">
                  <c:v>2.5478833563542355E-3</c:v>
                </c:pt>
                <c:pt idx="7">
                  <c:v>2.9649739032660723E-3</c:v>
                </c:pt>
                <c:pt idx="8">
                  <c:v>-0.33549200061642959</c:v>
                </c:pt>
                <c:pt idx="9">
                  <c:v>-7.0669415896855145E-2</c:v>
                </c:pt>
              </c:numCache>
            </c:numRef>
          </c:val>
          <c:extLst>
            <c:ext xmlns:c16="http://schemas.microsoft.com/office/drawing/2014/chart" uri="{C3380CC4-5D6E-409C-BE32-E72D297353CC}">
              <c16:uniqueId val="{00000003-46BD-4684-B8CD-BAC9F7FABA56}"/>
            </c:ext>
          </c:extLst>
        </c:ser>
        <c:ser>
          <c:idx val="2"/>
          <c:order val="2"/>
          <c:tx>
            <c:strRef>
              <c:f>Summary!$B$225</c:f>
              <c:strCache>
                <c:ptCount val="1"/>
                <c:pt idx="0">
                  <c:v>Other expenses, gains and losses</c:v>
                </c:pt>
              </c:strCache>
            </c:strRef>
          </c:tx>
          <c:spPr>
            <a:solidFill>
              <a:schemeClr val="accent1">
                <a:lumMod val="60000"/>
                <a:lumOff val="40000"/>
              </a:schemeClr>
            </a:solidFill>
          </c:spPr>
          <c:invertIfNegative val="0"/>
          <c:cat>
            <c:strRef>
              <c:f>Summary!$K$188:$AN$188</c:f>
              <c:strCache>
                <c:ptCount val="10"/>
                <c:pt idx="0">
                  <c:v>2020</c:v>
                </c:pt>
                <c:pt idx="1">
                  <c:v>2021</c:v>
                </c:pt>
                <c:pt idx="2">
                  <c:v>2022</c:v>
                </c:pt>
                <c:pt idx="3">
                  <c:v>2023</c:v>
                </c:pt>
                <c:pt idx="4">
                  <c:v>2024</c:v>
                </c:pt>
                <c:pt idx="5">
                  <c:v>2025</c:v>
                </c:pt>
                <c:pt idx="7">
                  <c:v>1H21</c:v>
                </c:pt>
                <c:pt idx="8">
                  <c:v>2H21</c:v>
                </c:pt>
                <c:pt idx="9">
                  <c:v>1H22</c:v>
                </c:pt>
              </c:strCache>
            </c:strRef>
          </c:cat>
          <c:val>
            <c:numRef>
              <c:f>Summary!$K$225:$AN$225</c:f>
              <c:numCache>
                <c:formatCode>0.0%</c:formatCode>
                <c:ptCount val="10"/>
                <c:pt idx="0">
                  <c:v>4.6931891142128819E-2</c:v>
                </c:pt>
                <c:pt idx="1">
                  <c:v>-1.934628713817017E-4</c:v>
                </c:pt>
                <c:pt idx="2">
                  <c:v>5.9913301591082969E-2</c:v>
                </c:pt>
                <c:pt idx="3">
                  <c:v>-5.4129051920525716E-2</c:v>
                </c:pt>
                <c:pt idx="4">
                  <c:v>-0.16217964866001722</c:v>
                </c:pt>
                <c:pt idx="5">
                  <c:v>0.11508020067843869</c:v>
                </c:pt>
                <c:pt idx="7">
                  <c:v>6.3257672642363181E-3</c:v>
                </c:pt>
                <c:pt idx="8">
                  <c:v>-6.1861775456690908E-3</c:v>
                </c:pt>
                <c:pt idx="9">
                  <c:v>5.076040034155091E-2</c:v>
                </c:pt>
              </c:numCache>
            </c:numRef>
          </c:val>
          <c:extLst>
            <c:ext xmlns:c16="http://schemas.microsoft.com/office/drawing/2014/chart" uri="{C3380CC4-5D6E-409C-BE32-E72D297353CC}">
              <c16:uniqueId val="{00000004-46BD-4684-B8CD-BAC9F7FABA56}"/>
            </c:ext>
          </c:extLst>
        </c:ser>
        <c:ser>
          <c:idx val="3"/>
          <c:order val="3"/>
          <c:tx>
            <c:strRef>
              <c:f>Summary!$B$226</c:f>
              <c:strCache>
                <c:ptCount val="1"/>
                <c:pt idx="0">
                  <c:v>Financial expenses</c:v>
                </c:pt>
              </c:strCache>
            </c:strRef>
          </c:tx>
          <c:spPr>
            <a:solidFill>
              <a:srgbClr val="BE9F5D"/>
            </a:solidFill>
          </c:spPr>
          <c:invertIfNegative val="0"/>
          <c:dLbls>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Summary!$K$188:$AN$188</c:f>
              <c:strCache>
                <c:ptCount val="10"/>
                <c:pt idx="0">
                  <c:v>2020</c:v>
                </c:pt>
                <c:pt idx="1">
                  <c:v>2021</c:v>
                </c:pt>
                <c:pt idx="2">
                  <c:v>2022</c:v>
                </c:pt>
                <c:pt idx="3">
                  <c:v>2023</c:v>
                </c:pt>
                <c:pt idx="4">
                  <c:v>2024</c:v>
                </c:pt>
                <c:pt idx="5">
                  <c:v>2025</c:v>
                </c:pt>
                <c:pt idx="7">
                  <c:v>1H21</c:v>
                </c:pt>
                <c:pt idx="8">
                  <c:v>2H21</c:v>
                </c:pt>
                <c:pt idx="9">
                  <c:v>1H22</c:v>
                </c:pt>
              </c:strCache>
            </c:strRef>
          </c:cat>
          <c:val>
            <c:numRef>
              <c:f>Summary!$K$226:$AN$226</c:f>
              <c:numCache>
                <c:formatCode>0%</c:formatCode>
                <c:ptCount val="10"/>
                <c:pt idx="0">
                  <c:v>-5.5047511342965011E-2</c:v>
                </c:pt>
                <c:pt idx="1">
                  <c:v>1.4282290348106585E-3</c:v>
                </c:pt>
                <c:pt idx="2">
                  <c:v>-3.4439091085965511E-2</c:v>
                </c:pt>
                <c:pt idx="3">
                  <c:v>-1.975101786535189E-2</c:v>
                </c:pt>
                <c:pt idx="4">
                  <c:v>2.1150576768942213E-2</c:v>
                </c:pt>
                <c:pt idx="5">
                  <c:v>4.0428612007917045E-2</c:v>
                </c:pt>
                <c:pt idx="7" formatCode="0.0%">
                  <c:v>2.21889347822233E-2</c:v>
                </c:pt>
                <c:pt idx="8" formatCode="0.0%">
                  <c:v>-1.7655770669594312E-2</c:v>
                </c:pt>
                <c:pt idx="9" formatCode="0.0%">
                  <c:v>-4.5396028440915392E-2</c:v>
                </c:pt>
              </c:numCache>
            </c:numRef>
          </c:val>
          <c:extLst>
            <c:ext xmlns:c16="http://schemas.microsoft.com/office/drawing/2014/chart" uri="{C3380CC4-5D6E-409C-BE32-E72D297353CC}">
              <c16:uniqueId val="{00000005-46BD-4684-B8CD-BAC9F7FABA56}"/>
            </c:ext>
          </c:extLst>
        </c:ser>
        <c:dLbls>
          <c:showLegendKey val="0"/>
          <c:showVal val="0"/>
          <c:showCatName val="0"/>
          <c:showSerName val="0"/>
          <c:showPercent val="0"/>
          <c:showBubbleSize val="0"/>
        </c:dLbls>
        <c:gapWidth val="150"/>
        <c:overlap val="100"/>
        <c:axId val="580218880"/>
        <c:axId val="580220416"/>
      </c:barChart>
      <c:lineChart>
        <c:grouping val="standard"/>
        <c:varyColors val="0"/>
        <c:ser>
          <c:idx val="4"/>
          <c:order val="4"/>
          <c:tx>
            <c:strRef>
              <c:f>Summary!$B$227</c:f>
              <c:strCache>
                <c:ptCount val="1"/>
                <c:pt idx="0">
                  <c:v>Profit before income tax</c:v>
                </c:pt>
              </c:strCache>
            </c:strRef>
          </c:tx>
          <c:spPr>
            <a:ln w="19050">
              <a:solidFill>
                <a:srgbClr val="640000"/>
              </a:solidFill>
            </a:ln>
          </c:spPr>
          <c:marker>
            <c:symbol val="none"/>
          </c:marker>
          <c:cat>
            <c:strRef>
              <c:f>Summary!$K$188:$AN$188</c:f>
              <c:strCache>
                <c:ptCount val="10"/>
                <c:pt idx="0">
                  <c:v>2020</c:v>
                </c:pt>
                <c:pt idx="1">
                  <c:v>2021</c:v>
                </c:pt>
                <c:pt idx="2">
                  <c:v>2022</c:v>
                </c:pt>
                <c:pt idx="3">
                  <c:v>2023</c:v>
                </c:pt>
                <c:pt idx="4">
                  <c:v>2024</c:v>
                </c:pt>
                <c:pt idx="5">
                  <c:v>2025</c:v>
                </c:pt>
                <c:pt idx="7">
                  <c:v>1H21</c:v>
                </c:pt>
                <c:pt idx="8">
                  <c:v>2H21</c:v>
                </c:pt>
                <c:pt idx="9">
                  <c:v>1H22</c:v>
                </c:pt>
              </c:strCache>
            </c:strRef>
          </c:cat>
          <c:val>
            <c:numRef>
              <c:f>Summary!$K$227:$AN$227</c:f>
              <c:numCache>
                <c:formatCode>0.0%</c:formatCode>
                <c:ptCount val="10"/>
                <c:pt idx="0">
                  <c:v>0.13178788137120701</c:v>
                </c:pt>
                <c:pt idx="1">
                  <c:v>0.13835955129228372</c:v>
                </c:pt>
                <c:pt idx="2">
                  <c:v>0.14847954934898344</c:v>
                </c:pt>
                <c:pt idx="3">
                  <c:v>0.12291499380490389</c:v>
                </c:pt>
                <c:pt idx="4">
                  <c:v>-2.1837234985744636E-2</c:v>
                </c:pt>
                <c:pt idx="5">
                  <c:v>1.0831186024709671E-2</c:v>
                </c:pt>
                <c:pt idx="7">
                  <c:v>0.21627722050157372</c:v>
                </c:pt>
                <c:pt idx="8">
                  <c:v>6.6734781197782533E-2</c:v>
                </c:pt>
                <c:pt idx="9">
                  <c:v>0.15878199358332479</c:v>
                </c:pt>
              </c:numCache>
            </c:numRef>
          </c:val>
          <c:smooth val="0"/>
          <c:extLst>
            <c:ext xmlns:c16="http://schemas.microsoft.com/office/drawing/2014/chart" uri="{C3380CC4-5D6E-409C-BE32-E72D297353CC}">
              <c16:uniqueId val="{00000006-46BD-4684-B8CD-BAC9F7FABA56}"/>
            </c:ext>
          </c:extLst>
        </c:ser>
        <c:dLbls>
          <c:showLegendKey val="0"/>
          <c:showVal val="0"/>
          <c:showCatName val="0"/>
          <c:showSerName val="0"/>
          <c:showPercent val="0"/>
          <c:showBubbleSize val="0"/>
        </c:dLbls>
        <c:marker val="1"/>
        <c:smooth val="0"/>
        <c:axId val="580218880"/>
        <c:axId val="580220416"/>
      </c:lineChart>
      <c:catAx>
        <c:axId val="580218880"/>
        <c:scaling>
          <c:orientation val="minMax"/>
        </c:scaling>
        <c:delete val="0"/>
        <c:axPos val="b"/>
        <c:numFmt formatCode="General" sourceLinked="1"/>
        <c:majorTickMark val="out"/>
        <c:minorTickMark val="none"/>
        <c:tickLblPos val="low"/>
        <c:crossAx val="580220416"/>
        <c:crosses val="autoZero"/>
        <c:auto val="1"/>
        <c:lblAlgn val="ctr"/>
        <c:lblOffset val="100"/>
        <c:noMultiLvlLbl val="0"/>
      </c:catAx>
      <c:valAx>
        <c:axId val="580220416"/>
        <c:scaling>
          <c:orientation val="minMax"/>
          <c:max val="0.60000000000000009"/>
          <c:min val="-0.4"/>
        </c:scaling>
        <c:delete val="0"/>
        <c:axPos val="l"/>
        <c:majorGridlines>
          <c:spPr>
            <a:ln w="9525" cap="flat" cmpd="sng" algn="ctr">
              <a:noFill/>
              <a:prstDash val="solid"/>
              <a:round/>
            </a:ln>
            <a:effectLst/>
          </c:spPr>
        </c:majorGridlines>
        <c:numFmt formatCode="0%" sourceLinked="0"/>
        <c:majorTickMark val="none"/>
        <c:minorTickMark val="none"/>
        <c:tickLblPos val="nextTo"/>
        <c:crossAx val="580218880"/>
        <c:crosses val="autoZero"/>
        <c:crossBetween val="between"/>
        <c:majorUnit val="0.2"/>
      </c:valAx>
      <c:spPr>
        <a:noFill/>
      </c:spPr>
    </c:plotArea>
    <c:legend>
      <c:legendPos val="t"/>
      <c:layout>
        <c:manualLayout>
          <c:xMode val="edge"/>
          <c:yMode val="edge"/>
          <c:x val="2.0288342417384701E-3"/>
          <c:y val="9.9518580003647231E-2"/>
          <c:w val="0.9841833333333333"/>
          <c:h val="0.24951805555555556"/>
        </c:manualLayout>
      </c:layout>
      <c:overlay val="0"/>
    </c:legend>
    <c:plotVisOnly val="1"/>
    <c:dispBlanksAs val="gap"/>
    <c:showDLblsOverMax val="0"/>
  </c:chart>
  <c:spPr>
    <a:noFill/>
    <a:ln w="9525" cap="flat" cmpd="sng" algn="ctr">
      <a:noFill/>
      <a:prstDash val="solid"/>
      <a:round/>
    </a:ln>
    <a:effectLst/>
  </c:spPr>
  <c:txPr>
    <a:bodyPr/>
    <a:lstStyle/>
    <a:p>
      <a:pPr>
        <a:defRPr sz="800">
          <a:latin typeface="Arial" panose="020B0604020202020204" pitchFamily="34" charset="0"/>
          <a:cs typeface="Arial" panose="020B0604020202020204" pitchFamily="34" charset="0"/>
        </a:defRPr>
      </a:pPr>
      <a:endParaRPr lang="zh-CN"/>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800"/>
              <a:t>Breakdown of Group profit growth rate</a:t>
            </a:r>
            <a:endParaRPr lang="zh-CN" sz="800"/>
          </a:p>
        </c:rich>
      </c:tx>
      <c:layout>
        <c:manualLayout>
          <c:xMode val="edge"/>
          <c:yMode val="edge"/>
          <c:x val="0.18840309308666486"/>
          <c:y val="1.6343205601816027E-2"/>
        </c:manualLayout>
      </c:layout>
      <c:overlay val="0"/>
    </c:title>
    <c:autoTitleDeleted val="0"/>
    <c:plotArea>
      <c:layout>
        <c:manualLayout>
          <c:layoutTarget val="inner"/>
          <c:xMode val="edge"/>
          <c:yMode val="edge"/>
          <c:x val="0.11790956790123458"/>
          <c:y val="0.31098041158314277"/>
          <c:w val="0.80369537037037042"/>
          <c:h val="0.57451064814814812"/>
        </c:manualLayout>
      </c:layout>
      <c:barChart>
        <c:barDir val="col"/>
        <c:grouping val="stacked"/>
        <c:varyColors val="0"/>
        <c:ser>
          <c:idx val="0"/>
          <c:order val="0"/>
          <c:tx>
            <c:strRef>
              <c:f>Summary!$B$229</c:f>
              <c:strCache>
                <c:ptCount val="1"/>
                <c:pt idx="0">
                  <c:v>Hong Kong SAR</c:v>
                </c:pt>
              </c:strCache>
            </c:strRef>
          </c:tx>
          <c:spPr>
            <a:solidFill>
              <a:schemeClr val="bg1">
                <a:lumMod val="75000"/>
              </a:schemeClr>
            </a:solidFill>
          </c:spPr>
          <c:invertIfNegative val="0"/>
          <c:dLbls>
            <c:dLbl>
              <c:idx val="9"/>
              <c:layout>
                <c:manualLayout>
                  <c:x val="-3.9237652574994125E-3"/>
                  <c:y val="-2.3366183980181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62B-422A-85F5-1C04507EF148}"/>
                </c:ext>
              </c:extLst>
            </c:dLbl>
            <c:dLbl>
              <c:idx val="10"/>
              <c:spPr/>
              <c:txPr>
                <a:bodyPr/>
                <a:lstStyle/>
                <a:p>
                  <a:pPr>
                    <a:defRPr/>
                  </a:pPr>
                  <a:endParaRPr lang="zh-CN"/>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2B-422A-85F5-1C04507EF148}"/>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Summary!$K$188:$AN$188</c:f>
              <c:strCache>
                <c:ptCount val="10"/>
                <c:pt idx="0">
                  <c:v>2020</c:v>
                </c:pt>
                <c:pt idx="1">
                  <c:v>2021</c:v>
                </c:pt>
                <c:pt idx="2">
                  <c:v>2022</c:v>
                </c:pt>
                <c:pt idx="3">
                  <c:v>2023</c:v>
                </c:pt>
                <c:pt idx="4">
                  <c:v>2024</c:v>
                </c:pt>
                <c:pt idx="5">
                  <c:v>2025</c:v>
                </c:pt>
                <c:pt idx="7">
                  <c:v>1H21</c:v>
                </c:pt>
                <c:pt idx="8">
                  <c:v>2H21</c:v>
                </c:pt>
                <c:pt idx="9">
                  <c:v>1H22</c:v>
                </c:pt>
              </c:strCache>
            </c:strRef>
          </c:cat>
          <c:val>
            <c:numRef>
              <c:f>Summary!$K$229:$AN$229</c:f>
              <c:numCache>
                <c:formatCode>0.0%</c:formatCode>
                <c:ptCount val="10"/>
                <c:pt idx="0">
                  <c:v>-4.9801420034481583E-2</c:v>
                </c:pt>
                <c:pt idx="1">
                  <c:v>-1.7018182841456505E-2</c:v>
                </c:pt>
                <c:pt idx="2">
                  <c:v>4.4892062782400072E-2</c:v>
                </c:pt>
                <c:pt idx="3">
                  <c:v>-2.2776433303320409E-2</c:v>
                </c:pt>
                <c:pt idx="4">
                  <c:v>1.5769344308738581E-2</c:v>
                </c:pt>
                <c:pt idx="5">
                  <c:v>2.1391577617446548E-3</c:v>
                </c:pt>
                <c:pt idx="7">
                  <c:v>-6.5662978598398994E-2</c:v>
                </c:pt>
                <c:pt idx="8">
                  <c:v>2.7697891801720168E-2</c:v>
                </c:pt>
                <c:pt idx="9">
                  <c:v>8.4442009753062749E-2</c:v>
                </c:pt>
              </c:numCache>
            </c:numRef>
          </c:val>
          <c:extLst>
            <c:ext xmlns:c16="http://schemas.microsoft.com/office/drawing/2014/chart" uri="{C3380CC4-5D6E-409C-BE32-E72D297353CC}">
              <c16:uniqueId val="{00000002-462B-422A-85F5-1C04507EF148}"/>
            </c:ext>
          </c:extLst>
        </c:ser>
        <c:ser>
          <c:idx val="1"/>
          <c:order val="1"/>
          <c:tx>
            <c:strRef>
              <c:f>Summary!$B$230</c:f>
              <c:strCache>
                <c:ptCount val="1"/>
                <c:pt idx="0">
                  <c:v>Macau SAR</c:v>
                </c:pt>
              </c:strCache>
            </c:strRef>
          </c:tx>
          <c:spPr>
            <a:solidFill>
              <a:schemeClr val="accent2">
                <a:lumMod val="75000"/>
              </a:schemeClr>
            </a:solidFill>
          </c:spPr>
          <c:invertIfNegative val="0"/>
          <c:cat>
            <c:strRef>
              <c:f>Summary!$K$188:$AN$188</c:f>
              <c:strCache>
                <c:ptCount val="10"/>
                <c:pt idx="0">
                  <c:v>2020</c:v>
                </c:pt>
                <c:pt idx="1">
                  <c:v>2021</c:v>
                </c:pt>
                <c:pt idx="2">
                  <c:v>2022</c:v>
                </c:pt>
                <c:pt idx="3">
                  <c:v>2023</c:v>
                </c:pt>
                <c:pt idx="4">
                  <c:v>2024</c:v>
                </c:pt>
                <c:pt idx="5">
                  <c:v>2025</c:v>
                </c:pt>
                <c:pt idx="7">
                  <c:v>1H21</c:v>
                </c:pt>
                <c:pt idx="8">
                  <c:v>2H21</c:v>
                </c:pt>
                <c:pt idx="9">
                  <c:v>1H22</c:v>
                </c:pt>
              </c:strCache>
            </c:strRef>
          </c:cat>
          <c:val>
            <c:numRef>
              <c:f>Summary!$K$230:$AN$230</c:f>
              <c:numCache>
                <c:formatCode>0.0%</c:formatCode>
                <c:ptCount val="10"/>
                <c:pt idx="0">
                  <c:v>5.0486850726703392E-3</c:v>
                </c:pt>
                <c:pt idx="1">
                  <c:v>3.9150941794238961E-2</c:v>
                </c:pt>
                <c:pt idx="2">
                  <c:v>-3.0726108764266378E-2</c:v>
                </c:pt>
                <c:pt idx="3">
                  <c:v>3.8616584490594186E-2</c:v>
                </c:pt>
                <c:pt idx="4">
                  <c:v>1.1608828387248785E-2</c:v>
                </c:pt>
                <c:pt idx="5">
                  <c:v>-2.9830126750545364E-2</c:v>
                </c:pt>
                <c:pt idx="7">
                  <c:v>5.4818082592807377E-2</c:v>
                </c:pt>
                <c:pt idx="8">
                  <c:v>2.4749133204181116E-2</c:v>
                </c:pt>
                <c:pt idx="9">
                  <c:v>-1.291580180640497E-2</c:v>
                </c:pt>
              </c:numCache>
            </c:numRef>
          </c:val>
          <c:extLst>
            <c:ext xmlns:c16="http://schemas.microsoft.com/office/drawing/2014/chart" uri="{C3380CC4-5D6E-409C-BE32-E72D297353CC}">
              <c16:uniqueId val="{00000003-462B-422A-85F5-1C04507EF148}"/>
            </c:ext>
          </c:extLst>
        </c:ser>
        <c:ser>
          <c:idx val="2"/>
          <c:order val="2"/>
          <c:tx>
            <c:strRef>
              <c:f>Summary!$B$231</c:f>
              <c:strCache>
                <c:ptCount val="1"/>
                <c:pt idx="0">
                  <c:v>Chinese mainland</c:v>
                </c:pt>
              </c:strCache>
            </c:strRef>
          </c:tx>
          <c:spPr>
            <a:solidFill>
              <a:schemeClr val="accent2">
                <a:lumMod val="40000"/>
                <a:lumOff val="60000"/>
              </a:schemeClr>
            </a:solidFill>
          </c:spPr>
          <c:invertIfNegative val="0"/>
          <c:dLbls>
            <c:dLbl>
              <c:idx val="9"/>
              <c:layout>
                <c:manualLayout>
                  <c:x val="0"/>
                  <c:y val="-3.5277761445480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62B-422A-85F5-1C04507EF14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Summary!$K$188:$AN$188</c:f>
              <c:strCache>
                <c:ptCount val="10"/>
                <c:pt idx="0">
                  <c:v>2020</c:v>
                </c:pt>
                <c:pt idx="1">
                  <c:v>2021</c:v>
                </c:pt>
                <c:pt idx="2">
                  <c:v>2022</c:v>
                </c:pt>
                <c:pt idx="3">
                  <c:v>2023</c:v>
                </c:pt>
                <c:pt idx="4">
                  <c:v>2024</c:v>
                </c:pt>
                <c:pt idx="5">
                  <c:v>2025</c:v>
                </c:pt>
                <c:pt idx="7">
                  <c:v>1H21</c:v>
                </c:pt>
                <c:pt idx="8">
                  <c:v>2H21</c:v>
                </c:pt>
                <c:pt idx="9">
                  <c:v>1H22</c:v>
                </c:pt>
              </c:strCache>
            </c:strRef>
          </c:cat>
          <c:val>
            <c:numRef>
              <c:f>Summary!$K$231:$AN$231</c:f>
              <c:numCache>
                <c:formatCode>0.0%</c:formatCode>
                <c:ptCount val="10"/>
                <c:pt idx="0" formatCode="0%">
                  <c:v>2.6941558281994682E-2</c:v>
                </c:pt>
                <c:pt idx="1">
                  <c:v>0.27665784944974064</c:v>
                </c:pt>
                <c:pt idx="2">
                  <c:v>0.15978077347067898</c:v>
                </c:pt>
                <c:pt idx="3">
                  <c:v>0.11821571926445588</c:v>
                </c:pt>
                <c:pt idx="4">
                  <c:v>0.10355790744646996</c:v>
                </c:pt>
                <c:pt idx="5">
                  <c:v>-7.8027903651577551E-2</c:v>
                </c:pt>
                <c:pt idx="7">
                  <c:v>0.17478303370416617</c:v>
                </c:pt>
                <c:pt idx="8">
                  <c:v>0.37030490447903086</c:v>
                </c:pt>
                <c:pt idx="9">
                  <c:v>0.13636527366645981</c:v>
                </c:pt>
              </c:numCache>
            </c:numRef>
          </c:val>
          <c:extLst>
            <c:ext xmlns:c16="http://schemas.microsoft.com/office/drawing/2014/chart" uri="{C3380CC4-5D6E-409C-BE32-E72D297353CC}">
              <c16:uniqueId val="{00000005-462B-422A-85F5-1C04507EF148}"/>
            </c:ext>
          </c:extLst>
        </c:ser>
        <c:ser>
          <c:idx val="3"/>
          <c:order val="3"/>
          <c:tx>
            <c:strRef>
              <c:f>Summary!$B$232</c:f>
              <c:strCache>
                <c:ptCount val="1"/>
                <c:pt idx="0">
                  <c:v>CSCD</c:v>
                </c:pt>
              </c:strCache>
            </c:strRef>
          </c:tx>
          <c:spPr>
            <a:solidFill>
              <a:schemeClr val="accent1">
                <a:lumMod val="60000"/>
                <a:lumOff val="40000"/>
              </a:schemeClr>
            </a:solidFill>
          </c:spPr>
          <c:invertIfNegative val="0"/>
          <c:cat>
            <c:strRef>
              <c:f>Summary!$K$188:$AN$188</c:f>
              <c:strCache>
                <c:ptCount val="10"/>
                <c:pt idx="0">
                  <c:v>2020</c:v>
                </c:pt>
                <c:pt idx="1">
                  <c:v>2021</c:v>
                </c:pt>
                <c:pt idx="2">
                  <c:v>2022</c:v>
                </c:pt>
                <c:pt idx="3">
                  <c:v>2023</c:v>
                </c:pt>
                <c:pt idx="4">
                  <c:v>2024</c:v>
                </c:pt>
                <c:pt idx="5">
                  <c:v>2025</c:v>
                </c:pt>
                <c:pt idx="7">
                  <c:v>1H21</c:v>
                </c:pt>
                <c:pt idx="8">
                  <c:v>2H21</c:v>
                </c:pt>
                <c:pt idx="9">
                  <c:v>1H22</c:v>
                </c:pt>
              </c:strCache>
            </c:strRef>
          </c:cat>
          <c:val>
            <c:numRef>
              <c:f>Summary!$K$232:$AN$232</c:f>
              <c:numCache>
                <c:formatCode>0.0%</c:formatCode>
                <c:ptCount val="10"/>
                <c:pt idx="0">
                  <c:v>-9.3618328633609717E-3</c:v>
                </c:pt>
                <c:pt idx="1">
                  <c:v>1.1007127681613726E-2</c:v>
                </c:pt>
                <c:pt idx="2">
                  <c:v>6.9077006317834339E-3</c:v>
                </c:pt>
                <c:pt idx="3">
                  <c:v>3.1624265854322695E-2</c:v>
                </c:pt>
                <c:pt idx="4">
                  <c:v>-2.1440822264746041E-3</c:v>
                </c:pt>
                <c:pt idx="5">
                  <c:v>-4.1506637377621988E-2</c:v>
                </c:pt>
                <c:pt idx="7">
                  <c:v>2.0946269344631369E-2</c:v>
                </c:pt>
                <c:pt idx="8">
                  <c:v>1.870705304320169E-3</c:v>
                </c:pt>
                <c:pt idx="9">
                  <c:v>1.5656703518094339E-2</c:v>
                </c:pt>
              </c:numCache>
            </c:numRef>
          </c:val>
          <c:extLst>
            <c:ext xmlns:c16="http://schemas.microsoft.com/office/drawing/2014/chart" uri="{C3380CC4-5D6E-409C-BE32-E72D297353CC}">
              <c16:uniqueId val="{00000006-462B-422A-85F5-1C04507EF148}"/>
            </c:ext>
          </c:extLst>
        </c:ser>
        <c:dLbls>
          <c:showLegendKey val="0"/>
          <c:showVal val="0"/>
          <c:showCatName val="0"/>
          <c:showSerName val="0"/>
          <c:showPercent val="0"/>
          <c:showBubbleSize val="0"/>
        </c:dLbls>
        <c:gapWidth val="150"/>
        <c:overlap val="100"/>
        <c:axId val="580967040"/>
        <c:axId val="580981120"/>
      </c:barChart>
      <c:lineChart>
        <c:grouping val="standard"/>
        <c:varyColors val="0"/>
        <c:ser>
          <c:idx val="4"/>
          <c:order val="4"/>
          <c:tx>
            <c:strRef>
              <c:f>Summary!$B$223</c:f>
              <c:strCache>
                <c:ptCount val="1"/>
                <c:pt idx="0">
                  <c:v>Group operating profit</c:v>
                </c:pt>
              </c:strCache>
            </c:strRef>
          </c:tx>
          <c:spPr>
            <a:ln w="19050">
              <a:solidFill>
                <a:srgbClr val="640000"/>
              </a:solidFill>
            </a:ln>
          </c:spPr>
          <c:marker>
            <c:symbol val="none"/>
          </c:marker>
          <c:val>
            <c:numRef>
              <c:f>Summary!$K$223:$AN$223</c:f>
              <c:numCache>
                <c:formatCode>0%</c:formatCode>
                <c:ptCount val="10"/>
                <c:pt idx="0">
                  <c:v>-2.6028108286792372E-2</c:v>
                </c:pt>
                <c:pt idx="1">
                  <c:v>0.3105096066748208</c:v>
                </c:pt>
                <c:pt idx="2">
                  <c:v>0.18085442812059599</c:v>
                </c:pt>
                <c:pt idx="3">
                  <c:v>0.1656801363060523</c:v>
                </c:pt>
                <c:pt idx="4">
                  <c:v>0.12879199791598278</c:v>
                </c:pt>
                <c:pt idx="5">
                  <c:v>-0.14722551001800022</c:v>
                </c:pt>
                <c:pt idx="7" formatCode="0.0%">
                  <c:v>0.18479754455184821</c:v>
                </c:pt>
                <c:pt idx="8" formatCode="0.0%">
                  <c:v>0.42606873002947582</c:v>
                </c:pt>
                <c:pt idx="9" formatCode="0.0%">
                  <c:v>0.22408703757954454</c:v>
                </c:pt>
              </c:numCache>
            </c:numRef>
          </c:val>
          <c:smooth val="0"/>
          <c:extLst>
            <c:ext xmlns:c16="http://schemas.microsoft.com/office/drawing/2014/chart" uri="{C3380CC4-5D6E-409C-BE32-E72D297353CC}">
              <c16:uniqueId val="{00000007-462B-422A-85F5-1C04507EF148}"/>
            </c:ext>
          </c:extLst>
        </c:ser>
        <c:dLbls>
          <c:showLegendKey val="0"/>
          <c:showVal val="0"/>
          <c:showCatName val="0"/>
          <c:showSerName val="0"/>
          <c:showPercent val="0"/>
          <c:showBubbleSize val="0"/>
        </c:dLbls>
        <c:marker val="1"/>
        <c:smooth val="0"/>
        <c:axId val="580967040"/>
        <c:axId val="580981120"/>
      </c:lineChart>
      <c:catAx>
        <c:axId val="580967040"/>
        <c:scaling>
          <c:orientation val="minMax"/>
        </c:scaling>
        <c:delete val="0"/>
        <c:axPos val="b"/>
        <c:numFmt formatCode="General" sourceLinked="1"/>
        <c:majorTickMark val="out"/>
        <c:minorTickMark val="none"/>
        <c:tickLblPos val="low"/>
        <c:crossAx val="580981120"/>
        <c:crosses val="autoZero"/>
        <c:auto val="1"/>
        <c:lblAlgn val="ctr"/>
        <c:lblOffset val="100"/>
        <c:noMultiLvlLbl val="0"/>
      </c:catAx>
      <c:valAx>
        <c:axId val="580981120"/>
        <c:scaling>
          <c:orientation val="minMax"/>
        </c:scaling>
        <c:delete val="0"/>
        <c:axPos val="l"/>
        <c:majorGridlines>
          <c:spPr>
            <a:ln w="9525" cap="flat" cmpd="sng" algn="ctr">
              <a:noFill/>
              <a:prstDash val="solid"/>
              <a:round/>
            </a:ln>
            <a:effectLst/>
          </c:spPr>
        </c:majorGridlines>
        <c:numFmt formatCode="0%" sourceLinked="0"/>
        <c:majorTickMark val="none"/>
        <c:minorTickMark val="none"/>
        <c:tickLblPos val="nextTo"/>
        <c:crossAx val="580967040"/>
        <c:crosses val="autoZero"/>
        <c:crossBetween val="between"/>
      </c:valAx>
      <c:spPr>
        <a:noFill/>
      </c:spPr>
    </c:plotArea>
    <c:legend>
      <c:legendPos val="t"/>
      <c:layout>
        <c:manualLayout>
          <c:xMode val="edge"/>
          <c:yMode val="edge"/>
          <c:x val="0.11178179012345679"/>
          <c:y val="0.10994907407407406"/>
          <c:w val="0.84666666666666668"/>
          <c:h val="0.16575362696591345"/>
        </c:manualLayout>
      </c:layout>
      <c:overlay val="0"/>
    </c:legend>
    <c:plotVisOnly val="1"/>
    <c:dispBlanksAs val="gap"/>
    <c:showDLblsOverMax val="0"/>
  </c:chart>
  <c:spPr>
    <a:noFill/>
    <a:ln w="9525" cap="flat" cmpd="sng" algn="ctr">
      <a:noFill/>
      <a:prstDash val="solid"/>
      <a:round/>
    </a:ln>
    <a:effectLst/>
  </c:spPr>
  <c:txPr>
    <a:bodyPr/>
    <a:lstStyle/>
    <a:p>
      <a:pPr>
        <a:defRPr sz="800">
          <a:latin typeface="Arial" panose="020B0604020202020204" pitchFamily="34" charset="0"/>
          <a:cs typeface="Arial" panose="020B0604020202020204" pitchFamily="34" charset="0"/>
        </a:defRPr>
      </a:pPr>
      <a:endParaRPr lang="zh-CN"/>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95324074074075"/>
          <c:y val="0.19402777777777777"/>
          <c:w val="0.81279259259259262"/>
          <c:h val="0.65867777777777781"/>
        </c:manualLayout>
      </c:layout>
      <c:scatterChart>
        <c:scatterStyle val="lineMarker"/>
        <c:varyColors val="0"/>
        <c:ser>
          <c:idx val="0"/>
          <c:order val="0"/>
          <c:tx>
            <c:strRef>
              <c:f>'PB ROE'!$B$2</c:f>
              <c:strCache>
                <c:ptCount val="1"/>
                <c:pt idx="0">
                  <c:v>P/B</c:v>
                </c:pt>
              </c:strCache>
            </c:strRef>
          </c:tx>
          <c:spPr>
            <a:ln w="19050">
              <a:solidFill>
                <a:srgbClr val="640000"/>
              </a:solidFill>
            </a:ln>
          </c:spPr>
          <c:marker>
            <c:symbol val="none"/>
          </c:marker>
          <c:dPt>
            <c:idx val="3579"/>
            <c:marker>
              <c:symbol val="diamond"/>
              <c:size val="5"/>
              <c:spPr>
                <a:solidFill>
                  <a:srgbClr val="640000"/>
                </a:solidFill>
                <a:ln>
                  <a:noFill/>
                  <a:prstDash val="solid"/>
                </a:ln>
              </c:spPr>
            </c:marker>
            <c:bubble3D val="0"/>
            <c:spPr>
              <a:ln w="19050">
                <a:noFill/>
              </a:ln>
            </c:spPr>
            <c:extLst>
              <c:ext xmlns:c16="http://schemas.microsoft.com/office/drawing/2014/chart" uri="{C3380CC4-5D6E-409C-BE32-E72D297353CC}">
                <c16:uniqueId val="{00000001-E4AB-41DE-A4A5-3B8618C133FF}"/>
              </c:ext>
            </c:extLst>
          </c:dPt>
          <c:dPt>
            <c:idx val="3580"/>
            <c:marker>
              <c:symbol val="diamond"/>
              <c:size val="5"/>
              <c:spPr>
                <a:solidFill>
                  <a:srgbClr val="640000"/>
                </a:solidFill>
                <a:ln>
                  <a:noFill/>
                  <a:prstDash val="solid"/>
                </a:ln>
              </c:spPr>
            </c:marker>
            <c:bubble3D val="0"/>
            <c:spPr>
              <a:ln w="19050">
                <a:noFill/>
              </a:ln>
            </c:spPr>
            <c:extLst>
              <c:ext xmlns:c16="http://schemas.microsoft.com/office/drawing/2014/chart" uri="{C3380CC4-5D6E-409C-BE32-E72D297353CC}">
                <c16:uniqueId val="{00000003-E4AB-41DE-A4A5-3B8618C133FF}"/>
              </c:ext>
            </c:extLst>
          </c:dPt>
          <c:xVal>
            <c:numRef>
              <c:f>'PB ROE'!$A$3:$A$3583</c:f>
              <c:numCache>
                <c:formatCode>yyyy\-mm\-dd</c:formatCode>
                <c:ptCount val="3581"/>
                <c:pt idx="0">
                  <c:v>38541</c:v>
                </c:pt>
                <c:pt idx="1">
                  <c:v>38544</c:v>
                </c:pt>
                <c:pt idx="2">
                  <c:v>38545</c:v>
                </c:pt>
                <c:pt idx="3">
                  <c:v>38546</c:v>
                </c:pt>
                <c:pt idx="4">
                  <c:v>38547</c:v>
                </c:pt>
                <c:pt idx="5">
                  <c:v>38548</c:v>
                </c:pt>
                <c:pt idx="6">
                  <c:v>38551</c:v>
                </c:pt>
                <c:pt idx="7">
                  <c:v>38552</c:v>
                </c:pt>
                <c:pt idx="8">
                  <c:v>38553</c:v>
                </c:pt>
                <c:pt idx="9">
                  <c:v>38554</c:v>
                </c:pt>
                <c:pt idx="10">
                  <c:v>38555</c:v>
                </c:pt>
                <c:pt idx="11">
                  <c:v>38558</c:v>
                </c:pt>
                <c:pt idx="12">
                  <c:v>38559</c:v>
                </c:pt>
                <c:pt idx="13">
                  <c:v>38560</c:v>
                </c:pt>
                <c:pt idx="14">
                  <c:v>38561</c:v>
                </c:pt>
                <c:pt idx="15">
                  <c:v>38562</c:v>
                </c:pt>
                <c:pt idx="16">
                  <c:v>38565</c:v>
                </c:pt>
                <c:pt idx="17">
                  <c:v>38566</c:v>
                </c:pt>
                <c:pt idx="18">
                  <c:v>38567</c:v>
                </c:pt>
                <c:pt idx="19">
                  <c:v>38568</c:v>
                </c:pt>
                <c:pt idx="20">
                  <c:v>38569</c:v>
                </c:pt>
                <c:pt idx="21">
                  <c:v>38572</c:v>
                </c:pt>
                <c:pt idx="22">
                  <c:v>38573</c:v>
                </c:pt>
                <c:pt idx="23">
                  <c:v>38574</c:v>
                </c:pt>
                <c:pt idx="24">
                  <c:v>38575</c:v>
                </c:pt>
                <c:pt idx="25">
                  <c:v>38576</c:v>
                </c:pt>
                <c:pt idx="26">
                  <c:v>38579</c:v>
                </c:pt>
                <c:pt idx="27">
                  <c:v>38580</c:v>
                </c:pt>
                <c:pt idx="28">
                  <c:v>38581</c:v>
                </c:pt>
                <c:pt idx="29">
                  <c:v>38582</c:v>
                </c:pt>
                <c:pt idx="30">
                  <c:v>38583</c:v>
                </c:pt>
                <c:pt idx="31">
                  <c:v>38586</c:v>
                </c:pt>
                <c:pt idx="32">
                  <c:v>38587</c:v>
                </c:pt>
                <c:pt idx="33">
                  <c:v>38588</c:v>
                </c:pt>
                <c:pt idx="34">
                  <c:v>38589</c:v>
                </c:pt>
                <c:pt idx="35">
                  <c:v>38590</c:v>
                </c:pt>
                <c:pt idx="36">
                  <c:v>38593</c:v>
                </c:pt>
                <c:pt idx="37">
                  <c:v>38594</c:v>
                </c:pt>
                <c:pt idx="38">
                  <c:v>38595</c:v>
                </c:pt>
                <c:pt idx="39">
                  <c:v>38596</c:v>
                </c:pt>
                <c:pt idx="40">
                  <c:v>38597</c:v>
                </c:pt>
                <c:pt idx="41">
                  <c:v>38600</c:v>
                </c:pt>
                <c:pt idx="42">
                  <c:v>38601</c:v>
                </c:pt>
                <c:pt idx="43">
                  <c:v>38602</c:v>
                </c:pt>
                <c:pt idx="44">
                  <c:v>38603</c:v>
                </c:pt>
                <c:pt idx="45">
                  <c:v>38604</c:v>
                </c:pt>
                <c:pt idx="46">
                  <c:v>38607</c:v>
                </c:pt>
                <c:pt idx="47">
                  <c:v>38608</c:v>
                </c:pt>
                <c:pt idx="48">
                  <c:v>38609</c:v>
                </c:pt>
                <c:pt idx="49">
                  <c:v>38610</c:v>
                </c:pt>
                <c:pt idx="50">
                  <c:v>38611</c:v>
                </c:pt>
                <c:pt idx="51">
                  <c:v>38614</c:v>
                </c:pt>
                <c:pt idx="52">
                  <c:v>38615</c:v>
                </c:pt>
                <c:pt idx="53">
                  <c:v>38616</c:v>
                </c:pt>
                <c:pt idx="54">
                  <c:v>38617</c:v>
                </c:pt>
                <c:pt idx="55">
                  <c:v>38618</c:v>
                </c:pt>
                <c:pt idx="56">
                  <c:v>38621</c:v>
                </c:pt>
                <c:pt idx="57">
                  <c:v>38622</c:v>
                </c:pt>
                <c:pt idx="58">
                  <c:v>38623</c:v>
                </c:pt>
                <c:pt idx="59">
                  <c:v>38624</c:v>
                </c:pt>
                <c:pt idx="60">
                  <c:v>38625</c:v>
                </c:pt>
                <c:pt idx="61">
                  <c:v>38635</c:v>
                </c:pt>
                <c:pt idx="62">
                  <c:v>38636</c:v>
                </c:pt>
                <c:pt idx="63">
                  <c:v>38637</c:v>
                </c:pt>
                <c:pt idx="64">
                  <c:v>38638</c:v>
                </c:pt>
                <c:pt idx="65">
                  <c:v>38639</c:v>
                </c:pt>
                <c:pt idx="66">
                  <c:v>38642</c:v>
                </c:pt>
                <c:pt idx="67">
                  <c:v>38643</c:v>
                </c:pt>
                <c:pt idx="68">
                  <c:v>38644</c:v>
                </c:pt>
                <c:pt idx="69">
                  <c:v>38645</c:v>
                </c:pt>
                <c:pt idx="70">
                  <c:v>38646</c:v>
                </c:pt>
                <c:pt idx="71">
                  <c:v>38649</c:v>
                </c:pt>
                <c:pt idx="72">
                  <c:v>38650</c:v>
                </c:pt>
                <c:pt idx="73">
                  <c:v>38651</c:v>
                </c:pt>
                <c:pt idx="74">
                  <c:v>38652</c:v>
                </c:pt>
                <c:pt idx="75">
                  <c:v>38653</c:v>
                </c:pt>
                <c:pt idx="76">
                  <c:v>38656</c:v>
                </c:pt>
                <c:pt idx="77">
                  <c:v>38657</c:v>
                </c:pt>
                <c:pt idx="78">
                  <c:v>38658</c:v>
                </c:pt>
                <c:pt idx="79">
                  <c:v>38659</c:v>
                </c:pt>
                <c:pt idx="80">
                  <c:v>38660</c:v>
                </c:pt>
                <c:pt idx="81">
                  <c:v>38663</c:v>
                </c:pt>
                <c:pt idx="82">
                  <c:v>38664</c:v>
                </c:pt>
                <c:pt idx="83">
                  <c:v>38665</c:v>
                </c:pt>
                <c:pt idx="84">
                  <c:v>38666</c:v>
                </c:pt>
                <c:pt idx="85">
                  <c:v>38667</c:v>
                </c:pt>
                <c:pt idx="86">
                  <c:v>38670</c:v>
                </c:pt>
                <c:pt idx="87">
                  <c:v>38671</c:v>
                </c:pt>
                <c:pt idx="88">
                  <c:v>38672</c:v>
                </c:pt>
                <c:pt idx="89">
                  <c:v>38673</c:v>
                </c:pt>
                <c:pt idx="90">
                  <c:v>38674</c:v>
                </c:pt>
                <c:pt idx="91">
                  <c:v>38677</c:v>
                </c:pt>
                <c:pt idx="92">
                  <c:v>38678</c:v>
                </c:pt>
                <c:pt idx="93">
                  <c:v>38679</c:v>
                </c:pt>
                <c:pt idx="94">
                  <c:v>38680</c:v>
                </c:pt>
                <c:pt idx="95">
                  <c:v>38681</c:v>
                </c:pt>
                <c:pt idx="96">
                  <c:v>38684</c:v>
                </c:pt>
                <c:pt idx="97">
                  <c:v>38685</c:v>
                </c:pt>
                <c:pt idx="98">
                  <c:v>38686</c:v>
                </c:pt>
                <c:pt idx="99">
                  <c:v>38687</c:v>
                </c:pt>
                <c:pt idx="100">
                  <c:v>38688</c:v>
                </c:pt>
                <c:pt idx="101">
                  <c:v>38691</c:v>
                </c:pt>
                <c:pt idx="102">
                  <c:v>38692</c:v>
                </c:pt>
                <c:pt idx="103">
                  <c:v>38693</c:v>
                </c:pt>
                <c:pt idx="104">
                  <c:v>38694</c:v>
                </c:pt>
                <c:pt idx="105">
                  <c:v>38695</c:v>
                </c:pt>
                <c:pt idx="106">
                  <c:v>38698</c:v>
                </c:pt>
                <c:pt idx="107">
                  <c:v>38699</c:v>
                </c:pt>
                <c:pt idx="108">
                  <c:v>38700</c:v>
                </c:pt>
                <c:pt idx="109">
                  <c:v>38701</c:v>
                </c:pt>
                <c:pt idx="110">
                  <c:v>38702</c:v>
                </c:pt>
                <c:pt idx="111">
                  <c:v>38705</c:v>
                </c:pt>
                <c:pt idx="112">
                  <c:v>38706</c:v>
                </c:pt>
                <c:pt idx="113">
                  <c:v>38707</c:v>
                </c:pt>
                <c:pt idx="114">
                  <c:v>38708</c:v>
                </c:pt>
                <c:pt idx="115">
                  <c:v>38709</c:v>
                </c:pt>
                <c:pt idx="116">
                  <c:v>38712</c:v>
                </c:pt>
                <c:pt idx="117">
                  <c:v>38713</c:v>
                </c:pt>
                <c:pt idx="118">
                  <c:v>38714</c:v>
                </c:pt>
                <c:pt idx="119">
                  <c:v>38715</c:v>
                </c:pt>
                <c:pt idx="120">
                  <c:v>38716</c:v>
                </c:pt>
                <c:pt idx="121">
                  <c:v>38721</c:v>
                </c:pt>
                <c:pt idx="122">
                  <c:v>38722</c:v>
                </c:pt>
                <c:pt idx="123">
                  <c:v>38723</c:v>
                </c:pt>
                <c:pt idx="124">
                  <c:v>38726</c:v>
                </c:pt>
                <c:pt idx="125">
                  <c:v>38727</c:v>
                </c:pt>
                <c:pt idx="126">
                  <c:v>38728</c:v>
                </c:pt>
                <c:pt idx="127">
                  <c:v>38729</c:v>
                </c:pt>
                <c:pt idx="128">
                  <c:v>38730</c:v>
                </c:pt>
                <c:pt idx="129">
                  <c:v>38733</c:v>
                </c:pt>
                <c:pt idx="130">
                  <c:v>38734</c:v>
                </c:pt>
                <c:pt idx="131">
                  <c:v>38735</c:v>
                </c:pt>
                <c:pt idx="132">
                  <c:v>38736</c:v>
                </c:pt>
                <c:pt idx="133">
                  <c:v>38737</c:v>
                </c:pt>
                <c:pt idx="134">
                  <c:v>38740</c:v>
                </c:pt>
                <c:pt idx="135">
                  <c:v>38741</c:v>
                </c:pt>
                <c:pt idx="136">
                  <c:v>38742</c:v>
                </c:pt>
                <c:pt idx="137">
                  <c:v>38754</c:v>
                </c:pt>
                <c:pt idx="138">
                  <c:v>38755</c:v>
                </c:pt>
                <c:pt idx="139">
                  <c:v>38756</c:v>
                </c:pt>
                <c:pt idx="140">
                  <c:v>38757</c:v>
                </c:pt>
                <c:pt idx="141">
                  <c:v>38758</c:v>
                </c:pt>
                <c:pt idx="142">
                  <c:v>38761</c:v>
                </c:pt>
                <c:pt idx="143">
                  <c:v>38762</c:v>
                </c:pt>
                <c:pt idx="144">
                  <c:v>38763</c:v>
                </c:pt>
                <c:pt idx="145">
                  <c:v>38764</c:v>
                </c:pt>
                <c:pt idx="146">
                  <c:v>38765</c:v>
                </c:pt>
                <c:pt idx="147">
                  <c:v>38768</c:v>
                </c:pt>
                <c:pt idx="148">
                  <c:v>38769</c:v>
                </c:pt>
                <c:pt idx="149">
                  <c:v>38770</c:v>
                </c:pt>
                <c:pt idx="150">
                  <c:v>38771</c:v>
                </c:pt>
                <c:pt idx="151">
                  <c:v>38772</c:v>
                </c:pt>
                <c:pt idx="152">
                  <c:v>38775</c:v>
                </c:pt>
                <c:pt idx="153">
                  <c:v>38776</c:v>
                </c:pt>
                <c:pt idx="154">
                  <c:v>38777</c:v>
                </c:pt>
                <c:pt idx="155">
                  <c:v>38778</c:v>
                </c:pt>
                <c:pt idx="156">
                  <c:v>38779</c:v>
                </c:pt>
                <c:pt idx="157">
                  <c:v>38782</c:v>
                </c:pt>
                <c:pt idx="158">
                  <c:v>38783</c:v>
                </c:pt>
                <c:pt idx="159">
                  <c:v>38784</c:v>
                </c:pt>
                <c:pt idx="160">
                  <c:v>38785</c:v>
                </c:pt>
                <c:pt idx="161">
                  <c:v>38786</c:v>
                </c:pt>
                <c:pt idx="162">
                  <c:v>38789</c:v>
                </c:pt>
                <c:pt idx="163">
                  <c:v>38790</c:v>
                </c:pt>
                <c:pt idx="164">
                  <c:v>38791</c:v>
                </c:pt>
                <c:pt idx="165">
                  <c:v>38792</c:v>
                </c:pt>
                <c:pt idx="166">
                  <c:v>38793</c:v>
                </c:pt>
                <c:pt idx="167">
                  <c:v>38796</c:v>
                </c:pt>
                <c:pt idx="168">
                  <c:v>38797</c:v>
                </c:pt>
                <c:pt idx="169">
                  <c:v>38798</c:v>
                </c:pt>
                <c:pt idx="170">
                  <c:v>38799</c:v>
                </c:pt>
                <c:pt idx="171">
                  <c:v>38800</c:v>
                </c:pt>
                <c:pt idx="172">
                  <c:v>38803</c:v>
                </c:pt>
                <c:pt idx="173">
                  <c:v>38804</c:v>
                </c:pt>
                <c:pt idx="174">
                  <c:v>38805</c:v>
                </c:pt>
                <c:pt idx="175">
                  <c:v>38806</c:v>
                </c:pt>
                <c:pt idx="176">
                  <c:v>38807</c:v>
                </c:pt>
                <c:pt idx="177">
                  <c:v>38810</c:v>
                </c:pt>
                <c:pt idx="178">
                  <c:v>38811</c:v>
                </c:pt>
                <c:pt idx="179">
                  <c:v>38812</c:v>
                </c:pt>
                <c:pt idx="180">
                  <c:v>38813</c:v>
                </c:pt>
                <c:pt idx="181">
                  <c:v>38814</c:v>
                </c:pt>
                <c:pt idx="182">
                  <c:v>38817</c:v>
                </c:pt>
                <c:pt idx="183">
                  <c:v>38818</c:v>
                </c:pt>
                <c:pt idx="184">
                  <c:v>38819</c:v>
                </c:pt>
                <c:pt idx="185">
                  <c:v>38820</c:v>
                </c:pt>
                <c:pt idx="186">
                  <c:v>38821</c:v>
                </c:pt>
                <c:pt idx="187">
                  <c:v>38824</c:v>
                </c:pt>
                <c:pt idx="188">
                  <c:v>38825</c:v>
                </c:pt>
                <c:pt idx="189">
                  <c:v>38826</c:v>
                </c:pt>
                <c:pt idx="190">
                  <c:v>38827</c:v>
                </c:pt>
                <c:pt idx="191">
                  <c:v>38828</c:v>
                </c:pt>
                <c:pt idx="192">
                  <c:v>38831</c:v>
                </c:pt>
                <c:pt idx="193">
                  <c:v>38832</c:v>
                </c:pt>
                <c:pt idx="194">
                  <c:v>38833</c:v>
                </c:pt>
                <c:pt idx="195">
                  <c:v>38834</c:v>
                </c:pt>
                <c:pt idx="196">
                  <c:v>38835</c:v>
                </c:pt>
                <c:pt idx="197">
                  <c:v>38845</c:v>
                </c:pt>
                <c:pt idx="198">
                  <c:v>38846</c:v>
                </c:pt>
                <c:pt idx="199">
                  <c:v>38847</c:v>
                </c:pt>
                <c:pt idx="200">
                  <c:v>38848</c:v>
                </c:pt>
                <c:pt idx="201">
                  <c:v>38849</c:v>
                </c:pt>
                <c:pt idx="202">
                  <c:v>38852</c:v>
                </c:pt>
                <c:pt idx="203">
                  <c:v>38853</c:v>
                </c:pt>
                <c:pt idx="204">
                  <c:v>38854</c:v>
                </c:pt>
                <c:pt idx="205">
                  <c:v>38855</c:v>
                </c:pt>
                <c:pt idx="206">
                  <c:v>38856</c:v>
                </c:pt>
                <c:pt idx="207">
                  <c:v>38859</c:v>
                </c:pt>
                <c:pt idx="208">
                  <c:v>38860</c:v>
                </c:pt>
                <c:pt idx="209">
                  <c:v>38861</c:v>
                </c:pt>
                <c:pt idx="210">
                  <c:v>38862</c:v>
                </c:pt>
                <c:pt idx="211">
                  <c:v>38863</c:v>
                </c:pt>
                <c:pt idx="212">
                  <c:v>38866</c:v>
                </c:pt>
                <c:pt idx="213">
                  <c:v>38867</c:v>
                </c:pt>
                <c:pt idx="214">
                  <c:v>38868</c:v>
                </c:pt>
                <c:pt idx="215">
                  <c:v>38869</c:v>
                </c:pt>
                <c:pt idx="216">
                  <c:v>38870</c:v>
                </c:pt>
                <c:pt idx="217">
                  <c:v>38873</c:v>
                </c:pt>
                <c:pt idx="218">
                  <c:v>38874</c:v>
                </c:pt>
                <c:pt idx="219">
                  <c:v>38875</c:v>
                </c:pt>
                <c:pt idx="220">
                  <c:v>38876</c:v>
                </c:pt>
                <c:pt idx="221">
                  <c:v>38877</c:v>
                </c:pt>
                <c:pt idx="222">
                  <c:v>38880</c:v>
                </c:pt>
                <c:pt idx="223">
                  <c:v>38881</c:v>
                </c:pt>
                <c:pt idx="224">
                  <c:v>38882</c:v>
                </c:pt>
                <c:pt idx="225">
                  <c:v>38883</c:v>
                </c:pt>
                <c:pt idx="226">
                  <c:v>38884</c:v>
                </c:pt>
                <c:pt idx="227">
                  <c:v>38887</c:v>
                </c:pt>
                <c:pt idx="228">
                  <c:v>38888</c:v>
                </c:pt>
                <c:pt idx="229">
                  <c:v>38889</c:v>
                </c:pt>
                <c:pt idx="230">
                  <c:v>38890</c:v>
                </c:pt>
                <c:pt idx="231">
                  <c:v>38891</c:v>
                </c:pt>
                <c:pt idx="232">
                  <c:v>38894</c:v>
                </c:pt>
                <c:pt idx="233">
                  <c:v>38895</c:v>
                </c:pt>
                <c:pt idx="234">
                  <c:v>38896</c:v>
                </c:pt>
                <c:pt idx="235">
                  <c:v>38897</c:v>
                </c:pt>
                <c:pt idx="236">
                  <c:v>38898</c:v>
                </c:pt>
                <c:pt idx="237">
                  <c:v>38901</c:v>
                </c:pt>
                <c:pt idx="238">
                  <c:v>38902</c:v>
                </c:pt>
                <c:pt idx="239">
                  <c:v>38903</c:v>
                </c:pt>
                <c:pt idx="240">
                  <c:v>38904</c:v>
                </c:pt>
                <c:pt idx="241">
                  <c:v>38905</c:v>
                </c:pt>
                <c:pt idx="242">
                  <c:v>38908</c:v>
                </c:pt>
                <c:pt idx="243">
                  <c:v>38909</c:v>
                </c:pt>
                <c:pt idx="244">
                  <c:v>38910</c:v>
                </c:pt>
                <c:pt idx="245">
                  <c:v>38911</c:v>
                </c:pt>
                <c:pt idx="246">
                  <c:v>38912</c:v>
                </c:pt>
                <c:pt idx="247">
                  <c:v>38915</c:v>
                </c:pt>
                <c:pt idx="248">
                  <c:v>38916</c:v>
                </c:pt>
                <c:pt idx="249">
                  <c:v>38917</c:v>
                </c:pt>
                <c:pt idx="250">
                  <c:v>38918</c:v>
                </c:pt>
                <c:pt idx="251">
                  <c:v>38919</c:v>
                </c:pt>
                <c:pt idx="252">
                  <c:v>38922</c:v>
                </c:pt>
                <c:pt idx="253">
                  <c:v>38923</c:v>
                </c:pt>
                <c:pt idx="254">
                  <c:v>38924</c:v>
                </c:pt>
                <c:pt idx="255">
                  <c:v>38925</c:v>
                </c:pt>
                <c:pt idx="256">
                  <c:v>38926</c:v>
                </c:pt>
                <c:pt idx="257">
                  <c:v>38929</c:v>
                </c:pt>
                <c:pt idx="258">
                  <c:v>38930</c:v>
                </c:pt>
                <c:pt idx="259">
                  <c:v>38931</c:v>
                </c:pt>
                <c:pt idx="260">
                  <c:v>38932</c:v>
                </c:pt>
                <c:pt idx="261">
                  <c:v>38933</c:v>
                </c:pt>
                <c:pt idx="262">
                  <c:v>38936</c:v>
                </c:pt>
                <c:pt idx="263">
                  <c:v>38937</c:v>
                </c:pt>
                <c:pt idx="264">
                  <c:v>38938</c:v>
                </c:pt>
                <c:pt idx="265">
                  <c:v>38939</c:v>
                </c:pt>
                <c:pt idx="266">
                  <c:v>38940</c:v>
                </c:pt>
                <c:pt idx="267">
                  <c:v>38943</c:v>
                </c:pt>
                <c:pt idx="268">
                  <c:v>38944</c:v>
                </c:pt>
                <c:pt idx="269">
                  <c:v>38945</c:v>
                </c:pt>
                <c:pt idx="270">
                  <c:v>38946</c:v>
                </c:pt>
                <c:pt idx="271">
                  <c:v>38947</c:v>
                </c:pt>
                <c:pt idx="272">
                  <c:v>38950</c:v>
                </c:pt>
                <c:pt idx="273">
                  <c:v>38951</c:v>
                </c:pt>
                <c:pt idx="274">
                  <c:v>38952</c:v>
                </c:pt>
                <c:pt idx="275">
                  <c:v>38953</c:v>
                </c:pt>
                <c:pt idx="276">
                  <c:v>38954</c:v>
                </c:pt>
                <c:pt idx="277">
                  <c:v>38957</c:v>
                </c:pt>
                <c:pt idx="278">
                  <c:v>38958</c:v>
                </c:pt>
                <c:pt idx="279">
                  <c:v>38959</c:v>
                </c:pt>
                <c:pt idx="280">
                  <c:v>38960</c:v>
                </c:pt>
                <c:pt idx="281">
                  <c:v>38961</c:v>
                </c:pt>
                <c:pt idx="282">
                  <c:v>38964</c:v>
                </c:pt>
                <c:pt idx="283">
                  <c:v>38965</c:v>
                </c:pt>
                <c:pt idx="284">
                  <c:v>38966</c:v>
                </c:pt>
                <c:pt idx="285">
                  <c:v>38967</c:v>
                </c:pt>
                <c:pt idx="286">
                  <c:v>38968</c:v>
                </c:pt>
                <c:pt idx="287">
                  <c:v>38971</c:v>
                </c:pt>
                <c:pt idx="288">
                  <c:v>38972</c:v>
                </c:pt>
                <c:pt idx="289">
                  <c:v>38973</c:v>
                </c:pt>
                <c:pt idx="290">
                  <c:v>38974</c:v>
                </c:pt>
                <c:pt idx="291">
                  <c:v>38975</c:v>
                </c:pt>
                <c:pt idx="292">
                  <c:v>38978</c:v>
                </c:pt>
                <c:pt idx="293">
                  <c:v>38979</c:v>
                </c:pt>
                <c:pt idx="294">
                  <c:v>38980</c:v>
                </c:pt>
                <c:pt idx="295">
                  <c:v>38981</c:v>
                </c:pt>
                <c:pt idx="296">
                  <c:v>38982</c:v>
                </c:pt>
                <c:pt idx="297">
                  <c:v>38985</c:v>
                </c:pt>
                <c:pt idx="298">
                  <c:v>38986</c:v>
                </c:pt>
                <c:pt idx="299">
                  <c:v>38987</c:v>
                </c:pt>
                <c:pt idx="300">
                  <c:v>38988</c:v>
                </c:pt>
                <c:pt idx="301">
                  <c:v>38989</c:v>
                </c:pt>
                <c:pt idx="302">
                  <c:v>38999</c:v>
                </c:pt>
                <c:pt idx="303">
                  <c:v>39000</c:v>
                </c:pt>
                <c:pt idx="304">
                  <c:v>39001</c:v>
                </c:pt>
                <c:pt idx="305">
                  <c:v>39002</c:v>
                </c:pt>
                <c:pt idx="306">
                  <c:v>39003</c:v>
                </c:pt>
                <c:pt idx="307">
                  <c:v>39006</c:v>
                </c:pt>
                <c:pt idx="308">
                  <c:v>39007</c:v>
                </c:pt>
                <c:pt idx="309">
                  <c:v>39008</c:v>
                </c:pt>
                <c:pt idx="310">
                  <c:v>39009</c:v>
                </c:pt>
                <c:pt idx="311">
                  <c:v>39010</c:v>
                </c:pt>
                <c:pt idx="312">
                  <c:v>39013</c:v>
                </c:pt>
                <c:pt idx="313">
                  <c:v>39014</c:v>
                </c:pt>
                <c:pt idx="314">
                  <c:v>39015</c:v>
                </c:pt>
                <c:pt idx="315">
                  <c:v>39016</c:v>
                </c:pt>
                <c:pt idx="316">
                  <c:v>39017</c:v>
                </c:pt>
                <c:pt idx="317">
                  <c:v>39020</c:v>
                </c:pt>
                <c:pt idx="318">
                  <c:v>39021</c:v>
                </c:pt>
                <c:pt idx="319">
                  <c:v>39022</c:v>
                </c:pt>
                <c:pt idx="320">
                  <c:v>39023</c:v>
                </c:pt>
                <c:pt idx="321">
                  <c:v>39024</c:v>
                </c:pt>
                <c:pt idx="322">
                  <c:v>39027</c:v>
                </c:pt>
                <c:pt idx="323">
                  <c:v>39028</c:v>
                </c:pt>
                <c:pt idx="324">
                  <c:v>39029</c:v>
                </c:pt>
                <c:pt idx="325">
                  <c:v>39030</c:v>
                </c:pt>
                <c:pt idx="326">
                  <c:v>39031</c:v>
                </c:pt>
                <c:pt idx="327">
                  <c:v>39034</c:v>
                </c:pt>
                <c:pt idx="328">
                  <c:v>39035</c:v>
                </c:pt>
                <c:pt idx="329">
                  <c:v>39036</c:v>
                </c:pt>
                <c:pt idx="330">
                  <c:v>39037</c:v>
                </c:pt>
                <c:pt idx="331">
                  <c:v>39038</c:v>
                </c:pt>
                <c:pt idx="332">
                  <c:v>39041</c:v>
                </c:pt>
                <c:pt idx="333">
                  <c:v>39042</c:v>
                </c:pt>
                <c:pt idx="334">
                  <c:v>39043</c:v>
                </c:pt>
                <c:pt idx="335">
                  <c:v>39044</c:v>
                </c:pt>
                <c:pt idx="336">
                  <c:v>39045</c:v>
                </c:pt>
                <c:pt idx="337">
                  <c:v>39048</c:v>
                </c:pt>
                <c:pt idx="338">
                  <c:v>39049</c:v>
                </c:pt>
                <c:pt idx="339">
                  <c:v>39050</c:v>
                </c:pt>
                <c:pt idx="340">
                  <c:v>39051</c:v>
                </c:pt>
                <c:pt idx="341">
                  <c:v>39052</c:v>
                </c:pt>
                <c:pt idx="342">
                  <c:v>39055</c:v>
                </c:pt>
                <c:pt idx="343">
                  <c:v>39056</c:v>
                </c:pt>
                <c:pt idx="344">
                  <c:v>39057</c:v>
                </c:pt>
                <c:pt idx="345">
                  <c:v>39058</c:v>
                </c:pt>
                <c:pt idx="346">
                  <c:v>39059</c:v>
                </c:pt>
                <c:pt idx="347">
                  <c:v>39062</c:v>
                </c:pt>
                <c:pt idx="348">
                  <c:v>39063</c:v>
                </c:pt>
                <c:pt idx="349">
                  <c:v>39064</c:v>
                </c:pt>
                <c:pt idx="350">
                  <c:v>39065</c:v>
                </c:pt>
                <c:pt idx="351">
                  <c:v>39066</c:v>
                </c:pt>
                <c:pt idx="352">
                  <c:v>39069</c:v>
                </c:pt>
                <c:pt idx="353">
                  <c:v>39070</c:v>
                </c:pt>
                <c:pt idx="354">
                  <c:v>39071</c:v>
                </c:pt>
                <c:pt idx="355">
                  <c:v>39072</c:v>
                </c:pt>
                <c:pt idx="356">
                  <c:v>39073</c:v>
                </c:pt>
                <c:pt idx="357">
                  <c:v>39076</c:v>
                </c:pt>
                <c:pt idx="358">
                  <c:v>39077</c:v>
                </c:pt>
                <c:pt idx="359">
                  <c:v>39078</c:v>
                </c:pt>
                <c:pt idx="360">
                  <c:v>39079</c:v>
                </c:pt>
                <c:pt idx="361">
                  <c:v>39080</c:v>
                </c:pt>
                <c:pt idx="362">
                  <c:v>39086</c:v>
                </c:pt>
                <c:pt idx="363">
                  <c:v>39087</c:v>
                </c:pt>
                <c:pt idx="364">
                  <c:v>39090</c:v>
                </c:pt>
                <c:pt idx="365">
                  <c:v>39091</c:v>
                </c:pt>
                <c:pt idx="366">
                  <c:v>39092</c:v>
                </c:pt>
                <c:pt idx="367">
                  <c:v>39093</c:v>
                </c:pt>
                <c:pt idx="368">
                  <c:v>39094</c:v>
                </c:pt>
                <c:pt idx="369">
                  <c:v>39097</c:v>
                </c:pt>
                <c:pt idx="370">
                  <c:v>39098</c:v>
                </c:pt>
                <c:pt idx="371">
                  <c:v>39099</c:v>
                </c:pt>
                <c:pt idx="372">
                  <c:v>39100</c:v>
                </c:pt>
                <c:pt idx="373">
                  <c:v>39101</c:v>
                </c:pt>
                <c:pt idx="374">
                  <c:v>39104</c:v>
                </c:pt>
                <c:pt idx="375">
                  <c:v>39105</c:v>
                </c:pt>
                <c:pt idx="376">
                  <c:v>39106</c:v>
                </c:pt>
                <c:pt idx="377">
                  <c:v>39107</c:v>
                </c:pt>
                <c:pt idx="378">
                  <c:v>39108</c:v>
                </c:pt>
                <c:pt idx="379">
                  <c:v>39111</c:v>
                </c:pt>
                <c:pt idx="380">
                  <c:v>39112</c:v>
                </c:pt>
                <c:pt idx="381">
                  <c:v>39113</c:v>
                </c:pt>
                <c:pt idx="382">
                  <c:v>39114</c:v>
                </c:pt>
                <c:pt idx="383">
                  <c:v>39115</c:v>
                </c:pt>
                <c:pt idx="384">
                  <c:v>39118</c:v>
                </c:pt>
                <c:pt idx="385">
                  <c:v>39119</c:v>
                </c:pt>
                <c:pt idx="386">
                  <c:v>39120</c:v>
                </c:pt>
                <c:pt idx="387">
                  <c:v>39121</c:v>
                </c:pt>
                <c:pt idx="388">
                  <c:v>39122</c:v>
                </c:pt>
                <c:pt idx="389">
                  <c:v>39125</c:v>
                </c:pt>
                <c:pt idx="390">
                  <c:v>39126</c:v>
                </c:pt>
                <c:pt idx="391">
                  <c:v>39127</c:v>
                </c:pt>
                <c:pt idx="392">
                  <c:v>39128</c:v>
                </c:pt>
                <c:pt idx="393">
                  <c:v>39129</c:v>
                </c:pt>
                <c:pt idx="394">
                  <c:v>39139</c:v>
                </c:pt>
                <c:pt idx="395">
                  <c:v>39140</c:v>
                </c:pt>
                <c:pt idx="396">
                  <c:v>39141</c:v>
                </c:pt>
                <c:pt idx="397">
                  <c:v>39142</c:v>
                </c:pt>
                <c:pt idx="398">
                  <c:v>39143</c:v>
                </c:pt>
                <c:pt idx="399">
                  <c:v>39146</c:v>
                </c:pt>
                <c:pt idx="400">
                  <c:v>39147</c:v>
                </c:pt>
                <c:pt idx="401">
                  <c:v>39148</c:v>
                </c:pt>
                <c:pt idx="402">
                  <c:v>39149</c:v>
                </c:pt>
                <c:pt idx="403">
                  <c:v>39150</c:v>
                </c:pt>
                <c:pt idx="404">
                  <c:v>39153</c:v>
                </c:pt>
                <c:pt idx="405">
                  <c:v>39154</c:v>
                </c:pt>
                <c:pt idx="406">
                  <c:v>39155</c:v>
                </c:pt>
                <c:pt idx="407">
                  <c:v>39156</c:v>
                </c:pt>
                <c:pt idx="408">
                  <c:v>39157</c:v>
                </c:pt>
                <c:pt idx="409">
                  <c:v>39160</c:v>
                </c:pt>
                <c:pt idx="410">
                  <c:v>39161</c:v>
                </c:pt>
                <c:pt idx="411">
                  <c:v>39162</c:v>
                </c:pt>
                <c:pt idx="412">
                  <c:v>39163</c:v>
                </c:pt>
                <c:pt idx="413">
                  <c:v>39164</c:v>
                </c:pt>
                <c:pt idx="414">
                  <c:v>39167</c:v>
                </c:pt>
                <c:pt idx="415">
                  <c:v>39168</c:v>
                </c:pt>
                <c:pt idx="416">
                  <c:v>39169</c:v>
                </c:pt>
                <c:pt idx="417">
                  <c:v>39170</c:v>
                </c:pt>
                <c:pt idx="418">
                  <c:v>39171</c:v>
                </c:pt>
                <c:pt idx="419">
                  <c:v>39174</c:v>
                </c:pt>
                <c:pt idx="420">
                  <c:v>39175</c:v>
                </c:pt>
                <c:pt idx="421">
                  <c:v>39176</c:v>
                </c:pt>
                <c:pt idx="422">
                  <c:v>39177</c:v>
                </c:pt>
                <c:pt idx="423">
                  <c:v>39178</c:v>
                </c:pt>
                <c:pt idx="424">
                  <c:v>39181</c:v>
                </c:pt>
                <c:pt idx="425">
                  <c:v>39182</c:v>
                </c:pt>
                <c:pt idx="426">
                  <c:v>39183</c:v>
                </c:pt>
                <c:pt idx="427">
                  <c:v>39184</c:v>
                </c:pt>
                <c:pt idx="428">
                  <c:v>39185</c:v>
                </c:pt>
                <c:pt idx="429">
                  <c:v>39188</c:v>
                </c:pt>
                <c:pt idx="430">
                  <c:v>39189</c:v>
                </c:pt>
                <c:pt idx="431">
                  <c:v>39190</c:v>
                </c:pt>
                <c:pt idx="432">
                  <c:v>39191</c:v>
                </c:pt>
                <c:pt idx="433">
                  <c:v>39192</c:v>
                </c:pt>
                <c:pt idx="434">
                  <c:v>39195</c:v>
                </c:pt>
                <c:pt idx="435">
                  <c:v>39196</c:v>
                </c:pt>
                <c:pt idx="436">
                  <c:v>39197</c:v>
                </c:pt>
                <c:pt idx="437">
                  <c:v>39198</c:v>
                </c:pt>
                <c:pt idx="438">
                  <c:v>39199</c:v>
                </c:pt>
                <c:pt idx="439">
                  <c:v>39202</c:v>
                </c:pt>
                <c:pt idx="440">
                  <c:v>39210</c:v>
                </c:pt>
                <c:pt idx="441">
                  <c:v>39211</c:v>
                </c:pt>
                <c:pt idx="442">
                  <c:v>39212</c:v>
                </c:pt>
                <c:pt idx="443">
                  <c:v>39213</c:v>
                </c:pt>
                <c:pt idx="444">
                  <c:v>39216</c:v>
                </c:pt>
                <c:pt idx="445">
                  <c:v>39217</c:v>
                </c:pt>
                <c:pt idx="446">
                  <c:v>39218</c:v>
                </c:pt>
                <c:pt idx="447">
                  <c:v>39219</c:v>
                </c:pt>
                <c:pt idx="448">
                  <c:v>39220</c:v>
                </c:pt>
                <c:pt idx="449">
                  <c:v>39223</c:v>
                </c:pt>
                <c:pt idx="450">
                  <c:v>39224</c:v>
                </c:pt>
                <c:pt idx="451">
                  <c:v>39225</c:v>
                </c:pt>
                <c:pt idx="452">
                  <c:v>39226</c:v>
                </c:pt>
                <c:pt idx="453">
                  <c:v>39227</c:v>
                </c:pt>
                <c:pt idx="454">
                  <c:v>39230</c:v>
                </c:pt>
                <c:pt idx="455">
                  <c:v>39231</c:v>
                </c:pt>
                <c:pt idx="456">
                  <c:v>39232</c:v>
                </c:pt>
                <c:pt idx="457">
                  <c:v>39233</c:v>
                </c:pt>
                <c:pt idx="458">
                  <c:v>39234</c:v>
                </c:pt>
                <c:pt idx="459">
                  <c:v>39237</c:v>
                </c:pt>
                <c:pt idx="460">
                  <c:v>39238</c:v>
                </c:pt>
                <c:pt idx="461">
                  <c:v>39239</c:v>
                </c:pt>
                <c:pt idx="462">
                  <c:v>39240</c:v>
                </c:pt>
                <c:pt idx="463">
                  <c:v>39241</c:v>
                </c:pt>
                <c:pt idx="464">
                  <c:v>39244</c:v>
                </c:pt>
                <c:pt idx="465">
                  <c:v>39245</c:v>
                </c:pt>
                <c:pt idx="466">
                  <c:v>39246</c:v>
                </c:pt>
                <c:pt idx="467">
                  <c:v>39247</c:v>
                </c:pt>
                <c:pt idx="468">
                  <c:v>39248</c:v>
                </c:pt>
                <c:pt idx="469">
                  <c:v>39251</c:v>
                </c:pt>
                <c:pt idx="470">
                  <c:v>39252</c:v>
                </c:pt>
                <c:pt idx="471">
                  <c:v>39253</c:v>
                </c:pt>
                <c:pt idx="472">
                  <c:v>39254</c:v>
                </c:pt>
                <c:pt idx="473">
                  <c:v>39255</c:v>
                </c:pt>
                <c:pt idx="474">
                  <c:v>39258</c:v>
                </c:pt>
                <c:pt idx="475">
                  <c:v>39259</c:v>
                </c:pt>
                <c:pt idx="476">
                  <c:v>39260</c:v>
                </c:pt>
                <c:pt idx="477">
                  <c:v>39261</c:v>
                </c:pt>
                <c:pt idx="478">
                  <c:v>39262</c:v>
                </c:pt>
                <c:pt idx="479">
                  <c:v>39265</c:v>
                </c:pt>
                <c:pt idx="480">
                  <c:v>39266</c:v>
                </c:pt>
                <c:pt idx="481">
                  <c:v>39267</c:v>
                </c:pt>
                <c:pt idx="482">
                  <c:v>39268</c:v>
                </c:pt>
                <c:pt idx="483">
                  <c:v>39269</c:v>
                </c:pt>
                <c:pt idx="484">
                  <c:v>39272</c:v>
                </c:pt>
                <c:pt idx="485">
                  <c:v>39273</c:v>
                </c:pt>
                <c:pt idx="486">
                  <c:v>39274</c:v>
                </c:pt>
                <c:pt idx="487">
                  <c:v>39275</c:v>
                </c:pt>
                <c:pt idx="488">
                  <c:v>39276</c:v>
                </c:pt>
                <c:pt idx="489">
                  <c:v>39279</c:v>
                </c:pt>
                <c:pt idx="490">
                  <c:v>39280</c:v>
                </c:pt>
                <c:pt idx="491">
                  <c:v>39281</c:v>
                </c:pt>
                <c:pt idx="492">
                  <c:v>39282</c:v>
                </c:pt>
                <c:pt idx="493">
                  <c:v>39283</c:v>
                </c:pt>
                <c:pt idx="494">
                  <c:v>39286</c:v>
                </c:pt>
                <c:pt idx="495">
                  <c:v>39287</c:v>
                </c:pt>
                <c:pt idx="496">
                  <c:v>39288</c:v>
                </c:pt>
                <c:pt idx="497">
                  <c:v>39289</c:v>
                </c:pt>
                <c:pt idx="498">
                  <c:v>39290</c:v>
                </c:pt>
                <c:pt idx="499">
                  <c:v>39293</c:v>
                </c:pt>
                <c:pt idx="500">
                  <c:v>39294</c:v>
                </c:pt>
                <c:pt idx="501">
                  <c:v>39295</c:v>
                </c:pt>
                <c:pt idx="502">
                  <c:v>39296</c:v>
                </c:pt>
                <c:pt idx="503">
                  <c:v>39297</c:v>
                </c:pt>
                <c:pt idx="504">
                  <c:v>39300</c:v>
                </c:pt>
                <c:pt idx="505">
                  <c:v>39301</c:v>
                </c:pt>
                <c:pt idx="506">
                  <c:v>39302</c:v>
                </c:pt>
                <c:pt idx="507">
                  <c:v>39303</c:v>
                </c:pt>
                <c:pt idx="508">
                  <c:v>39304</c:v>
                </c:pt>
                <c:pt idx="509">
                  <c:v>39307</c:v>
                </c:pt>
                <c:pt idx="510">
                  <c:v>39308</c:v>
                </c:pt>
                <c:pt idx="511">
                  <c:v>39309</c:v>
                </c:pt>
                <c:pt idx="512">
                  <c:v>39310</c:v>
                </c:pt>
                <c:pt idx="513">
                  <c:v>39311</c:v>
                </c:pt>
                <c:pt idx="514">
                  <c:v>39314</c:v>
                </c:pt>
                <c:pt idx="515">
                  <c:v>39315</c:v>
                </c:pt>
                <c:pt idx="516">
                  <c:v>39316</c:v>
                </c:pt>
                <c:pt idx="517">
                  <c:v>39317</c:v>
                </c:pt>
                <c:pt idx="518">
                  <c:v>39318</c:v>
                </c:pt>
                <c:pt idx="519">
                  <c:v>39321</c:v>
                </c:pt>
                <c:pt idx="520">
                  <c:v>39322</c:v>
                </c:pt>
                <c:pt idx="521">
                  <c:v>39323</c:v>
                </c:pt>
                <c:pt idx="522">
                  <c:v>39324</c:v>
                </c:pt>
                <c:pt idx="523">
                  <c:v>39325</c:v>
                </c:pt>
                <c:pt idx="524">
                  <c:v>39328</c:v>
                </c:pt>
                <c:pt idx="525">
                  <c:v>39329</c:v>
                </c:pt>
                <c:pt idx="526">
                  <c:v>39330</c:v>
                </c:pt>
                <c:pt idx="527">
                  <c:v>39331</c:v>
                </c:pt>
                <c:pt idx="528">
                  <c:v>39332</c:v>
                </c:pt>
                <c:pt idx="529">
                  <c:v>39335</c:v>
                </c:pt>
                <c:pt idx="530">
                  <c:v>39336</c:v>
                </c:pt>
                <c:pt idx="531">
                  <c:v>39337</c:v>
                </c:pt>
                <c:pt idx="532">
                  <c:v>39338</c:v>
                </c:pt>
                <c:pt idx="533">
                  <c:v>39339</c:v>
                </c:pt>
                <c:pt idx="534">
                  <c:v>39342</c:v>
                </c:pt>
                <c:pt idx="535">
                  <c:v>39343</c:v>
                </c:pt>
                <c:pt idx="536">
                  <c:v>39344</c:v>
                </c:pt>
                <c:pt idx="537">
                  <c:v>39345</c:v>
                </c:pt>
                <c:pt idx="538">
                  <c:v>39346</c:v>
                </c:pt>
                <c:pt idx="539">
                  <c:v>39349</c:v>
                </c:pt>
                <c:pt idx="540">
                  <c:v>39350</c:v>
                </c:pt>
                <c:pt idx="541">
                  <c:v>39351</c:v>
                </c:pt>
                <c:pt idx="542">
                  <c:v>39352</c:v>
                </c:pt>
                <c:pt idx="543">
                  <c:v>39353</c:v>
                </c:pt>
                <c:pt idx="544">
                  <c:v>39363</c:v>
                </c:pt>
                <c:pt idx="545">
                  <c:v>39364</c:v>
                </c:pt>
                <c:pt idx="546">
                  <c:v>39365</c:v>
                </c:pt>
                <c:pt idx="547">
                  <c:v>39366</c:v>
                </c:pt>
                <c:pt idx="548">
                  <c:v>39367</c:v>
                </c:pt>
                <c:pt idx="549">
                  <c:v>39370</c:v>
                </c:pt>
                <c:pt idx="550">
                  <c:v>39371</c:v>
                </c:pt>
                <c:pt idx="551">
                  <c:v>39372</c:v>
                </c:pt>
                <c:pt idx="552">
                  <c:v>39373</c:v>
                </c:pt>
                <c:pt idx="553">
                  <c:v>39374</c:v>
                </c:pt>
                <c:pt idx="554">
                  <c:v>39377</c:v>
                </c:pt>
                <c:pt idx="555">
                  <c:v>39378</c:v>
                </c:pt>
                <c:pt idx="556">
                  <c:v>39379</c:v>
                </c:pt>
                <c:pt idx="557">
                  <c:v>39380</c:v>
                </c:pt>
                <c:pt idx="558">
                  <c:v>39381</c:v>
                </c:pt>
                <c:pt idx="559">
                  <c:v>39384</c:v>
                </c:pt>
                <c:pt idx="560">
                  <c:v>39385</c:v>
                </c:pt>
                <c:pt idx="561">
                  <c:v>39386</c:v>
                </c:pt>
                <c:pt idx="562">
                  <c:v>39387</c:v>
                </c:pt>
                <c:pt idx="563">
                  <c:v>39388</c:v>
                </c:pt>
                <c:pt idx="564">
                  <c:v>39391</c:v>
                </c:pt>
                <c:pt idx="565">
                  <c:v>39392</c:v>
                </c:pt>
                <c:pt idx="566">
                  <c:v>39393</c:v>
                </c:pt>
                <c:pt idx="567">
                  <c:v>39394</c:v>
                </c:pt>
                <c:pt idx="568">
                  <c:v>39395</c:v>
                </c:pt>
                <c:pt idx="569">
                  <c:v>39398</c:v>
                </c:pt>
                <c:pt idx="570">
                  <c:v>39399</c:v>
                </c:pt>
                <c:pt idx="571">
                  <c:v>39400</c:v>
                </c:pt>
                <c:pt idx="572">
                  <c:v>39401</c:v>
                </c:pt>
                <c:pt idx="573">
                  <c:v>39402</c:v>
                </c:pt>
                <c:pt idx="574">
                  <c:v>39405</c:v>
                </c:pt>
                <c:pt idx="575">
                  <c:v>39406</c:v>
                </c:pt>
                <c:pt idx="576">
                  <c:v>39407</c:v>
                </c:pt>
                <c:pt idx="577">
                  <c:v>39408</c:v>
                </c:pt>
                <c:pt idx="578">
                  <c:v>39409</c:v>
                </c:pt>
                <c:pt idx="579">
                  <c:v>39412</c:v>
                </c:pt>
                <c:pt idx="580">
                  <c:v>39413</c:v>
                </c:pt>
                <c:pt idx="581">
                  <c:v>39414</c:v>
                </c:pt>
                <c:pt idx="582">
                  <c:v>39415</c:v>
                </c:pt>
                <c:pt idx="583">
                  <c:v>39416</c:v>
                </c:pt>
                <c:pt idx="584">
                  <c:v>39419</c:v>
                </c:pt>
                <c:pt idx="585">
                  <c:v>39420</c:v>
                </c:pt>
                <c:pt idx="586">
                  <c:v>39421</c:v>
                </c:pt>
                <c:pt idx="587">
                  <c:v>39422</c:v>
                </c:pt>
                <c:pt idx="588">
                  <c:v>39423</c:v>
                </c:pt>
                <c:pt idx="589">
                  <c:v>39426</c:v>
                </c:pt>
                <c:pt idx="590">
                  <c:v>39427</c:v>
                </c:pt>
                <c:pt idx="591">
                  <c:v>39428</c:v>
                </c:pt>
                <c:pt idx="592">
                  <c:v>39429</c:v>
                </c:pt>
                <c:pt idx="593">
                  <c:v>39430</c:v>
                </c:pt>
                <c:pt idx="594">
                  <c:v>39433</c:v>
                </c:pt>
                <c:pt idx="595">
                  <c:v>39434</c:v>
                </c:pt>
                <c:pt idx="596">
                  <c:v>39435</c:v>
                </c:pt>
                <c:pt idx="597">
                  <c:v>39436</c:v>
                </c:pt>
                <c:pt idx="598">
                  <c:v>39437</c:v>
                </c:pt>
                <c:pt idx="599">
                  <c:v>39440</c:v>
                </c:pt>
                <c:pt idx="600">
                  <c:v>39441</c:v>
                </c:pt>
                <c:pt idx="601">
                  <c:v>39442</c:v>
                </c:pt>
                <c:pt idx="602">
                  <c:v>39443</c:v>
                </c:pt>
                <c:pt idx="603">
                  <c:v>39444</c:v>
                </c:pt>
                <c:pt idx="604">
                  <c:v>39449</c:v>
                </c:pt>
                <c:pt idx="605">
                  <c:v>39450</c:v>
                </c:pt>
                <c:pt idx="606">
                  <c:v>39451</c:v>
                </c:pt>
                <c:pt idx="607">
                  <c:v>39454</c:v>
                </c:pt>
                <c:pt idx="608">
                  <c:v>39455</c:v>
                </c:pt>
                <c:pt idx="609">
                  <c:v>39456</c:v>
                </c:pt>
                <c:pt idx="610">
                  <c:v>39457</c:v>
                </c:pt>
                <c:pt idx="611">
                  <c:v>39458</c:v>
                </c:pt>
                <c:pt idx="612">
                  <c:v>39461</c:v>
                </c:pt>
                <c:pt idx="613">
                  <c:v>39462</c:v>
                </c:pt>
                <c:pt idx="614">
                  <c:v>39463</c:v>
                </c:pt>
                <c:pt idx="615">
                  <c:v>39464</c:v>
                </c:pt>
                <c:pt idx="616">
                  <c:v>39465</c:v>
                </c:pt>
                <c:pt idx="617">
                  <c:v>39468</c:v>
                </c:pt>
                <c:pt idx="618">
                  <c:v>39469</c:v>
                </c:pt>
                <c:pt idx="619">
                  <c:v>39470</c:v>
                </c:pt>
                <c:pt idx="620">
                  <c:v>39471</c:v>
                </c:pt>
                <c:pt idx="621">
                  <c:v>39472</c:v>
                </c:pt>
                <c:pt idx="622">
                  <c:v>39475</c:v>
                </c:pt>
                <c:pt idx="623">
                  <c:v>39476</c:v>
                </c:pt>
                <c:pt idx="624">
                  <c:v>39477</c:v>
                </c:pt>
                <c:pt idx="625">
                  <c:v>39478</c:v>
                </c:pt>
                <c:pt idx="626">
                  <c:v>39479</c:v>
                </c:pt>
                <c:pt idx="627">
                  <c:v>39482</c:v>
                </c:pt>
                <c:pt idx="628">
                  <c:v>39483</c:v>
                </c:pt>
                <c:pt idx="629">
                  <c:v>39491</c:v>
                </c:pt>
                <c:pt idx="630">
                  <c:v>39492</c:v>
                </c:pt>
                <c:pt idx="631">
                  <c:v>39493</c:v>
                </c:pt>
                <c:pt idx="632">
                  <c:v>39496</c:v>
                </c:pt>
                <c:pt idx="633">
                  <c:v>39497</c:v>
                </c:pt>
                <c:pt idx="634">
                  <c:v>39498</c:v>
                </c:pt>
                <c:pt idx="635">
                  <c:v>39499</c:v>
                </c:pt>
                <c:pt idx="636">
                  <c:v>39500</c:v>
                </c:pt>
                <c:pt idx="637">
                  <c:v>39503</c:v>
                </c:pt>
                <c:pt idx="638">
                  <c:v>39504</c:v>
                </c:pt>
                <c:pt idx="639">
                  <c:v>39505</c:v>
                </c:pt>
                <c:pt idx="640">
                  <c:v>39506</c:v>
                </c:pt>
                <c:pt idx="641">
                  <c:v>39507</c:v>
                </c:pt>
                <c:pt idx="642">
                  <c:v>39510</c:v>
                </c:pt>
                <c:pt idx="643">
                  <c:v>39511</c:v>
                </c:pt>
                <c:pt idx="644">
                  <c:v>39512</c:v>
                </c:pt>
                <c:pt idx="645">
                  <c:v>39513</c:v>
                </c:pt>
                <c:pt idx="646">
                  <c:v>39514</c:v>
                </c:pt>
                <c:pt idx="647">
                  <c:v>39517</c:v>
                </c:pt>
                <c:pt idx="648">
                  <c:v>39518</c:v>
                </c:pt>
                <c:pt idx="649">
                  <c:v>39519</c:v>
                </c:pt>
                <c:pt idx="650">
                  <c:v>39520</c:v>
                </c:pt>
                <c:pt idx="651">
                  <c:v>39521</c:v>
                </c:pt>
                <c:pt idx="652">
                  <c:v>39524</c:v>
                </c:pt>
                <c:pt idx="653">
                  <c:v>39525</c:v>
                </c:pt>
                <c:pt idx="654">
                  <c:v>39526</c:v>
                </c:pt>
                <c:pt idx="655">
                  <c:v>39527</c:v>
                </c:pt>
                <c:pt idx="656">
                  <c:v>39528</c:v>
                </c:pt>
                <c:pt idx="657">
                  <c:v>39531</c:v>
                </c:pt>
                <c:pt idx="658">
                  <c:v>39532</c:v>
                </c:pt>
                <c:pt idx="659">
                  <c:v>39533</c:v>
                </c:pt>
                <c:pt idx="660">
                  <c:v>39534</c:v>
                </c:pt>
                <c:pt idx="661">
                  <c:v>39535</c:v>
                </c:pt>
                <c:pt idx="662">
                  <c:v>39538</c:v>
                </c:pt>
                <c:pt idx="663">
                  <c:v>39539</c:v>
                </c:pt>
                <c:pt idx="664">
                  <c:v>39540</c:v>
                </c:pt>
                <c:pt idx="665">
                  <c:v>39541</c:v>
                </c:pt>
                <c:pt idx="666">
                  <c:v>39545</c:v>
                </c:pt>
                <c:pt idx="667">
                  <c:v>39546</c:v>
                </c:pt>
                <c:pt idx="668">
                  <c:v>39547</c:v>
                </c:pt>
                <c:pt idx="669">
                  <c:v>39548</c:v>
                </c:pt>
                <c:pt idx="670">
                  <c:v>39549</c:v>
                </c:pt>
                <c:pt idx="671">
                  <c:v>39552</c:v>
                </c:pt>
                <c:pt idx="672">
                  <c:v>39553</c:v>
                </c:pt>
                <c:pt idx="673">
                  <c:v>39554</c:v>
                </c:pt>
                <c:pt idx="674">
                  <c:v>39555</c:v>
                </c:pt>
                <c:pt idx="675">
                  <c:v>39556</c:v>
                </c:pt>
                <c:pt idx="676">
                  <c:v>39559</c:v>
                </c:pt>
                <c:pt idx="677">
                  <c:v>39560</c:v>
                </c:pt>
                <c:pt idx="678">
                  <c:v>39561</c:v>
                </c:pt>
                <c:pt idx="679">
                  <c:v>39562</c:v>
                </c:pt>
                <c:pt idx="680">
                  <c:v>39563</c:v>
                </c:pt>
                <c:pt idx="681">
                  <c:v>39566</c:v>
                </c:pt>
                <c:pt idx="682">
                  <c:v>39567</c:v>
                </c:pt>
                <c:pt idx="683">
                  <c:v>39568</c:v>
                </c:pt>
                <c:pt idx="684">
                  <c:v>39573</c:v>
                </c:pt>
                <c:pt idx="685">
                  <c:v>39574</c:v>
                </c:pt>
                <c:pt idx="686">
                  <c:v>39575</c:v>
                </c:pt>
                <c:pt idx="687">
                  <c:v>39576</c:v>
                </c:pt>
                <c:pt idx="688">
                  <c:v>39577</c:v>
                </c:pt>
                <c:pt idx="689">
                  <c:v>39580</c:v>
                </c:pt>
                <c:pt idx="690">
                  <c:v>39581</c:v>
                </c:pt>
                <c:pt idx="691">
                  <c:v>39582</c:v>
                </c:pt>
                <c:pt idx="692">
                  <c:v>39583</c:v>
                </c:pt>
                <c:pt idx="693">
                  <c:v>39584</c:v>
                </c:pt>
                <c:pt idx="694">
                  <c:v>39587</c:v>
                </c:pt>
                <c:pt idx="695">
                  <c:v>39588</c:v>
                </c:pt>
                <c:pt idx="696">
                  <c:v>39589</c:v>
                </c:pt>
                <c:pt idx="697">
                  <c:v>39590</c:v>
                </c:pt>
                <c:pt idx="698">
                  <c:v>39591</c:v>
                </c:pt>
                <c:pt idx="699">
                  <c:v>39594</c:v>
                </c:pt>
                <c:pt idx="700">
                  <c:v>39595</c:v>
                </c:pt>
                <c:pt idx="701">
                  <c:v>39596</c:v>
                </c:pt>
                <c:pt idx="702">
                  <c:v>39597</c:v>
                </c:pt>
                <c:pt idx="703">
                  <c:v>39598</c:v>
                </c:pt>
                <c:pt idx="704">
                  <c:v>39601</c:v>
                </c:pt>
                <c:pt idx="705">
                  <c:v>39602</c:v>
                </c:pt>
                <c:pt idx="706">
                  <c:v>39603</c:v>
                </c:pt>
                <c:pt idx="707">
                  <c:v>39604</c:v>
                </c:pt>
                <c:pt idx="708">
                  <c:v>39605</c:v>
                </c:pt>
                <c:pt idx="709">
                  <c:v>39609</c:v>
                </c:pt>
                <c:pt idx="710">
                  <c:v>39610</c:v>
                </c:pt>
                <c:pt idx="711">
                  <c:v>39611</c:v>
                </c:pt>
                <c:pt idx="712">
                  <c:v>39612</c:v>
                </c:pt>
                <c:pt idx="713">
                  <c:v>39615</c:v>
                </c:pt>
                <c:pt idx="714">
                  <c:v>39616</c:v>
                </c:pt>
                <c:pt idx="715">
                  <c:v>39617</c:v>
                </c:pt>
                <c:pt idx="716">
                  <c:v>39618</c:v>
                </c:pt>
                <c:pt idx="717">
                  <c:v>39619</c:v>
                </c:pt>
                <c:pt idx="718">
                  <c:v>39622</c:v>
                </c:pt>
                <c:pt idx="719">
                  <c:v>39623</c:v>
                </c:pt>
                <c:pt idx="720">
                  <c:v>39624</c:v>
                </c:pt>
                <c:pt idx="721">
                  <c:v>39625</c:v>
                </c:pt>
                <c:pt idx="722">
                  <c:v>39626</c:v>
                </c:pt>
                <c:pt idx="723">
                  <c:v>39629</c:v>
                </c:pt>
                <c:pt idx="724">
                  <c:v>39630</c:v>
                </c:pt>
                <c:pt idx="725">
                  <c:v>39631</c:v>
                </c:pt>
                <c:pt idx="726">
                  <c:v>39632</c:v>
                </c:pt>
                <c:pt idx="727">
                  <c:v>39633</c:v>
                </c:pt>
                <c:pt idx="728">
                  <c:v>39636</c:v>
                </c:pt>
                <c:pt idx="729">
                  <c:v>39637</c:v>
                </c:pt>
                <c:pt idx="730">
                  <c:v>39638</c:v>
                </c:pt>
                <c:pt idx="731">
                  <c:v>39639</c:v>
                </c:pt>
                <c:pt idx="732">
                  <c:v>39640</c:v>
                </c:pt>
                <c:pt idx="733">
                  <c:v>39643</c:v>
                </c:pt>
                <c:pt idx="734">
                  <c:v>39644</c:v>
                </c:pt>
                <c:pt idx="735">
                  <c:v>39645</c:v>
                </c:pt>
                <c:pt idx="736">
                  <c:v>39646</c:v>
                </c:pt>
                <c:pt idx="737">
                  <c:v>39647</c:v>
                </c:pt>
                <c:pt idx="738">
                  <c:v>39650</c:v>
                </c:pt>
                <c:pt idx="739">
                  <c:v>39651</c:v>
                </c:pt>
                <c:pt idx="740">
                  <c:v>39652</c:v>
                </c:pt>
                <c:pt idx="741">
                  <c:v>39653</c:v>
                </c:pt>
                <c:pt idx="742">
                  <c:v>39654</c:v>
                </c:pt>
                <c:pt idx="743">
                  <c:v>39657</c:v>
                </c:pt>
                <c:pt idx="744">
                  <c:v>39658</c:v>
                </c:pt>
                <c:pt idx="745">
                  <c:v>39659</c:v>
                </c:pt>
                <c:pt idx="746">
                  <c:v>39660</c:v>
                </c:pt>
                <c:pt idx="747">
                  <c:v>39661</c:v>
                </c:pt>
                <c:pt idx="748">
                  <c:v>39664</c:v>
                </c:pt>
                <c:pt idx="749">
                  <c:v>39665</c:v>
                </c:pt>
                <c:pt idx="750">
                  <c:v>39666</c:v>
                </c:pt>
                <c:pt idx="751">
                  <c:v>39667</c:v>
                </c:pt>
                <c:pt idx="752">
                  <c:v>39668</c:v>
                </c:pt>
                <c:pt idx="753">
                  <c:v>39671</c:v>
                </c:pt>
                <c:pt idx="754">
                  <c:v>39672</c:v>
                </c:pt>
                <c:pt idx="755">
                  <c:v>39673</c:v>
                </c:pt>
                <c:pt idx="756">
                  <c:v>39674</c:v>
                </c:pt>
                <c:pt idx="757">
                  <c:v>39675</c:v>
                </c:pt>
                <c:pt idx="758">
                  <c:v>39678</c:v>
                </c:pt>
                <c:pt idx="759">
                  <c:v>39679</c:v>
                </c:pt>
                <c:pt idx="760">
                  <c:v>39680</c:v>
                </c:pt>
                <c:pt idx="761">
                  <c:v>39681</c:v>
                </c:pt>
                <c:pt idx="762">
                  <c:v>39682</c:v>
                </c:pt>
                <c:pt idx="763">
                  <c:v>39685</c:v>
                </c:pt>
                <c:pt idx="764">
                  <c:v>39686</c:v>
                </c:pt>
                <c:pt idx="765">
                  <c:v>39687</c:v>
                </c:pt>
                <c:pt idx="766">
                  <c:v>39688</c:v>
                </c:pt>
                <c:pt idx="767">
                  <c:v>39689</c:v>
                </c:pt>
                <c:pt idx="768">
                  <c:v>39692</c:v>
                </c:pt>
                <c:pt idx="769">
                  <c:v>39693</c:v>
                </c:pt>
                <c:pt idx="770">
                  <c:v>39694</c:v>
                </c:pt>
                <c:pt idx="771">
                  <c:v>39695</c:v>
                </c:pt>
                <c:pt idx="772">
                  <c:v>39696</c:v>
                </c:pt>
                <c:pt idx="773">
                  <c:v>39699</c:v>
                </c:pt>
                <c:pt idx="774">
                  <c:v>39700</c:v>
                </c:pt>
                <c:pt idx="775">
                  <c:v>39701</c:v>
                </c:pt>
                <c:pt idx="776">
                  <c:v>39702</c:v>
                </c:pt>
                <c:pt idx="777">
                  <c:v>39703</c:v>
                </c:pt>
                <c:pt idx="778">
                  <c:v>39707</c:v>
                </c:pt>
                <c:pt idx="779">
                  <c:v>39708</c:v>
                </c:pt>
                <c:pt idx="780">
                  <c:v>39709</c:v>
                </c:pt>
                <c:pt idx="781">
                  <c:v>39710</c:v>
                </c:pt>
                <c:pt idx="782">
                  <c:v>39713</c:v>
                </c:pt>
                <c:pt idx="783">
                  <c:v>39714</c:v>
                </c:pt>
                <c:pt idx="784">
                  <c:v>39715</c:v>
                </c:pt>
                <c:pt idx="785">
                  <c:v>39716</c:v>
                </c:pt>
                <c:pt idx="786">
                  <c:v>39717</c:v>
                </c:pt>
                <c:pt idx="787">
                  <c:v>39727</c:v>
                </c:pt>
                <c:pt idx="788">
                  <c:v>39728</c:v>
                </c:pt>
                <c:pt idx="789">
                  <c:v>39729</c:v>
                </c:pt>
                <c:pt idx="790">
                  <c:v>39730</c:v>
                </c:pt>
                <c:pt idx="791">
                  <c:v>39731</c:v>
                </c:pt>
                <c:pt idx="792">
                  <c:v>39734</c:v>
                </c:pt>
                <c:pt idx="793">
                  <c:v>39735</c:v>
                </c:pt>
                <c:pt idx="794">
                  <c:v>39736</c:v>
                </c:pt>
                <c:pt idx="795">
                  <c:v>39737</c:v>
                </c:pt>
                <c:pt idx="796">
                  <c:v>39738</c:v>
                </c:pt>
                <c:pt idx="797">
                  <c:v>39741</c:v>
                </c:pt>
                <c:pt idx="798">
                  <c:v>39742</c:v>
                </c:pt>
                <c:pt idx="799">
                  <c:v>39743</c:v>
                </c:pt>
                <c:pt idx="800">
                  <c:v>39744</c:v>
                </c:pt>
                <c:pt idx="801">
                  <c:v>39745</c:v>
                </c:pt>
                <c:pt idx="802">
                  <c:v>39748</c:v>
                </c:pt>
                <c:pt idx="803">
                  <c:v>39749</c:v>
                </c:pt>
                <c:pt idx="804">
                  <c:v>39750</c:v>
                </c:pt>
                <c:pt idx="805">
                  <c:v>39751</c:v>
                </c:pt>
                <c:pt idx="806">
                  <c:v>39752</c:v>
                </c:pt>
                <c:pt idx="807">
                  <c:v>39755</c:v>
                </c:pt>
                <c:pt idx="808">
                  <c:v>39756</c:v>
                </c:pt>
                <c:pt idx="809">
                  <c:v>39757</c:v>
                </c:pt>
                <c:pt idx="810">
                  <c:v>39758</c:v>
                </c:pt>
                <c:pt idx="811">
                  <c:v>39759</c:v>
                </c:pt>
                <c:pt idx="812">
                  <c:v>39762</c:v>
                </c:pt>
                <c:pt idx="813">
                  <c:v>39763</c:v>
                </c:pt>
                <c:pt idx="814">
                  <c:v>39764</c:v>
                </c:pt>
                <c:pt idx="815">
                  <c:v>39765</c:v>
                </c:pt>
                <c:pt idx="816">
                  <c:v>39766</c:v>
                </c:pt>
                <c:pt idx="817">
                  <c:v>39769</c:v>
                </c:pt>
                <c:pt idx="818">
                  <c:v>39770</c:v>
                </c:pt>
                <c:pt idx="819">
                  <c:v>39771</c:v>
                </c:pt>
                <c:pt idx="820">
                  <c:v>39772</c:v>
                </c:pt>
                <c:pt idx="821">
                  <c:v>39773</c:v>
                </c:pt>
                <c:pt idx="822">
                  <c:v>39776</c:v>
                </c:pt>
                <c:pt idx="823">
                  <c:v>39777</c:v>
                </c:pt>
                <c:pt idx="824">
                  <c:v>39778</c:v>
                </c:pt>
                <c:pt idx="825">
                  <c:v>39779</c:v>
                </c:pt>
                <c:pt idx="826">
                  <c:v>39780</c:v>
                </c:pt>
                <c:pt idx="827">
                  <c:v>39783</c:v>
                </c:pt>
                <c:pt idx="828">
                  <c:v>39784</c:v>
                </c:pt>
                <c:pt idx="829">
                  <c:v>39785</c:v>
                </c:pt>
                <c:pt idx="830">
                  <c:v>39786</c:v>
                </c:pt>
                <c:pt idx="831">
                  <c:v>39787</c:v>
                </c:pt>
                <c:pt idx="832">
                  <c:v>39790</c:v>
                </c:pt>
                <c:pt idx="833">
                  <c:v>39791</c:v>
                </c:pt>
                <c:pt idx="834">
                  <c:v>39792</c:v>
                </c:pt>
                <c:pt idx="835">
                  <c:v>39793</c:v>
                </c:pt>
                <c:pt idx="836">
                  <c:v>39794</c:v>
                </c:pt>
                <c:pt idx="837">
                  <c:v>39797</c:v>
                </c:pt>
                <c:pt idx="838">
                  <c:v>39798</c:v>
                </c:pt>
                <c:pt idx="839">
                  <c:v>39799</c:v>
                </c:pt>
                <c:pt idx="840">
                  <c:v>39800</c:v>
                </c:pt>
                <c:pt idx="841">
                  <c:v>39801</c:v>
                </c:pt>
                <c:pt idx="842">
                  <c:v>39804</c:v>
                </c:pt>
                <c:pt idx="843">
                  <c:v>39805</c:v>
                </c:pt>
                <c:pt idx="844">
                  <c:v>39806</c:v>
                </c:pt>
                <c:pt idx="845">
                  <c:v>39807</c:v>
                </c:pt>
                <c:pt idx="846">
                  <c:v>39808</c:v>
                </c:pt>
                <c:pt idx="847">
                  <c:v>39811</c:v>
                </c:pt>
                <c:pt idx="848">
                  <c:v>39812</c:v>
                </c:pt>
                <c:pt idx="849">
                  <c:v>39813</c:v>
                </c:pt>
                <c:pt idx="850">
                  <c:v>39818</c:v>
                </c:pt>
                <c:pt idx="851">
                  <c:v>39819</c:v>
                </c:pt>
                <c:pt idx="852">
                  <c:v>39820</c:v>
                </c:pt>
                <c:pt idx="853">
                  <c:v>39821</c:v>
                </c:pt>
                <c:pt idx="854">
                  <c:v>39822</c:v>
                </c:pt>
                <c:pt idx="855">
                  <c:v>39825</c:v>
                </c:pt>
                <c:pt idx="856">
                  <c:v>39826</c:v>
                </c:pt>
                <c:pt idx="857">
                  <c:v>39827</c:v>
                </c:pt>
                <c:pt idx="858">
                  <c:v>39828</c:v>
                </c:pt>
                <c:pt idx="859">
                  <c:v>39829</c:v>
                </c:pt>
                <c:pt idx="860">
                  <c:v>39832</c:v>
                </c:pt>
                <c:pt idx="861">
                  <c:v>39833</c:v>
                </c:pt>
                <c:pt idx="862">
                  <c:v>39834</c:v>
                </c:pt>
                <c:pt idx="863">
                  <c:v>39835</c:v>
                </c:pt>
                <c:pt idx="864">
                  <c:v>39836</c:v>
                </c:pt>
                <c:pt idx="865">
                  <c:v>39846</c:v>
                </c:pt>
                <c:pt idx="866">
                  <c:v>39847</c:v>
                </c:pt>
                <c:pt idx="867">
                  <c:v>39848</c:v>
                </c:pt>
                <c:pt idx="868">
                  <c:v>39849</c:v>
                </c:pt>
                <c:pt idx="869">
                  <c:v>39850</c:v>
                </c:pt>
                <c:pt idx="870">
                  <c:v>39853</c:v>
                </c:pt>
                <c:pt idx="871">
                  <c:v>39854</c:v>
                </c:pt>
                <c:pt idx="872">
                  <c:v>39855</c:v>
                </c:pt>
                <c:pt idx="873">
                  <c:v>39856</c:v>
                </c:pt>
                <c:pt idx="874">
                  <c:v>39857</c:v>
                </c:pt>
                <c:pt idx="875">
                  <c:v>39860</c:v>
                </c:pt>
                <c:pt idx="876">
                  <c:v>39861</c:v>
                </c:pt>
                <c:pt idx="877">
                  <c:v>39862</c:v>
                </c:pt>
                <c:pt idx="878">
                  <c:v>39863</c:v>
                </c:pt>
                <c:pt idx="879">
                  <c:v>39864</c:v>
                </c:pt>
                <c:pt idx="880">
                  <c:v>39867</c:v>
                </c:pt>
                <c:pt idx="881">
                  <c:v>39868</c:v>
                </c:pt>
                <c:pt idx="882">
                  <c:v>39869</c:v>
                </c:pt>
                <c:pt idx="883">
                  <c:v>39870</c:v>
                </c:pt>
                <c:pt idx="884">
                  <c:v>39871</c:v>
                </c:pt>
                <c:pt idx="885">
                  <c:v>39874</c:v>
                </c:pt>
                <c:pt idx="886">
                  <c:v>39875</c:v>
                </c:pt>
                <c:pt idx="887">
                  <c:v>39876</c:v>
                </c:pt>
                <c:pt idx="888">
                  <c:v>39877</c:v>
                </c:pt>
                <c:pt idx="889">
                  <c:v>39878</c:v>
                </c:pt>
                <c:pt idx="890">
                  <c:v>39881</c:v>
                </c:pt>
                <c:pt idx="891">
                  <c:v>39882</c:v>
                </c:pt>
                <c:pt idx="892">
                  <c:v>39883</c:v>
                </c:pt>
                <c:pt idx="893">
                  <c:v>39884</c:v>
                </c:pt>
                <c:pt idx="894">
                  <c:v>39885</c:v>
                </c:pt>
                <c:pt idx="895">
                  <c:v>39888</c:v>
                </c:pt>
                <c:pt idx="896">
                  <c:v>39889</c:v>
                </c:pt>
                <c:pt idx="897">
                  <c:v>39890</c:v>
                </c:pt>
                <c:pt idx="898">
                  <c:v>39891</c:v>
                </c:pt>
                <c:pt idx="899">
                  <c:v>39892</c:v>
                </c:pt>
                <c:pt idx="900">
                  <c:v>39895</c:v>
                </c:pt>
                <c:pt idx="901">
                  <c:v>39896</c:v>
                </c:pt>
                <c:pt idx="902">
                  <c:v>39897</c:v>
                </c:pt>
                <c:pt idx="903">
                  <c:v>39898</c:v>
                </c:pt>
                <c:pt idx="904">
                  <c:v>39899</c:v>
                </c:pt>
                <c:pt idx="905">
                  <c:v>39902</c:v>
                </c:pt>
                <c:pt idx="906">
                  <c:v>39903</c:v>
                </c:pt>
                <c:pt idx="907">
                  <c:v>39904</c:v>
                </c:pt>
                <c:pt idx="908">
                  <c:v>39905</c:v>
                </c:pt>
                <c:pt idx="909">
                  <c:v>39906</c:v>
                </c:pt>
                <c:pt idx="910">
                  <c:v>39910</c:v>
                </c:pt>
                <c:pt idx="911">
                  <c:v>39911</c:v>
                </c:pt>
                <c:pt idx="912">
                  <c:v>39912</c:v>
                </c:pt>
                <c:pt idx="913">
                  <c:v>39913</c:v>
                </c:pt>
                <c:pt idx="914">
                  <c:v>39916</c:v>
                </c:pt>
                <c:pt idx="915">
                  <c:v>39917</c:v>
                </c:pt>
                <c:pt idx="916">
                  <c:v>39918</c:v>
                </c:pt>
                <c:pt idx="917">
                  <c:v>39919</c:v>
                </c:pt>
                <c:pt idx="918">
                  <c:v>39920</c:v>
                </c:pt>
                <c:pt idx="919">
                  <c:v>39923</c:v>
                </c:pt>
                <c:pt idx="920">
                  <c:v>39924</c:v>
                </c:pt>
                <c:pt idx="921">
                  <c:v>39925</c:v>
                </c:pt>
                <c:pt idx="922">
                  <c:v>39926</c:v>
                </c:pt>
                <c:pt idx="923">
                  <c:v>39927</c:v>
                </c:pt>
                <c:pt idx="924">
                  <c:v>39930</c:v>
                </c:pt>
                <c:pt idx="925">
                  <c:v>39931</c:v>
                </c:pt>
                <c:pt idx="926">
                  <c:v>39932</c:v>
                </c:pt>
                <c:pt idx="927">
                  <c:v>39933</c:v>
                </c:pt>
                <c:pt idx="928">
                  <c:v>39937</c:v>
                </c:pt>
                <c:pt idx="929">
                  <c:v>39938</c:v>
                </c:pt>
                <c:pt idx="930">
                  <c:v>39939</c:v>
                </c:pt>
                <c:pt idx="931">
                  <c:v>39940</c:v>
                </c:pt>
                <c:pt idx="932">
                  <c:v>39941</c:v>
                </c:pt>
                <c:pt idx="933">
                  <c:v>39944</c:v>
                </c:pt>
                <c:pt idx="934">
                  <c:v>39945</c:v>
                </c:pt>
                <c:pt idx="935">
                  <c:v>39946</c:v>
                </c:pt>
                <c:pt idx="936">
                  <c:v>39947</c:v>
                </c:pt>
                <c:pt idx="937">
                  <c:v>39948</c:v>
                </c:pt>
                <c:pt idx="938">
                  <c:v>39951</c:v>
                </c:pt>
                <c:pt idx="939">
                  <c:v>39952</c:v>
                </c:pt>
                <c:pt idx="940">
                  <c:v>39953</c:v>
                </c:pt>
                <c:pt idx="941">
                  <c:v>39954</c:v>
                </c:pt>
                <c:pt idx="942">
                  <c:v>39955</c:v>
                </c:pt>
                <c:pt idx="943">
                  <c:v>39958</c:v>
                </c:pt>
                <c:pt idx="944">
                  <c:v>39959</c:v>
                </c:pt>
                <c:pt idx="945">
                  <c:v>39960</c:v>
                </c:pt>
                <c:pt idx="946">
                  <c:v>39965</c:v>
                </c:pt>
                <c:pt idx="947">
                  <c:v>39966</c:v>
                </c:pt>
                <c:pt idx="948">
                  <c:v>39967</c:v>
                </c:pt>
                <c:pt idx="949">
                  <c:v>39968</c:v>
                </c:pt>
                <c:pt idx="950">
                  <c:v>39969</c:v>
                </c:pt>
                <c:pt idx="951">
                  <c:v>39972</c:v>
                </c:pt>
                <c:pt idx="952">
                  <c:v>39973</c:v>
                </c:pt>
                <c:pt idx="953">
                  <c:v>39974</c:v>
                </c:pt>
                <c:pt idx="954">
                  <c:v>39975</c:v>
                </c:pt>
                <c:pt idx="955">
                  <c:v>39976</c:v>
                </c:pt>
                <c:pt idx="956">
                  <c:v>39979</c:v>
                </c:pt>
                <c:pt idx="957">
                  <c:v>39980</c:v>
                </c:pt>
                <c:pt idx="958">
                  <c:v>39981</c:v>
                </c:pt>
                <c:pt idx="959">
                  <c:v>39982</c:v>
                </c:pt>
                <c:pt idx="960">
                  <c:v>39983</c:v>
                </c:pt>
                <c:pt idx="961">
                  <c:v>39986</c:v>
                </c:pt>
                <c:pt idx="962">
                  <c:v>39987</c:v>
                </c:pt>
                <c:pt idx="963">
                  <c:v>39988</c:v>
                </c:pt>
                <c:pt idx="964">
                  <c:v>39989</c:v>
                </c:pt>
                <c:pt idx="965">
                  <c:v>39990</c:v>
                </c:pt>
                <c:pt idx="966">
                  <c:v>39993</c:v>
                </c:pt>
                <c:pt idx="967">
                  <c:v>39994</c:v>
                </c:pt>
                <c:pt idx="968">
                  <c:v>39995</c:v>
                </c:pt>
                <c:pt idx="969">
                  <c:v>39996</c:v>
                </c:pt>
                <c:pt idx="970">
                  <c:v>39997</c:v>
                </c:pt>
                <c:pt idx="971">
                  <c:v>40000</c:v>
                </c:pt>
                <c:pt idx="972">
                  <c:v>40001</c:v>
                </c:pt>
                <c:pt idx="973">
                  <c:v>40002</c:v>
                </c:pt>
                <c:pt idx="974">
                  <c:v>40003</c:v>
                </c:pt>
                <c:pt idx="975">
                  <c:v>40004</c:v>
                </c:pt>
                <c:pt idx="976">
                  <c:v>40007</c:v>
                </c:pt>
                <c:pt idx="977">
                  <c:v>40008</c:v>
                </c:pt>
                <c:pt idx="978">
                  <c:v>40009</c:v>
                </c:pt>
                <c:pt idx="979">
                  <c:v>40010</c:v>
                </c:pt>
                <c:pt idx="980">
                  <c:v>40011</c:v>
                </c:pt>
                <c:pt idx="981">
                  <c:v>40014</c:v>
                </c:pt>
                <c:pt idx="982">
                  <c:v>40015</c:v>
                </c:pt>
                <c:pt idx="983">
                  <c:v>40016</c:v>
                </c:pt>
                <c:pt idx="984">
                  <c:v>40017</c:v>
                </c:pt>
                <c:pt idx="985">
                  <c:v>40018</c:v>
                </c:pt>
                <c:pt idx="986">
                  <c:v>40021</c:v>
                </c:pt>
                <c:pt idx="987">
                  <c:v>40022</c:v>
                </c:pt>
                <c:pt idx="988">
                  <c:v>40023</c:v>
                </c:pt>
                <c:pt idx="989">
                  <c:v>40024</c:v>
                </c:pt>
                <c:pt idx="990">
                  <c:v>40025</c:v>
                </c:pt>
                <c:pt idx="991">
                  <c:v>40028</c:v>
                </c:pt>
                <c:pt idx="992">
                  <c:v>40029</c:v>
                </c:pt>
                <c:pt idx="993">
                  <c:v>40030</c:v>
                </c:pt>
                <c:pt idx="994">
                  <c:v>40031</c:v>
                </c:pt>
                <c:pt idx="995">
                  <c:v>40032</c:v>
                </c:pt>
                <c:pt idx="996">
                  <c:v>40035</c:v>
                </c:pt>
                <c:pt idx="997">
                  <c:v>40036</c:v>
                </c:pt>
                <c:pt idx="998">
                  <c:v>40037</c:v>
                </c:pt>
                <c:pt idx="999">
                  <c:v>40038</c:v>
                </c:pt>
                <c:pt idx="1000">
                  <c:v>40039</c:v>
                </c:pt>
                <c:pt idx="1001">
                  <c:v>40042</c:v>
                </c:pt>
                <c:pt idx="1002">
                  <c:v>40043</c:v>
                </c:pt>
                <c:pt idx="1003">
                  <c:v>40044</c:v>
                </c:pt>
                <c:pt idx="1004">
                  <c:v>40045</c:v>
                </c:pt>
                <c:pt idx="1005">
                  <c:v>40046</c:v>
                </c:pt>
                <c:pt idx="1006">
                  <c:v>40049</c:v>
                </c:pt>
                <c:pt idx="1007">
                  <c:v>40050</c:v>
                </c:pt>
                <c:pt idx="1008">
                  <c:v>40051</c:v>
                </c:pt>
                <c:pt idx="1009">
                  <c:v>40052</c:v>
                </c:pt>
                <c:pt idx="1010">
                  <c:v>40053</c:v>
                </c:pt>
                <c:pt idx="1011">
                  <c:v>40056</c:v>
                </c:pt>
                <c:pt idx="1012">
                  <c:v>40057</c:v>
                </c:pt>
                <c:pt idx="1013">
                  <c:v>40058</c:v>
                </c:pt>
                <c:pt idx="1014">
                  <c:v>40059</c:v>
                </c:pt>
                <c:pt idx="1015">
                  <c:v>40060</c:v>
                </c:pt>
                <c:pt idx="1016">
                  <c:v>40063</c:v>
                </c:pt>
                <c:pt idx="1017">
                  <c:v>40064</c:v>
                </c:pt>
                <c:pt idx="1018">
                  <c:v>40065</c:v>
                </c:pt>
                <c:pt idx="1019">
                  <c:v>40066</c:v>
                </c:pt>
                <c:pt idx="1020">
                  <c:v>40067</c:v>
                </c:pt>
                <c:pt idx="1021">
                  <c:v>40070</c:v>
                </c:pt>
                <c:pt idx="1022">
                  <c:v>40071</c:v>
                </c:pt>
                <c:pt idx="1023">
                  <c:v>40072</c:v>
                </c:pt>
                <c:pt idx="1024">
                  <c:v>40073</c:v>
                </c:pt>
                <c:pt idx="1025">
                  <c:v>40074</c:v>
                </c:pt>
                <c:pt idx="1026">
                  <c:v>40077</c:v>
                </c:pt>
                <c:pt idx="1027">
                  <c:v>40078</c:v>
                </c:pt>
                <c:pt idx="1028">
                  <c:v>40079</c:v>
                </c:pt>
                <c:pt idx="1029">
                  <c:v>40080</c:v>
                </c:pt>
                <c:pt idx="1030">
                  <c:v>40081</c:v>
                </c:pt>
                <c:pt idx="1031">
                  <c:v>40084</c:v>
                </c:pt>
                <c:pt idx="1032">
                  <c:v>40085</c:v>
                </c:pt>
                <c:pt idx="1033">
                  <c:v>40086</c:v>
                </c:pt>
                <c:pt idx="1034">
                  <c:v>40095</c:v>
                </c:pt>
                <c:pt idx="1035">
                  <c:v>40098</c:v>
                </c:pt>
                <c:pt idx="1036">
                  <c:v>40099</c:v>
                </c:pt>
                <c:pt idx="1037">
                  <c:v>40100</c:v>
                </c:pt>
                <c:pt idx="1038">
                  <c:v>40101</c:v>
                </c:pt>
                <c:pt idx="1039">
                  <c:v>40102</c:v>
                </c:pt>
                <c:pt idx="1040">
                  <c:v>40105</c:v>
                </c:pt>
                <c:pt idx="1041">
                  <c:v>40106</c:v>
                </c:pt>
                <c:pt idx="1042">
                  <c:v>40107</c:v>
                </c:pt>
                <c:pt idx="1043">
                  <c:v>40108</c:v>
                </c:pt>
                <c:pt idx="1044">
                  <c:v>40109</c:v>
                </c:pt>
                <c:pt idx="1045">
                  <c:v>40112</c:v>
                </c:pt>
                <c:pt idx="1046">
                  <c:v>40113</c:v>
                </c:pt>
                <c:pt idx="1047">
                  <c:v>40114</c:v>
                </c:pt>
                <c:pt idx="1048">
                  <c:v>40115</c:v>
                </c:pt>
                <c:pt idx="1049">
                  <c:v>40116</c:v>
                </c:pt>
                <c:pt idx="1050">
                  <c:v>40119</c:v>
                </c:pt>
                <c:pt idx="1051">
                  <c:v>40120</c:v>
                </c:pt>
                <c:pt idx="1052">
                  <c:v>40121</c:v>
                </c:pt>
                <c:pt idx="1053">
                  <c:v>40122</c:v>
                </c:pt>
                <c:pt idx="1054">
                  <c:v>40123</c:v>
                </c:pt>
                <c:pt idx="1055">
                  <c:v>40126</c:v>
                </c:pt>
                <c:pt idx="1056">
                  <c:v>40127</c:v>
                </c:pt>
                <c:pt idx="1057">
                  <c:v>40128</c:v>
                </c:pt>
                <c:pt idx="1058">
                  <c:v>40129</c:v>
                </c:pt>
                <c:pt idx="1059">
                  <c:v>40130</c:v>
                </c:pt>
                <c:pt idx="1060">
                  <c:v>40133</c:v>
                </c:pt>
                <c:pt idx="1061">
                  <c:v>40134</c:v>
                </c:pt>
                <c:pt idx="1062">
                  <c:v>40135</c:v>
                </c:pt>
                <c:pt idx="1063">
                  <c:v>40136</c:v>
                </c:pt>
                <c:pt idx="1064">
                  <c:v>40137</c:v>
                </c:pt>
                <c:pt idx="1065">
                  <c:v>40140</c:v>
                </c:pt>
                <c:pt idx="1066">
                  <c:v>40141</c:v>
                </c:pt>
                <c:pt idx="1067">
                  <c:v>40142</c:v>
                </c:pt>
                <c:pt idx="1068">
                  <c:v>40143</c:v>
                </c:pt>
                <c:pt idx="1069">
                  <c:v>40144</c:v>
                </c:pt>
                <c:pt idx="1070">
                  <c:v>40147</c:v>
                </c:pt>
                <c:pt idx="1071">
                  <c:v>40148</c:v>
                </c:pt>
                <c:pt idx="1072">
                  <c:v>40149</c:v>
                </c:pt>
                <c:pt idx="1073">
                  <c:v>40150</c:v>
                </c:pt>
                <c:pt idx="1074">
                  <c:v>40151</c:v>
                </c:pt>
                <c:pt idx="1075">
                  <c:v>40154</c:v>
                </c:pt>
                <c:pt idx="1076">
                  <c:v>40155</c:v>
                </c:pt>
                <c:pt idx="1077">
                  <c:v>40156</c:v>
                </c:pt>
                <c:pt idx="1078">
                  <c:v>40157</c:v>
                </c:pt>
                <c:pt idx="1079">
                  <c:v>40158</c:v>
                </c:pt>
                <c:pt idx="1080">
                  <c:v>40161</c:v>
                </c:pt>
                <c:pt idx="1081">
                  <c:v>40162</c:v>
                </c:pt>
                <c:pt idx="1082">
                  <c:v>40163</c:v>
                </c:pt>
                <c:pt idx="1083">
                  <c:v>40164</c:v>
                </c:pt>
                <c:pt idx="1084">
                  <c:v>40165</c:v>
                </c:pt>
                <c:pt idx="1085">
                  <c:v>40168</c:v>
                </c:pt>
                <c:pt idx="1086">
                  <c:v>40169</c:v>
                </c:pt>
                <c:pt idx="1087">
                  <c:v>40170</c:v>
                </c:pt>
                <c:pt idx="1088">
                  <c:v>40171</c:v>
                </c:pt>
                <c:pt idx="1089">
                  <c:v>40172</c:v>
                </c:pt>
                <c:pt idx="1090">
                  <c:v>40175</c:v>
                </c:pt>
                <c:pt idx="1091">
                  <c:v>40176</c:v>
                </c:pt>
                <c:pt idx="1092">
                  <c:v>40177</c:v>
                </c:pt>
                <c:pt idx="1093">
                  <c:v>40178</c:v>
                </c:pt>
                <c:pt idx="1094">
                  <c:v>40182</c:v>
                </c:pt>
                <c:pt idx="1095">
                  <c:v>40183</c:v>
                </c:pt>
                <c:pt idx="1096">
                  <c:v>40184</c:v>
                </c:pt>
                <c:pt idx="1097">
                  <c:v>40185</c:v>
                </c:pt>
                <c:pt idx="1098">
                  <c:v>40186</c:v>
                </c:pt>
                <c:pt idx="1099">
                  <c:v>40189</c:v>
                </c:pt>
                <c:pt idx="1100">
                  <c:v>40190</c:v>
                </c:pt>
                <c:pt idx="1101">
                  <c:v>40191</c:v>
                </c:pt>
                <c:pt idx="1102">
                  <c:v>40192</c:v>
                </c:pt>
                <c:pt idx="1103">
                  <c:v>40193</c:v>
                </c:pt>
                <c:pt idx="1104">
                  <c:v>40196</c:v>
                </c:pt>
                <c:pt idx="1105">
                  <c:v>40197</c:v>
                </c:pt>
                <c:pt idx="1106">
                  <c:v>40198</c:v>
                </c:pt>
                <c:pt idx="1107">
                  <c:v>40199</c:v>
                </c:pt>
                <c:pt idx="1108">
                  <c:v>40200</c:v>
                </c:pt>
                <c:pt idx="1109">
                  <c:v>40203</c:v>
                </c:pt>
                <c:pt idx="1110">
                  <c:v>40204</c:v>
                </c:pt>
                <c:pt idx="1111">
                  <c:v>40205</c:v>
                </c:pt>
                <c:pt idx="1112">
                  <c:v>40206</c:v>
                </c:pt>
                <c:pt idx="1113">
                  <c:v>40207</c:v>
                </c:pt>
                <c:pt idx="1114">
                  <c:v>40210</c:v>
                </c:pt>
                <c:pt idx="1115">
                  <c:v>40211</c:v>
                </c:pt>
                <c:pt idx="1116">
                  <c:v>40212</c:v>
                </c:pt>
                <c:pt idx="1117">
                  <c:v>40213</c:v>
                </c:pt>
                <c:pt idx="1118">
                  <c:v>40214</c:v>
                </c:pt>
                <c:pt idx="1119">
                  <c:v>40217</c:v>
                </c:pt>
                <c:pt idx="1120">
                  <c:v>40218</c:v>
                </c:pt>
                <c:pt idx="1121">
                  <c:v>40219</c:v>
                </c:pt>
                <c:pt idx="1122">
                  <c:v>40220</c:v>
                </c:pt>
                <c:pt idx="1123">
                  <c:v>40221</c:v>
                </c:pt>
                <c:pt idx="1124">
                  <c:v>40231</c:v>
                </c:pt>
                <c:pt idx="1125">
                  <c:v>40232</c:v>
                </c:pt>
                <c:pt idx="1126">
                  <c:v>40233</c:v>
                </c:pt>
                <c:pt idx="1127">
                  <c:v>40234</c:v>
                </c:pt>
                <c:pt idx="1128">
                  <c:v>40235</c:v>
                </c:pt>
                <c:pt idx="1129">
                  <c:v>40238</c:v>
                </c:pt>
                <c:pt idx="1130">
                  <c:v>40239</c:v>
                </c:pt>
                <c:pt idx="1131">
                  <c:v>40240</c:v>
                </c:pt>
                <c:pt idx="1132">
                  <c:v>40241</c:v>
                </c:pt>
                <c:pt idx="1133">
                  <c:v>40242</c:v>
                </c:pt>
                <c:pt idx="1134">
                  <c:v>40245</c:v>
                </c:pt>
                <c:pt idx="1135">
                  <c:v>40246</c:v>
                </c:pt>
                <c:pt idx="1136">
                  <c:v>40247</c:v>
                </c:pt>
                <c:pt idx="1137">
                  <c:v>40248</c:v>
                </c:pt>
                <c:pt idx="1138">
                  <c:v>40249</c:v>
                </c:pt>
                <c:pt idx="1139">
                  <c:v>40252</c:v>
                </c:pt>
                <c:pt idx="1140">
                  <c:v>40253</c:v>
                </c:pt>
                <c:pt idx="1141">
                  <c:v>40254</c:v>
                </c:pt>
                <c:pt idx="1142">
                  <c:v>40255</c:v>
                </c:pt>
                <c:pt idx="1143">
                  <c:v>40256</c:v>
                </c:pt>
                <c:pt idx="1144">
                  <c:v>40259</c:v>
                </c:pt>
                <c:pt idx="1145">
                  <c:v>40260</c:v>
                </c:pt>
                <c:pt idx="1146">
                  <c:v>40261</c:v>
                </c:pt>
                <c:pt idx="1147">
                  <c:v>40262</c:v>
                </c:pt>
                <c:pt idx="1148">
                  <c:v>40263</c:v>
                </c:pt>
                <c:pt idx="1149">
                  <c:v>40266</c:v>
                </c:pt>
                <c:pt idx="1150">
                  <c:v>40267</c:v>
                </c:pt>
                <c:pt idx="1151">
                  <c:v>40268</c:v>
                </c:pt>
                <c:pt idx="1152">
                  <c:v>40269</c:v>
                </c:pt>
                <c:pt idx="1153">
                  <c:v>40270</c:v>
                </c:pt>
                <c:pt idx="1154">
                  <c:v>40274</c:v>
                </c:pt>
                <c:pt idx="1155">
                  <c:v>40275</c:v>
                </c:pt>
                <c:pt idx="1156">
                  <c:v>40276</c:v>
                </c:pt>
                <c:pt idx="1157">
                  <c:v>40277</c:v>
                </c:pt>
                <c:pt idx="1158">
                  <c:v>40280</c:v>
                </c:pt>
                <c:pt idx="1159">
                  <c:v>40281</c:v>
                </c:pt>
                <c:pt idx="1160">
                  <c:v>40282</c:v>
                </c:pt>
                <c:pt idx="1161">
                  <c:v>40283</c:v>
                </c:pt>
                <c:pt idx="1162">
                  <c:v>40284</c:v>
                </c:pt>
                <c:pt idx="1163">
                  <c:v>40287</c:v>
                </c:pt>
                <c:pt idx="1164">
                  <c:v>40288</c:v>
                </c:pt>
                <c:pt idx="1165">
                  <c:v>40289</c:v>
                </c:pt>
                <c:pt idx="1166">
                  <c:v>40290</c:v>
                </c:pt>
                <c:pt idx="1167">
                  <c:v>40291</c:v>
                </c:pt>
                <c:pt idx="1168">
                  <c:v>40294</c:v>
                </c:pt>
                <c:pt idx="1169">
                  <c:v>40295</c:v>
                </c:pt>
                <c:pt idx="1170">
                  <c:v>40296</c:v>
                </c:pt>
                <c:pt idx="1171">
                  <c:v>40297</c:v>
                </c:pt>
                <c:pt idx="1172">
                  <c:v>40298</c:v>
                </c:pt>
                <c:pt idx="1173">
                  <c:v>40302</c:v>
                </c:pt>
                <c:pt idx="1174">
                  <c:v>40303</c:v>
                </c:pt>
                <c:pt idx="1175">
                  <c:v>40304</c:v>
                </c:pt>
                <c:pt idx="1176">
                  <c:v>40305</c:v>
                </c:pt>
                <c:pt idx="1177">
                  <c:v>40308</c:v>
                </c:pt>
                <c:pt idx="1178">
                  <c:v>40309</c:v>
                </c:pt>
                <c:pt idx="1179">
                  <c:v>40310</c:v>
                </c:pt>
                <c:pt idx="1180">
                  <c:v>40311</c:v>
                </c:pt>
                <c:pt idx="1181">
                  <c:v>40312</c:v>
                </c:pt>
                <c:pt idx="1182">
                  <c:v>40315</c:v>
                </c:pt>
                <c:pt idx="1183">
                  <c:v>40316</c:v>
                </c:pt>
                <c:pt idx="1184">
                  <c:v>40317</c:v>
                </c:pt>
                <c:pt idx="1185">
                  <c:v>40318</c:v>
                </c:pt>
                <c:pt idx="1186">
                  <c:v>40319</c:v>
                </c:pt>
                <c:pt idx="1187">
                  <c:v>40322</c:v>
                </c:pt>
                <c:pt idx="1188">
                  <c:v>40323</c:v>
                </c:pt>
                <c:pt idx="1189">
                  <c:v>40324</c:v>
                </c:pt>
                <c:pt idx="1190">
                  <c:v>40325</c:v>
                </c:pt>
                <c:pt idx="1191">
                  <c:v>40326</c:v>
                </c:pt>
                <c:pt idx="1192">
                  <c:v>40329</c:v>
                </c:pt>
                <c:pt idx="1193">
                  <c:v>40330</c:v>
                </c:pt>
                <c:pt idx="1194">
                  <c:v>40331</c:v>
                </c:pt>
                <c:pt idx="1195">
                  <c:v>40332</c:v>
                </c:pt>
                <c:pt idx="1196">
                  <c:v>40333</c:v>
                </c:pt>
                <c:pt idx="1197">
                  <c:v>40336</c:v>
                </c:pt>
                <c:pt idx="1198">
                  <c:v>40337</c:v>
                </c:pt>
                <c:pt idx="1199">
                  <c:v>40338</c:v>
                </c:pt>
                <c:pt idx="1200">
                  <c:v>40339</c:v>
                </c:pt>
                <c:pt idx="1201">
                  <c:v>40340</c:v>
                </c:pt>
                <c:pt idx="1202">
                  <c:v>40346</c:v>
                </c:pt>
                <c:pt idx="1203">
                  <c:v>40347</c:v>
                </c:pt>
                <c:pt idx="1204">
                  <c:v>40350</c:v>
                </c:pt>
                <c:pt idx="1205">
                  <c:v>40351</c:v>
                </c:pt>
                <c:pt idx="1206">
                  <c:v>40352</c:v>
                </c:pt>
                <c:pt idx="1207">
                  <c:v>40353</c:v>
                </c:pt>
                <c:pt idx="1208">
                  <c:v>40354</c:v>
                </c:pt>
                <c:pt idx="1209">
                  <c:v>40357</c:v>
                </c:pt>
                <c:pt idx="1210">
                  <c:v>40358</c:v>
                </c:pt>
                <c:pt idx="1211">
                  <c:v>40359</c:v>
                </c:pt>
                <c:pt idx="1212">
                  <c:v>40360</c:v>
                </c:pt>
                <c:pt idx="1213">
                  <c:v>40361</c:v>
                </c:pt>
                <c:pt idx="1214">
                  <c:v>40364</c:v>
                </c:pt>
                <c:pt idx="1215">
                  <c:v>40365</c:v>
                </c:pt>
                <c:pt idx="1216">
                  <c:v>40366</c:v>
                </c:pt>
                <c:pt idx="1217">
                  <c:v>40367</c:v>
                </c:pt>
                <c:pt idx="1218">
                  <c:v>40368</c:v>
                </c:pt>
                <c:pt idx="1219">
                  <c:v>40371</c:v>
                </c:pt>
                <c:pt idx="1220">
                  <c:v>40372</c:v>
                </c:pt>
                <c:pt idx="1221">
                  <c:v>40373</c:v>
                </c:pt>
                <c:pt idx="1222">
                  <c:v>40374</c:v>
                </c:pt>
                <c:pt idx="1223">
                  <c:v>40375</c:v>
                </c:pt>
                <c:pt idx="1224">
                  <c:v>40378</c:v>
                </c:pt>
                <c:pt idx="1225">
                  <c:v>40379</c:v>
                </c:pt>
                <c:pt idx="1226">
                  <c:v>40380</c:v>
                </c:pt>
                <c:pt idx="1227">
                  <c:v>40381</c:v>
                </c:pt>
                <c:pt idx="1228">
                  <c:v>40382</c:v>
                </c:pt>
                <c:pt idx="1229">
                  <c:v>40385</c:v>
                </c:pt>
                <c:pt idx="1230">
                  <c:v>40386</c:v>
                </c:pt>
                <c:pt idx="1231">
                  <c:v>40387</c:v>
                </c:pt>
                <c:pt idx="1232">
                  <c:v>40388</c:v>
                </c:pt>
                <c:pt idx="1233">
                  <c:v>40389</c:v>
                </c:pt>
                <c:pt idx="1234">
                  <c:v>40392</c:v>
                </c:pt>
                <c:pt idx="1235">
                  <c:v>40393</c:v>
                </c:pt>
                <c:pt idx="1236">
                  <c:v>40394</c:v>
                </c:pt>
                <c:pt idx="1237">
                  <c:v>40395</c:v>
                </c:pt>
                <c:pt idx="1238">
                  <c:v>40396</c:v>
                </c:pt>
                <c:pt idx="1239">
                  <c:v>40399</c:v>
                </c:pt>
                <c:pt idx="1240">
                  <c:v>40400</c:v>
                </c:pt>
                <c:pt idx="1241">
                  <c:v>40401</c:v>
                </c:pt>
                <c:pt idx="1242">
                  <c:v>40402</c:v>
                </c:pt>
                <c:pt idx="1243">
                  <c:v>40403</c:v>
                </c:pt>
                <c:pt idx="1244">
                  <c:v>40406</c:v>
                </c:pt>
                <c:pt idx="1245">
                  <c:v>40407</c:v>
                </c:pt>
                <c:pt idx="1246">
                  <c:v>40408</c:v>
                </c:pt>
                <c:pt idx="1247">
                  <c:v>40409</c:v>
                </c:pt>
                <c:pt idx="1248">
                  <c:v>40410</c:v>
                </c:pt>
                <c:pt idx="1249">
                  <c:v>40413</c:v>
                </c:pt>
                <c:pt idx="1250">
                  <c:v>40414</c:v>
                </c:pt>
                <c:pt idx="1251">
                  <c:v>40415</c:v>
                </c:pt>
                <c:pt idx="1252">
                  <c:v>40416</c:v>
                </c:pt>
                <c:pt idx="1253">
                  <c:v>40417</c:v>
                </c:pt>
                <c:pt idx="1254">
                  <c:v>40420</c:v>
                </c:pt>
                <c:pt idx="1255">
                  <c:v>40421</c:v>
                </c:pt>
                <c:pt idx="1256">
                  <c:v>40422</c:v>
                </c:pt>
                <c:pt idx="1257">
                  <c:v>40423</c:v>
                </c:pt>
                <c:pt idx="1258">
                  <c:v>40424</c:v>
                </c:pt>
                <c:pt idx="1259">
                  <c:v>40427</c:v>
                </c:pt>
                <c:pt idx="1260">
                  <c:v>40428</c:v>
                </c:pt>
                <c:pt idx="1261">
                  <c:v>40429</c:v>
                </c:pt>
                <c:pt idx="1262">
                  <c:v>40430</c:v>
                </c:pt>
                <c:pt idx="1263">
                  <c:v>40431</c:v>
                </c:pt>
                <c:pt idx="1264">
                  <c:v>40434</c:v>
                </c:pt>
                <c:pt idx="1265">
                  <c:v>40435</c:v>
                </c:pt>
                <c:pt idx="1266">
                  <c:v>40436</c:v>
                </c:pt>
                <c:pt idx="1267">
                  <c:v>40437</c:v>
                </c:pt>
                <c:pt idx="1268">
                  <c:v>40438</c:v>
                </c:pt>
                <c:pt idx="1269">
                  <c:v>40441</c:v>
                </c:pt>
                <c:pt idx="1270">
                  <c:v>40442</c:v>
                </c:pt>
                <c:pt idx="1271">
                  <c:v>40448</c:v>
                </c:pt>
                <c:pt idx="1272">
                  <c:v>40449</c:v>
                </c:pt>
                <c:pt idx="1273">
                  <c:v>40450</c:v>
                </c:pt>
                <c:pt idx="1274">
                  <c:v>40451</c:v>
                </c:pt>
                <c:pt idx="1275">
                  <c:v>40459</c:v>
                </c:pt>
                <c:pt idx="1276">
                  <c:v>40462</c:v>
                </c:pt>
                <c:pt idx="1277">
                  <c:v>40463</c:v>
                </c:pt>
                <c:pt idx="1278">
                  <c:v>40464</c:v>
                </c:pt>
                <c:pt idx="1279">
                  <c:v>40465</c:v>
                </c:pt>
                <c:pt idx="1280">
                  <c:v>40466</c:v>
                </c:pt>
                <c:pt idx="1281">
                  <c:v>40469</c:v>
                </c:pt>
                <c:pt idx="1282">
                  <c:v>40470</c:v>
                </c:pt>
                <c:pt idx="1283">
                  <c:v>40471</c:v>
                </c:pt>
                <c:pt idx="1284">
                  <c:v>40472</c:v>
                </c:pt>
                <c:pt idx="1285">
                  <c:v>40473</c:v>
                </c:pt>
                <c:pt idx="1286">
                  <c:v>40476</c:v>
                </c:pt>
                <c:pt idx="1287">
                  <c:v>40477</c:v>
                </c:pt>
                <c:pt idx="1288">
                  <c:v>40478</c:v>
                </c:pt>
                <c:pt idx="1289">
                  <c:v>40479</c:v>
                </c:pt>
                <c:pt idx="1290">
                  <c:v>40480</c:v>
                </c:pt>
                <c:pt idx="1291">
                  <c:v>40483</c:v>
                </c:pt>
                <c:pt idx="1292">
                  <c:v>40484</c:v>
                </c:pt>
                <c:pt idx="1293">
                  <c:v>40485</c:v>
                </c:pt>
                <c:pt idx="1294">
                  <c:v>40486</c:v>
                </c:pt>
                <c:pt idx="1295">
                  <c:v>40487</c:v>
                </c:pt>
                <c:pt idx="1296">
                  <c:v>40490</c:v>
                </c:pt>
                <c:pt idx="1297">
                  <c:v>40491</c:v>
                </c:pt>
                <c:pt idx="1298">
                  <c:v>40492</c:v>
                </c:pt>
                <c:pt idx="1299">
                  <c:v>40493</c:v>
                </c:pt>
                <c:pt idx="1300">
                  <c:v>40494</c:v>
                </c:pt>
                <c:pt idx="1301">
                  <c:v>40497</c:v>
                </c:pt>
                <c:pt idx="1302">
                  <c:v>40498</c:v>
                </c:pt>
                <c:pt idx="1303">
                  <c:v>40499</c:v>
                </c:pt>
                <c:pt idx="1304">
                  <c:v>40500</c:v>
                </c:pt>
                <c:pt idx="1305">
                  <c:v>40501</c:v>
                </c:pt>
                <c:pt idx="1306">
                  <c:v>40504</c:v>
                </c:pt>
                <c:pt idx="1307">
                  <c:v>40505</c:v>
                </c:pt>
                <c:pt idx="1308">
                  <c:v>40506</c:v>
                </c:pt>
                <c:pt idx="1309">
                  <c:v>40507</c:v>
                </c:pt>
                <c:pt idx="1310">
                  <c:v>40508</c:v>
                </c:pt>
                <c:pt idx="1311">
                  <c:v>40511</c:v>
                </c:pt>
                <c:pt idx="1312">
                  <c:v>40512</c:v>
                </c:pt>
                <c:pt idx="1313">
                  <c:v>40513</c:v>
                </c:pt>
                <c:pt idx="1314">
                  <c:v>40514</c:v>
                </c:pt>
                <c:pt idx="1315">
                  <c:v>40515</c:v>
                </c:pt>
                <c:pt idx="1316">
                  <c:v>40518</c:v>
                </c:pt>
                <c:pt idx="1317">
                  <c:v>40519</c:v>
                </c:pt>
                <c:pt idx="1318">
                  <c:v>40520</c:v>
                </c:pt>
                <c:pt idx="1319">
                  <c:v>40521</c:v>
                </c:pt>
                <c:pt idx="1320">
                  <c:v>40522</c:v>
                </c:pt>
                <c:pt idx="1321">
                  <c:v>40525</c:v>
                </c:pt>
                <c:pt idx="1322">
                  <c:v>40526</c:v>
                </c:pt>
                <c:pt idx="1323">
                  <c:v>40527</c:v>
                </c:pt>
                <c:pt idx="1324">
                  <c:v>40528</c:v>
                </c:pt>
                <c:pt idx="1325">
                  <c:v>40529</c:v>
                </c:pt>
                <c:pt idx="1326">
                  <c:v>40532</c:v>
                </c:pt>
                <c:pt idx="1327">
                  <c:v>40533</c:v>
                </c:pt>
                <c:pt idx="1328">
                  <c:v>40534</c:v>
                </c:pt>
                <c:pt idx="1329">
                  <c:v>40535</c:v>
                </c:pt>
                <c:pt idx="1330">
                  <c:v>40536</c:v>
                </c:pt>
                <c:pt idx="1331">
                  <c:v>40539</c:v>
                </c:pt>
                <c:pt idx="1332">
                  <c:v>40540</c:v>
                </c:pt>
                <c:pt idx="1333">
                  <c:v>40541</c:v>
                </c:pt>
                <c:pt idx="1334">
                  <c:v>40542</c:v>
                </c:pt>
                <c:pt idx="1335">
                  <c:v>40543</c:v>
                </c:pt>
                <c:pt idx="1336">
                  <c:v>40547</c:v>
                </c:pt>
                <c:pt idx="1337">
                  <c:v>40548</c:v>
                </c:pt>
                <c:pt idx="1338">
                  <c:v>40549</c:v>
                </c:pt>
                <c:pt idx="1339">
                  <c:v>40550</c:v>
                </c:pt>
                <c:pt idx="1340">
                  <c:v>40553</c:v>
                </c:pt>
                <c:pt idx="1341">
                  <c:v>40554</c:v>
                </c:pt>
                <c:pt idx="1342">
                  <c:v>40555</c:v>
                </c:pt>
                <c:pt idx="1343">
                  <c:v>40556</c:v>
                </c:pt>
                <c:pt idx="1344">
                  <c:v>40557</c:v>
                </c:pt>
                <c:pt idx="1345">
                  <c:v>40560</c:v>
                </c:pt>
                <c:pt idx="1346">
                  <c:v>40561</c:v>
                </c:pt>
                <c:pt idx="1347">
                  <c:v>40562</c:v>
                </c:pt>
                <c:pt idx="1348">
                  <c:v>40563</c:v>
                </c:pt>
                <c:pt idx="1349">
                  <c:v>40564</c:v>
                </c:pt>
                <c:pt idx="1350">
                  <c:v>40567</c:v>
                </c:pt>
                <c:pt idx="1351">
                  <c:v>40568</c:v>
                </c:pt>
                <c:pt idx="1352">
                  <c:v>40569</c:v>
                </c:pt>
                <c:pt idx="1353">
                  <c:v>40570</c:v>
                </c:pt>
                <c:pt idx="1354">
                  <c:v>40571</c:v>
                </c:pt>
                <c:pt idx="1355">
                  <c:v>40574</c:v>
                </c:pt>
                <c:pt idx="1356">
                  <c:v>40575</c:v>
                </c:pt>
                <c:pt idx="1357">
                  <c:v>40583</c:v>
                </c:pt>
                <c:pt idx="1358">
                  <c:v>40584</c:v>
                </c:pt>
                <c:pt idx="1359">
                  <c:v>40585</c:v>
                </c:pt>
                <c:pt idx="1360">
                  <c:v>40588</c:v>
                </c:pt>
                <c:pt idx="1361">
                  <c:v>40589</c:v>
                </c:pt>
                <c:pt idx="1362">
                  <c:v>40590</c:v>
                </c:pt>
                <c:pt idx="1363">
                  <c:v>40591</c:v>
                </c:pt>
                <c:pt idx="1364">
                  <c:v>40592</c:v>
                </c:pt>
                <c:pt idx="1365">
                  <c:v>40595</c:v>
                </c:pt>
                <c:pt idx="1366">
                  <c:v>40596</c:v>
                </c:pt>
                <c:pt idx="1367">
                  <c:v>40597</c:v>
                </c:pt>
                <c:pt idx="1368">
                  <c:v>40598</c:v>
                </c:pt>
                <c:pt idx="1369">
                  <c:v>40599</c:v>
                </c:pt>
                <c:pt idx="1370">
                  <c:v>40602</c:v>
                </c:pt>
                <c:pt idx="1371">
                  <c:v>40603</c:v>
                </c:pt>
                <c:pt idx="1372">
                  <c:v>40604</c:v>
                </c:pt>
                <c:pt idx="1373">
                  <c:v>40605</c:v>
                </c:pt>
                <c:pt idx="1374">
                  <c:v>40606</c:v>
                </c:pt>
                <c:pt idx="1375">
                  <c:v>40609</c:v>
                </c:pt>
                <c:pt idx="1376">
                  <c:v>40610</c:v>
                </c:pt>
                <c:pt idx="1377">
                  <c:v>40611</c:v>
                </c:pt>
                <c:pt idx="1378">
                  <c:v>40612</c:v>
                </c:pt>
                <c:pt idx="1379">
                  <c:v>40613</c:v>
                </c:pt>
                <c:pt idx="1380">
                  <c:v>40616</c:v>
                </c:pt>
                <c:pt idx="1381">
                  <c:v>40617</c:v>
                </c:pt>
                <c:pt idx="1382">
                  <c:v>40618</c:v>
                </c:pt>
                <c:pt idx="1383">
                  <c:v>40619</c:v>
                </c:pt>
                <c:pt idx="1384">
                  <c:v>40620</c:v>
                </c:pt>
                <c:pt idx="1385">
                  <c:v>40623</c:v>
                </c:pt>
                <c:pt idx="1386">
                  <c:v>40624</c:v>
                </c:pt>
                <c:pt idx="1387">
                  <c:v>40625</c:v>
                </c:pt>
                <c:pt idx="1388">
                  <c:v>40626</c:v>
                </c:pt>
                <c:pt idx="1389">
                  <c:v>40627</c:v>
                </c:pt>
                <c:pt idx="1390">
                  <c:v>40630</c:v>
                </c:pt>
                <c:pt idx="1391">
                  <c:v>40631</c:v>
                </c:pt>
                <c:pt idx="1392">
                  <c:v>40632</c:v>
                </c:pt>
                <c:pt idx="1393">
                  <c:v>40633</c:v>
                </c:pt>
                <c:pt idx="1394">
                  <c:v>40634</c:v>
                </c:pt>
                <c:pt idx="1395">
                  <c:v>40639</c:v>
                </c:pt>
                <c:pt idx="1396">
                  <c:v>40640</c:v>
                </c:pt>
                <c:pt idx="1397">
                  <c:v>40641</c:v>
                </c:pt>
                <c:pt idx="1398">
                  <c:v>40644</c:v>
                </c:pt>
                <c:pt idx="1399">
                  <c:v>40645</c:v>
                </c:pt>
                <c:pt idx="1400">
                  <c:v>40646</c:v>
                </c:pt>
                <c:pt idx="1401">
                  <c:v>40647</c:v>
                </c:pt>
                <c:pt idx="1402">
                  <c:v>40648</c:v>
                </c:pt>
                <c:pt idx="1403">
                  <c:v>40651</c:v>
                </c:pt>
                <c:pt idx="1404">
                  <c:v>40652</c:v>
                </c:pt>
                <c:pt idx="1405">
                  <c:v>40653</c:v>
                </c:pt>
                <c:pt idx="1406">
                  <c:v>40654</c:v>
                </c:pt>
                <c:pt idx="1407">
                  <c:v>40655</c:v>
                </c:pt>
                <c:pt idx="1408">
                  <c:v>40658</c:v>
                </c:pt>
                <c:pt idx="1409">
                  <c:v>40659</c:v>
                </c:pt>
                <c:pt idx="1410">
                  <c:v>40660</c:v>
                </c:pt>
                <c:pt idx="1411">
                  <c:v>40661</c:v>
                </c:pt>
                <c:pt idx="1412">
                  <c:v>40662</c:v>
                </c:pt>
                <c:pt idx="1413">
                  <c:v>40666</c:v>
                </c:pt>
                <c:pt idx="1414">
                  <c:v>40667</c:v>
                </c:pt>
                <c:pt idx="1415">
                  <c:v>40668</c:v>
                </c:pt>
                <c:pt idx="1416">
                  <c:v>40669</c:v>
                </c:pt>
                <c:pt idx="1417">
                  <c:v>40672</c:v>
                </c:pt>
                <c:pt idx="1418">
                  <c:v>40673</c:v>
                </c:pt>
                <c:pt idx="1419">
                  <c:v>40674</c:v>
                </c:pt>
                <c:pt idx="1420">
                  <c:v>40675</c:v>
                </c:pt>
                <c:pt idx="1421">
                  <c:v>40676</c:v>
                </c:pt>
                <c:pt idx="1422">
                  <c:v>40679</c:v>
                </c:pt>
                <c:pt idx="1423">
                  <c:v>40680</c:v>
                </c:pt>
                <c:pt idx="1424">
                  <c:v>40681</c:v>
                </c:pt>
                <c:pt idx="1425">
                  <c:v>40682</c:v>
                </c:pt>
                <c:pt idx="1426">
                  <c:v>40683</c:v>
                </c:pt>
                <c:pt idx="1427">
                  <c:v>40686</c:v>
                </c:pt>
                <c:pt idx="1428">
                  <c:v>40687</c:v>
                </c:pt>
                <c:pt idx="1429">
                  <c:v>40688</c:v>
                </c:pt>
                <c:pt idx="1430">
                  <c:v>40689</c:v>
                </c:pt>
                <c:pt idx="1431">
                  <c:v>40690</c:v>
                </c:pt>
                <c:pt idx="1432">
                  <c:v>40693</c:v>
                </c:pt>
                <c:pt idx="1433">
                  <c:v>40694</c:v>
                </c:pt>
                <c:pt idx="1434">
                  <c:v>40695</c:v>
                </c:pt>
                <c:pt idx="1435">
                  <c:v>40696</c:v>
                </c:pt>
                <c:pt idx="1436">
                  <c:v>40697</c:v>
                </c:pt>
                <c:pt idx="1437">
                  <c:v>40701</c:v>
                </c:pt>
                <c:pt idx="1438">
                  <c:v>40702</c:v>
                </c:pt>
                <c:pt idx="1439">
                  <c:v>40703</c:v>
                </c:pt>
                <c:pt idx="1440">
                  <c:v>40704</c:v>
                </c:pt>
                <c:pt idx="1441">
                  <c:v>40707</c:v>
                </c:pt>
                <c:pt idx="1442">
                  <c:v>40708</c:v>
                </c:pt>
                <c:pt idx="1443">
                  <c:v>40709</c:v>
                </c:pt>
                <c:pt idx="1444">
                  <c:v>40710</c:v>
                </c:pt>
                <c:pt idx="1445">
                  <c:v>40711</c:v>
                </c:pt>
                <c:pt idx="1446">
                  <c:v>40714</c:v>
                </c:pt>
                <c:pt idx="1447">
                  <c:v>40715</c:v>
                </c:pt>
                <c:pt idx="1448">
                  <c:v>40716</c:v>
                </c:pt>
                <c:pt idx="1449">
                  <c:v>40717</c:v>
                </c:pt>
                <c:pt idx="1450">
                  <c:v>40718</c:v>
                </c:pt>
                <c:pt idx="1451">
                  <c:v>40721</c:v>
                </c:pt>
                <c:pt idx="1452">
                  <c:v>40722</c:v>
                </c:pt>
                <c:pt idx="1453">
                  <c:v>40723</c:v>
                </c:pt>
                <c:pt idx="1454">
                  <c:v>40724</c:v>
                </c:pt>
                <c:pt idx="1455">
                  <c:v>40725</c:v>
                </c:pt>
                <c:pt idx="1456">
                  <c:v>40728</c:v>
                </c:pt>
                <c:pt idx="1457">
                  <c:v>40729</c:v>
                </c:pt>
                <c:pt idx="1458">
                  <c:v>40730</c:v>
                </c:pt>
                <c:pt idx="1459">
                  <c:v>40731</c:v>
                </c:pt>
                <c:pt idx="1460">
                  <c:v>40732</c:v>
                </c:pt>
                <c:pt idx="1461">
                  <c:v>40735</c:v>
                </c:pt>
                <c:pt idx="1462">
                  <c:v>40736</c:v>
                </c:pt>
                <c:pt idx="1463">
                  <c:v>40737</c:v>
                </c:pt>
                <c:pt idx="1464">
                  <c:v>40738</c:v>
                </c:pt>
                <c:pt idx="1465">
                  <c:v>40739</c:v>
                </c:pt>
                <c:pt idx="1466">
                  <c:v>40742</c:v>
                </c:pt>
                <c:pt idx="1467">
                  <c:v>40743</c:v>
                </c:pt>
                <c:pt idx="1468">
                  <c:v>40744</c:v>
                </c:pt>
                <c:pt idx="1469">
                  <c:v>40745</c:v>
                </c:pt>
                <c:pt idx="1470">
                  <c:v>40746</c:v>
                </c:pt>
                <c:pt idx="1471">
                  <c:v>40749</c:v>
                </c:pt>
                <c:pt idx="1472">
                  <c:v>40750</c:v>
                </c:pt>
                <c:pt idx="1473">
                  <c:v>40751</c:v>
                </c:pt>
                <c:pt idx="1474">
                  <c:v>40752</c:v>
                </c:pt>
                <c:pt idx="1475">
                  <c:v>40753</c:v>
                </c:pt>
                <c:pt idx="1476">
                  <c:v>40756</c:v>
                </c:pt>
                <c:pt idx="1477">
                  <c:v>40757</c:v>
                </c:pt>
                <c:pt idx="1478">
                  <c:v>40758</c:v>
                </c:pt>
                <c:pt idx="1479">
                  <c:v>40759</c:v>
                </c:pt>
                <c:pt idx="1480">
                  <c:v>40760</c:v>
                </c:pt>
                <c:pt idx="1481">
                  <c:v>40763</c:v>
                </c:pt>
                <c:pt idx="1482">
                  <c:v>40764</c:v>
                </c:pt>
                <c:pt idx="1483">
                  <c:v>40765</c:v>
                </c:pt>
                <c:pt idx="1484">
                  <c:v>40766</c:v>
                </c:pt>
                <c:pt idx="1485">
                  <c:v>40767</c:v>
                </c:pt>
                <c:pt idx="1486">
                  <c:v>40770</c:v>
                </c:pt>
                <c:pt idx="1487">
                  <c:v>40771</c:v>
                </c:pt>
                <c:pt idx="1488">
                  <c:v>40772</c:v>
                </c:pt>
                <c:pt idx="1489">
                  <c:v>40773</c:v>
                </c:pt>
                <c:pt idx="1490">
                  <c:v>40774</c:v>
                </c:pt>
                <c:pt idx="1491">
                  <c:v>40777</c:v>
                </c:pt>
                <c:pt idx="1492">
                  <c:v>40778</c:v>
                </c:pt>
                <c:pt idx="1493">
                  <c:v>40779</c:v>
                </c:pt>
                <c:pt idx="1494">
                  <c:v>40780</c:v>
                </c:pt>
                <c:pt idx="1495">
                  <c:v>40781</c:v>
                </c:pt>
                <c:pt idx="1496">
                  <c:v>40784</c:v>
                </c:pt>
                <c:pt idx="1497">
                  <c:v>40785</c:v>
                </c:pt>
                <c:pt idx="1498">
                  <c:v>40786</c:v>
                </c:pt>
                <c:pt idx="1499">
                  <c:v>40787</c:v>
                </c:pt>
                <c:pt idx="1500">
                  <c:v>40788</c:v>
                </c:pt>
                <c:pt idx="1501">
                  <c:v>40791</c:v>
                </c:pt>
                <c:pt idx="1502">
                  <c:v>40792</c:v>
                </c:pt>
                <c:pt idx="1503">
                  <c:v>40793</c:v>
                </c:pt>
                <c:pt idx="1504">
                  <c:v>40794</c:v>
                </c:pt>
                <c:pt idx="1505">
                  <c:v>40795</c:v>
                </c:pt>
                <c:pt idx="1506">
                  <c:v>40799</c:v>
                </c:pt>
                <c:pt idx="1507">
                  <c:v>40800</c:v>
                </c:pt>
                <c:pt idx="1508">
                  <c:v>40801</c:v>
                </c:pt>
                <c:pt idx="1509">
                  <c:v>40802</c:v>
                </c:pt>
                <c:pt idx="1510">
                  <c:v>40805</c:v>
                </c:pt>
                <c:pt idx="1511">
                  <c:v>40806</c:v>
                </c:pt>
                <c:pt idx="1512">
                  <c:v>40807</c:v>
                </c:pt>
                <c:pt idx="1513">
                  <c:v>40808</c:v>
                </c:pt>
                <c:pt idx="1514">
                  <c:v>40809</c:v>
                </c:pt>
                <c:pt idx="1515">
                  <c:v>40812</c:v>
                </c:pt>
                <c:pt idx="1516">
                  <c:v>40813</c:v>
                </c:pt>
                <c:pt idx="1517">
                  <c:v>40814</c:v>
                </c:pt>
                <c:pt idx="1518">
                  <c:v>40815</c:v>
                </c:pt>
                <c:pt idx="1519">
                  <c:v>40816</c:v>
                </c:pt>
                <c:pt idx="1520">
                  <c:v>40826</c:v>
                </c:pt>
                <c:pt idx="1521">
                  <c:v>40827</c:v>
                </c:pt>
                <c:pt idx="1522">
                  <c:v>40828</c:v>
                </c:pt>
                <c:pt idx="1523">
                  <c:v>40829</c:v>
                </c:pt>
                <c:pt idx="1524">
                  <c:v>40830</c:v>
                </c:pt>
                <c:pt idx="1525">
                  <c:v>40833</c:v>
                </c:pt>
                <c:pt idx="1526">
                  <c:v>40834</c:v>
                </c:pt>
                <c:pt idx="1527">
                  <c:v>40835</c:v>
                </c:pt>
                <c:pt idx="1528">
                  <c:v>40836</c:v>
                </c:pt>
                <c:pt idx="1529">
                  <c:v>40837</c:v>
                </c:pt>
                <c:pt idx="1530">
                  <c:v>40840</c:v>
                </c:pt>
                <c:pt idx="1531">
                  <c:v>40841</c:v>
                </c:pt>
                <c:pt idx="1532">
                  <c:v>40842</c:v>
                </c:pt>
                <c:pt idx="1533">
                  <c:v>40843</c:v>
                </c:pt>
                <c:pt idx="1534">
                  <c:v>40844</c:v>
                </c:pt>
                <c:pt idx="1535">
                  <c:v>40847</c:v>
                </c:pt>
                <c:pt idx="1536">
                  <c:v>40848</c:v>
                </c:pt>
                <c:pt idx="1537">
                  <c:v>40849</c:v>
                </c:pt>
                <c:pt idx="1538">
                  <c:v>40850</c:v>
                </c:pt>
                <c:pt idx="1539">
                  <c:v>40851</c:v>
                </c:pt>
                <c:pt idx="1540">
                  <c:v>40854</c:v>
                </c:pt>
                <c:pt idx="1541">
                  <c:v>40855</c:v>
                </c:pt>
                <c:pt idx="1542">
                  <c:v>40856</c:v>
                </c:pt>
                <c:pt idx="1543">
                  <c:v>40857</c:v>
                </c:pt>
                <c:pt idx="1544">
                  <c:v>40858</c:v>
                </c:pt>
                <c:pt idx="1545">
                  <c:v>40861</c:v>
                </c:pt>
                <c:pt idx="1546">
                  <c:v>40862</c:v>
                </c:pt>
                <c:pt idx="1547">
                  <c:v>40863</c:v>
                </c:pt>
                <c:pt idx="1548">
                  <c:v>40864</c:v>
                </c:pt>
                <c:pt idx="1549">
                  <c:v>40865</c:v>
                </c:pt>
                <c:pt idx="1550">
                  <c:v>40868</c:v>
                </c:pt>
                <c:pt idx="1551">
                  <c:v>40869</c:v>
                </c:pt>
                <c:pt idx="1552">
                  <c:v>40870</c:v>
                </c:pt>
                <c:pt idx="1553">
                  <c:v>40871</c:v>
                </c:pt>
                <c:pt idx="1554">
                  <c:v>40872</c:v>
                </c:pt>
                <c:pt idx="1555">
                  <c:v>40875</c:v>
                </c:pt>
                <c:pt idx="1556">
                  <c:v>40876</c:v>
                </c:pt>
                <c:pt idx="1557">
                  <c:v>40877</c:v>
                </c:pt>
                <c:pt idx="1558">
                  <c:v>40878</c:v>
                </c:pt>
                <c:pt idx="1559">
                  <c:v>40879</c:v>
                </c:pt>
                <c:pt idx="1560">
                  <c:v>40882</c:v>
                </c:pt>
                <c:pt idx="1561">
                  <c:v>40883</c:v>
                </c:pt>
                <c:pt idx="1562">
                  <c:v>40884</c:v>
                </c:pt>
                <c:pt idx="1563">
                  <c:v>40885</c:v>
                </c:pt>
                <c:pt idx="1564">
                  <c:v>40886</c:v>
                </c:pt>
                <c:pt idx="1565">
                  <c:v>40889</c:v>
                </c:pt>
                <c:pt idx="1566">
                  <c:v>40890</c:v>
                </c:pt>
                <c:pt idx="1567">
                  <c:v>40891</c:v>
                </c:pt>
                <c:pt idx="1568">
                  <c:v>40892</c:v>
                </c:pt>
                <c:pt idx="1569">
                  <c:v>40893</c:v>
                </c:pt>
                <c:pt idx="1570">
                  <c:v>40896</c:v>
                </c:pt>
                <c:pt idx="1571">
                  <c:v>40897</c:v>
                </c:pt>
                <c:pt idx="1572">
                  <c:v>40898</c:v>
                </c:pt>
                <c:pt idx="1573">
                  <c:v>40899</c:v>
                </c:pt>
                <c:pt idx="1574">
                  <c:v>40900</c:v>
                </c:pt>
                <c:pt idx="1575">
                  <c:v>40903</c:v>
                </c:pt>
                <c:pt idx="1576">
                  <c:v>40904</c:v>
                </c:pt>
                <c:pt idx="1577">
                  <c:v>40905</c:v>
                </c:pt>
                <c:pt idx="1578">
                  <c:v>40906</c:v>
                </c:pt>
                <c:pt idx="1579">
                  <c:v>40907</c:v>
                </c:pt>
                <c:pt idx="1580">
                  <c:v>40912</c:v>
                </c:pt>
                <c:pt idx="1581">
                  <c:v>40913</c:v>
                </c:pt>
                <c:pt idx="1582">
                  <c:v>40914</c:v>
                </c:pt>
                <c:pt idx="1583">
                  <c:v>40917</c:v>
                </c:pt>
                <c:pt idx="1584">
                  <c:v>40918</c:v>
                </c:pt>
                <c:pt idx="1585">
                  <c:v>40919</c:v>
                </c:pt>
                <c:pt idx="1586">
                  <c:v>40920</c:v>
                </c:pt>
                <c:pt idx="1587">
                  <c:v>40921</c:v>
                </c:pt>
                <c:pt idx="1588">
                  <c:v>40924</c:v>
                </c:pt>
                <c:pt idx="1589">
                  <c:v>40925</c:v>
                </c:pt>
                <c:pt idx="1590">
                  <c:v>40926</c:v>
                </c:pt>
                <c:pt idx="1591">
                  <c:v>40927</c:v>
                </c:pt>
                <c:pt idx="1592">
                  <c:v>40928</c:v>
                </c:pt>
                <c:pt idx="1593">
                  <c:v>40938</c:v>
                </c:pt>
                <c:pt idx="1594">
                  <c:v>40939</c:v>
                </c:pt>
                <c:pt idx="1595">
                  <c:v>40940</c:v>
                </c:pt>
                <c:pt idx="1596">
                  <c:v>40941</c:v>
                </c:pt>
                <c:pt idx="1597">
                  <c:v>40942</c:v>
                </c:pt>
                <c:pt idx="1598">
                  <c:v>40945</c:v>
                </c:pt>
                <c:pt idx="1599">
                  <c:v>40946</c:v>
                </c:pt>
                <c:pt idx="1600">
                  <c:v>40947</c:v>
                </c:pt>
                <c:pt idx="1601">
                  <c:v>40948</c:v>
                </c:pt>
                <c:pt idx="1602">
                  <c:v>40949</c:v>
                </c:pt>
                <c:pt idx="1603">
                  <c:v>40952</c:v>
                </c:pt>
                <c:pt idx="1604">
                  <c:v>40953</c:v>
                </c:pt>
                <c:pt idx="1605">
                  <c:v>40954</c:v>
                </c:pt>
                <c:pt idx="1606">
                  <c:v>40955</c:v>
                </c:pt>
                <c:pt idx="1607">
                  <c:v>40956</c:v>
                </c:pt>
                <c:pt idx="1608">
                  <c:v>40959</c:v>
                </c:pt>
                <c:pt idx="1609">
                  <c:v>40960</c:v>
                </c:pt>
                <c:pt idx="1610">
                  <c:v>40961</c:v>
                </c:pt>
                <c:pt idx="1611">
                  <c:v>40962</c:v>
                </c:pt>
                <c:pt idx="1612">
                  <c:v>40963</c:v>
                </c:pt>
                <c:pt idx="1613">
                  <c:v>40966</c:v>
                </c:pt>
                <c:pt idx="1614">
                  <c:v>40967</c:v>
                </c:pt>
                <c:pt idx="1615">
                  <c:v>40968</c:v>
                </c:pt>
                <c:pt idx="1616">
                  <c:v>40969</c:v>
                </c:pt>
                <c:pt idx="1617">
                  <c:v>40970</c:v>
                </c:pt>
                <c:pt idx="1618">
                  <c:v>40973</c:v>
                </c:pt>
                <c:pt idx="1619">
                  <c:v>40974</c:v>
                </c:pt>
                <c:pt idx="1620">
                  <c:v>40975</c:v>
                </c:pt>
                <c:pt idx="1621">
                  <c:v>40976</c:v>
                </c:pt>
                <c:pt idx="1622">
                  <c:v>40977</c:v>
                </c:pt>
                <c:pt idx="1623">
                  <c:v>40980</c:v>
                </c:pt>
                <c:pt idx="1624">
                  <c:v>40981</c:v>
                </c:pt>
                <c:pt idx="1625">
                  <c:v>40982</c:v>
                </c:pt>
                <c:pt idx="1626">
                  <c:v>40983</c:v>
                </c:pt>
                <c:pt idx="1627">
                  <c:v>40984</c:v>
                </c:pt>
                <c:pt idx="1628">
                  <c:v>40987</c:v>
                </c:pt>
                <c:pt idx="1629">
                  <c:v>40988</c:v>
                </c:pt>
                <c:pt idx="1630">
                  <c:v>40989</c:v>
                </c:pt>
                <c:pt idx="1631">
                  <c:v>40990</c:v>
                </c:pt>
                <c:pt idx="1632">
                  <c:v>40991</c:v>
                </c:pt>
                <c:pt idx="1633">
                  <c:v>40994</c:v>
                </c:pt>
                <c:pt idx="1634">
                  <c:v>40995</c:v>
                </c:pt>
                <c:pt idx="1635">
                  <c:v>40996</c:v>
                </c:pt>
                <c:pt idx="1636">
                  <c:v>40997</c:v>
                </c:pt>
                <c:pt idx="1637">
                  <c:v>40998</c:v>
                </c:pt>
                <c:pt idx="1638">
                  <c:v>41004</c:v>
                </c:pt>
                <c:pt idx="1639">
                  <c:v>41005</c:v>
                </c:pt>
                <c:pt idx="1640">
                  <c:v>41008</c:v>
                </c:pt>
                <c:pt idx="1641">
                  <c:v>41009</c:v>
                </c:pt>
                <c:pt idx="1642">
                  <c:v>41010</c:v>
                </c:pt>
                <c:pt idx="1643">
                  <c:v>41011</c:v>
                </c:pt>
                <c:pt idx="1644">
                  <c:v>41012</c:v>
                </c:pt>
                <c:pt idx="1645">
                  <c:v>41015</c:v>
                </c:pt>
                <c:pt idx="1646">
                  <c:v>41016</c:v>
                </c:pt>
                <c:pt idx="1647">
                  <c:v>41017</c:v>
                </c:pt>
                <c:pt idx="1648">
                  <c:v>41018</c:v>
                </c:pt>
                <c:pt idx="1649">
                  <c:v>41019</c:v>
                </c:pt>
                <c:pt idx="1650">
                  <c:v>41022</c:v>
                </c:pt>
                <c:pt idx="1651">
                  <c:v>41023</c:v>
                </c:pt>
                <c:pt idx="1652">
                  <c:v>41024</c:v>
                </c:pt>
                <c:pt idx="1653">
                  <c:v>41025</c:v>
                </c:pt>
                <c:pt idx="1654">
                  <c:v>41026</c:v>
                </c:pt>
                <c:pt idx="1655">
                  <c:v>41031</c:v>
                </c:pt>
                <c:pt idx="1656">
                  <c:v>41032</c:v>
                </c:pt>
                <c:pt idx="1657">
                  <c:v>41033</c:v>
                </c:pt>
                <c:pt idx="1658">
                  <c:v>41036</c:v>
                </c:pt>
                <c:pt idx="1659">
                  <c:v>41037</c:v>
                </c:pt>
                <c:pt idx="1660">
                  <c:v>41038</c:v>
                </c:pt>
                <c:pt idx="1661">
                  <c:v>41039</c:v>
                </c:pt>
                <c:pt idx="1662">
                  <c:v>41040</c:v>
                </c:pt>
                <c:pt idx="1663">
                  <c:v>41043</c:v>
                </c:pt>
                <c:pt idx="1664">
                  <c:v>41044</c:v>
                </c:pt>
                <c:pt idx="1665">
                  <c:v>41045</c:v>
                </c:pt>
                <c:pt idx="1666">
                  <c:v>41046</c:v>
                </c:pt>
                <c:pt idx="1667">
                  <c:v>41047</c:v>
                </c:pt>
                <c:pt idx="1668">
                  <c:v>41050</c:v>
                </c:pt>
                <c:pt idx="1669">
                  <c:v>41051</c:v>
                </c:pt>
                <c:pt idx="1670">
                  <c:v>41052</c:v>
                </c:pt>
                <c:pt idx="1671">
                  <c:v>41053</c:v>
                </c:pt>
                <c:pt idx="1672">
                  <c:v>41054</c:v>
                </c:pt>
                <c:pt idx="1673">
                  <c:v>41057</c:v>
                </c:pt>
                <c:pt idx="1674">
                  <c:v>41058</c:v>
                </c:pt>
                <c:pt idx="1675">
                  <c:v>41059</c:v>
                </c:pt>
                <c:pt idx="1676">
                  <c:v>41060</c:v>
                </c:pt>
                <c:pt idx="1677">
                  <c:v>41061</c:v>
                </c:pt>
                <c:pt idx="1678">
                  <c:v>41064</c:v>
                </c:pt>
                <c:pt idx="1679">
                  <c:v>41065</c:v>
                </c:pt>
                <c:pt idx="1680">
                  <c:v>41066</c:v>
                </c:pt>
                <c:pt idx="1681">
                  <c:v>41067</c:v>
                </c:pt>
                <c:pt idx="1682">
                  <c:v>41068</c:v>
                </c:pt>
                <c:pt idx="1683">
                  <c:v>41071</c:v>
                </c:pt>
                <c:pt idx="1684">
                  <c:v>41072</c:v>
                </c:pt>
                <c:pt idx="1685">
                  <c:v>41073</c:v>
                </c:pt>
                <c:pt idx="1686">
                  <c:v>41074</c:v>
                </c:pt>
                <c:pt idx="1687">
                  <c:v>41075</c:v>
                </c:pt>
                <c:pt idx="1688">
                  <c:v>41078</c:v>
                </c:pt>
                <c:pt idx="1689">
                  <c:v>41079</c:v>
                </c:pt>
                <c:pt idx="1690">
                  <c:v>41080</c:v>
                </c:pt>
                <c:pt idx="1691">
                  <c:v>41081</c:v>
                </c:pt>
                <c:pt idx="1692">
                  <c:v>41085</c:v>
                </c:pt>
                <c:pt idx="1693">
                  <c:v>41086</c:v>
                </c:pt>
                <c:pt idx="1694">
                  <c:v>41087</c:v>
                </c:pt>
                <c:pt idx="1695">
                  <c:v>41088</c:v>
                </c:pt>
                <c:pt idx="1696">
                  <c:v>41089</c:v>
                </c:pt>
                <c:pt idx="1697">
                  <c:v>41092</c:v>
                </c:pt>
                <c:pt idx="1698">
                  <c:v>41093</c:v>
                </c:pt>
                <c:pt idx="1699">
                  <c:v>41094</c:v>
                </c:pt>
                <c:pt idx="1700">
                  <c:v>41095</c:v>
                </c:pt>
                <c:pt idx="1701">
                  <c:v>41096</c:v>
                </c:pt>
                <c:pt idx="1702">
                  <c:v>41099</c:v>
                </c:pt>
                <c:pt idx="1703">
                  <c:v>41100</c:v>
                </c:pt>
                <c:pt idx="1704">
                  <c:v>41101</c:v>
                </c:pt>
                <c:pt idx="1705">
                  <c:v>41102</c:v>
                </c:pt>
                <c:pt idx="1706">
                  <c:v>41103</c:v>
                </c:pt>
                <c:pt idx="1707">
                  <c:v>41106</c:v>
                </c:pt>
                <c:pt idx="1708">
                  <c:v>41107</c:v>
                </c:pt>
                <c:pt idx="1709">
                  <c:v>41108</c:v>
                </c:pt>
                <c:pt idx="1710">
                  <c:v>41109</c:v>
                </c:pt>
                <c:pt idx="1711">
                  <c:v>41110</c:v>
                </c:pt>
                <c:pt idx="1712">
                  <c:v>41113</c:v>
                </c:pt>
                <c:pt idx="1713">
                  <c:v>41114</c:v>
                </c:pt>
                <c:pt idx="1714">
                  <c:v>41115</c:v>
                </c:pt>
                <c:pt idx="1715">
                  <c:v>41116</c:v>
                </c:pt>
                <c:pt idx="1716">
                  <c:v>41117</c:v>
                </c:pt>
                <c:pt idx="1717">
                  <c:v>41120</c:v>
                </c:pt>
                <c:pt idx="1718">
                  <c:v>41121</c:v>
                </c:pt>
                <c:pt idx="1719">
                  <c:v>41122</c:v>
                </c:pt>
                <c:pt idx="1720">
                  <c:v>41123</c:v>
                </c:pt>
                <c:pt idx="1721">
                  <c:v>41124</c:v>
                </c:pt>
                <c:pt idx="1722">
                  <c:v>41127</c:v>
                </c:pt>
                <c:pt idx="1723">
                  <c:v>41128</c:v>
                </c:pt>
                <c:pt idx="1724">
                  <c:v>41129</c:v>
                </c:pt>
                <c:pt idx="1725">
                  <c:v>41130</c:v>
                </c:pt>
                <c:pt idx="1726">
                  <c:v>41131</c:v>
                </c:pt>
                <c:pt idx="1727">
                  <c:v>41134</c:v>
                </c:pt>
                <c:pt idx="1728">
                  <c:v>41135</c:v>
                </c:pt>
                <c:pt idx="1729">
                  <c:v>41136</c:v>
                </c:pt>
                <c:pt idx="1730">
                  <c:v>41137</c:v>
                </c:pt>
                <c:pt idx="1731">
                  <c:v>41138</c:v>
                </c:pt>
                <c:pt idx="1732">
                  <c:v>41141</c:v>
                </c:pt>
                <c:pt idx="1733">
                  <c:v>41142</c:v>
                </c:pt>
                <c:pt idx="1734">
                  <c:v>41143</c:v>
                </c:pt>
                <c:pt idx="1735">
                  <c:v>41144</c:v>
                </c:pt>
                <c:pt idx="1736">
                  <c:v>41145</c:v>
                </c:pt>
                <c:pt idx="1737">
                  <c:v>41148</c:v>
                </c:pt>
                <c:pt idx="1738">
                  <c:v>41149</c:v>
                </c:pt>
                <c:pt idx="1739">
                  <c:v>41150</c:v>
                </c:pt>
                <c:pt idx="1740">
                  <c:v>41151</c:v>
                </c:pt>
                <c:pt idx="1741">
                  <c:v>41152</c:v>
                </c:pt>
                <c:pt idx="1742">
                  <c:v>41155</c:v>
                </c:pt>
                <c:pt idx="1743">
                  <c:v>41156</c:v>
                </c:pt>
                <c:pt idx="1744">
                  <c:v>41157</c:v>
                </c:pt>
                <c:pt idx="1745">
                  <c:v>41158</c:v>
                </c:pt>
                <c:pt idx="1746">
                  <c:v>41159</c:v>
                </c:pt>
                <c:pt idx="1747">
                  <c:v>41162</c:v>
                </c:pt>
                <c:pt idx="1748">
                  <c:v>41163</c:v>
                </c:pt>
                <c:pt idx="1749">
                  <c:v>41164</c:v>
                </c:pt>
                <c:pt idx="1750">
                  <c:v>41165</c:v>
                </c:pt>
                <c:pt idx="1751">
                  <c:v>41166</c:v>
                </c:pt>
                <c:pt idx="1752">
                  <c:v>41169</c:v>
                </c:pt>
                <c:pt idx="1753">
                  <c:v>41170</c:v>
                </c:pt>
                <c:pt idx="1754">
                  <c:v>41171</c:v>
                </c:pt>
                <c:pt idx="1755">
                  <c:v>41172</c:v>
                </c:pt>
                <c:pt idx="1756">
                  <c:v>41173</c:v>
                </c:pt>
                <c:pt idx="1757">
                  <c:v>41176</c:v>
                </c:pt>
                <c:pt idx="1758">
                  <c:v>41177</c:v>
                </c:pt>
                <c:pt idx="1759">
                  <c:v>41178</c:v>
                </c:pt>
                <c:pt idx="1760">
                  <c:v>41179</c:v>
                </c:pt>
                <c:pt idx="1761">
                  <c:v>41180</c:v>
                </c:pt>
                <c:pt idx="1762">
                  <c:v>41190</c:v>
                </c:pt>
                <c:pt idx="1763">
                  <c:v>41191</c:v>
                </c:pt>
                <c:pt idx="1764">
                  <c:v>41192</c:v>
                </c:pt>
                <c:pt idx="1765">
                  <c:v>41193</c:v>
                </c:pt>
                <c:pt idx="1766">
                  <c:v>41194</c:v>
                </c:pt>
                <c:pt idx="1767">
                  <c:v>41197</c:v>
                </c:pt>
                <c:pt idx="1768">
                  <c:v>41198</c:v>
                </c:pt>
                <c:pt idx="1769">
                  <c:v>41199</c:v>
                </c:pt>
                <c:pt idx="1770">
                  <c:v>41200</c:v>
                </c:pt>
                <c:pt idx="1771">
                  <c:v>41201</c:v>
                </c:pt>
                <c:pt idx="1772">
                  <c:v>41204</c:v>
                </c:pt>
                <c:pt idx="1773">
                  <c:v>41205</c:v>
                </c:pt>
                <c:pt idx="1774">
                  <c:v>41206</c:v>
                </c:pt>
                <c:pt idx="1775">
                  <c:v>41207</c:v>
                </c:pt>
                <c:pt idx="1776">
                  <c:v>41208</c:v>
                </c:pt>
                <c:pt idx="1777">
                  <c:v>41211</c:v>
                </c:pt>
                <c:pt idx="1778">
                  <c:v>41212</c:v>
                </c:pt>
                <c:pt idx="1779">
                  <c:v>41213</c:v>
                </c:pt>
                <c:pt idx="1780">
                  <c:v>41214</c:v>
                </c:pt>
                <c:pt idx="1781">
                  <c:v>41215</c:v>
                </c:pt>
                <c:pt idx="1782">
                  <c:v>41218</c:v>
                </c:pt>
                <c:pt idx="1783">
                  <c:v>41219</c:v>
                </c:pt>
                <c:pt idx="1784">
                  <c:v>41220</c:v>
                </c:pt>
                <c:pt idx="1785">
                  <c:v>41221</c:v>
                </c:pt>
                <c:pt idx="1786">
                  <c:v>41222</c:v>
                </c:pt>
                <c:pt idx="1787">
                  <c:v>41225</c:v>
                </c:pt>
                <c:pt idx="1788">
                  <c:v>41226</c:v>
                </c:pt>
                <c:pt idx="1789">
                  <c:v>41227</c:v>
                </c:pt>
                <c:pt idx="1790">
                  <c:v>41228</c:v>
                </c:pt>
                <c:pt idx="1791">
                  <c:v>41229</c:v>
                </c:pt>
                <c:pt idx="1792">
                  <c:v>41232</c:v>
                </c:pt>
                <c:pt idx="1793">
                  <c:v>41233</c:v>
                </c:pt>
                <c:pt idx="1794">
                  <c:v>41234</c:v>
                </c:pt>
                <c:pt idx="1795">
                  <c:v>41235</c:v>
                </c:pt>
                <c:pt idx="1796">
                  <c:v>41236</c:v>
                </c:pt>
                <c:pt idx="1797">
                  <c:v>41239</c:v>
                </c:pt>
                <c:pt idx="1798">
                  <c:v>41240</c:v>
                </c:pt>
                <c:pt idx="1799">
                  <c:v>41241</c:v>
                </c:pt>
                <c:pt idx="1800">
                  <c:v>41242</c:v>
                </c:pt>
                <c:pt idx="1801">
                  <c:v>41243</c:v>
                </c:pt>
                <c:pt idx="1802">
                  <c:v>41246</c:v>
                </c:pt>
                <c:pt idx="1803">
                  <c:v>41247</c:v>
                </c:pt>
                <c:pt idx="1804">
                  <c:v>41248</c:v>
                </c:pt>
                <c:pt idx="1805">
                  <c:v>41249</c:v>
                </c:pt>
                <c:pt idx="1806">
                  <c:v>41250</c:v>
                </c:pt>
                <c:pt idx="1807">
                  <c:v>41253</c:v>
                </c:pt>
                <c:pt idx="1808">
                  <c:v>41254</c:v>
                </c:pt>
                <c:pt idx="1809">
                  <c:v>41255</c:v>
                </c:pt>
                <c:pt idx="1810">
                  <c:v>41256</c:v>
                </c:pt>
                <c:pt idx="1811">
                  <c:v>41257</c:v>
                </c:pt>
                <c:pt idx="1812">
                  <c:v>41260</c:v>
                </c:pt>
                <c:pt idx="1813">
                  <c:v>41261</c:v>
                </c:pt>
                <c:pt idx="1814">
                  <c:v>41262</c:v>
                </c:pt>
                <c:pt idx="1815">
                  <c:v>41263</c:v>
                </c:pt>
                <c:pt idx="1816">
                  <c:v>41264</c:v>
                </c:pt>
                <c:pt idx="1817">
                  <c:v>41267</c:v>
                </c:pt>
                <c:pt idx="1818">
                  <c:v>41268</c:v>
                </c:pt>
                <c:pt idx="1819">
                  <c:v>41269</c:v>
                </c:pt>
                <c:pt idx="1820">
                  <c:v>41270</c:v>
                </c:pt>
                <c:pt idx="1821">
                  <c:v>41271</c:v>
                </c:pt>
                <c:pt idx="1822">
                  <c:v>41274</c:v>
                </c:pt>
                <c:pt idx="1823">
                  <c:v>41278</c:v>
                </c:pt>
                <c:pt idx="1824">
                  <c:v>41281</c:v>
                </c:pt>
                <c:pt idx="1825">
                  <c:v>41282</c:v>
                </c:pt>
                <c:pt idx="1826">
                  <c:v>41283</c:v>
                </c:pt>
                <c:pt idx="1827">
                  <c:v>41284</c:v>
                </c:pt>
                <c:pt idx="1828">
                  <c:v>41285</c:v>
                </c:pt>
                <c:pt idx="1829">
                  <c:v>41288</c:v>
                </c:pt>
                <c:pt idx="1830">
                  <c:v>41289</c:v>
                </c:pt>
                <c:pt idx="1831">
                  <c:v>41290</c:v>
                </c:pt>
                <c:pt idx="1832">
                  <c:v>41291</c:v>
                </c:pt>
                <c:pt idx="1833">
                  <c:v>41292</c:v>
                </c:pt>
                <c:pt idx="1834">
                  <c:v>41295</c:v>
                </c:pt>
                <c:pt idx="1835">
                  <c:v>41296</c:v>
                </c:pt>
                <c:pt idx="1836">
                  <c:v>41297</c:v>
                </c:pt>
                <c:pt idx="1837">
                  <c:v>41298</c:v>
                </c:pt>
                <c:pt idx="1838">
                  <c:v>41299</c:v>
                </c:pt>
                <c:pt idx="1839">
                  <c:v>41302</c:v>
                </c:pt>
                <c:pt idx="1840">
                  <c:v>41303</c:v>
                </c:pt>
                <c:pt idx="1841">
                  <c:v>41304</c:v>
                </c:pt>
                <c:pt idx="1842">
                  <c:v>41305</c:v>
                </c:pt>
                <c:pt idx="1843">
                  <c:v>41306</c:v>
                </c:pt>
                <c:pt idx="1844">
                  <c:v>41309</c:v>
                </c:pt>
                <c:pt idx="1845">
                  <c:v>41310</c:v>
                </c:pt>
                <c:pt idx="1846">
                  <c:v>41311</c:v>
                </c:pt>
                <c:pt idx="1847">
                  <c:v>41312</c:v>
                </c:pt>
                <c:pt idx="1848">
                  <c:v>41313</c:v>
                </c:pt>
                <c:pt idx="1849">
                  <c:v>41323</c:v>
                </c:pt>
                <c:pt idx="1850">
                  <c:v>41324</c:v>
                </c:pt>
                <c:pt idx="1851">
                  <c:v>41325</c:v>
                </c:pt>
                <c:pt idx="1852">
                  <c:v>41326</c:v>
                </c:pt>
                <c:pt idx="1853">
                  <c:v>41327</c:v>
                </c:pt>
                <c:pt idx="1854">
                  <c:v>41330</c:v>
                </c:pt>
                <c:pt idx="1855">
                  <c:v>41331</c:v>
                </c:pt>
                <c:pt idx="1856">
                  <c:v>41332</c:v>
                </c:pt>
                <c:pt idx="1857">
                  <c:v>41333</c:v>
                </c:pt>
                <c:pt idx="1858">
                  <c:v>41334</c:v>
                </c:pt>
                <c:pt idx="1859">
                  <c:v>41337</c:v>
                </c:pt>
                <c:pt idx="1860">
                  <c:v>41338</c:v>
                </c:pt>
                <c:pt idx="1861">
                  <c:v>41339</c:v>
                </c:pt>
                <c:pt idx="1862">
                  <c:v>41340</c:v>
                </c:pt>
                <c:pt idx="1863">
                  <c:v>41341</c:v>
                </c:pt>
                <c:pt idx="1864">
                  <c:v>41344</c:v>
                </c:pt>
                <c:pt idx="1865">
                  <c:v>41345</c:v>
                </c:pt>
                <c:pt idx="1866">
                  <c:v>41346</c:v>
                </c:pt>
                <c:pt idx="1867">
                  <c:v>41347</c:v>
                </c:pt>
                <c:pt idx="1868">
                  <c:v>41348</c:v>
                </c:pt>
                <c:pt idx="1869">
                  <c:v>41351</c:v>
                </c:pt>
                <c:pt idx="1870">
                  <c:v>41352</c:v>
                </c:pt>
                <c:pt idx="1871">
                  <c:v>41353</c:v>
                </c:pt>
                <c:pt idx="1872">
                  <c:v>41354</c:v>
                </c:pt>
                <c:pt idx="1873">
                  <c:v>41355</c:v>
                </c:pt>
                <c:pt idx="1874">
                  <c:v>41358</c:v>
                </c:pt>
                <c:pt idx="1875">
                  <c:v>41359</c:v>
                </c:pt>
                <c:pt idx="1876">
                  <c:v>41360</c:v>
                </c:pt>
                <c:pt idx="1877">
                  <c:v>41361</c:v>
                </c:pt>
                <c:pt idx="1878">
                  <c:v>41362</c:v>
                </c:pt>
                <c:pt idx="1879">
                  <c:v>41365</c:v>
                </c:pt>
                <c:pt idx="1880">
                  <c:v>41366</c:v>
                </c:pt>
                <c:pt idx="1881">
                  <c:v>41367</c:v>
                </c:pt>
                <c:pt idx="1882">
                  <c:v>41372</c:v>
                </c:pt>
                <c:pt idx="1883">
                  <c:v>41373</c:v>
                </c:pt>
                <c:pt idx="1884">
                  <c:v>41374</c:v>
                </c:pt>
                <c:pt idx="1885">
                  <c:v>41375</c:v>
                </c:pt>
                <c:pt idx="1886">
                  <c:v>41376</c:v>
                </c:pt>
                <c:pt idx="1887">
                  <c:v>41379</c:v>
                </c:pt>
                <c:pt idx="1888">
                  <c:v>41380</c:v>
                </c:pt>
                <c:pt idx="1889">
                  <c:v>41381</c:v>
                </c:pt>
                <c:pt idx="1890">
                  <c:v>41382</c:v>
                </c:pt>
                <c:pt idx="1891">
                  <c:v>41383</c:v>
                </c:pt>
                <c:pt idx="1892">
                  <c:v>41386</c:v>
                </c:pt>
                <c:pt idx="1893">
                  <c:v>41387</c:v>
                </c:pt>
                <c:pt idx="1894">
                  <c:v>41388</c:v>
                </c:pt>
                <c:pt idx="1895">
                  <c:v>41389</c:v>
                </c:pt>
                <c:pt idx="1896">
                  <c:v>41390</c:v>
                </c:pt>
                <c:pt idx="1897">
                  <c:v>41396</c:v>
                </c:pt>
                <c:pt idx="1898">
                  <c:v>41397</c:v>
                </c:pt>
                <c:pt idx="1899">
                  <c:v>41400</c:v>
                </c:pt>
                <c:pt idx="1900">
                  <c:v>41401</c:v>
                </c:pt>
                <c:pt idx="1901">
                  <c:v>41402</c:v>
                </c:pt>
                <c:pt idx="1902">
                  <c:v>41403</c:v>
                </c:pt>
                <c:pt idx="1903">
                  <c:v>41404</c:v>
                </c:pt>
                <c:pt idx="1904">
                  <c:v>41407</c:v>
                </c:pt>
                <c:pt idx="1905">
                  <c:v>41408</c:v>
                </c:pt>
                <c:pt idx="1906">
                  <c:v>41409</c:v>
                </c:pt>
                <c:pt idx="1907">
                  <c:v>41410</c:v>
                </c:pt>
                <c:pt idx="1908">
                  <c:v>41411</c:v>
                </c:pt>
                <c:pt idx="1909">
                  <c:v>41414</c:v>
                </c:pt>
                <c:pt idx="1910">
                  <c:v>41415</c:v>
                </c:pt>
                <c:pt idx="1911">
                  <c:v>41416</c:v>
                </c:pt>
                <c:pt idx="1912">
                  <c:v>41417</c:v>
                </c:pt>
                <c:pt idx="1913">
                  <c:v>41418</c:v>
                </c:pt>
                <c:pt idx="1914">
                  <c:v>41421</c:v>
                </c:pt>
                <c:pt idx="1915">
                  <c:v>41422</c:v>
                </c:pt>
                <c:pt idx="1916">
                  <c:v>41423</c:v>
                </c:pt>
                <c:pt idx="1917">
                  <c:v>41424</c:v>
                </c:pt>
                <c:pt idx="1918">
                  <c:v>41425</c:v>
                </c:pt>
                <c:pt idx="1919">
                  <c:v>41428</c:v>
                </c:pt>
                <c:pt idx="1920">
                  <c:v>41429</c:v>
                </c:pt>
                <c:pt idx="1921">
                  <c:v>41430</c:v>
                </c:pt>
                <c:pt idx="1922">
                  <c:v>41431</c:v>
                </c:pt>
                <c:pt idx="1923">
                  <c:v>41432</c:v>
                </c:pt>
                <c:pt idx="1924">
                  <c:v>41438</c:v>
                </c:pt>
                <c:pt idx="1925">
                  <c:v>41439</c:v>
                </c:pt>
                <c:pt idx="1926">
                  <c:v>41442</c:v>
                </c:pt>
                <c:pt idx="1927">
                  <c:v>41443</c:v>
                </c:pt>
                <c:pt idx="1928">
                  <c:v>41444</c:v>
                </c:pt>
                <c:pt idx="1929">
                  <c:v>41445</c:v>
                </c:pt>
                <c:pt idx="1930">
                  <c:v>41446</c:v>
                </c:pt>
                <c:pt idx="1931">
                  <c:v>41449</c:v>
                </c:pt>
                <c:pt idx="1932">
                  <c:v>41450</c:v>
                </c:pt>
                <c:pt idx="1933">
                  <c:v>41451</c:v>
                </c:pt>
                <c:pt idx="1934">
                  <c:v>41452</c:v>
                </c:pt>
                <c:pt idx="1935">
                  <c:v>41453</c:v>
                </c:pt>
                <c:pt idx="1936">
                  <c:v>41456</c:v>
                </c:pt>
                <c:pt idx="1937">
                  <c:v>41457</c:v>
                </c:pt>
                <c:pt idx="1938">
                  <c:v>41458</c:v>
                </c:pt>
                <c:pt idx="1939">
                  <c:v>41459</c:v>
                </c:pt>
                <c:pt idx="1940">
                  <c:v>41460</c:v>
                </c:pt>
                <c:pt idx="1941">
                  <c:v>41463</c:v>
                </c:pt>
                <c:pt idx="1942">
                  <c:v>41464</c:v>
                </c:pt>
                <c:pt idx="1943">
                  <c:v>41465</c:v>
                </c:pt>
                <c:pt idx="1944">
                  <c:v>41466</c:v>
                </c:pt>
                <c:pt idx="1945">
                  <c:v>41467</c:v>
                </c:pt>
                <c:pt idx="1946">
                  <c:v>41470</c:v>
                </c:pt>
                <c:pt idx="1947">
                  <c:v>41471</c:v>
                </c:pt>
                <c:pt idx="1948">
                  <c:v>41472</c:v>
                </c:pt>
                <c:pt idx="1949">
                  <c:v>41473</c:v>
                </c:pt>
                <c:pt idx="1950">
                  <c:v>41474</c:v>
                </c:pt>
                <c:pt idx="1951">
                  <c:v>41477</c:v>
                </c:pt>
                <c:pt idx="1952">
                  <c:v>41478</c:v>
                </c:pt>
                <c:pt idx="1953">
                  <c:v>41479</c:v>
                </c:pt>
                <c:pt idx="1954">
                  <c:v>41480</c:v>
                </c:pt>
                <c:pt idx="1955">
                  <c:v>41481</c:v>
                </c:pt>
                <c:pt idx="1956">
                  <c:v>41484</c:v>
                </c:pt>
                <c:pt idx="1957">
                  <c:v>41485</c:v>
                </c:pt>
                <c:pt idx="1958">
                  <c:v>41486</c:v>
                </c:pt>
                <c:pt idx="1959">
                  <c:v>41487</c:v>
                </c:pt>
                <c:pt idx="1960">
                  <c:v>41488</c:v>
                </c:pt>
                <c:pt idx="1961">
                  <c:v>41491</c:v>
                </c:pt>
                <c:pt idx="1962">
                  <c:v>41492</c:v>
                </c:pt>
                <c:pt idx="1963">
                  <c:v>41493</c:v>
                </c:pt>
                <c:pt idx="1964">
                  <c:v>41494</c:v>
                </c:pt>
                <c:pt idx="1965">
                  <c:v>41495</c:v>
                </c:pt>
                <c:pt idx="1966">
                  <c:v>41498</c:v>
                </c:pt>
                <c:pt idx="1967">
                  <c:v>41499</c:v>
                </c:pt>
                <c:pt idx="1968">
                  <c:v>41500</c:v>
                </c:pt>
                <c:pt idx="1969">
                  <c:v>41501</c:v>
                </c:pt>
                <c:pt idx="1970">
                  <c:v>41502</c:v>
                </c:pt>
                <c:pt idx="1971">
                  <c:v>41505</c:v>
                </c:pt>
                <c:pt idx="1972">
                  <c:v>41506</c:v>
                </c:pt>
                <c:pt idx="1973">
                  <c:v>41507</c:v>
                </c:pt>
                <c:pt idx="1974">
                  <c:v>41508</c:v>
                </c:pt>
                <c:pt idx="1975">
                  <c:v>41509</c:v>
                </c:pt>
                <c:pt idx="1976">
                  <c:v>41512</c:v>
                </c:pt>
                <c:pt idx="1977">
                  <c:v>41513</c:v>
                </c:pt>
                <c:pt idx="1978">
                  <c:v>41514</c:v>
                </c:pt>
                <c:pt idx="1979">
                  <c:v>41515</c:v>
                </c:pt>
                <c:pt idx="1980">
                  <c:v>41516</c:v>
                </c:pt>
                <c:pt idx="1981">
                  <c:v>41519</c:v>
                </c:pt>
                <c:pt idx="1982">
                  <c:v>41520</c:v>
                </c:pt>
                <c:pt idx="1983">
                  <c:v>41521</c:v>
                </c:pt>
                <c:pt idx="1984">
                  <c:v>41522</c:v>
                </c:pt>
                <c:pt idx="1985">
                  <c:v>41523</c:v>
                </c:pt>
                <c:pt idx="1986">
                  <c:v>41526</c:v>
                </c:pt>
                <c:pt idx="1987">
                  <c:v>41527</c:v>
                </c:pt>
                <c:pt idx="1988">
                  <c:v>41528</c:v>
                </c:pt>
                <c:pt idx="1989">
                  <c:v>41529</c:v>
                </c:pt>
                <c:pt idx="1990">
                  <c:v>41530</c:v>
                </c:pt>
                <c:pt idx="1991">
                  <c:v>41533</c:v>
                </c:pt>
                <c:pt idx="1992">
                  <c:v>41534</c:v>
                </c:pt>
                <c:pt idx="1993">
                  <c:v>41535</c:v>
                </c:pt>
                <c:pt idx="1994">
                  <c:v>41540</c:v>
                </c:pt>
                <c:pt idx="1995">
                  <c:v>41541</c:v>
                </c:pt>
                <c:pt idx="1996">
                  <c:v>41542</c:v>
                </c:pt>
                <c:pt idx="1997">
                  <c:v>41543</c:v>
                </c:pt>
                <c:pt idx="1998">
                  <c:v>41544</c:v>
                </c:pt>
                <c:pt idx="1999">
                  <c:v>41547</c:v>
                </c:pt>
                <c:pt idx="2000">
                  <c:v>41555</c:v>
                </c:pt>
                <c:pt idx="2001">
                  <c:v>41556</c:v>
                </c:pt>
                <c:pt idx="2002">
                  <c:v>41557</c:v>
                </c:pt>
                <c:pt idx="2003">
                  <c:v>41558</c:v>
                </c:pt>
                <c:pt idx="2004">
                  <c:v>41561</c:v>
                </c:pt>
                <c:pt idx="2005">
                  <c:v>41562</c:v>
                </c:pt>
                <c:pt idx="2006">
                  <c:v>41563</c:v>
                </c:pt>
                <c:pt idx="2007">
                  <c:v>41564</c:v>
                </c:pt>
                <c:pt idx="2008">
                  <c:v>41565</c:v>
                </c:pt>
                <c:pt idx="2009">
                  <c:v>41568</c:v>
                </c:pt>
                <c:pt idx="2010">
                  <c:v>41569</c:v>
                </c:pt>
                <c:pt idx="2011">
                  <c:v>41570</c:v>
                </c:pt>
                <c:pt idx="2012">
                  <c:v>41571</c:v>
                </c:pt>
                <c:pt idx="2013">
                  <c:v>41572</c:v>
                </c:pt>
                <c:pt idx="2014">
                  <c:v>41575</c:v>
                </c:pt>
                <c:pt idx="2015">
                  <c:v>41576</c:v>
                </c:pt>
                <c:pt idx="2016">
                  <c:v>41577</c:v>
                </c:pt>
                <c:pt idx="2017">
                  <c:v>41578</c:v>
                </c:pt>
                <c:pt idx="2018">
                  <c:v>41579</c:v>
                </c:pt>
                <c:pt idx="2019">
                  <c:v>41582</c:v>
                </c:pt>
                <c:pt idx="2020">
                  <c:v>41583</c:v>
                </c:pt>
                <c:pt idx="2021">
                  <c:v>41584</c:v>
                </c:pt>
                <c:pt idx="2022">
                  <c:v>41585</c:v>
                </c:pt>
                <c:pt idx="2023">
                  <c:v>41586</c:v>
                </c:pt>
                <c:pt idx="2024">
                  <c:v>41589</c:v>
                </c:pt>
                <c:pt idx="2025">
                  <c:v>41590</c:v>
                </c:pt>
                <c:pt idx="2026">
                  <c:v>41591</c:v>
                </c:pt>
                <c:pt idx="2027">
                  <c:v>41592</c:v>
                </c:pt>
                <c:pt idx="2028">
                  <c:v>41593</c:v>
                </c:pt>
                <c:pt idx="2029">
                  <c:v>41596</c:v>
                </c:pt>
                <c:pt idx="2030">
                  <c:v>41597</c:v>
                </c:pt>
                <c:pt idx="2031">
                  <c:v>41598</c:v>
                </c:pt>
                <c:pt idx="2032">
                  <c:v>41599</c:v>
                </c:pt>
                <c:pt idx="2033">
                  <c:v>41600</c:v>
                </c:pt>
                <c:pt idx="2034">
                  <c:v>41603</c:v>
                </c:pt>
                <c:pt idx="2035">
                  <c:v>41604</c:v>
                </c:pt>
                <c:pt idx="2036">
                  <c:v>41605</c:v>
                </c:pt>
                <c:pt idx="2037">
                  <c:v>41606</c:v>
                </c:pt>
                <c:pt idx="2038">
                  <c:v>41607</c:v>
                </c:pt>
                <c:pt idx="2039">
                  <c:v>41610</c:v>
                </c:pt>
                <c:pt idx="2040">
                  <c:v>41611</c:v>
                </c:pt>
                <c:pt idx="2041">
                  <c:v>41612</c:v>
                </c:pt>
                <c:pt idx="2042">
                  <c:v>41613</c:v>
                </c:pt>
                <c:pt idx="2043">
                  <c:v>41614</c:v>
                </c:pt>
                <c:pt idx="2044">
                  <c:v>41617</c:v>
                </c:pt>
                <c:pt idx="2045">
                  <c:v>41618</c:v>
                </c:pt>
                <c:pt idx="2046">
                  <c:v>41619</c:v>
                </c:pt>
                <c:pt idx="2047">
                  <c:v>41620</c:v>
                </c:pt>
                <c:pt idx="2048">
                  <c:v>41621</c:v>
                </c:pt>
                <c:pt idx="2049">
                  <c:v>41624</c:v>
                </c:pt>
                <c:pt idx="2050">
                  <c:v>41625</c:v>
                </c:pt>
                <c:pt idx="2051">
                  <c:v>41626</c:v>
                </c:pt>
                <c:pt idx="2052">
                  <c:v>41627</c:v>
                </c:pt>
                <c:pt idx="2053">
                  <c:v>41628</c:v>
                </c:pt>
                <c:pt idx="2054">
                  <c:v>41631</c:v>
                </c:pt>
                <c:pt idx="2055">
                  <c:v>41632</c:v>
                </c:pt>
                <c:pt idx="2056">
                  <c:v>41633</c:v>
                </c:pt>
                <c:pt idx="2057">
                  <c:v>41634</c:v>
                </c:pt>
                <c:pt idx="2058">
                  <c:v>41635</c:v>
                </c:pt>
                <c:pt idx="2059">
                  <c:v>41638</c:v>
                </c:pt>
                <c:pt idx="2060">
                  <c:v>41639</c:v>
                </c:pt>
                <c:pt idx="2061">
                  <c:v>41641</c:v>
                </c:pt>
                <c:pt idx="2062">
                  <c:v>41642</c:v>
                </c:pt>
                <c:pt idx="2063">
                  <c:v>41645</c:v>
                </c:pt>
                <c:pt idx="2064">
                  <c:v>41646</c:v>
                </c:pt>
                <c:pt idx="2065">
                  <c:v>41647</c:v>
                </c:pt>
                <c:pt idx="2066">
                  <c:v>41648</c:v>
                </c:pt>
                <c:pt idx="2067">
                  <c:v>41649</c:v>
                </c:pt>
                <c:pt idx="2068">
                  <c:v>41652</c:v>
                </c:pt>
                <c:pt idx="2069">
                  <c:v>41653</c:v>
                </c:pt>
                <c:pt idx="2070">
                  <c:v>41654</c:v>
                </c:pt>
                <c:pt idx="2071">
                  <c:v>41655</c:v>
                </c:pt>
                <c:pt idx="2072">
                  <c:v>41656</c:v>
                </c:pt>
                <c:pt idx="2073">
                  <c:v>41659</c:v>
                </c:pt>
                <c:pt idx="2074">
                  <c:v>41660</c:v>
                </c:pt>
                <c:pt idx="2075">
                  <c:v>41661</c:v>
                </c:pt>
                <c:pt idx="2076">
                  <c:v>41662</c:v>
                </c:pt>
                <c:pt idx="2077">
                  <c:v>41663</c:v>
                </c:pt>
                <c:pt idx="2078">
                  <c:v>41666</c:v>
                </c:pt>
                <c:pt idx="2079">
                  <c:v>41667</c:v>
                </c:pt>
                <c:pt idx="2080">
                  <c:v>41668</c:v>
                </c:pt>
                <c:pt idx="2081">
                  <c:v>41669</c:v>
                </c:pt>
                <c:pt idx="2082">
                  <c:v>41677</c:v>
                </c:pt>
                <c:pt idx="2083">
                  <c:v>41680</c:v>
                </c:pt>
                <c:pt idx="2084">
                  <c:v>41681</c:v>
                </c:pt>
                <c:pt idx="2085">
                  <c:v>41682</c:v>
                </c:pt>
                <c:pt idx="2086">
                  <c:v>41683</c:v>
                </c:pt>
                <c:pt idx="2087">
                  <c:v>41684</c:v>
                </c:pt>
                <c:pt idx="2088">
                  <c:v>41687</c:v>
                </c:pt>
                <c:pt idx="2089">
                  <c:v>41688</c:v>
                </c:pt>
                <c:pt idx="2090">
                  <c:v>41689</c:v>
                </c:pt>
                <c:pt idx="2091">
                  <c:v>41690</c:v>
                </c:pt>
                <c:pt idx="2092">
                  <c:v>41691</c:v>
                </c:pt>
                <c:pt idx="2093">
                  <c:v>41694</c:v>
                </c:pt>
                <c:pt idx="2094">
                  <c:v>41695</c:v>
                </c:pt>
                <c:pt idx="2095">
                  <c:v>41696</c:v>
                </c:pt>
                <c:pt idx="2096">
                  <c:v>41697</c:v>
                </c:pt>
                <c:pt idx="2097">
                  <c:v>41698</c:v>
                </c:pt>
                <c:pt idx="2098">
                  <c:v>41701</c:v>
                </c:pt>
                <c:pt idx="2099">
                  <c:v>41702</c:v>
                </c:pt>
                <c:pt idx="2100">
                  <c:v>41703</c:v>
                </c:pt>
                <c:pt idx="2101">
                  <c:v>41704</c:v>
                </c:pt>
                <c:pt idx="2102">
                  <c:v>41705</c:v>
                </c:pt>
                <c:pt idx="2103">
                  <c:v>41708</c:v>
                </c:pt>
                <c:pt idx="2104">
                  <c:v>41709</c:v>
                </c:pt>
                <c:pt idx="2105">
                  <c:v>41710</c:v>
                </c:pt>
                <c:pt idx="2106">
                  <c:v>41711</c:v>
                </c:pt>
                <c:pt idx="2107">
                  <c:v>41712</c:v>
                </c:pt>
                <c:pt idx="2108">
                  <c:v>41715</c:v>
                </c:pt>
                <c:pt idx="2109">
                  <c:v>41716</c:v>
                </c:pt>
                <c:pt idx="2110">
                  <c:v>41717</c:v>
                </c:pt>
                <c:pt idx="2111">
                  <c:v>41718</c:v>
                </c:pt>
                <c:pt idx="2112">
                  <c:v>41719</c:v>
                </c:pt>
                <c:pt idx="2113">
                  <c:v>41722</c:v>
                </c:pt>
                <c:pt idx="2114">
                  <c:v>41723</c:v>
                </c:pt>
                <c:pt idx="2115">
                  <c:v>41724</c:v>
                </c:pt>
                <c:pt idx="2116">
                  <c:v>41725</c:v>
                </c:pt>
                <c:pt idx="2117">
                  <c:v>41726</c:v>
                </c:pt>
                <c:pt idx="2118">
                  <c:v>41729</c:v>
                </c:pt>
                <c:pt idx="2119">
                  <c:v>41730</c:v>
                </c:pt>
                <c:pt idx="2120">
                  <c:v>41731</c:v>
                </c:pt>
                <c:pt idx="2121">
                  <c:v>41732</c:v>
                </c:pt>
                <c:pt idx="2122">
                  <c:v>41733</c:v>
                </c:pt>
                <c:pt idx="2123">
                  <c:v>41737</c:v>
                </c:pt>
                <c:pt idx="2124">
                  <c:v>41738</c:v>
                </c:pt>
                <c:pt idx="2125">
                  <c:v>41739</c:v>
                </c:pt>
                <c:pt idx="2126">
                  <c:v>41740</c:v>
                </c:pt>
                <c:pt idx="2127">
                  <c:v>41743</c:v>
                </c:pt>
                <c:pt idx="2128">
                  <c:v>41744</c:v>
                </c:pt>
                <c:pt idx="2129">
                  <c:v>41745</c:v>
                </c:pt>
                <c:pt idx="2130">
                  <c:v>41746</c:v>
                </c:pt>
                <c:pt idx="2131">
                  <c:v>41747</c:v>
                </c:pt>
                <c:pt idx="2132">
                  <c:v>41750</c:v>
                </c:pt>
                <c:pt idx="2133">
                  <c:v>41751</c:v>
                </c:pt>
                <c:pt idx="2134">
                  <c:v>41752</c:v>
                </c:pt>
                <c:pt idx="2135">
                  <c:v>41753</c:v>
                </c:pt>
                <c:pt idx="2136">
                  <c:v>41754</c:v>
                </c:pt>
                <c:pt idx="2137">
                  <c:v>41757</c:v>
                </c:pt>
                <c:pt idx="2138">
                  <c:v>41758</c:v>
                </c:pt>
                <c:pt idx="2139">
                  <c:v>41759</c:v>
                </c:pt>
                <c:pt idx="2140">
                  <c:v>41764</c:v>
                </c:pt>
                <c:pt idx="2141">
                  <c:v>41765</c:v>
                </c:pt>
                <c:pt idx="2142">
                  <c:v>41766</c:v>
                </c:pt>
                <c:pt idx="2143">
                  <c:v>41767</c:v>
                </c:pt>
                <c:pt idx="2144">
                  <c:v>41768</c:v>
                </c:pt>
                <c:pt idx="2145">
                  <c:v>41771</c:v>
                </c:pt>
                <c:pt idx="2146">
                  <c:v>41772</c:v>
                </c:pt>
                <c:pt idx="2147">
                  <c:v>41773</c:v>
                </c:pt>
                <c:pt idx="2148">
                  <c:v>41774</c:v>
                </c:pt>
                <c:pt idx="2149">
                  <c:v>41775</c:v>
                </c:pt>
                <c:pt idx="2150">
                  <c:v>41778</c:v>
                </c:pt>
                <c:pt idx="2151">
                  <c:v>41779</c:v>
                </c:pt>
                <c:pt idx="2152">
                  <c:v>41780</c:v>
                </c:pt>
                <c:pt idx="2153">
                  <c:v>41781</c:v>
                </c:pt>
                <c:pt idx="2154">
                  <c:v>41782</c:v>
                </c:pt>
                <c:pt idx="2155">
                  <c:v>41785</c:v>
                </c:pt>
                <c:pt idx="2156">
                  <c:v>41786</c:v>
                </c:pt>
                <c:pt idx="2157">
                  <c:v>41787</c:v>
                </c:pt>
                <c:pt idx="2158">
                  <c:v>41788</c:v>
                </c:pt>
                <c:pt idx="2159">
                  <c:v>41789</c:v>
                </c:pt>
                <c:pt idx="2160">
                  <c:v>41793</c:v>
                </c:pt>
                <c:pt idx="2161">
                  <c:v>41794</c:v>
                </c:pt>
                <c:pt idx="2162">
                  <c:v>41795</c:v>
                </c:pt>
                <c:pt idx="2163">
                  <c:v>41796</c:v>
                </c:pt>
                <c:pt idx="2164">
                  <c:v>41799</c:v>
                </c:pt>
                <c:pt idx="2165">
                  <c:v>41800</c:v>
                </c:pt>
                <c:pt idx="2166">
                  <c:v>41801</c:v>
                </c:pt>
                <c:pt idx="2167">
                  <c:v>41802</c:v>
                </c:pt>
                <c:pt idx="2168">
                  <c:v>41803</c:v>
                </c:pt>
                <c:pt idx="2169">
                  <c:v>41806</c:v>
                </c:pt>
                <c:pt idx="2170">
                  <c:v>41807</c:v>
                </c:pt>
                <c:pt idx="2171">
                  <c:v>41808</c:v>
                </c:pt>
                <c:pt idx="2172">
                  <c:v>41809</c:v>
                </c:pt>
                <c:pt idx="2173">
                  <c:v>41810</c:v>
                </c:pt>
                <c:pt idx="2174">
                  <c:v>41813</c:v>
                </c:pt>
                <c:pt idx="2175">
                  <c:v>41814</c:v>
                </c:pt>
                <c:pt idx="2176">
                  <c:v>41815</c:v>
                </c:pt>
                <c:pt idx="2177">
                  <c:v>41816</c:v>
                </c:pt>
                <c:pt idx="2178">
                  <c:v>41817</c:v>
                </c:pt>
                <c:pt idx="2179">
                  <c:v>41820</c:v>
                </c:pt>
                <c:pt idx="2180">
                  <c:v>41821</c:v>
                </c:pt>
                <c:pt idx="2181">
                  <c:v>41822</c:v>
                </c:pt>
                <c:pt idx="2182">
                  <c:v>41823</c:v>
                </c:pt>
                <c:pt idx="2183">
                  <c:v>41824</c:v>
                </c:pt>
                <c:pt idx="2184">
                  <c:v>41827</c:v>
                </c:pt>
                <c:pt idx="2185">
                  <c:v>41828</c:v>
                </c:pt>
                <c:pt idx="2186">
                  <c:v>41829</c:v>
                </c:pt>
                <c:pt idx="2187">
                  <c:v>41830</c:v>
                </c:pt>
                <c:pt idx="2188">
                  <c:v>41831</c:v>
                </c:pt>
                <c:pt idx="2189">
                  <c:v>41834</c:v>
                </c:pt>
                <c:pt idx="2190">
                  <c:v>41835</c:v>
                </c:pt>
                <c:pt idx="2191">
                  <c:v>41836</c:v>
                </c:pt>
                <c:pt idx="2192">
                  <c:v>41837</c:v>
                </c:pt>
                <c:pt idx="2193">
                  <c:v>41838</c:v>
                </c:pt>
                <c:pt idx="2194">
                  <c:v>41841</c:v>
                </c:pt>
                <c:pt idx="2195">
                  <c:v>41842</c:v>
                </c:pt>
                <c:pt idx="2196">
                  <c:v>41843</c:v>
                </c:pt>
                <c:pt idx="2197">
                  <c:v>41844</c:v>
                </c:pt>
                <c:pt idx="2198">
                  <c:v>41845</c:v>
                </c:pt>
                <c:pt idx="2199">
                  <c:v>41848</c:v>
                </c:pt>
                <c:pt idx="2200">
                  <c:v>41849</c:v>
                </c:pt>
                <c:pt idx="2201">
                  <c:v>41850</c:v>
                </c:pt>
                <c:pt idx="2202">
                  <c:v>41851</c:v>
                </c:pt>
                <c:pt idx="2203">
                  <c:v>41852</c:v>
                </c:pt>
                <c:pt idx="2204">
                  <c:v>41855</c:v>
                </c:pt>
                <c:pt idx="2205">
                  <c:v>41856</c:v>
                </c:pt>
                <c:pt idx="2206">
                  <c:v>41857</c:v>
                </c:pt>
                <c:pt idx="2207">
                  <c:v>41858</c:v>
                </c:pt>
                <c:pt idx="2208">
                  <c:v>41859</c:v>
                </c:pt>
                <c:pt idx="2209">
                  <c:v>41862</c:v>
                </c:pt>
                <c:pt idx="2210">
                  <c:v>41863</c:v>
                </c:pt>
                <c:pt idx="2211">
                  <c:v>41864</c:v>
                </c:pt>
                <c:pt idx="2212">
                  <c:v>41865</c:v>
                </c:pt>
                <c:pt idx="2213">
                  <c:v>41866</c:v>
                </c:pt>
                <c:pt idx="2214">
                  <c:v>41869</c:v>
                </c:pt>
                <c:pt idx="2215">
                  <c:v>41870</c:v>
                </c:pt>
                <c:pt idx="2216">
                  <c:v>41871</c:v>
                </c:pt>
                <c:pt idx="2217">
                  <c:v>41872</c:v>
                </c:pt>
                <c:pt idx="2218">
                  <c:v>41873</c:v>
                </c:pt>
                <c:pt idx="2219">
                  <c:v>41876</c:v>
                </c:pt>
                <c:pt idx="2220">
                  <c:v>41877</c:v>
                </c:pt>
                <c:pt idx="2221">
                  <c:v>41878</c:v>
                </c:pt>
                <c:pt idx="2222">
                  <c:v>41879</c:v>
                </c:pt>
                <c:pt idx="2223">
                  <c:v>41880</c:v>
                </c:pt>
                <c:pt idx="2224">
                  <c:v>41883</c:v>
                </c:pt>
                <c:pt idx="2225">
                  <c:v>41884</c:v>
                </c:pt>
                <c:pt idx="2226">
                  <c:v>41885</c:v>
                </c:pt>
                <c:pt idx="2227">
                  <c:v>41886</c:v>
                </c:pt>
                <c:pt idx="2228">
                  <c:v>41887</c:v>
                </c:pt>
                <c:pt idx="2229">
                  <c:v>41891</c:v>
                </c:pt>
                <c:pt idx="2230">
                  <c:v>41892</c:v>
                </c:pt>
                <c:pt idx="2231">
                  <c:v>41893</c:v>
                </c:pt>
                <c:pt idx="2232">
                  <c:v>41894</c:v>
                </c:pt>
                <c:pt idx="2233">
                  <c:v>41897</c:v>
                </c:pt>
                <c:pt idx="2234">
                  <c:v>41898</c:v>
                </c:pt>
                <c:pt idx="2235">
                  <c:v>41899</c:v>
                </c:pt>
                <c:pt idx="2236">
                  <c:v>41900</c:v>
                </c:pt>
                <c:pt idx="2237">
                  <c:v>41901</c:v>
                </c:pt>
                <c:pt idx="2238">
                  <c:v>41904</c:v>
                </c:pt>
                <c:pt idx="2239">
                  <c:v>41905</c:v>
                </c:pt>
                <c:pt idx="2240">
                  <c:v>41906</c:v>
                </c:pt>
                <c:pt idx="2241">
                  <c:v>41907</c:v>
                </c:pt>
                <c:pt idx="2242">
                  <c:v>41908</c:v>
                </c:pt>
                <c:pt idx="2243">
                  <c:v>41911</c:v>
                </c:pt>
                <c:pt idx="2244">
                  <c:v>41912</c:v>
                </c:pt>
                <c:pt idx="2245">
                  <c:v>41920</c:v>
                </c:pt>
                <c:pt idx="2246">
                  <c:v>41921</c:v>
                </c:pt>
                <c:pt idx="2247">
                  <c:v>41922</c:v>
                </c:pt>
                <c:pt idx="2248">
                  <c:v>41925</c:v>
                </c:pt>
                <c:pt idx="2249">
                  <c:v>41926</c:v>
                </c:pt>
                <c:pt idx="2250">
                  <c:v>41927</c:v>
                </c:pt>
                <c:pt idx="2251">
                  <c:v>41928</c:v>
                </c:pt>
                <c:pt idx="2252">
                  <c:v>41929</c:v>
                </c:pt>
                <c:pt idx="2253">
                  <c:v>41932</c:v>
                </c:pt>
                <c:pt idx="2254">
                  <c:v>41933</c:v>
                </c:pt>
                <c:pt idx="2255">
                  <c:v>41934</c:v>
                </c:pt>
                <c:pt idx="2256">
                  <c:v>41935</c:v>
                </c:pt>
                <c:pt idx="2257">
                  <c:v>41936</c:v>
                </c:pt>
                <c:pt idx="2258">
                  <c:v>41939</c:v>
                </c:pt>
                <c:pt idx="2259">
                  <c:v>41940</c:v>
                </c:pt>
                <c:pt idx="2260">
                  <c:v>41941</c:v>
                </c:pt>
                <c:pt idx="2261">
                  <c:v>41942</c:v>
                </c:pt>
                <c:pt idx="2262">
                  <c:v>41943</c:v>
                </c:pt>
                <c:pt idx="2263">
                  <c:v>41946</c:v>
                </c:pt>
                <c:pt idx="2264">
                  <c:v>41947</c:v>
                </c:pt>
                <c:pt idx="2265">
                  <c:v>41948</c:v>
                </c:pt>
                <c:pt idx="2266">
                  <c:v>41949</c:v>
                </c:pt>
                <c:pt idx="2267">
                  <c:v>41950</c:v>
                </c:pt>
                <c:pt idx="2268">
                  <c:v>41953</c:v>
                </c:pt>
                <c:pt idx="2269">
                  <c:v>41954</c:v>
                </c:pt>
                <c:pt idx="2270">
                  <c:v>41955</c:v>
                </c:pt>
                <c:pt idx="2271">
                  <c:v>41956</c:v>
                </c:pt>
                <c:pt idx="2272">
                  <c:v>41957</c:v>
                </c:pt>
                <c:pt idx="2273">
                  <c:v>41960</c:v>
                </c:pt>
                <c:pt idx="2274">
                  <c:v>41961</c:v>
                </c:pt>
                <c:pt idx="2275">
                  <c:v>41962</c:v>
                </c:pt>
                <c:pt idx="2276">
                  <c:v>41963</c:v>
                </c:pt>
                <c:pt idx="2277">
                  <c:v>41964</c:v>
                </c:pt>
                <c:pt idx="2278">
                  <c:v>41967</c:v>
                </c:pt>
                <c:pt idx="2279">
                  <c:v>41968</c:v>
                </c:pt>
                <c:pt idx="2280">
                  <c:v>41969</c:v>
                </c:pt>
                <c:pt idx="2281">
                  <c:v>41970</c:v>
                </c:pt>
                <c:pt idx="2282">
                  <c:v>41971</c:v>
                </c:pt>
                <c:pt idx="2283">
                  <c:v>41974</c:v>
                </c:pt>
                <c:pt idx="2284">
                  <c:v>41975</c:v>
                </c:pt>
                <c:pt idx="2285">
                  <c:v>41976</c:v>
                </c:pt>
                <c:pt idx="2286">
                  <c:v>41977</c:v>
                </c:pt>
                <c:pt idx="2287">
                  <c:v>41978</c:v>
                </c:pt>
                <c:pt idx="2288">
                  <c:v>41981</c:v>
                </c:pt>
                <c:pt idx="2289">
                  <c:v>41982</c:v>
                </c:pt>
                <c:pt idx="2290">
                  <c:v>41983</c:v>
                </c:pt>
                <c:pt idx="2291">
                  <c:v>41984</c:v>
                </c:pt>
                <c:pt idx="2292">
                  <c:v>41985</c:v>
                </c:pt>
                <c:pt idx="2293">
                  <c:v>41988</c:v>
                </c:pt>
                <c:pt idx="2294">
                  <c:v>41989</c:v>
                </c:pt>
                <c:pt idx="2295">
                  <c:v>41990</c:v>
                </c:pt>
                <c:pt idx="2296">
                  <c:v>41991</c:v>
                </c:pt>
                <c:pt idx="2297">
                  <c:v>41992</c:v>
                </c:pt>
                <c:pt idx="2298">
                  <c:v>41995</c:v>
                </c:pt>
                <c:pt idx="2299">
                  <c:v>41996</c:v>
                </c:pt>
                <c:pt idx="2300">
                  <c:v>41997</c:v>
                </c:pt>
                <c:pt idx="2301">
                  <c:v>41998</c:v>
                </c:pt>
                <c:pt idx="2302">
                  <c:v>41999</c:v>
                </c:pt>
                <c:pt idx="2303">
                  <c:v>42002</c:v>
                </c:pt>
                <c:pt idx="2304">
                  <c:v>42003</c:v>
                </c:pt>
                <c:pt idx="2305">
                  <c:v>42004</c:v>
                </c:pt>
                <c:pt idx="2306">
                  <c:v>42009</c:v>
                </c:pt>
                <c:pt idx="2307">
                  <c:v>42010</c:v>
                </c:pt>
                <c:pt idx="2308">
                  <c:v>42011</c:v>
                </c:pt>
                <c:pt idx="2309">
                  <c:v>42012</c:v>
                </c:pt>
                <c:pt idx="2310">
                  <c:v>42013</c:v>
                </c:pt>
                <c:pt idx="2311">
                  <c:v>42016</c:v>
                </c:pt>
                <c:pt idx="2312">
                  <c:v>42017</c:v>
                </c:pt>
                <c:pt idx="2313">
                  <c:v>42018</c:v>
                </c:pt>
                <c:pt idx="2314">
                  <c:v>42019</c:v>
                </c:pt>
                <c:pt idx="2315">
                  <c:v>42020</c:v>
                </c:pt>
                <c:pt idx="2316">
                  <c:v>42023</c:v>
                </c:pt>
                <c:pt idx="2317">
                  <c:v>42024</c:v>
                </c:pt>
                <c:pt idx="2318">
                  <c:v>42025</c:v>
                </c:pt>
                <c:pt idx="2319">
                  <c:v>42026</c:v>
                </c:pt>
                <c:pt idx="2320">
                  <c:v>42027</c:v>
                </c:pt>
                <c:pt idx="2321">
                  <c:v>42030</c:v>
                </c:pt>
                <c:pt idx="2322">
                  <c:v>42031</c:v>
                </c:pt>
                <c:pt idx="2323">
                  <c:v>42032</c:v>
                </c:pt>
                <c:pt idx="2324">
                  <c:v>42033</c:v>
                </c:pt>
                <c:pt idx="2325">
                  <c:v>42034</c:v>
                </c:pt>
                <c:pt idx="2326">
                  <c:v>42037</c:v>
                </c:pt>
                <c:pt idx="2327">
                  <c:v>42038</c:v>
                </c:pt>
                <c:pt idx="2328">
                  <c:v>42039</c:v>
                </c:pt>
                <c:pt idx="2329">
                  <c:v>42040</c:v>
                </c:pt>
                <c:pt idx="2330">
                  <c:v>42041</c:v>
                </c:pt>
                <c:pt idx="2331">
                  <c:v>42044</c:v>
                </c:pt>
                <c:pt idx="2332">
                  <c:v>42045</c:v>
                </c:pt>
                <c:pt idx="2333">
                  <c:v>42046</c:v>
                </c:pt>
                <c:pt idx="2334">
                  <c:v>42047</c:v>
                </c:pt>
                <c:pt idx="2335">
                  <c:v>42048</c:v>
                </c:pt>
                <c:pt idx="2336">
                  <c:v>42051</c:v>
                </c:pt>
                <c:pt idx="2337">
                  <c:v>42052</c:v>
                </c:pt>
                <c:pt idx="2338">
                  <c:v>42060</c:v>
                </c:pt>
                <c:pt idx="2339">
                  <c:v>42061</c:v>
                </c:pt>
                <c:pt idx="2340">
                  <c:v>42062</c:v>
                </c:pt>
                <c:pt idx="2341">
                  <c:v>42065</c:v>
                </c:pt>
                <c:pt idx="2342">
                  <c:v>42066</c:v>
                </c:pt>
                <c:pt idx="2343">
                  <c:v>42067</c:v>
                </c:pt>
                <c:pt idx="2344">
                  <c:v>42068</c:v>
                </c:pt>
                <c:pt idx="2345">
                  <c:v>42069</c:v>
                </c:pt>
                <c:pt idx="2346">
                  <c:v>42072</c:v>
                </c:pt>
                <c:pt idx="2347">
                  <c:v>42073</c:v>
                </c:pt>
                <c:pt idx="2348">
                  <c:v>42074</c:v>
                </c:pt>
                <c:pt idx="2349">
                  <c:v>42075</c:v>
                </c:pt>
                <c:pt idx="2350">
                  <c:v>42076</c:v>
                </c:pt>
                <c:pt idx="2351">
                  <c:v>42079</c:v>
                </c:pt>
                <c:pt idx="2352">
                  <c:v>42080</c:v>
                </c:pt>
                <c:pt idx="2353">
                  <c:v>42081</c:v>
                </c:pt>
                <c:pt idx="2354">
                  <c:v>42082</c:v>
                </c:pt>
                <c:pt idx="2355">
                  <c:v>42083</c:v>
                </c:pt>
                <c:pt idx="2356">
                  <c:v>42086</c:v>
                </c:pt>
                <c:pt idx="2357">
                  <c:v>42087</c:v>
                </c:pt>
                <c:pt idx="2358">
                  <c:v>42088</c:v>
                </c:pt>
                <c:pt idx="2359">
                  <c:v>42089</c:v>
                </c:pt>
                <c:pt idx="2360">
                  <c:v>42090</c:v>
                </c:pt>
                <c:pt idx="2361">
                  <c:v>42093</c:v>
                </c:pt>
                <c:pt idx="2362">
                  <c:v>42094</c:v>
                </c:pt>
                <c:pt idx="2363">
                  <c:v>42095</c:v>
                </c:pt>
                <c:pt idx="2364">
                  <c:v>42096</c:v>
                </c:pt>
                <c:pt idx="2365">
                  <c:v>42097</c:v>
                </c:pt>
                <c:pt idx="2366">
                  <c:v>42101</c:v>
                </c:pt>
                <c:pt idx="2367">
                  <c:v>42102</c:v>
                </c:pt>
                <c:pt idx="2368">
                  <c:v>42103</c:v>
                </c:pt>
                <c:pt idx="2369">
                  <c:v>42104</c:v>
                </c:pt>
                <c:pt idx="2370">
                  <c:v>42107</c:v>
                </c:pt>
                <c:pt idx="2371">
                  <c:v>42108</c:v>
                </c:pt>
                <c:pt idx="2372">
                  <c:v>42109</c:v>
                </c:pt>
                <c:pt idx="2373">
                  <c:v>42110</c:v>
                </c:pt>
                <c:pt idx="2374">
                  <c:v>42111</c:v>
                </c:pt>
                <c:pt idx="2375">
                  <c:v>42114</c:v>
                </c:pt>
                <c:pt idx="2376">
                  <c:v>42115</c:v>
                </c:pt>
                <c:pt idx="2377">
                  <c:v>42116</c:v>
                </c:pt>
                <c:pt idx="2378">
                  <c:v>42117</c:v>
                </c:pt>
                <c:pt idx="2379">
                  <c:v>42118</c:v>
                </c:pt>
                <c:pt idx="2380">
                  <c:v>42121</c:v>
                </c:pt>
                <c:pt idx="2381">
                  <c:v>42122</c:v>
                </c:pt>
                <c:pt idx="2382">
                  <c:v>42123</c:v>
                </c:pt>
                <c:pt idx="2383">
                  <c:v>42124</c:v>
                </c:pt>
                <c:pt idx="2384">
                  <c:v>42128</c:v>
                </c:pt>
                <c:pt idx="2385">
                  <c:v>42129</c:v>
                </c:pt>
                <c:pt idx="2386">
                  <c:v>42130</c:v>
                </c:pt>
                <c:pt idx="2387">
                  <c:v>42131</c:v>
                </c:pt>
                <c:pt idx="2388">
                  <c:v>42132</c:v>
                </c:pt>
                <c:pt idx="2389">
                  <c:v>42135</c:v>
                </c:pt>
                <c:pt idx="2390">
                  <c:v>42136</c:v>
                </c:pt>
                <c:pt idx="2391">
                  <c:v>42137</c:v>
                </c:pt>
                <c:pt idx="2392">
                  <c:v>42138</c:v>
                </c:pt>
                <c:pt idx="2393">
                  <c:v>42139</c:v>
                </c:pt>
                <c:pt idx="2394">
                  <c:v>42142</c:v>
                </c:pt>
                <c:pt idx="2395">
                  <c:v>42143</c:v>
                </c:pt>
                <c:pt idx="2396">
                  <c:v>42144</c:v>
                </c:pt>
                <c:pt idx="2397">
                  <c:v>42145</c:v>
                </c:pt>
                <c:pt idx="2398">
                  <c:v>42146</c:v>
                </c:pt>
                <c:pt idx="2399">
                  <c:v>42149</c:v>
                </c:pt>
                <c:pt idx="2400">
                  <c:v>42150</c:v>
                </c:pt>
                <c:pt idx="2401">
                  <c:v>42151</c:v>
                </c:pt>
                <c:pt idx="2402">
                  <c:v>42152</c:v>
                </c:pt>
                <c:pt idx="2403">
                  <c:v>42153</c:v>
                </c:pt>
                <c:pt idx="2404">
                  <c:v>42156</c:v>
                </c:pt>
                <c:pt idx="2405">
                  <c:v>42157</c:v>
                </c:pt>
                <c:pt idx="2406">
                  <c:v>42158</c:v>
                </c:pt>
                <c:pt idx="2407">
                  <c:v>42159</c:v>
                </c:pt>
                <c:pt idx="2408">
                  <c:v>42160</c:v>
                </c:pt>
                <c:pt idx="2409">
                  <c:v>42163</c:v>
                </c:pt>
                <c:pt idx="2410">
                  <c:v>42164</c:v>
                </c:pt>
                <c:pt idx="2411">
                  <c:v>42165</c:v>
                </c:pt>
                <c:pt idx="2412">
                  <c:v>42166</c:v>
                </c:pt>
                <c:pt idx="2413">
                  <c:v>42167</c:v>
                </c:pt>
                <c:pt idx="2414">
                  <c:v>42170</c:v>
                </c:pt>
                <c:pt idx="2415">
                  <c:v>42171</c:v>
                </c:pt>
                <c:pt idx="2416">
                  <c:v>42172</c:v>
                </c:pt>
                <c:pt idx="2417">
                  <c:v>42173</c:v>
                </c:pt>
                <c:pt idx="2418">
                  <c:v>42174</c:v>
                </c:pt>
                <c:pt idx="2419">
                  <c:v>42178</c:v>
                </c:pt>
                <c:pt idx="2420">
                  <c:v>42179</c:v>
                </c:pt>
                <c:pt idx="2421">
                  <c:v>42180</c:v>
                </c:pt>
                <c:pt idx="2422">
                  <c:v>42181</c:v>
                </c:pt>
                <c:pt idx="2423">
                  <c:v>42184</c:v>
                </c:pt>
                <c:pt idx="2424">
                  <c:v>42185</c:v>
                </c:pt>
                <c:pt idx="2425">
                  <c:v>42186</c:v>
                </c:pt>
                <c:pt idx="2426">
                  <c:v>42187</c:v>
                </c:pt>
                <c:pt idx="2427">
                  <c:v>42188</c:v>
                </c:pt>
                <c:pt idx="2428">
                  <c:v>42191</c:v>
                </c:pt>
                <c:pt idx="2429">
                  <c:v>42192</c:v>
                </c:pt>
                <c:pt idx="2430">
                  <c:v>42193</c:v>
                </c:pt>
                <c:pt idx="2431">
                  <c:v>42194</c:v>
                </c:pt>
                <c:pt idx="2432">
                  <c:v>42195</c:v>
                </c:pt>
                <c:pt idx="2433">
                  <c:v>42198</c:v>
                </c:pt>
                <c:pt idx="2434">
                  <c:v>42199</c:v>
                </c:pt>
                <c:pt idx="2435">
                  <c:v>42200</c:v>
                </c:pt>
                <c:pt idx="2436">
                  <c:v>42201</c:v>
                </c:pt>
                <c:pt idx="2437">
                  <c:v>42202</c:v>
                </c:pt>
                <c:pt idx="2438">
                  <c:v>42205</c:v>
                </c:pt>
                <c:pt idx="2439">
                  <c:v>42206</c:v>
                </c:pt>
                <c:pt idx="2440">
                  <c:v>42207</c:v>
                </c:pt>
                <c:pt idx="2441">
                  <c:v>42208</c:v>
                </c:pt>
                <c:pt idx="2442">
                  <c:v>42209</c:v>
                </c:pt>
                <c:pt idx="2443">
                  <c:v>42212</c:v>
                </c:pt>
                <c:pt idx="2444">
                  <c:v>42213</c:v>
                </c:pt>
                <c:pt idx="2445">
                  <c:v>42214</c:v>
                </c:pt>
                <c:pt idx="2446">
                  <c:v>42215</c:v>
                </c:pt>
                <c:pt idx="2447">
                  <c:v>42216</c:v>
                </c:pt>
                <c:pt idx="2448">
                  <c:v>42219</c:v>
                </c:pt>
                <c:pt idx="2449">
                  <c:v>42220</c:v>
                </c:pt>
                <c:pt idx="2450">
                  <c:v>42221</c:v>
                </c:pt>
                <c:pt idx="2451">
                  <c:v>42222</c:v>
                </c:pt>
                <c:pt idx="2452">
                  <c:v>42223</c:v>
                </c:pt>
                <c:pt idx="2453">
                  <c:v>42226</c:v>
                </c:pt>
                <c:pt idx="2454">
                  <c:v>42227</c:v>
                </c:pt>
                <c:pt idx="2455">
                  <c:v>42228</c:v>
                </c:pt>
                <c:pt idx="2456">
                  <c:v>42229</c:v>
                </c:pt>
                <c:pt idx="2457">
                  <c:v>42230</c:v>
                </c:pt>
                <c:pt idx="2458">
                  <c:v>42233</c:v>
                </c:pt>
                <c:pt idx="2459">
                  <c:v>42234</c:v>
                </c:pt>
                <c:pt idx="2460">
                  <c:v>42235</c:v>
                </c:pt>
                <c:pt idx="2461">
                  <c:v>42236</c:v>
                </c:pt>
                <c:pt idx="2462">
                  <c:v>42237</c:v>
                </c:pt>
                <c:pt idx="2463">
                  <c:v>42240</c:v>
                </c:pt>
                <c:pt idx="2464">
                  <c:v>42241</c:v>
                </c:pt>
                <c:pt idx="2465">
                  <c:v>42242</c:v>
                </c:pt>
                <c:pt idx="2466">
                  <c:v>42243</c:v>
                </c:pt>
                <c:pt idx="2467">
                  <c:v>42244</c:v>
                </c:pt>
                <c:pt idx="2468">
                  <c:v>42247</c:v>
                </c:pt>
                <c:pt idx="2469">
                  <c:v>42248</c:v>
                </c:pt>
                <c:pt idx="2470">
                  <c:v>42249</c:v>
                </c:pt>
                <c:pt idx="2471">
                  <c:v>42254</c:v>
                </c:pt>
                <c:pt idx="2472">
                  <c:v>42255</c:v>
                </c:pt>
                <c:pt idx="2473">
                  <c:v>42256</c:v>
                </c:pt>
                <c:pt idx="2474">
                  <c:v>42257</c:v>
                </c:pt>
                <c:pt idx="2475">
                  <c:v>42258</c:v>
                </c:pt>
                <c:pt idx="2476">
                  <c:v>42261</c:v>
                </c:pt>
                <c:pt idx="2477">
                  <c:v>42262</c:v>
                </c:pt>
                <c:pt idx="2478">
                  <c:v>42263</c:v>
                </c:pt>
                <c:pt idx="2479">
                  <c:v>42264</c:v>
                </c:pt>
                <c:pt idx="2480">
                  <c:v>42265</c:v>
                </c:pt>
                <c:pt idx="2481">
                  <c:v>42268</c:v>
                </c:pt>
                <c:pt idx="2482">
                  <c:v>42269</c:v>
                </c:pt>
                <c:pt idx="2483">
                  <c:v>42270</c:v>
                </c:pt>
                <c:pt idx="2484">
                  <c:v>42271</c:v>
                </c:pt>
                <c:pt idx="2485">
                  <c:v>42272</c:v>
                </c:pt>
                <c:pt idx="2486">
                  <c:v>42275</c:v>
                </c:pt>
                <c:pt idx="2487">
                  <c:v>42276</c:v>
                </c:pt>
                <c:pt idx="2488">
                  <c:v>42277</c:v>
                </c:pt>
                <c:pt idx="2489">
                  <c:v>42285</c:v>
                </c:pt>
                <c:pt idx="2490">
                  <c:v>42286</c:v>
                </c:pt>
                <c:pt idx="2491">
                  <c:v>42289</c:v>
                </c:pt>
                <c:pt idx="2492">
                  <c:v>42290</c:v>
                </c:pt>
                <c:pt idx="2493">
                  <c:v>42291</c:v>
                </c:pt>
                <c:pt idx="2494">
                  <c:v>42292</c:v>
                </c:pt>
                <c:pt idx="2495">
                  <c:v>42293</c:v>
                </c:pt>
                <c:pt idx="2496">
                  <c:v>42296</c:v>
                </c:pt>
                <c:pt idx="2497">
                  <c:v>42297</c:v>
                </c:pt>
                <c:pt idx="2498">
                  <c:v>42298</c:v>
                </c:pt>
                <c:pt idx="2499">
                  <c:v>42299</c:v>
                </c:pt>
                <c:pt idx="2500">
                  <c:v>42300</c:v>
                </c:pt>
                <c:pt idx="2501">
                  <c:v>42303</c:v>
                </c:pt>
                <c:pt idx="2502">
                  <c:v>42304</c:v>
                </c:pt>
                <c:pt idx="2503">
                  <c:v>42305</c:v>
                </c:pt>
                <c:pt idx="2504">
                  <c:v>42306</c:v>
                </c:pt>
                <c:pt idx="2505">
                  <c:v>42307</c:v>
                </c:pt>
                <c:pt idx="2506">
                  <c:v>42310</c:v>
                </c:pt>
                <c:pt idx="2507">
                  <c:v>42311</c:v>
                </c:pt>
                <c:pt idx="2508">
                  <c:v>42312</c:v>
                </c:pt>
                <c:pt idx="2509">
                  <c:v>42313</c:v>
                </c:pt>
                <c:pt idx="2510">
                  <c:v>42314</c:v>
                </c:pt>
                <c:pt idx="2511">
                  <c:v>42317</c:v>
                </c:pt>
                <c:pt idx="2512">
                  <c:v>42318</c:v>
                </c:pt>
                <c:pt idx="2513">
                  <c:v>42319</c:v>
                </c:pt>
                <c:pt idx="2514">
                  <c:v>42320</c:v>
                </c:pt>
                <c:pt idx="2515">
                  <c:v>42321</c:v>
                </c:pt>
                <c:pt idx="2516">
                  <c:v>42324</c:v>
                </c:pt>
                <c:pt idx="2517">
                  <c:v>42325</c:v>
                </c:pt>
                <c:pt idx="2518">
                  <c:v>42326</c:v>
                </c:pt>
                <c:pt idx="2519">
                  <c:v>42327</c:v>
                </c:pt>
                <c:pt idx="2520">
                  <c:v>42328</c:v>
                </c:pt>
                <c:pt idx="2521">
                  <c:v>42331</c:v>
                </c:pt>
                <c:pt idx="2522">
                  <c:v>42332</c:v>
                </c:pt>
                <c:pt idx="2523">
                  <c:v>42333</c:v>
                </c:pt>
                <c:pt idx="2524">
                  <c:v>42334</c:v>
                </c:pt>
                <c:pt idx="2525">
                  <c:v>42335</c:v>
                </c:pt>
                <c:pt idx="2526">
                  <c:v>42338</c:v>
                </c:pt>
                <c:pt idx="2527">
                  <c:v>42339</c:v>
                </c:pt>
                <c:pt idx="2528">
                  <c:v>42340</c:v>
                </c:pt>
                <c:pt idx="2529">
                  <c:v>42341</c:v>
                </c:pt>
                <c:pt idx="2530">
                  <c:v>42342</c:v>
                </c:pt>
                <c:pt idx="2531">
                  <c:v>42345</c:v>
                </c:pt>
                <c:pt idx="2532">
                  <c:v>42346</c:v>
                </c:pt>
                <c:pt idx="2533">
                  <c:v>42347</c:v>
                </c:pt>
                <c:pt idx="2534">
                  <c:v>42348</c:v>
                </c:pt>
                <c:pt idx="2535">
                  <c:v>42349</c:v>
                </c:pt>
                <c:pt idx="2536">
                  <c:v>42352</c:v>
                </c:pt>
                <c:pt idx="2537">
                  <c:v>42353</c:v>
                </c:pt>
                <c:pt idx="2538">
                  <c:v>42354</c:v>
                </c:pt>
                <c:pt idx="2539">
                  <c:v>42355</c:v>
                </c:pt>
                <c:pt idx="2540">
                  <c:v>42356</c:v>
                </c:pt>
                <c:pt idx="2541">
                  <c:v>42359</c:v>
                </c:pt>
                <c:pt idx="2542">
                  <c:v>42360</c:v>
                </c:pt>
                <c:pt idx="2543">
                  <c:v>42361</c:v>
                </c:pt>
                <c:pt idx="2544">
                  <c:v>42362</c:v>
                </c:pt>
                <c:pt idx="2545">
                  <c:v>42363</c:v>
                </c:pt>
                <c:pt idx="2546">
                  <c:v>42366</c:v>
                </c:pt>
                <c:pt idx="2547">
                  <c:v>42367</c:v>
                </c:pt>
                <c:pt idx="2548">
                  <c:v>42368</c:v>
                </c:pt>
                <c:pt idx="2549">
                  <c:v>42369</c:v>
                </c:pt>
                <c:pt idx="2550">
                  <c:v>42373</c:v>
                </c:pt>
                <c:pt idx="2551">
                  <c:v>42374</c:v>
                </c:pt>
                <c:pt idx="2552">
                  <c:v>42375</c:v>
                </c:pt>
                <c:pt idx="2553">
                  <c:v>42376</c:v>
                </c:pt>
                <c:pt idx="2554">
                  <c:v>42377</c:v>
                </c:pt>
                <c:pt idx="2555">
                  <c:v>42380</c:v>
                </c:pt>
                <c:pt idx="2556">
                  <c:v>42381</c:v>
                </c:pt>
                <c:pt idx="2557">
                  <c:v>42382</c:v>
                </c:pt>
                <c:pt idx="2558">
                  <c:v>42383</c:v>
                </c:pt>
                <c:pt idx="2559">
                  <c:v>42384</c:v>
                </c:pt>
                <c:pt idx="2560">
                  <c:v>42387</c:v>
                </c:pt>
                <c:pt idx="2561">
                  <c:v>42388</c:v>
                </c:pt>
                <c:pt idx="2562">
                  <c:v>42389</c:v>
                </c:pt>
                <c:pt idx="2563">
                  <c:v>42390</c:v>
                </c:pt>
                <c:pt idx="2564">
                  <c:v>42391</c:v>
                </c:pt>
                <c:pt idx="2565">
                  <c:v>42394</c:v>
                </c:pt>
                <c:pt idx="2566">
                  <c:v>42395</c:v>
                </c:pt>
                <c:pt idx="2567">
                  <c:v>42396</c:v>
                </c:pt>
                <c:pt idx="2568">
                  <c:v>42397</c:v>
                </c:pt>
                <c:pt idx="2569">
                  <c:v>42398</c:v>
                </c:pt>
                <c:pt idx="2570">
                  <c:v>42401</c:v>
                </c:pt>
                <c:pt idx="2571">
                  <c:v>42402</c:v>
                </c:pt>
                <c:pt idx="2572">
                  <c:v>42403</c:v>
                </c:pt>
                <c:pt idx="2573">
                  <c:v>42404</c:v>
                </c:pt>
                <c:pt idx="2574">
                  <c:v>42405</c:v>
                </c:pt>
                <c:pt idx="2575">
                  <c:v>42415</c:v>
                </c:pt>
                <c:pt idx="2576">
                  <c:v>42416</c:v>
                </c:pt>
                <c:pt idx="2577">
                  <c:v>42417</c:v>
                </c:pt>
                <c:pt idx="2578">
                  <c:v>42418</c:v>
                </c:pt>
                <c:pt idx="2579">
                  <c:v>42419</c:v>
                </c:pt>
                <c:pt idx="2580">
                  <c:v>42422</c:v>
                </c:pt>
                <c:pt idx="2581">
                  <c:v>42423</c:v>
                </c:pt>
                <c:pt idx="2582">
                  <c:v>42424</c:v>
                </c:pt>
                <c:pt idx="2583">
                  <c:v>42425</c:v>
                </c:pt>
                <c:pt idx="2584">
                  <c:v>42426</c:v>
                </c:pt>
                <c:pt idx="2585">
                  <c:v>42429</c:v>
                </c:pt>
                <c:pt idx="2586">
                  <c:v>42430</c:v>
                </c:pt>
                <c:pt idx="2587">
                  <c:v>42431</c:v>
                </c:pt>
                <c:pt idx="2588">
                  <c:v>42432</c:v>
                </c:pt>
                <c:pt idx="2589">
                  <c:v>42433</c:v>
                </c:pt>
                <c:pt idx="2590">
                  <c:v>42436</c:v>
                </c:pt>
                <c:pt idx="2591">
                  <c:v>42437</c:v>
                </c:pt>
                <c:pt idx="2592">
                  <c:v>42438</c:v>
                </c:pt>
                <c:pt idx="2593">
                  <c:v>42439</c:v>
                </c:pt>
                <c:pt idx="2594">
                  <c:v>42440</c:v>
                </c:pt>
                <c:pt idx="2595">
                  <c:v>42443</c:v>
                </c:pt>
                <c:pt idx="2596">
                  <c:v>42444</c:v>
                </c:pt>
                <c:pt idx="2597">
                  <c:v>42445</c:v>
                </c:pt>
                <c:pt idx="2598">
                  <c:v>42446</c:v>
                </c:pt>
                <c:pt idx="2599">
                  <c:v>42447</c:v>
                </c:pt>
                <c:pt idx="2600">
                  <c:v>42450</c:v>
                </c:pt>
                <c:pt idx="2601">
                  <c:v>42451</c:v>
                </c:pt>
                <c:pt idx="2602">
                  <c:v>42452</c:v>
                </c:pt>
                <c:pt idx="2603">
                  <c:v>42453</c:v>
                </c:pt>
                <c:pt idx="2604">
                  <c:v>42454</c:v>
                </c:pt>
                <c:pt idx="2605">
                  <c:v>42457</c:v>
                </c:pt>
                <c:pt idx="2606">
                  <c:v>42458</c:v>
                </c:pt>
                <c:pt idx="2607">
                  <c:v>42459</c:v>
                </c:pt>
                <c:pt idx="2608">
                  <c:v>42460</c:v>
                </c:pt>
                <c:pt idx="2609">
                  <c:v>42461</c:v>
                </c:pt>
                <c:pt idx="2610">
                  <c:v>42465</c:v>
                </c:pt>
                <c:pt idx="2611">
                  <c:v>42466</c:v>
                </c:pt>
                <c:pt idx="2612">
                  <c:v>42467</c:v>
                </c:pt>
                <c:pt idx="2613">
                  <c:v>42468</c:v>
                </c:pt>
                <c:pt idx="2614">
                  <c:v>42471</c:v>
                </c:pt>
                <c:pt idx="2615">
                  <c:v>42472</c:v>
                </c:pt>
                <c:pt idx="2616">
                  <c:v>42473</c:v>
                </c:pt>
                <c:pt idx="2617">
                  <c:v>42474</c:v>
                </c:pt>
                <c:pt idx="2618">
                  <c:v>42475</c:v>
                </c:pt>
                <c:pt idx="2619">
                  <c:v>42478</c:v>
                </c:pt>
                <c:pt idx="2620">
                  <c:v>42479</c:v>
                </c:pt>
                <c:pt idx="2621">
                  <c:v>42480</c:v>
                </c:pt>
                <c:pt idx="2622">
                  <c:v>42481</c:v>
                </c:pt>
                <c:pt idx="2623">
                  <c:v>42482</c:v>
                </c:pt>
                <c:pt idx="2624">
                  <c:v>42485</c:v>
                </c:pt>
                <c:pt idx="2625">
                  <c:v>42486</c:v>
                </c:pt>
                <c:pt idx="2626">
                  <c:v>42487</c:v>
                </c:pt>
                <c:pt idx="2627">
                  <c:v>42488</c:v>
                </c:pt>
                <c:pt idx="2628">
                  <c:v>42489</c:v>
                </c:pt>
                <c:pt idx="2629">
                  <c:v>42493</c:v>
                </c:pt>
                <c:pt idx="2630">
                  <c:v>42494</c:v>
                </c:pt>
                <c:pt idx="2631">
                  <c:v>42495</c:v>
                </c:pt>
                <c:pt idx="2632">
                  <c:v>42496</c:v>
                </c:pt>
                <c:pt idx="2633">
                  <c:v>42499</c:v>
                </c:pt>
                <c:pt idx="2634">
                  <c:v>42500</c:v>
                </c:pt>
                <c:pt idx="2635">
                  <c:v>42501</c:v>
                </c:pt>
                <c:pt idx="2636">
                  <c:v>42502</c:v>
                </c:pt>
                <c:pt idx="2637">
                  <c:v>42503</c:v>
                </c:pt>
                <c:pt idx="2638">
                  <c:v>42506</c:v>
                </c:pt>
                <c:pt idx="2639">
                  <c:v>42507</c:v>
                </c:pt>
                <c:pt idx="2640">
                  <c:v>42508</c:v>
                </c:pt>
                <c:pt idx="2641">
                  <c:v>42509</c:v>
                </c:pt>
                <c:pt idx="2642">
                  <c:v>42510</c:v>
                </c:pt>
                <c:pt idx="2643">
                  <c:v>42513</c:v>
                </c:pt>
                <c:pt idx="2644">
                  <c:v>42514</c:v>
                </c:pt>
                <c:pt idx="2645">
                  <c:v>42515</c:v>
                </c:pt>
                <c:pt idx="2646">
                  <c:v>42516</c:v>
                </c:pt>
                <c:pt idx="2647">
                  <c:v>42517</c:v>
                </c:pt>
                <c:pt idx="2648">
                  <c:v>42520</c:v>
                </c:pt>
                <c:pt idx="2649">
                  <c:v>42521</c:v>
                </c:pt>
                <c:pt idx="2650">
                  <c:v>42522</c:v>
                </c:pt>
                <c:pt idx="2651">
                  <c:v>42523</c:v>
                </c:pt>
                <c:pt idx="2652">
                  <c:v>42524</c:v>
                </c:pt>
                <c:pt idx="2653">
                  <c:v>42527</c:v>
                </c:pt>
                <c:pt idx="2654">
                  <c:v>42528</c:v>
                </c:pt>
                <c:pt idx="2655">
                  <c:v>42529</c:v>
                </c:pt>
                <c:pt idx="2656">
                  <c:v>42534</c:v>
                </c:pt>
                <c:pt idx="2657">
                  <c:v>42535</c:v>
                </c:pt>
                <c:pt idx="2658">
                  <c:v>42536</c:v>
                </c:pt>
                <c:pt idx="2659">
                  <c:v>42537</c:v>
                </c:pt>
                <c:pt idx="2660">
                  <c:v>42538</c:v>
                </c:pt>
                <c:pt idx="2661">
                  <c:v>42541</c:v>
                </c:pt>
                <c:pt idx="2662">
                  <c:v>42542</c:v>
                </c:pt>
                <c:pt idx="2663">
                  <c:v>42543</c:v>
                </c:pt>
                <c:pt idx="2664">
                  <c:v>42544</c:v>
                </c:pt>
                <c:pt idx="2665">
                  <c:v>42545</c:v>
                </c:pt>
                <c:pt idx="2666">
                  <c:v>42548</c:v>
                </c:pt>
                <c:pt idx="2667">
                  <c:v>42549</c:v>
                </c:pt>
                <c:pt idx="2668">
                  <c:v>42550</c:v>
                </c:pt>
                <c:pt idx="2669">
                  <c:v>42551</c:v>
                </c:pt>
                <c:pt idx="2670">
                  <c:v>42552</c:v>
                </c:pt>
                <c:pt idx="2671">
                  <c:v>42555</c:v>
                </c:pt>
                <c:pt idx="2672">
                  <c:v>42556</c:v>
                </c:pt>
                <c:pt idx="2673">
                  <c:v>42557</c:v>
                </c:pt>
                <c:pt idx="2674">
                  <c:v>42558</c:v>
                </c:pt>
                <c:pt idx="2675">
                  <c:v>42559</c:v>
                </c:pt>
                <c:pt idx="2676">
                  <c:v>42562</c:v>
                </c:pt>
                <c:pt idx="2677">
                  <c:v>42563</c:v>
                </c:pt>
                <c:pt idx="2678">
                  <c:v>42564</c:v>
                </c:pt>
                <c:pt idx="2679">
                  <c:v>42565</c:v>
                </c:pt>
                <c:pt idx="2680">
                  <c:v>42566</c:v>
                </c:pt>
                <c:pt idx="2681">
                  <c:v>42569</c:v>
                </c:pt>
                <c:pt idx="2682">
                  <c:v>42570</c:v>
                </c:pt>
                <c:pt idx="2683">
                  <c:v>42571</c:v>
                </c:pt>
                <c:pt idx="2684">
                  <c:v>42572</c:v>
                </c:pt>
                <c:pt idx="2685">
                  <c:v>42573</c:v>
                </c:pt>
                <c:pt idx="2686">
                  <c:v>42576</c:v>
                </c:pt>
                <c:pt idx="2687">
                  <c:v>42577</c:v>
                </c:pt>
                <c:pt idx="2688">
                  <c:v>42578</c:v>
                </c:pt>
                <c:pt idx="2689">
                  <c:v>42579</c:v>
                </c:pt>
                <c:pt idx="2690">
                  <c:v>42580</c:v>
                </c:pt>
                <c:pt idx="2691">
                  <c:v>42583</c:v>
                </c:pt>
                <c:pt idx="2692">
                  <c:v>42584</c:v>
                </c:pt>
                <c:pt idx="2693">
                  <c:v>42585</c:v>
                </c:pt>
                <c:pt idx="2694">
                  <c:v>42586</c:v>
                </c:pt>
                <c:pt idx="2695">
                  <c:v>42587</c:v>
                </c:pt>
                <c:pt idx="2696">
                  <c:v>42590</c:v>
                </c:pt>
                <c:pt idx="2697">
                  <c:v>42591</c:v>
                </c:pt>
                <c:pt idx="2698">
                  <c:v>42592</c:v>
                </c:pt>
                <c:pt idx="2699">
                  <c:v>42593</c:v>
                </c:pt>
                <c:pt idx="2700">
                  <c:v>42594</c:v>
                </c:pt>
                <c:pt idx="2701">
                  <c:v>42597</c:v>
                </c:pt>
                <c:pt idx="2702">
                  <c:v>42598</c:v>
                </c:pt>
                <c:pt idx="2703">
                  <c:v>42599</c:v>
                </c:pt>
                <c:pt idx="2704">
                  <c:v>42600</c:v>
                </c:pt>
                <c:pt idx="2705">
                  <c:v>42601</c:v>
                </c:pt>
                <c:pt idx="2706">
                  <c:v>42604</c:v>
                </c:pt>
                <c:pt idx="2707">
                  <c:v>42605</c:v>
                </c:pt>
                <c:pt idx="2708">
                  <c:v>42606</c:v>
                </c:pt>
                <c:pt idx="2709">
                  <c:v>42607</c:v>
                </c:pt>
                <c:pt idx="2710">
                  <c:v>42608</c:v>
                </c:pt>
                <c:pt idx="2711">
                  <c:v>42611</c:v>
                </c:pt>
                <c:pt idx="2712">
                  <c:v>42612</c:v>
                </c:pt>
                <c:pt idx="2713">
                  <c:v>42613</c:v>
                </c:pt>
                <c:pt idx="2714">
                  <c:v>42614</c:v>
                </c:pt>
                <c:pt idx="2715">
                  <c:v>42615</c:v>
                </c:pt>
                <c:pt idx="2716">
                  <c:v>42618</c:v>
                </c:pt>
                <c:pt idx="2717">
                  <c:v>42619</c:v>
                </c:pt>
                <c:pt idx="2718">
                  <c:v>42620</c:v>
                </c:pt>
                <c:pt idx="2719">
                  <c:v>42621</c:v>
                </c:pt>
                <c:pt idx="2720">
                  <c:v>42622</c:v>
                </c:pt>
                <c:pt idx="2721">
                  <c:v>42625</c:v>
                </c:pt>
                <c:pt idx="2722">
                  <c:v>42626</c:v>
                </c:pt>
                <c:pt idx="2723">
                  <c:v>42627</c:v>
                </c:pt>
                <c:pt idx="2724">
                  <c:v>42632</c:v>
                </c:pt>
                <c:pt idx="2725">
                  <c:v>42633</c:v>
                </c:pt>
                <c:pt idx="2726">
                  <c:v>42634</c:v>
                </c:pt>
                <c:pt idx="2727">
                  <c:v>42635</c:v>
                </c:pt>
                <c:pt idx="2728">
                  <c:v>42636</c:v>
                </c:pt>
                <c:pt idx="2729">
                  <c:v>42639</c:v>
                </c:pt>
                <c:pt idx="2730">
                  <c:v>42640</c:v>
                </c:pt>
                <c:pt idx="2731">
                  <c:v>42641</c:v>
                </c:pt>
                <c:pt idx="2732">
                  <c:v>42642</c:v>
                </c:pt>
                <c:pt idx="2733">
                  <c:v>42643</c:v>
                </c:pt>
                <c:pt idx="2734">
                  <c:v>42653</c:v>
                </c:pt>
                <c:pt idx="2735">
                  <c:v>42654</c:v>
                </c:pt>
                <c:pt idx="2736">
                  <c:v>42655</c:v>
                </c:pt>
                <c:pt idx="2737">
                  <c:v>42656</c:v>
                </c:pt>
                <c:pt idx="2738">
                  <c:v>42657</c:v>
                </c:pt>
                <c:pt idx="2739">
                  <c:v>42660</c:v>
                </c:pt>
                <c:pt idx="2740">
                  <c:v>42661</c:v>
                </c:pt>
                <c:pt idx="2741">
                  <c:v>42662</c:v>
                </c:pt>
                <c:pt idx="2742">
                  <c:v>42663</c:v>
                </c:pt>
                <c:pt idx="2743">
                  <c:v>42664</c:v>
                </c:pt>
                <c:pt idx="2744">
                  <c:v>42667</c:v>
                </c:pt>
                <c:pt idx="2745">
                  <c:v>42668</c:v>
                </c:pt>
                <c:pt idx="2746">
                  <c:v>42669</c:v>
                </c:pt>
                <c:pt idx="2747">
                  <c:v>42670</c:v>
                </c:pt>
                <c:pt idx="2748">
                  <c:v>42671</c:v>
                </c:pt>
                <c:pt idx="2749">
                  <c:v>42674</c:v>
                </c:pt>
                <c:pt idx="2750">
                  <c:v>42675</c:v>
                </c:pt>
                <c:pt idx="2751">
                  <c:v>42676</c:v>
                </c:pt>
                <c:pt idx="2752">
                  <c:v>42677</c:v>
                </c:pt>
                <c:pt idx="2753">
                  <c:v>42678</c:v>
                </c:pt>
                <c:pt idx="2754">
                  <c:v>42681</c:v>
                </c:pt>
                <c:pt idx="2755">
                  <c:v>42682</c:v>
                </c:pt>
                <c:pt idx="2756">
                  <c:v>42683</c:v>
                </c:pt>
                <c:pt idx="2757">
                  <c:v>42684</c:v>
                </c:pt>
                <c:pt idx="2758">
                  <c:v>42685</c:v>
                </c:pt>
                <c:pt idx="2759">
                  <c:v>42688</c:v>
                </c:pt>
                <c:pt idx="2760">
                  <c:v>42689</c:v>
                </c:pt>
                <c:pt idx="2761">
                  <c:v>42690</c:v>
                </c:pt>
                <c:pt idx="2762">
                  <c:v>42691</c:v>
                </c:pt>
                <c:pt idx="2763">
                  <c:v>42692</c:v>
                </c:pt>
                <c:pt idx="2764">
                  <c:v>42695</c:v>
                </c:pt>
                <c:pt idx="2765">
                  <c:v>42696</c:v>
                </c:pt>
                <c:pt idx="2766">
                  <c:v>42697</c:v>
                </c:pt>
                <c:pt idx="2767">
                  <c:v>42698</c:v>
                </c:pt>
                <c:pt idx="2768">
                  <c:v>42699</c:v>
                </c:pt>
                <c:pt idx="2769">
                  <c:v>42702</c:v>
                </c:pt>
                <c:pt idx="2770">
                  <c:v>42703</c:v>
                </c:pt>
                <c:pt idx="2771">
                  <c:v>42704</c:v>
                </c:pt>
                <c:pt idx="2772">
                  <c:v>42705</c:v>
                </c:pt>
                <c:pt idx="2773">
                  <c:v>42706</c:v>
                </c:pt>
                <c:pt idx="2774">
                  <c:v>42709</c:v>
                </c:pt>
                <c:pt idx="2775">
                  <c:v>42710</c:v>
                </c:pt>
                <c:pt idx="2776">
                  <c:v>42711</c:v>
                </c:pt>
                <c:pt idx="2777">
                  <c:v>42712</c:v>
                </c:pt>
                <c:pt idx="2778">
                  <c:v>42713</c:v>
                </c:pt>
                <c:pt idx="2779">
                  <c:v>42716</c:v>
                </c:pt>
                <c:pt idx="2780">
                  <c:v>42717</c:v>
                </c:pt>
                <c:pt idx="2781">
                  <c:v>42718</c:v>
                </c:pt>
                <c:pt idx="2782">
                  <c:v>42719</c:v>
                </c:pt>
                <c:pt idx="2783">
                  <c:v>42720</c:v>
                </c:pt>
                <c:pt idx="2784">
                  <c:v>42723</c:v>
                </c:pt>
                <c:pt idx="2785">
                  <c:v>42724</c:v>
                </c:pt>
                <c:pt idx="2786">
                  <c:v>42725</c:v>
                </c:pt>
                <c:pt idx="2787">
                  <c:v>42726</c:v>
                </c:pt>
                <c:pt idx="2788">
                  <c:v>42727</c:v>
                </c:pt>
                <c:pt idx="2789">
                  <c:v>42730</c:v>
                </c:pt>
                <c:pt idx="2790">
                  <c:v>42731</c:v>
                </c:pt>
                <c:pt idx="2791">
                  <c:v>42732</c:v>
                </c:pt>
                <c:pt idx="2792">
                  <c:v>42733</c:v>
                </c:pt>
                <c:pt idx="2793">
                  <c:v>42734</c:v>
                </c:pt>
                <c:pt idx="2794">
                  <c:v>42738</c:v>
                </c:pt>
                <c:pt idx="2795">
                  <c:v>42739</c:v>
                </c:pt>
                <c:pt idx="2796">
                  <c:v>42740</c:v>
                </c:pt>
                <c:pt idx="2797">
                  <c:v>42741</c:v>
                </c:pt>
                <c:pt idx="2798">
                  <c:v>42744</c:v>
                </c:pt>
                <c:pt idx="2799">
                  <c:v>42745</c:v>
                </c:pt>
                <c:pt idx="2800">
                  <c:v>42746</c:v>
                </c:pt>
                <c:pt idx="2801">
                  <c:v>42747</c:v>
                </c:pt>
                <c:pt idx="2802">
                  <c:v>42748</c:v>
                </c:pt>
                <c:pt idx="2803">
                  <c:v>42751</c:v>
                </c:pt>
                <c:pt idx="2804">
                  <c:v>42752</c:v>
                </c:pt>
                <c:pt idx="2805">
                  <c:v>42753</c:v>
                </c:pt>
                <c:pt idx="2806">
                  <c:v>42754</c:v>
                </c:pt>
                <c:pt idx="2807">
                  <c:v>42755</c:v>
                </c:pt>
                <c:pt idx="2808">
                  <c:v>42758</c:v>
                </c:pt>
                <c:pt idx="2809">
                  <c:v>42759</c:v>
                </c:pt>
                <c:pt idx="2810">
                  <c:v>42760</c:v>
                </c:pt>
                <c:pt idx="2811">
                  <c:v>42761</c:v>
                </c:pt>
                <c:pt idx="2812">
                  <c:v>42769</c:v>
                </c:pt>
                <c:pt idx="2813">
                  <c:v>42772</c:v>
                </c:pt>
                <c:pt idx="2814">
                  <c:v>42773</c:v>
                </c:pt>
                <c:pt idx="2815">
                  <c:v>42774</c:v>
                </c:pt>
                <c:pt idx="2816">
                  <c:v>42775</c:v>
                </c:pt>
                <c:pt idx="2817">
                  <c:v>42776</c:v>
                </c:pt>
                <c:pt idx="2818">
                  <c:v>42779</c:v>
                </c:pt>
                <c:pt idx="2819">
                  <c:v>42780</c:v>
                </c:pt>
                <c:pt idx="2820">
                  <c:v>42781</c:v>
                </c:pt>
                <c:pt idx="2821">
                  <c:v>42782</c:v>
                </c:pt>
                <c:pt idx="2822">
                  <c:v>42783</c:v>
                </c:pt>
                <c:pt idx="2823">
                  <c:v>42786</c:v>
                </c:pt>
                <c:pt idx="2824">
                  <c:v>42787</c:v>
                </c:pt>
                <c:pt idx="2825">
                  <c:v>42788</c:v>
                </c:pt>
                <c:pt idx="2826">
                  <c:v>42789</c:v>
                </c:pt>
                <c:pt idx="2827">
                  <c:v>42790</c:v>
                </c:pt>
                <c:pt idx="2828">
                  <c:v>42793</c:v>
                </c:pt>
                <c:pt idx="2829">
                  <c:v>42794</c:v>
                </c:pt>
                <c:pt idx="2830">
                  <c:v>42795</c:v>
                </c:pt>
                <c:pt idx="2831">
                  <c:v>42796</c:v>
                </c:pt>
                <c:pt idx="2832">
                  <c:v>42797</c:v>
                </c:pt>
                <c:pt idx="2833">
                  <c:v>42800</c:v>
                </c:pt>
                <c:pt idx="2834">
                  <c:v>42801</c:v>
                </c:pt>
                <c:pt idx="2835">
                  <c:v>42802</c:v>
                </c:pt>
                <c:pt idx="2836">
                  <c:v>42803</c:v>
                </c:pt>
                <c:pt idx="2837">
                  <c:v>42804</c:v>
                </c:pt>
                <c:pt idx="2838">
                  <c:v>42807</c:v>
                </c:pt>
                <c:pt idx="2839">
                  <c:v>42808</c:v>
                </c:pt>
                <c:pt idx="2840">
                  <c:v>42809</c:v>
                </c:pt>
                <c:pt idx="2841">
                  <c:v>42810</c:v>
                </c:pt>
                <c:pt idx="2842">
                  <c:v>42811</c:v>
                </c:pt>
                <c:pt idx="2843">
                  <c:v>42814</c:v>
                </c:pt>
                <c:pt idx="2844">
                  <c:v>42815</c:v>
                </c:pt>
                <c:pt idx="2845">
                  <c:v>42816</c:v>
                </c:pt>
                <c:pt idx="2846">
                  <c:v>42817</c:v>
                </c:pt>
                <c:pt idx="2847">
                  <c:v>42818</c:v>
                </c:pt>
                <c:pt idx="2848">
                  <c:v>42821</c:v>
                </c:pt>
                <c:pt idx="2849">
                  <c:v>42822</c:v>
                </c:pt>
                <c:pt idx="2850">
                  <c:v>42823</c:v>
                </c:pt>
                <c:pt idx="2851">
                  <c:v>42824</c:v>
                </c:pt>
                <c:pt idx="2852">
                  <c:v>42825</c:v>
                </c:pt>
                <c:pt idx="2853">
                  <c:v>42830</c:v>
                </c:pt>
                <c:pt idx="2854">
                  <c:v>42831</c:v>
                </c:pt>
                <c:pt idx="2855">
                  <c:v>42832</c:v>
                </c:pt>
                <c:pt idx="2856">
                  <c:v>42835</c:v>
                </c:pt>
                <c:pt idx="2857">
                  <c:v>42836</c:v>
                </c:pt>
                <c:pt idx="2858">
                  <c:v>42837</c:v>
                </c:pt>
                <c:pt idx="2859">
                  <c:v>42838</c:v>
                </c:pt>
                <c:pt idx="2860">
                  <c:v>42839</c:v>
                </c:pt>
                <c:pt idx="2861">
                  <c:v>42842</c:v>
                </c:pt>
                <c:pt idx="2862">
                  <c:v>42843</c:v>
                </c:pt>
                <c:pt idx="2863">
                  <c:v>42844</c:v>
                </c:pt>
                <c:pt idx="2864">
                  <c:v>42845</c:v>
                </c:pt>
                <c:pt idx="2865">
                  <c:v>42846</c:v>
                </c:pt>
                <c:pt idx="2866">
                  <c:v>42849</c:v>
                </c:pt>
                <c:pt idx="2867">
                  <c:v>42850</c:v>
                </c:pt>
                <c:pt idx="2868">
                  <c:v>42851</c:v>
                </c:pt>
                <c:pt idx="2869">
                  <c:v>42852</c:v>
                </c:pt>
                <c:pt idx="2870">
                  <c:v>42853</c:v>
                </c:pt>
                <c:pt idx="2871">
                  <c:v>42857</c:v>
                </c:pt>
                <c:pt idx="2872">
                  <c:v>42858</c:v>
                </c:pt>
                <c:pt idx="2873">
                  <c:v>42859</c:v>
                </c:pt>
                <c:pt idx="2874">
                  <c:v>42860</c:v>
                </c:pt>
                <c:pt idx="2875">
                  <c:v>42863</c:v>
                </c:pt>
                <c:pt idx="2876">
                  <c:v>42864</c:v>
                </c:pt>
                <c:pt idx="2877">
                  <c:v>42865</c:v>
                </c:pt>
                <c:pt idx="2878">
                  <c:v>42866</c:v>
                </c:pt>
                <c:pt idx="2879">
                  <c:v>42867</c:v>
                </c:pt>
                <c:pt idx="2880">
                  <c:v>42870</c:v>
                </c:pt>
                <c:pt idx="2881">
                  <c:v>42871</c:v>
                </c:pt>
                <c:pt idx="2882">
                  <c:v>42872</c:v>
                </c:pt>
                <c:pt idx="2883">
                  <c:v>42873</c:v>
                </c:pt>
                <c:pt idx="2884">
                  <c:v>42874</c:v>
                </c:pt>
                <c:pt idx="2885">
                  <c:v>42877</c:v>
                </c:pt>
                <c:pt idx="2886">
                  <c:v>42878</c:v>
                </c:pt>
                <c:pt idx="2887">
                  <c:v>42879</c:v>
                </c:pt>
                <c:pt idx="2888">
                  <c:v>42880</c:v>
                </c:pt>
                <c:pt idx="2889">
                  <c:v>42881</c:v>
                </c:pt>
                <c:pt idx="2890">
                  <c:v>42886</c:v>
                </c:pt>
                <c:pt idx="2891">
                  <c:v>42887</c:v>
                </c:pt>
                <c:pt idx="2892">
                  <c:v>42888</c:v>
                </c:pt>
                <c:pt idx="2893">
                  <c:v>42891</c:v>
                </c:pt>
                <c:pt idx="2894">
                  <c:v>42892</c:v>
                </c:pt>
                <c:pt idx="2895">
                  <c:v>42893</c:v>
                </c:pt>
                <c:pt idx="2896">
                  <c:v>42894</c:v>
                </c:pt>
                <c:pt idx="2897">
                  <c:v>42895</c:v>
                </c:pt>
                <c:pt idx="2898">
                  <c:v>42898</c:v>
                </c:pt>
                <c:pt idx="2899">
                  <c:v>42899</c:v>
                </c:pt>
                <c:pt idx="2900">
                  <c:v>42900</c:v>
                </c:pt>
                <c:pt idx="2901">
                  <c:v>42901</c:v>
                </c:pt>
                <c:pt idx="2902">
                  <c:v>42902</c:v>
                </c:pt>
                <c:pt idx="2903">
                  <c:v>42905</c:v>
                </c:pt>
                <c:pt idx="2904">
                  <c:v>42906</c:v>
                </c:pt>
                <c:pt idx="2905">
                  <c:v>42907</c:v>
                </c:pt>
                <c:pt idx="2906">
                  <c:v>42908</c:v>
                </c:pt>
                <c:pt idx="2907">
                  <c:v>42909</c:v>
                </c:pt>
                <c:pt idx="2908">
                  <c:v>42912</c:v>
                </c:pt>
                <c:pt idx="2909">
                  <c:v>42913</c:v>
                </c:pt>
                <c:pt idx="2910">
                  <c:v>42914</c:v>
                </c:pt>
                <c:pt idx="2911">
                  <c:v>42915</c:v>
                </c:pt>
                <c:pt idx="2912">
                  <c:v>42916</c:v>
                </c:pt>
                <c:pt idx="2913">
                  <c:v>42919</c:v>
                </c:pt>
                <c:pt idx="2914">
                  <c:v>42920</c:v>
                </c:pt>
                <c:pt idx="2915">
                  <c:v>42921</c:v>
                </c:pt>
                <c:pt idx="2916">
                  <c:v>42922</c:v>
                </c:pt>
                <c:pt idx="2917">
                  <c:v>42923</c:v>
                </c:pt>
                <c:pt idx="2918">
                  <c:v>42926</c:v>
                </c:pt>
                <c:pt idx="2919">
                  <c:v>42927</c:v>
                </c:pt>
                <c:pt idx="2920">
                  <c:v>42928</c:v>
                </c:pt>
                <c:pt idx="2921">
                  <c:v>42929</c:v>
                </c:pt>
                <c:pt idx="2922">
                  <c:v>42930</c:v>
                </c:pt>
                <c:pt idx="2923">
                  <c:v>42933</c:v>
                </c:pt>
                <c:pt idx="2924">
                  <c:v>42934</c:v>
                </c:pt>
                <c:pt idx="2925">
                  <c:v>42935</c:v>
                </c:pt>
                <c:pt idx="2926">
                  <c:v>42936</c:v>
                </c:pt>
                <c:pt idx="2927">
                  <c:v>42937</c:v>
                </c:pt>
                <c:pt idx="2928">
                  <c:v>42940</c:v>
                </c:pt>
                <c:pt idx="2929">
                  <c:v>42941</c:v>
                </c:pt>
                <c:pt idx="2930">
                  <c:v>42942</c:v>
                </c:pt>
                <c:pt idx="2931">
                  <c:v>42943</c:v>
                </c:pt>
                <c:pt idx="2932">
                  <c:v>42944</c:v>
                </c:pt>
                <c:pt idx="2933">
                  <c:v>42947</c:v>
                </c:pt>
                <c:pt idx="2934">
                  <c:v>42948</c:v>
                </c:pt>
                <c:pt idx="2935">
                  <c:v>42949</c:v>
                </c:pt>
                <c:pt idx="2936">
                  <c:v>42950</c:v>
                </c:pt>
                <c:pt idx="2937">
                  <c:v>42951</c:v>
                </c:pt>
                <c:pt idx="2938">
                  <c:v>42954</c:v>
                </c:pt>
                <c:pt idx="2939">
                  <c:v>42955</c:v>
                </c:pt>
                <c:pt idx="2940">
                  <c:v>42956</c:v>
                </c:pt>
                <c:pt idx="2941">
                  <c:v>42957</c:v>
                </c:pt>
                <c:pt idx="2942">
                  <c:v>42958</c:v>
                </c:pt>
                <c:pt idx="2943">
                  <c:v>42961</c:v>
                </c:pt>
                <c:pt idx="2944">
                  <c:v>42962</c:v>
                </c:pt>
                <c:pt idx="2945">
                  <c:v>42963</c:v>
                </c:pt>
                <c:pt idx="2946">
                  <c:v>42964</c:v>
                </c:pt>
                <c:pt idx="2947">
                  <c:v>42965</c:v>
                </c:pt>
                <c:pt idx="2948">
                  <c:v>42968</c:v>
                </c:pt>
                <c:pt idx="2949">
                  <c:v>42969</c:v>
                </c:pt>
                <c:pt idx="2950">
                  <c:v>42970</c:v>
                </c:pt>
                <c:pt idx="2951">
                  <c:v>42971</c:v>
                </c:pt>
                <c:pt idx="2952">
                  <c:v>42972</c:v>
                </c:pt>
                <c:pt idx="2953">
                  <c:v>42975</c:v>
                </c:pt>
                <c:pt idx="2954">
                  <c:v>42976</c:v>
                </c:pt>
                <c:pt idx="2955">
                  <c:v>42977</c:v>
                </c:pt>
                <c:pt idx="2956">
                  <c:v>42978</c:v>
                </c:pt>
                <c:pt idx="2957">
                  <c:v>42979</c:v>
                </c:pt>
                <c:pt idx="2958">
                  <c:v>42982</c:v>
                </c:pt>
                <c:pt idx="2959">
                  <c:v>42983</c:v>
                </c:pt>
                <c:pt idx="2960">
                  <c:v>42984</c:v>
                </c:pt>
                <c:pt idx="2961">
                  <c:v>42985</c:v>
                </c:pt>
                <c:pt idx="2962">
                  <c:v>42986</c:v>
                </c:pt>
                <c:pt idx="2963">
                  <c:v>42989</c:v>
                </c:pt>
                <c:pt idx="2964">
                  <c:v>42990</c:v>
                </c:pt>
                <c:pt idx="2965">
                  <c:v>42991</c:v>
                </c:pt>
                <c:pt idx="2966">
                  <c:v>42992</c:v>
                </c:pt>
                <c:pt idx="2967">
                  <c:v>42993</c:v>
                </c:pt>
                <c:pt idx="2968">
                  <c:v>42996</c:v>
                </c:pt>
                <c:pt idx="2969">
                  <c:v>42997</c:v>
                </c:pt>
                <c:pt idx="2970">
                  <c:v>42998</c:v>
                </c:pt>
                <c:pt idx="2971">
                  <c:v>42999</c:v>
                </c:pt>
                <c:pt idx="2972">
                  <c:v>43000</c:v>
                </c:pt>
                <c:pt idx="2973">
                  <c:v>43003</c:v>
                </c:pt>
                <c:pt idx="2974">
                  <c:v>43004</c:v>
                </c:pt>
                <c:pt idx="2975">
                  <c:v>43005</c:v>
                </c:pt>
                <c:pt idx="2976">
                  <c:v>43006</c:v>
                </c:pt>
                <c:pt idx="2977">
                  <c:v>43007</c:v>
                </c:pt>
                <c:pt idx="2978">
                  <c:v>43017</c:v>
                </c:pt>
                <c:pt idx="2979">
                  <c:v>43018</c:v>
                </c:pt>
                <c:pt idx="2980">
                  <c:v>43019</c:v>
                </c:pt>
                <c:pt idx="2981">
                  <c:v>43020</c:v>
                </c:pt>
                <c:pt idx="2982">
                  <c:v>43021</c:v>
                </c:pt>
                <c:pt idx="2983">
                  <c:v>43024</c:v>
                </c:pt>
                <c:pt idx="2984">
                  <c:v>43025</c:v>
                </c:pt>
                <c:pt idx="2985">
                  <c:v>43026</c:v>
                </c:pt>
                <c:pt idx="2986">
                  <c:v>43027</c:v>
                </c:pt>
                <c:pt idx="2987">
                  <c:v>43028</c:v>
                </c:pt>
                <c:pt idx="2988">
                  <c:v>43031</c:v>
                </c:pt>
                <c:pt idx="2989">
                  <c:v>43032</c:v>
                </c:pt>
                <c:pt idx="2990">
                  <c:v>43033</c:v>
                </c:pt>
                <c:pt idx="2991">
                  <c:v>43034</c:v>
                </c:pt>
                <c:pt idx="2992">
                  <c:v>43035</c:v>
                </c:pt>
                <c:pt idx="2993">
                  <c:v>43038</c:v>
                </c:pt>
                <c:pt idx="2994">
                  <c:v>43039</c:v>
                </c:pt>
                <c:pt idx="2995">
                  <c:v>43040</c:v>
                </c:pt>
                <c:pt idx="2996">
                  <c:v>43041</c:v>
                </c:pt>
                <c:pt idx="2997">
                  <c:v>43042</c:v>
                </c:pt>
                <c:pt idx="2998">
                  <c:v>43045</c:v>
                </c:pt>
                <c:pt idx="2999">
                  <c:v>43046</c:v>
                </c:pt>
                <c:pt idx="3000">
                  <c:v>43047</c:v>
                </c:pt>
                <c:pt idx="3001">
                  <c:v>43048</c:v>
                </c:pt>
                <c:pt idx="3002">
                  <c:v>43049</c:v>
                </c:pt>
                <c:pt idx="3003">
                  <c:v>43052</c:v>
                </c:pt>
                <c:pt idx="3004">
                  <c:v>43053</c:v>
                </c:pt>
                <c:pt idx="3005">
                  <c:v>43054</c:v>
                </c:pt>
                <c:pt idx="3006">
                  <c:v>43055</c:v>
                </c:pt>
                <c:pt idx="3007">
                  <c:v>43056</c:v>
                </c:pt>
                <c:pt idx="3008">
                  <c:v>43059</c:v>
                </c:pt>
                <c:pt idx="3009">
                  <c:v>43060</c:v>
                </c:pt>
                <c:pt idx="3010">
                  <c:v>43061</c:v>
                </c:pt>
                <c:pt idx="3011">
                  <c:v>43062</c:v>
                </c:pt>
                <c:pt idx="3012">
                  <c:v>43063</c:v>
                </c:pt>
                <c:pt idx="3013">
                  <c:v>43066</c:v>
                </c:pt>
                <c:pt idx="3014">
                  <c:v>43067</c:v>
                </c:pt>
                <c:pt idx="3015">
                  <c:v>43068</c:v>
                </c:pt>
                <c:pt idx="3016">
                  <c:v>43069</c:v>
                </c:pt>
                <c:pt idx="3017">
                  <c:v>43070</c:v>
                </c:pt>
                <c:pt idx="3018">
                  <c:v>43073</c:v>
                </c:pt>
                <c:pt idx="3019">
                  <c:v>43074</c:v>
                </c:pt>
                <c:pt idx="3020">
                  <c:v>43075</c:v>
                </c:pt>
                <c:pt idx="3021">
                  <c:v>43076</c:v>
                </c:pt>
                <c:pt idx="3022">
                  <c:v>43077</c:v>
                </c:pt>
                <c:pt idx="3023">
                  <c:v>43080</c:v>
                </c:pt>
                <c:pt idx="3024">
                  <c:v>43081</c:v>
                </c:pt>
                <c:pt idx="3025">
                  <c:v>43082</c:v>
                </c:pt>
                <c:pt idx="3026">
                  <c:v>43083</c:v>
                </c:pt>
                <c:pt idx="3027">
                  <c:v>43084</c:v>
                </c:pt>
                <c:pt idx="3028">
                  <c:v>43087</c:v>
                </c:pt>
                <c:pt idx="3029">
                  <c:v>43088</c:v>
                </c:pt>
                <c:pt idx="3030">
                  <c:v>43089</c:v>
                </c:pt>
                <c:pt idx="3031">
                  <c:v>43090</c:v>
                </c:pt>
                <c:pt idx="3032">
                  <c:v>43091</c:v>
                </c:pt>
                <c:pt idx="3033">
                  <c:v>43094</c:v>
                </c:pt>
                <c:pt idx="3034">
                  <c:v>43095</c:v>
                </c:pt>
                <c:pt idx="3035">
                  <c:v>43096</c:v>
                </c:pt>
                <c:pt idx="3036">
                  <c:v>43097</c:v>
                </c:pt>
                <c:pt idx="3037">
                  <c:v>43098</c:v>
                </c:pt>
                <c:pt idx="3038">
                  <c:v>43102</c:v>
                </c:pt>
                <c:pt idx="3039">
                  <c:v>43103</c:v>
                </c:pt>
                <c:pt idx="3040">
                  <c:v>43104</c:v>
                </c:pt>
                <c:pt idx="3041">
                  <c:v>43105</c:v>
                </c:pt>
                <c:pt idx="3042">
                  <c:v>43108</c:v>
                </c:pt>
                <c:pt idx="3043">
                  <c:v>43109</c:v>
                </c:pt>
                <c:pt idx="3044">
                  <c:v>43110</c:v>
                </c:pt>
                <c:pt idx="3045">
                  <c:v>43111</c:v>
                </c:pt>
                <c:pt idx="3046">
                  <c:v>43112</c:v>
                </c:pt>
                <c:pt idx="3047">
                  <c:v>43115</c:v>
                </c:pt>
                <c:pt idx="3048">
                  <c:v>43116</c:v>
                </c:pt>
                <c:pt idx="3049">
                  <c:v>43117</c:v>
                </c:pt>
                <c:pt idx="3050">
                  <c:v>43118</c:v>
                </c:pt>
                <c:pt idx="3051">
                  <c:v>43119</c:v>
                </c:pt>
                <c:pt idx="3052">
                  <c:v>43122</c:v>
                </c:pt>
                <c:pt idx="3053">
                  <c:v>43123</c:v>
                </c:pt>
                <c:pt idx="3054">
                  <c:v>43124</c:v>
                </c:pt>
                <c:pt idx="3055">
                  <c:v>43125</c:v>
                </c:pt>
                <c:pt idx="3056">
                  <c:v>43126</c:v>
                </c:pt>
                <c:pt idx="3057">
                  <c:v>43129</c:v>
                </c:pt>
                <c:pt idx="3058">
                  <c:v>43130</c:v>
                </c:pt>
                <c:pt idx="3059">
                  <c:v>43131</c:v>
                </c:pt>
                <c:pt idx="3060">
                  <c:v>43132</c:v>
                </c:pt>
                <c:pt idx="3061">
                  <c:v>43133</c:v>
                </c:pt>
                <c:pt idx="3062">
                  <c:v>43136</c:v>
                </c:pt>
                <c:pt idx="3063">
                  <c:v>43137</c:v>
                </c:pt>
                <c:pt idx="3064">
                  <c:v>43138</c:v>
                </c:pt>
                <c:pt idx="3065">
                  <c:v>43139</c:v>
                </c:pt>
                <c:pt idx="3066">
                  <c:v>43140</c:v>
                </c:pt>
                <c:pt idx="3067">
                  <c:v>43143</c:v>
                </c:pt>
                <c:pt idx="3068">
                  <c:v>43144</c:v>
                </c:pt>
                <c:pt idx="3069">
                  <c:v>43145</c:v>
                </c:pt>
                <c:pt idx="3070">
                  <c:v>43153</c:v>
                </c:pt>
                <c:pt idx="3071">
                  <c:v>43154</c:v>
                </c:pt>
                <c:pt idx="3072">
                  <c:v>43157</c:v>
                </c:pt>
                <c:pt idx="3073">
                  <c:v>43158</c:v>
                </c:pt>
                <c:pt idx="3074">
                  <c:v>43159</c:v>
                </c:pt>
                <c:pt idx="3075">
                  <c:v>43160</c:v>
                </c:pt>
                <c:pt idx="3076">
                  <c:v>43161</c:v>
                </c:pt>
                <c:pt idx="3077">
                  <c:v>43164</c:v>
                </c:pt>
                <c:pt idx="3078">
                  <c:v>43165</c:v>
                </c:pt>
                <c:pt idx="3079">
                  <c:v>43166</c:v>
                </c:pt>
                <c:pt idx="3080">
                  <c:v>43167</c:v>
                </c:pt>
                <c:pt idx="3081">
                  <c:v>43168</c:v>
                </c:pt>
                <c:pt idx="3082">
                  <c:v>43171</c:v>
                </c:pt>
                <c:pt idx="3083">
                  <c:v>43172</c:v>
                </c:pt>
                <c:pt idx="3084">
                  <c:v>43173</c:v>
                </c:pt>
                <c:pt idx="3085">
                  <c:v>43174</c:v>
                </c:pt>
                <c:pt idx="3086">
                  <c:v>43175</c:v>
                </c:pt>
                <c:pt idx="3087">
                  <c:v>43178</c:v>
                </c:pt>
                <c:pt idx="3088">
                  <c:v>43179</c:v>
                </c:pt>
                <c:pt idx="3089">
                  <c:v>43180</c:v>
                </c:pt>
                <c:pt idx="3090">
                  <c:v>43181</c:v>
                </c:pt>
                <c:pt idx="3091">
                  <c:v>43182</c:v>
                </c:pt>
                <c:pt idx="3092">
                  <c:v>43185</c:v>
                </c:pt>
                <c:pt idx="3093">
                  <c:v>43186</c:v>
                </c:pt>
                <c:pt idx="3094">
                  <c:v>43187</c:v>
                </c:pt>
                <c:pt idx="3095">
                  <c:v>43188</c:v>
                </c:pt>
                <c:pt idx="3096">
                  <c:v>43189</c:v>
                </c:pt>
                <c:pt idx="3097">
                  <c:v>43192</c:v>
                </c:pt>
                <c:pt idx="3098">
                  <c:v>43193</c:v>
                </c:pt>
                <c:pt idx="3099">
                  <c:v>43194</c:v>
                </c:pt>
                <c:pt idx="3100">
                  <c:v>43199</c:v>
                </c:pt>
                <c:pt idx="3101">
                  <c:v>43200</c:v>
                </c:pt>
                <c:pt idx="3102">
                  <c:v>43201</c:v>
                </c:pt>
                <c:pt idx="3103">
                  <c:v>43202</c:v>
                </c:pt>
                <c:pt idx="3104">
                  <c:v>43203</c:v>
                </c:pt>
                <c:pt idx="3105">
                  <c:v>43206</c:v>
                </c:pt>
                <c:pt idx="3106">
                  <c:v>43207</c:v>
                </c:pt>
                <c:pt idx="3107">
                  <c:v>43208</c:v>
                </c:pt>
                <c:pt idx="3108">
                  <c:v>43209</c:v>
                </c:pt>
                <c:pt idx="3109">
                  <c:v>43210</c:v>
                </c:pt>
                <c:pt idx="3110">
                  <c:v>43213</c:v>
                </c:pt>
                <c:pt idx="3111">
                  <c:v>43214</c:v>
                </c:pt>
                <c:pt idx="3112">
                  <c:v>43215</c:v>
                </c:pt>
                <c:pt idx="3113">
                  <c:v>43216</c:v>
                </c:pt>
                <c:pt idx="3114">
                  <c:v>43217</c:v>
                </c:pt>
                <c:pt idx="3115">
                  <c:v>43222</c:v>
                </c:pt>
                <c:pt idx="3116">
                  <c:v>43223</c:v>
                </c:pt>
                <c:pt idx="3117">
                  <c:v>43224</c:v>
                </c:pt>
                <c:pt idx="3118">
                  <c:v>43227</c:v>
                </c:pt>
                <c:pt idx="3119">
                  <c:v>43228</c:v>
                </c:pt>
                <c:pt idx="3120">
                  <c:v>43229</c:v>
                </c:pt>
                <c:pt idx="3121">
                  <c:v>43230</c:v>
                </c:pt>
                <c:pt idx="3122">
                  <c:v>43231</c:v>
                </c:pt>
                <c:pt idx="3123">
                  <c:v>43234</c:v>
                </c:pt>
                <c:pt idx="3124">
                  <c:v>43235</c:v>
                </c:pt>
                <c:pt idx="3125">
                  <c:v>43236</c:v>
                </c:pt>
                <c:pt idx="3126">
                  <c:v>43237</c:v>
                </c:pt>
                <c:pt idx="3127">
                  <c:v>43238</c:v>
                </c:pt>
                <c:pt idx="3128">
                  <c:v>43241</c:v>
                </c:pt>
                <c:pt idx="3129">
                  <c:v>43242</c:v>
                </c:pt>
                <c:pt idx="3130">
                  <c:v>43243</c:v>
                </c:pt>
                <c:pt idx="3131">
                  <c:v>43244</c:v>
                </c:pt>
                <c:pt idx="3132">
                  <c:v>43245</c:v>
                </c:pt>
                <c:pt idx="3133">
                  <c:v>43248</c:v>
                </c:pt>
                <c:pt idx="3134">
                  <c:v>43249</c:v>
                </c:pt>
                <c:pt idx="3135">
                  <c:v>43250</c:v>
                </c:pt>
                <c:pt idx="3136">
                  <c:v>43251</c:v>
                </c:pt>
                <c:pt idx="3137">
                  <c:v>43252</c:v>
                </c:pt>
                <c:pt idx="3138">
                  <c:v>43255</c:v>
                </c:pt>
                <c:pt idx="3139">
                  <c:v>43256</c:v>
                </c:pt>
                <c:pt idx="3140">
                  <c:v>43257</c:v>
                </c:pt>
                <c:pt idx="3141">
                  <c:v>43258</c:v>
                </c:pt>
                <c:pt idx="3142">
                  <c:v>43259</c:v>
                </c:pt>
                <c:pt idx="3143">
                  <c:v>43262</c:v>
                </c:pt>
                <c:pt idx="3144">
                  <c:v>43263</c:v>
                </c:pt>
                <c:pt idx="3145">
                  <c:v>43264</c:v>
                </c:pt>
                <c:pt idx="3146">
                  <c:v>43265</c:v>
                </c:pt>
                <c:pt idx="3147">
                  <c:v>43266</c:v>
                </c:pt>
                <c:pt idx="3148">
                  <c:v>43270</c:v>
                </c:pt>
                <c:pt idx="3149">
                  <c:v>43271</c:v>
                </c:pt>
                <c:pt idx="3150">
                  <c:v>43272</c:v>
                </c:pt>
                <c:pt idx="3151">
                  <c:v>43273</c:v>
                </c:pt>
                <c:pt idx="3152">
                  <c:v>43276</c:v>
                </c:pt>
                <c:pt idx="3153">
                  <c:v>43277</c:v>
                </c:pt>
                <c:pt idx="3154">
                  <c:v>43278</c:v>
                </c:pt>
                <c:pt idx="3155">
                  <c:v>43279</c:v>
                </c:pt>
                <c:pt idx="3156">
                  <c:v>43280</c:v>
                </c:pt>
                <c:pt idx="3157">
                  <c:v>43283</c:v>
                </c:pt>
                <c:pt idx="3158">
                  <c:v>43284</c:v>
                </c:pt>
                <c:pt idx="3159">
                  <c:v>43285</c:v>
                </c:pt>
                <c:pt idx="3160">
                  <c:v>43286</c:v>
                </c:pt>
                <c:pt idx="3161">
                  <c:v>43287</c:v>
                </c:pt>
                <c:pt idx="3162">
                  <c:v>43290</c:v>
                </c:pt>
                <c:pt idx="3163">
                  <c:v>43291</c:v>
                </c:pt>
                <c:pt idx="3164">
                  <c:v>43292</c:v>
                </c:pt>
                <c:pt idx="3165">
                  <c:v>43293</c:v>
                </c:pt>
                <c:pt idx="3166">
                  <c:v>43294</c:v>
                </c:pt>
                <c:pt idx="3167">
                  <c:v>43297</c:v>
                </c:pt>
                <c:pt idx="3168">
                  <c:v>43298</c:v>
                </c:pt>
                <c:pt idx="3169">
                  <c:v>43299</c:v>
                </c:pt>
                <c:pt idx="3170">
                  <c:v>43300</c:v>
                </c:pt>
                <c:pt idx="3171">
                  <c:v>43301</c:v>
                </c:pt>
                <c:pt idx="3172">
                  <c:v>43304</c:v>
                </c:pt>
                <c:pt idx="3173">
                  <c:v>43305</c:v>
                </c:pt>
                <c:pt idx="3174">
                  <c:v>43306</c:v>
                </c:pt>
                <c:pt idx="3175">
                  <c:v>43307</c:v>
                </c:pt>
                <c:pt idx="3176">
                  <c:v>43308</c:v>
                </c:pt>
                <c:pt idx="3177">
                  <c:v>43311</c:v>
                </c:pt>
                <c:pt idx="3178">
                  <c:v>43312</c:v>
                </c:pt>
                <c:pt idx="3179">
                  <c:v>43313</c:v>
                </c:pt>
                <c:pt idx="3180">
                  <c:v>43314</c:v>
                </c:pt>
                <c:pt idx="3181">
                  <c:v>43315</c:v>
                </c:pt>
                <c:pt idx="3182">
                  <c:v>43318</c:v>
                </c:pt>
                <c:pt idx="3183">
                  <c:v>43319</c:v>
                </c:pt>
                <c:pt idx="3184">
                  <c:v>43320</c:v>
                </c:pt>
                <c:pt idx="3185">
                  <c:v>43321</c:v>
                </c:pt>
                <c:pt idx="3186">
                  <c:v>43322</c:v>
                </c:pt>
                <c:pt idx="3187">
                  <c:v>43325</c:v>
                </c:pt>
                <c:pt idx="3188">
                  <c:v>43326</c:v>
                </c:pt>
                <c:pt idx="3189">
                  <c:v>43327</c:v>
                </c:pt>
                <c:pt idx="3190">
                  <c:v>43328</c:v>
                </c:pt>
                <c:pt idx="3191">
                  <c:v>43329</c:v>
                </c:pt>
                <c:pt idx="3192">
                  <c:v>43332</c:v>
                </c:pt>
                <c:pt idx="3193">
                  <c:v>43333</c:v>
                </c:pt>
                <c:pt idx="3194">
                  <c:v>43334</c:v>
                </c:pt>
                <c:pt idx="3195">
                  <c:v>43335</c:v>
                </c:pt>
                <c:pt idx="3196">
                  <c:v>43336</c:v>
                </c:pt>
                <c:pt idx="3197">
                  <c:v>43339</c:v>
                </c:pt>
                <c:pt idx="3198">
                  <c:v>43340</c:v>
                </c:pt>
                <c:pt idx="3199">
                  <c:v>43341</c:v>
                </c:pt>
                <c:pt idx="3200">
                  <c:v>43342</c:v>
                </c:pt>
                <c:pt idx="3201">
                  <c:v>43343</c:v>
                </c:pt>
                <c:pt idx="3202">
                  <c:v>43346</c:v>
                </c:pt>
                <c:pt idx="3203">
                  <c:v>43347</c:v>
                </c:pt>
                <c:pt idx="3204">
                  <c:v>43348</c:v>
                </c:pt>
                <c:pt idx="3205">
                  <c:v>43349</c:v>
                </c:pt>
                <c:pt idx="3206">
                  <c:v>43350</c:v>
                </c:pt>
                <c:pt idx="3207">
                  <c:v>43353</c:v>
                </c:pt>
                <c:pt idx="3208">
                  <c:v>43354</c:v>
                </c:pt>
                <c:pt idx="3209">
                  <c:v>43355</c:v>
                </c:pt>
                <c:pt idx="3210">
                  <c:v>43356</c:v>
                </c:pt>
                <c:pt idx="3211">
                  <c:v>43357</c:v>
                </c:pt>
                <c:pt idx="3212">
                  <c:v>43360</c:v>
                </c:pt>
                <c:pt idx="3213">
                  <c:v>43361</c:v>
                </c:pt>
                <c:pt idx="3214">
                  <c:v>43362</c:v>
                </c:pt>
                <c:pt idx="3215">
                  <c:v>43363</c:v>
                </c:pt>
                <c:pt idx="3216">
                  <c:v>43364</c:v>
                </c:pt>
                <c:pt idx="3217">
                  <c:v>43368</c:v>
                </c:pt>
                <c:pt idx="3218">
                  <c:v>43369</c:v>
                </c:pt>
                <c:pt idx="3219">
                  <c:v>43370</c:v>
                </c:pt>
                <c:pt idx="3220">
                  <c:v>43371</c:v>
                </c:pt>
                <c:pt idx="3221">
                  <c:v>43381</c:v>
                </c:pt>
                <c:pt idx="3222">
                  <c:v>43382</c:v>
                </c:pt>
                <c:pt idx="3223">
                  <c:v>43383</c:v>
                </c:pt>
                <c:pt idx="3224">
                  <c:v>43384</c:v>
                </c:pt>
                <c:pt idx="3225">
                  <c:v>43385</c:v>
                </c:pt>
                <c:pt idx="3226">
                  <c:v>43388</c:v>
                </c:pt>
                <c:pt idx="3227">
                  <c:v>43389</c:v>
                </c:pt>
                <c:pt idx="3228">
                  <c:v>43390</c:v>
                </c:pt>
                <c:pt idx="3229">
                  <c:v>43391</c:v>
                </c:pt>
                <c:pt idx="3230">
                  <c:v>43392</c:v>
                </c:pt>
                <c:pt idx="3231">
                  <c:v>43395</c:v>
                </c:pt>
                <c:pt idx="3232">
                  <c:v>43396</c:v>
                </c:pt>
                <c:pt idx="3233">
                  <c:v>43397</c:v>
                </c:pt>
                <c:pt idx="3234">
                  <c:v>43398</c:v>
                </c:pt>
                <c:pt idx="3235">
                  <c:v>43399</c:v>
                </c:pt>
                <c:pt idx="3236">
                  <c:v>43402</c:v>
                </c:pt>
                <c:pt idx="3237">
                  <c:v>43403</c:v>
                </c:pt>
                <c:pt idx="3238">
                  <c:v>43404</c:v>
                </c:pt>
                <c:pt idx="3239">
                  <c:v>43405</c:v>
                </c:pt>
                <c:pt idx="3240">
                  <c:v>43406</c:v>
                </c:pt>
                <c:pt idx="3241">
                  <c:v>43409</c:v>
                </c:pt>
                <c:pt idx="3242">
                  <c:v>43410</c:v>
                </c:pt>
                <c:pt idx="3243">
                  <c:v>43411</c:v>
                </c:pt>
                <c:pt idx="3244">
                  <c:v>43412</c:v>
                </c:pt>
                <c:pt idx="3245">
                  <c:v>43413</c:v>
                </c:pt>
                <c:pt idx="3246">
                  <c:v>43416</c:v>
                </c:pt>
                <c:pt idx="3247">
                  <c:v>43417</c:v>
                </c:pt>
                <c:pt idx="3248">
                  <c:v>43418</c:v>
                </c:pt>
                <c:pt idx="3249">
                  <c:v>43419</c:v>
                </c:pt>
                <c:pt idx="3250">
                  <c:v>43420</c:v>
                </c:pt>
                <c:pt idx="3251">
                  <c:v>43423</c:v>
                </c:pt>
                <c:pt idx="3252">
                  <c:v>43424</c:v>
                </c:pt>
                <c:pt idx="3253">
                  <c:v>43425</c:v>
                </c:pt>
                <c:pt idx="3254">
                  <c:v>43426</c:v>
                </c:pt>
                <c:pt idx="3255">
                  <c:v>43427</c:v>
                </c:pt>
                <c:pt idx="3256">
                  <c:v>43430</c:v>
                </c:pt>
                <c:pt idx="3257">
                  <c:v>43431</c:v>
                </c:pt>
                <c:pt idx="3258">
                  <c:v>43432</c:v>
                </c:pt>
                <c:pt idx="3259">
                  <c:v>43433</c:v>
                </c:pt>
                <c:pt idx="3260">
                  <c:v>43434</c:v>
                </c:pt>
                <c:pt idx="3261">
                  <c:v>43437</c:v>
                </c:pt>
                <c:pt idx="3262">
                  <c:v>43438</c:v>
                </c:pt>
                <c:pt idx="3263">
                  <c:v>43439</c:v>
                </c:pt>
                <c:pt idx="3264">
                  <c:v>43440</c:v>
                </c:pt>
                <c:pt idx="3265">
                  <c:v>43441</c:v>
                </c:pt>
                <c:pt idx="3266">
                  <c:v>43444</c:v>
                </c:pt>
                <c:pt idx="3267">
                  <c:v>43445</c:v>
                </c:pt>
                <c:pt idx="3268">
                  <c:v>43446</c:v>
                </c:pt>
                <c:pt idx="3269">
                  <c:v>43447</c:v>
                </c:pt>
                <c:pt idx="3270">
                  <c:v>43448</c:v>
                </c:pt>
                <c:pt idx="3271">
                  <c:v>43451</c:v>
                </c:pt>
                <c:pt idx="3272">
                  <c:v>43452</c:v>
                </c:pt>
                <c:pt idx="3273">
                  <c:v>43453</c:v>
                </c:pt>
                <c:pt idx="3274">
                  <c:v>43454</c:v>
                </c:pt>
                <c:pt idx="3275">
                  <c:v>43455</c:v>
                </c:pt>
                <c:pt idx="3276">
                  <c:v>43458</c:v>
                </c:pt>
                <c:pt idx="3277">
                  <c:v>43459</c:v>
                </c:pt>
                <c:pt idx="3278">
                  <c:v>43460</c:v>
                </c:pt>
                <c:pt idx="3279">
                  <c:v>43461</c:v>
                </c:pt>
                <c:pt idx="3280">
                  <c:v>43462</c:v>
                </c:pt>
                <c:pt idx="3281">
                  <c:v>43467</c:v>
                </c:pt>
                <c:pt idx="3282">
                  <c:v>43468</c:v>
                </c:pt>
                <c:pt idx="3283">
                  <c:v>43469</c:v>
                </c:pt>
                <c:pt idx="3284">
                  <c:v>43472</c:v>
                </c:pt>
                <c:pt idx="3285">
                  <c:v>43473</c:v>
                </c:pt>
                <c:pt idx="3286">
                  <c:v>43474</c:v>
                </c:pt>
                <c:pt idx="3287">
                  <c:v>43475</c:v>
                </c:pt>
                <c:pt idx="3288">
                  <c:v>43476</c:v>
                </c:pt>
                <c:pt idx="3289">
                  <c:v>43479</c:v>
                </c:pt>
                <c:pt idx="3290">
                  <c:v>43480</c:v>
                </c:pt>
                <c:pt idx="3291">
                  <c:v>43481</c:v>
                </c:pt>
                <c:pt idx="3292">
                  <c:v>43482</c:v>
                </c:pt>
                <c:pt idx="3293">
                  <c:v>43483</c:v>
                </c:pt>
                <c:pt idx="3294">
                  <c:v>43486</c:v>
                </c:pt>
                <c:pt idx="3295">
                  <c:v>43487</c:v>
                </c:pt>
                <c:pt idx="3296">
                  <c:v>43488</c:v>
                </c:pt>
                <c:pt idx="3297">
                  <c:v>43489</c:v>
                </c:pt>
                <c:pt idx="3298">
                  <c:v>43490</c:v>
                </c:pt>
                <c:pt idx="3299">
                  <c:v>43493</c:v>
                </c:pt>
                <c:pt idx="3300">
                  <c:v>43494</c:v>
                </c:pt>
                <c:pt idx="3301">
                  <c:v>43495</c:v>
                </c:pt>
                <c:pt idx="3302">
                  <c:v>43496</c:v>
                </c:pt>
                <c:pt idx="3303">
                  <c:v>43497</c:v>
                </c:pt>
                <c:pt idx="3304">
                  <c:v>43507</c:v>
                </c:pt>
                <c:pt idx="3305">
                  <c:v>43508</c:v>
                </c:pt>
                <c:pt idx="3306">
                  <c:v>43509</c:v>
                </c:pt>
                <c:pt idx="3307">
                  <c:v>43510</c:v>
                </c:pt>
                <c:pt idx="3308">
                  <c:v>43511</c:v>
                </c:pt>
                <c:pt idx="3309">
                  <c:v>43514</c:v>
                </c:pt>
                <c:pt idx="3310">
                  <c:v>43515</c:v>
                </c:pt>
                <c:pt idx="3311">
                  <c:v>43516</c:v>
                </c:pt>
                <c:pt idx="3312">
                  <c:v>43517</c:v>
                </c:pt>
                <c:pt idx="3313">
                  <c:v>43518</c:v>
                </c:pt>
                <c:pt idx="3314">
                  <c:v>43521</c:v>
                </c:pt>
                <c:pt idx="3315">
                  <c:v>43522</c:v>
                </c:pt>
                <c:pt idx="3316">
                  <c:v>43523</c:v>
                </c:pt>
                <c:pt idx="3317">
                  <c:v>43524</c:v>
                </c:pt>
                <c:pt idx="3318">
                  <c:v>43525</c:v>
                </c:pt>
                <c:pt idx="3319">
                  <c:v>43528</c:v>
                </c:pt>
                <c:pt idx="3320">
                  <c:v>43529</c:v>
                </c:pt>
                <c:pt idx="3321">
                  <c:v>43530</c:v>
                </c:pt>
                <c:pt idx="3322">
                  <c:v>43531</c:v>
                </c:pt>
                <c:pt idx="3323">
                  <c:v>43532</c:v>
                </c:pt>
                <c:pt idx="3324">
                  <c:v>43535</c:v>
                </c:pt>
                <c:pt idx="3325">
                  <c:v>43536</c:v>
                </c:pt>
                <c:pt idx="3326">
                  <c:v>43537</c:v>
                </c:pt>
                <c:pt idx="3327">
                  <c:v>43538</c:v>
                </c:pt>
                <c:pt idx="3328">
                  <c:v>43539</c:v>
                </c:pt>
                <c:pt idx="3329">
                  <c:v>43542</c:v>
                </c:pt>
                <c:pt idx="3330">
                  <c:v>43543</c:v>
                </c:pt>
                <c:pt idx="3331">
                  <c:v>43544</c:v>
                </c:pt>
                <c:pt idx="3332">
                  <c:v>43545</c:v>
                </c:pt>
                <c:pt idx="3333">
                  <c:v>43546</c:v>
                </c:pt>
                <c:pt idx="3334">
                  <c:v>43549</c:v>
                </c:pt>
                <c:pt idx="3335">
                  <c:v>43550</c:v>
                </c:pt>
                <c:pt idx="3336">
                  <c:v>43551</c:v>
                </c:pt>
                <c:pt idx="3337">
                  <c:v>43552</c:v>
                </c:pt>
                <c:pt idx="3338">
                  <c:v>43553</c:v>
                </c:pt>
                <c:pt idx="3339">
                  <c:v>43556</c:v>
                </c:pt>
                <c:pt idx="3340">
                  <c:v>43557</c:v>
                </c:pt>
                <c:pt idx="3341">
                  <c:v>43558</c:v>
                </c:pt>
                <c:pt idx="3342">
                  <c:v>43559</c:v>
                </c:pt>
                <c:pt idx="3343">
                  <c:v>43563</c:v>
                </c:pt>
                <c:pt idx="3344">
                  <c:v>43564</c:v>
                </c:pt>
                <c:pt idx="3345">
                  <c:v>43565</c:v>
                </c:pt>
                <c:pt idx="3346">
                  <c:v>43566</c:v>
                </c:pt>
                <c:pt idx="3347">
                  <c:v>43567</c:v>
                </c:pt>
                <c:pt idx="3348">
                  <c:v>43570</c:v>
                </c:pt>
                <c:pt idx="3349">
                  <c:v>43571</c:v>
                </c:pt>
                <c:pt idx="3350">
                  <c:v>43572</c:v>
                </c:pt>
                <c:pt idx="3351">
                  <c:v>43573</c:v>
                </c:pt>
                <c:pt idx="3352">
                  <c:v>43574</c:v>
                </c:pt>
                <c:pt idx="3353">
                  <c:v>43577</c:v>
                </c:pt>
                <c:pt idx="3354">
                  <c:v>43578</c:v>
                </c:pt>
                <c:pt idx="3355">
                  <c:v>43579</c:v>
                </c:pt>
                <c:pt idx="3356">
                  <c:v>43580</c:v>
                </c:pt>
                <c:pt idx="3357">
                  <c:v>43581</c:v>
                </c:pt>
                <c:pt idx="3358">
                  <c:v>43584</c:v>
                </c:pt>
                <c:pt idx="3359">
                  <c:v>43585</c:v>
                </c:pt>
                <c:pt idx="3360">
                  <c:v>43591</c:v>
                </c:pt>
                <c:pt idx="3361">
                  <c:v>43592</c:v>
                </c:pt>
                <c:pt idx="3362">
                  <c:v>43593</c:v>
                </c:pt>
                <c:pt idx="3363">
                  <c:v>43594</c:v>
                </c:pt>
                <c:pt idx="3364">
                  <c:v>43595</c:v>
                </c:pt>
                <c:pt idx="3365">
                  <c:v>43598</c:v>
                </c:pt>
                <c:pt idx="3366">
                  <c:v>43599</c:v>
                </c:pt>
                <c:pt idx="3367">
                  <c:v>43600</c:v>
                </c:pt>
                <c:pt idx="3368">
                  <c:v>43601</c:v>
                </c:pt>
                <c:pt idx="3369">
                  <c:v>43602</c:v>
                </c:pt>
                <c:pt idx="3370">
                  <c:v>43605</c:v>
                </c:pt>
                <c:pt idx="3371">
                  <c:v>43606</c:v>
                </c:pt>
                <c:pt idx="3372">
                  <c:v>43607</c:v>
                </c:pt>
                <c:pt idx="3373">
                  <c:v>43608</c:v>
                </c:pt>
                <c:pt idx="3374">
                  <c:v>43609</c:v>
                </c:pt>
                <c:pt idx="3375">
                  <c:v>43612</c:v>
                </c:pt>
                <c:pt idx="3376">
                  <c:v>43613</c:v>
                </c:pt>
                <c:pt idx="3377">
                  <c:v>43614</c:v>
                </c:pt>
                <c:pt idx="3378">
                  <c:v>43615</c:v>
                </c:pt>
                <c:pt idx="3379">
                  <c:v>43616</c:v>
                </c:pt>
                <c:pt idx="3380">
                  <c:v>43619</c:v>
                </c:pt>
                <c:pt idx="3381">
                  <c:v>43620</c:v>
                </c:pt>
                <c:pt idx="3382">
                  <c:v>43621</c:v>
                </c:pt>
                <c:pt idx="3383">
                  <c:v>43622</c:v>
                </c:pt>
                <c:pt idx="3384">
                  <c:v>43626</c:v>
                </c:pt>
                <c:pt idx="3385">
                  <c:v>43627</c:v>
                </c:pt>
                <c:pt idx="3386">
                  <c:v>43628</c:v>
                </c:pt>
                <c:pt idx="3387">
                  <c:v>43629</c:v>
                </c:pt>
                <c:pt idx="3388">
                  <c:v>43630</c:v>
                </c:pt>
                <c:pt idx="3389">
                  <c:v>43633</c:v>
                </c:pt>
                <c:pt idx="3390">
                  <c:v>43634</c:v>
                </c:pt>
                <c:pt idx="3391">
                  <c:v>43635</c:v>
                </c:pt>
                <c:pt idx="3392">
                  <c:v>43636</c:v>
                </c:pt>
                <c:pt idx="3393">
                  <c:v>43637</c:v>
                </c:pt>
                <c:pt idx="3394">
                  <c:v>43640</c:v>
                </c:pt>
                <c:pt idx="3395">
                  <c:v>43641</c:v>
                </c:pt>
                <c:pt idx="3396">
                  <c:v>43642</c:v>
                </c:pt>
                <c:pt idx="3397">
                  <c:v>43643</c:v>
                </c:pt>
                <c:pt idx="3398">
                  <c:v>43644</c:v>
                </c:pt>
                <c:pt idx="3399">
                  <c:v>43647</c:v>
                </c:pt>
                <c:pt idx="3400">
                  <c:v>43648</c:v>
                </c:pt>
                <c:pt idx="3401">
                  <c:v>43649</c:v>
                </c:pt>
                <c:pt idx="3402">
                  <c:v>43650</c:v>
                </c:pt>
                <c:pt idx="3403">
                  <c:v>43651</c:v>
                </c:pt>
                <c:pt idx="3404">
                  <c:v>43654</c:v>
                </c:pt>
                <c:pt idx="3405">
                  <c:v>43655</c:v>
                </c:pt>
                <c:pt idx="3406">
                  <c:v>43656</c:v>
                </c:pt>
                <c:pt idx="3407">
                  <c:v>43657</c:v>
                </c:pt>
                <c:pt idx="3408">
                  <c:v>43658</c:v>
                </c:pt>
                <c:pt idx="3409">
                  <c:v>43661</c:v>
                </c:pt>
                <c:pt idx="3410">
                  <c:v>43662</c:v>
                </c:pt>
                <c:pt idx="3411">
                  <c:v>43663</c:v>
                </c:pt>
                <c:pt idx="3412">
                  <c:v>43664</c:v>
                </c:pt>
                <c:pt idx="3413">
                  <c:v>43665</c:v>
                </c:pt>
                <c:pt idx="3414">
                  <c:v>43668</c:v>
                </c:pt>
                <c:pt idx="3415">
                  <c:v>43669</c:v>
                </c:pt>
                <c:pt idx="3416">
                  <c:v>43670</c:v>
                </c:pt>
                <c:pt idx="3417">
                  <c:v>43671</c:v>
                </c:pt>
                <c:pt idx="3418">
                  <c:v>43672</c:v>
                </c:pt>
                <c:pt idx="3419">
                  <c:v>43675</c:v>
                </c:pt>
                <c:pt idx="3420">
                  <c:v>43676</c:v>
                </c:pt>
                <c:pt idx="3421">
                  <c:v>43677</c:v>
                </c:pt>
                <c:pt idx="3422">
                  <c:v>43678</c:v>
                </c:pt>
                <c:pt idx="3423">
                  <c:v>43679</c:v>
                </c:pt>
                <c:pt idx="3424">
                  <c:v>43682</c:v>
                </c:pt>
                <c:pt idx="3425">
                  <c:v>43683</c:v>
                </c:pt>
                <c:pt idx="3426">
                  <c:v>43684</c:v>
                </c:pt>
                <c:pt idx="3427">
                  <c:v>43685</c:v>
                </c:pt>
                <c:pt idx="3428">
                  <c:v>43686</c:v>
                </c:pt>
                <c:pt idx="3429">
                  <c:v>43689</c:v>
                </c:pt>
                <c:pt idx="3430">
                  <c:v>43690</c:v>
                </c:pt>
                <c:pt idx="3431">
                  <c:v>43691</c:v>
                </c:pt>
                <c:pt idx="3432">
                  <c:v>43692</c:v>
                </c:pt>
                <c:pt idx="3433">
                  <c:v>43693</c:v>
                </c:pt>
                <c:pt idx="3434">
                  <c:v>43696</c:v>
                </c:pt>
                <c:pt idx="3435">
                  <c:v>43697</c:v>
                </c:pt>
                <c:pt idx="3436">
                  <c:v>43698</c:v>
                </c:pt>
                <c:pt idx="3437">
                  <c:v>43699</c:v>
                </c:pt>
                <c:pt idx="3438">
                  <c:v>43700</c:v>
                </c:pt>
                <c:pt idx="3439">
                  <c:v>43703</c:v>
                </c:pt>
                <c:pt idx="3440">
                  <c:v>43704</c:v>
                </c:pt>
                <c:pt idx="3441">
                  <c:v>43705</c:v>
                </c:pt>
                <c:pt idx="3442">
                  <c:v>43706</c:v>
                </c:pt>
                <c:pt idx="3443">
                  <c:v>43707</c:v>
                </c:pt>
                <c:pt idx="3444">
                  <c:v>43710</c:v>
                </c:pt>
                <c:pt idx="3445">
                  <c:v>43711</c:v>
                </c:pt>
                <c:pt idx="3446">
                  <c:v>43712</c:v>
                </c:pt>
                <c:pt idx="3447">
                  <c:v>43713</c:v>
                </c:pt>
                <c:pt idx="3448">
                  <c:v>43714</c:v>
                </c:pt>
                <c:pt idx="3449">
                  <c:v>43717</c:v>
                </c:pt>
                <c:pt idx="3450">
                  <c:v>43718</c:v>
                </c:pt>
                <c:pt idx="3451">
                  <c:v>43719</c:v>
                </c:pt>
                <c:pt idx="3452">
                  <c:v>43720</c:v>
                </c:pt>
                <c:pt idx="3453">
                  <c:v>43724</c:v>
                </c:pt>
                <c:pt idx="3454">
                  <c:v>43725</c:v>
                </c:pt>
                <c:pt idx="3455">
                  <c:v>43726</c:v>
                </c:pt>
                <c:pt idx="3456">
                  <c:v>43727</c:v>
                </c:pt>
                <c:pt idx="3457">
                  <c:v>43728</c:v>
                </c:pt>
                <c:pt idx="3458">
                  <c:v>43731</c:v>
                </c:pt>
                <c:pt idx="3459">
                  <c:v>43732</c:v>
                </c:pt>
                <c:pt idx="3460">
                  <c:v>43733</c:v>
                </c:pt>
                <c:pt idx="3461">
                  <c:v>43734</c:v>
                </c:pt>
                <c:pt idx="3462">
                  <c:v>43735</c:v>
                </c:pt>
                <c:pt idx="3463">
                  <c:v>43738</c:v>
                </c:pt>
                <c:pt idx="3464">
                  <c:v>43746</c:v>
                </c:pt>
                <c:pt idx="3465">
                  <c:v>43747</c:v>
                </c:pt>
                <c:pt idx="3466">
                  <c:v>43748</c:v>
                </c:pt>
                <c:pt idx="3467">
                  <c:v>43749</c:v>
                </c:pt>
                <c:pt idx="3468">
                  <c:v>43752</c:v>
                </c:pt>
                <c:pt idx="3469">
                  <c:v>43753</c:v>
                </c:pt>
                <c:pt idx="3470">
                  <c:v>43754</c:v>
                </c:pt>
                <c:pt idx="3471">
                  <c:v>43755</c:v>
                </c:pt>
                <c:pt idx="3472">
                  <c:v>43756</c:v>
                </c:pt>
                <c:pt idx="3473">
                  <c:v>43759</c:v>
                </c:pt>
                <c:pt idx="3474">
                  <c:v>43760</c:v>
                </c:pt>
                <c:pt idx="3475">
                  <c:v>43761</c:v>
                </c:pt>
                <c:pt idx="3476">
                  <c:v>43762</c:v>
                </c:pt>
                <c:pt idx="3477">
                  <c:v>43763</c:v>
                </c:pt>
                <c:pt idx="3478">
                  <c:v>43766</c:v>
                </c:pt>
                <c:pt idx="3479">
                  <c:v>43767</c:v>
                </c:pt>
                <c:pt idx="3480">
                  <c:v>43768</c:v>
                </c:pt>
                <c:pt idx="3481">
                  <c:v>43769</c:v>
                </c:pt>
                <c:pt idx="3482">
                  <c:v>43770</c:v>
                </c:pt>
                <c:pt idx="3483">
                  <c:v>43773</c:v>
                </c:pt>
                <c:pt idx="3484">
                  <c:v>43774</c:v>
                </c:pt>
                <c:pt idx="3485">
                  <c:v>43775</c:v>
                </c:pt>
                <c:pt idx="3486">
                  <c:v>43776</c:v>
                </c:pt>
                <c:pt idx="3487">
                  <c:v>43777</c:v>
                </c:pt>
                <c:pt idx="3488">
                  <c:v>43780</c:v>
                </c:pt>
                <c:pt idx="3489">
                  <c:v>43781</c:v>
                </c:pt>
                <c:pt idx="3490">
                  <c:v>43782</c:v>
                </c:pt>
                <c:pt idx="3491">
                  <c:v>43783</c:v>
                </c:pt>
                <c:pt idx="3492">
                  <c:v>43784</c:v>
                </c:pt>
                <c:pt idx="3493">
                  <c:v>43787</c:v>
                </c:pt>
                <c:pt idx="3494">
                  <c:v>43788</c:v>
                </c:pt>
                <c:pt idx="3495">
                  <c:v>43789</c:v>
                </c:pt>
                <c:pt idx="3496">
                  <c:v>43790</c:v>
                </c:pt>
                <c:pt idx="3497">
                  <c:v>43791</c:v>
                </c:pt>
                <c:pt idx="3498">
                  <c:v>43794</c:v>
                </c:pt>
                <c:pt idx="3499">
                  <c:v>43795</c:v>
                </c:pt>
                <c:pt idx="3500">
                  <c:v>43796</c:v>
                </c:pt>
                <c:pt idx="3501">
                  <c:v>43797</c:v>
                </c:pt>
                <c:pt idx="3502">
                  <c:v>43798</c:v>
                </c:pt>
                <c:pt idx="3503">
                  <c:v>43801</c:v>
                </c:pt>
                <c:pt idx="3504">
                  <c:v>43802</c:v>
                </c:pt>
                <c:pt idx="3505">
                  <c:v>43803</c:v>
                </c:pt>
                <c:pt idx="3506">
                  <c:v>43804</c:v>
                </c:pt>
                <c:pt idx="3507">
                  <c:v>43805</c:v>
                </c:pt>
                <c:pt idx="3508">
                  <c:v>43808</c:v>
                </c:pt>
                <c:pt idx="3509">
                  <c:v>43809</c:v>
                </c:pt>
                <c:pt idx="3510">
                  <c:v>43810</c:v>
                </c:pt>
                <c:pt idx="3511">
                  <c:v>43811</c:v>
                </c:pt>
                <c:pt idx="3512">
                  <c:v>43812</c:v>
                </c:pt>
                <c:pt idx="3513">
                  <c:v>43815</c:v>
                </c:pt>
                <c:pt idx="3514">
                  <c:v>43816</c:v>
                </c:pt>
                <c:pt idx="3515">
                  <c:v>43817</c:v>
                </c:pt>
                <c:pt idx="3516">
                  <c:v>43818</c:v>
                </c:pt>
                <c:pt idx="3517">
                  <c:v>43819</c:v>
                </c:pt>
                <c:pt idx="3518">
                  <c:v>43822</c:v>
                </c:pt>
                <c:pt idx="3519">
                  <c:v>43823</c:v>
                </c:pt>
                <c:pt idx="3520">
                  <c:v>43824</c:v>
                </c:pt>
                <c:pt idx="3521">
                  <c:v>43825</c:v>
                </c:pt>
                <c:pt idx="3522">
                  <c:v>43826</c:v>
                </c:pt>
                <c:pt idx="3523">
                  <c:v>43829</c:v>
                </c:pt>
                <c:pt idx="3524">
                  <c:v>43830</c:v>
                </c:pt>
                <c:pt idx="3525">
                  <c:v>43832</c:v>
                </c:pt>
                <c:pt idx="3526">
                  <c:v>43833</c:v>
                </c:pt>
                <c:pt idx="3527">
                  <c:v>43836</c:v>
                </c:pt>
                <c:pt idx="3528">
                  <c:v>43837</c:v>
                </c:pt>
                <c:pt idx="3529">
                  <c:v>43838</c:v>
                </c:pt>
                <c:pt idx="3530">
                  <c:v>43839</c:v>
                </c:pt>
                <c:pt idx="3531">
                  <c:v>43840</c:v>
                </c:pt>
                <c:pt idx="3532">
                  <c:v>43843</c:v>
                </c:pt>
                <c:pt idx="3533">
                  <c:v>43844</c:v>
                </c:pt>
                <c:pt idx="3534">
                  <c:v>43845</c:v>
                </c:pt>
                <c:pt idx="3535">
                  <c:v>43846</c:v>
                </c:pt>
                <c:pt idx="3536">
                  <c:v>43847</c:v>
                </c:pt>
                <c:pt idx="3537">
                  <c:v>43850</c:v>
                </c:pt>
                <c:pt idx="3538">
                  <c:v>43851</c:v>
                </c:pt>
                <c:pt idx="3539">
                  <c:v>43852</c:v>
                </c:pt>
                <c:pt idx="3540">
                  <c:v>43853</c:v>
                </c:pt>
                <c:pt idx="3541">
                  <c:v>43864</c:v>
                </c:pt>
                <c:pt idx="3542">
                  <c:v>43865</c:v>
                </c:pt>
                <c:pt idx="3543">
                  <c:v>43866</c:v>
                </c:pt>
                <c:pt idx="3544">
                  <c:v>43867</c:v>
                </c:pt>
                <c:pt idx="3545">
                  <c:v>43868</c:v>
                </c:pt>
                <c:pt idx="3546">
                  <c:v>43871</c:v>
                </c:pt>
                <c:pt idx="3547">
                  <c:v>43872</c:v>
                </c:pt>
                <c:pt idx="3548">
                  <c:v>43873</c:v>
                </c:pt>
                <c:pt idx="3549">
                  <c:v>43874</c:v>
                </c:pt>
                <c:pt idx="3550">
                  <c:v>43875</c:v>
                </c:pt>
                <c:pt idx="3551">
                  <c:v>43878</c:v>
                </c:pt>
                <c:pt idx="3552">
                  <c:v>43879</c:v>
                </c:pt>
                <c:pt idx="3553">
                  <c:v>43880</c:v>
                </c:pt>
                <c:pt idx="3554">
                  <c:v>43881</c:v>
                </c:pt>
                <c:pt idx="3555">
                  <c:v>43882</c:v>
                </c:pt>
                <c:pt idx="3556">
                  <c:v>43885</c:v>
                </c:pt>
                <c:pt idx="3557">
                  <c:v>43886</c:v>
                </c:pt>
                <c:pt idx="3558">
                  <c:v>43887</c:v>
                </c:pt>
                <c:pt idx="3559">
                  <c:v>43888</c:v>
                </c:pt>
                <c:pt idx="3560">
                  <c:v>43889</c:v>
                </c:pt>
                <c:pt idx="3561">
                  <c:v>43892</c:v>
                </c:pt>
                <c:pt idx="3562">
                  <c:v>43893</c:v>
                </c:pt>
                <c:pt idx="3563">
                  <c:v>43894</c:v>
                </c:pt>
                <c:pt idx="3564">
                  <c:v>43895</c:v>
                </c:pt>
                <c:pt idx="3565">
                  <c:v>43896</c:v>
                </c:pt>
                <c:pt idx="3566">
                  <c:v>43899</c:v>
                </c:pt>
                <c:pt idx="3567">
                  <c:v>43900</c:v>
                </c:pt>
                <c:pt idx="3568">
                  <c:v>43901</c:v>
                </c:pt>
                <c:pt idx="3569">
                  <c:v>43902</c:v>
                </c:pt>
                <c:pt idx="3570">
                  <c:v>43903</c:v>
                </c:pt>
                <c:pt idx="3571">
                  <c:v>43906</c:v>
                </c:pt>
                <c:pt idx="3572">
                  <c:v>43907</c:v>
                </c:pt>
                <c:pt idx="3573">
                  <c:v>43908</c:v>
                </c:pt>
                <c:pt idx="3574">
                  <c:v>43909</c:v>
                </c:pt>
                <c:pt idx="3575">
                  <c:v>43910</c:v>
                </c:pt>
                <c:pt idx="3576">
                  <c:v>43913</c:v>
                </c:pt>
                <c:pt idx="3577">
                  <c:v>43914</c:v>
                </c:pt>
                <c:pt idx="3578">
                  <c:v>43915</c:v>
                </c:pt>
                <c:pt idx="3579">
                  <c:v>43916</c:v>
                </c:pt>
                <c:pt idx="3580">
                  <c:v>43917</c:v>
                </c:pt>
              </c:numCache>
            </c:numRef>
          </c:xVal>
          <c:yVal>
            <c:numRef>
              <c:f>'PB ROE'!$B$3:$B$3583</c:f>
              <c:numCache>
                <c:formatCode>#,##0.0</c:formatCode>
                <c:ptCount val="3581"/>
                <c:pt idx="0">
                  <c:v>2.5974508914289678</c:v>
                </c:pt>
                <c:pt idx="1">
                  <c:v>2.3833111245518803</c:v>
                </c:pt>
                <c:pt idx="2">
                  <c:v>2.4080742819375534</c:v>
                </c:pt>
                <c:pt idx="3">
                  <c:v>2.2235343066515552</c:v>
                </c:pt>
                <c:pt idx="4">
                  <c:v>2.1699314283707909</c:v>
                </c:pt>
                <c:pt idx="5">
                  <c:v>2.1686485231166039</c:v>
                </c:pt>
                <c:pt idx="6">
                  <c:v>2.2430549975442982</c:v>
                </c:pt>
                <c:pt idx="7">
                  <c:v>2.1895986869108985</c:v>
                </c:pt>
                <c:pt idx="8">
                  <c:v>2.2404105401815855</c:v>
                </c:pt>
                <c:pt idx="9">
                  <c:v>2.2651265861637238</c:v>
                </c:pt>
                <c:pt idx="10">
                  <c:v>2.3418547439236863</c:v>
                </c:pt>
                <c:pt idx="11">
                  <c:v>2.3117507800083006</c:v>
                </c:pt>
                <c:pt idx="12">
                  <c:v>2.232514448542362</c:v>
                </c:pt>
                <c:pt idx="13">
                  <c:v>2.1793153798513449</c:v>
                </c:pt>
                <c:pt idx="14">
                  <c:v>2.2039657629272824</c:v>
                </c:pt>
                <c:pt idx="15">
                  <c:v>2.2026734326268924</c:v>
                </c:pt>
                <c:pt idx="16">
                  <c:v>2.1988055190982956</c:v>
                </c:pt>
                <c:pt idx="17">
                  <c:v>2.2492255663887901</c:v>
                </c:pt>
                <c:pt idx="18">
                  <c:v>2.2737486050098394</c:v>
                </c:pt>
                <c:pt idx="19">
                  <c:v>2.2207741208299234</c:v>
                </c:pt>
                <c:pt idx="20">
                  <c:v>2.2452851328258809</c:v>
                </c:pt>
                <c:pt idx="21">
                  <c:v>2.2155957404936641</c:v>
                </c:pt>
                <c:pt idx="22">
                  <c:v>2.2400526482056482</c:v>
                </c:pt>
                <c:pt idx="23">
                  <c:v>2.2644810749290878</c:v>
                </c:pt>
                <c:pt idx="24">
                  <c:v>2.3145988352216</c:v>
                </c:pt>
                <c:pt idx="25">
                  <c:v>2.6473891830082299</c:v>
                </c:pt>
                <c:pt idx="26">
                  <c:v>2.6427781310092953</c:v>
                </c:pt>
                <c:pt idx="27">
                  <c:v>2.6156015287991368</c:v>
                </c:pt>
                <c:pt idx="28">
                  <c:v>2.7165978545257849</c:v>
                </c:pt>
                <c:pt idx="29">
                  <c:v>2.6637965418362008</c:v>
                </c:pt>
                <c:pt idx="30">
                  <c:v>2.6622535819803637</c:v>
                </c:pt>
                <c:pt idx="31">
                  <c:v>2.6576354086147833</c:v>
                </c:pt>
                <c:pt idx="32">
                  <c:v>2.6816389949143273</c:v>
                </c:pt>
                <c:pt idx="33">
                  <c:v>2.6035161804176656</c:v>
                </c:pt>
                <c:pt idx="34">
                  <c:v>2.602013359861814</c:v>
                </c:pt>
                <c:pt idx="35">
                  <c:v>2.651502709973379</c:v>
                </c:pt>
                <c:pt idx="36">
                  <c:v>2.545117046130287</c:v>
                </c:pt>
                <c:pt idx="37">
                  <c:v>2.5945252062602151</c:v>
                </c:pt>
                <c:pt idx="38">
                  <c:v>2.4913451858708289</c:v>
                </c:pt>
                <c:pt idx="39">
                  <c:v>2.6169492732383102</c:v>
                </c:pt>
                <c:pt idx="40">
                  <c:v>2.5900529660913794</c:v>
                </c:pt>
                <c:pt idx="41">
                  <c:v>2.5348981541076312</c:v>
                </c:pt>
                <c:pt idx="42">
                  <c:v>2.558779457372971</c:v>
                </c:pt>
                <c:pt idx="43">
                  <c:v>2.5573134608453434</c:v>
                </c:pt>
                <c:pt idx="44">
                  <c:v>2.5558491431769164</c:v>
                </c:pt>
                <c:pt idx="45">
                  <c:v>2.5543865014853968</c:v>
                </c:pt>
                <c:pt idx="46">
                  <c:v>2.5752562134842627</c:v>
                </c:pt>
                <c:pt idx="47">
                  <c:v>2.5737858314993769</c:v>
                </c:pt>
                <c:pt idx="48">
                  <c:v>2.5975359229995099</c:v>
                </c:pt>
                <c:pt idx="49">
                  <c:v>2.8228942263603209</c:v>
                </c:pt>
                <c:pt idx="50">
                  <c:v>2.8716653007353146</c:v>
                </c:pt>
                <c:pt idx="51">
                  <c:v>2.86676323032684</c:v>
                </c:pt>
                <c:pt idx="52">
                  <c:v>2.8148674339915138</c:v>
                </c:pt>
                <c:pt idx="53">
                  <c:v>2.8635044706734245</c:v>
                </c:pt>
                <c:pt idx="54">
                  <c:v>2.9622946348182677</c:v>
                </c:pt>
                <c:pt idx="55">
                  <c:v>2.9857028091868227</c:v>
                </c:pt>
                <c:pt idx="56">
                  <c:v>3.0056735713807203</c:v>
                </c:pt>
                <c:pt idx="57">
                  <c:v>2.9288717690501929</c:v>
                </c:pt>
                <c:pt idx="58">
                  <c:v>3.0523082874133638</c:v>
                </c:pt>
                <c:pt idx="59">
                  <c:v>3.0255765372486181</c:v>
                </c:pt>
                <c:pt idx="60">
                  <c:v>3.2987625213847895</c:v>
                </c:pt>
                <c:pt idx="61">
                  <c:v>3.9263163763811106</c:v>
                </c:pt>
                <c:pt idx="62">
                  <c:v>3.9241098615165839</c:v>
                </c:pt>
                <c:pt idx="63">
                  <c:v>4.0211945803684088</c:v>
                </c:pt>
                <c:pt idx="64">
                  <c:v>3.6964299700565983</c:v>
                </c:pt>
                <c:pt idx="65">
                  <c:v>3.5703844606561983</c:v>
                </c:pt>
                <c:pt idx="66">
                  <c:v>3.8366646525832433</c:v>
                </c:pt>
                <c:pt idx="67">
                  <c:v>3.9829498839048676</c:v>
                </c:pt>
                <c:pt idx="68">
                  <c:v>3.9065466243866775</c:v>
                </c:pt>
                <c:pt idx="69">
                  <c:v>3.9290734214395613</c:v>
                </c:pt>
                <c:pt idx="70">
                  <c:v>3.9268776967221619</c:v>
                </c:pt>
                <c:pt idx="71">
                  <c:v>3.9696172380186101</c:v>
                </c:pt>
                <c:pt idx="72">
                  <c:v>3.7456234667592154</c:v>
                </c:pt>
                <c:pt idx="73">
                  <c:v>3.7927931476834433</c:v>
                </c:pt>
                <c:pt idx="74">
                  <c:v>3.7168362365816869</c:v>
                </c:pt>
                <c:pt idx="75">
                  <c:v>3.6409638902442114</c:v>
                </c:pt>
                <c:pt idx="76">
                  <c:v>3.7085739375719426</c:v>
                </c:pt>
                <c:pt idx="77">
                  <c:v>3.7556070011651195</c:v>
                </c:pt>
                <c:pt idx="78">
                  <c:v>3.7535221973502066</c:v>
                </c:pt>
                <c:pt idx="79">
                  <c:v>3.8004781344148357</c:v>
                </c:pt>
                <c:pt idx="80">
                  <c:v>3.7493595258882428</c:v>
                </c:pt>
                <c:pt idx="81">
                  <c:v>3.6697380407048756</c:v>
                </c:pt>
                <c:pt idx="82">
                  <c:v>3.6432562824001979</c:v>
                </c:pt>
                <c:pt idx="83">
                  <c:v>3.7878688564025977</c:v>
                </c:pt>
                <c:pt idx="84">
                  <c:v>3.8101997978790552</c:v>
                </c:pt>
                <c:pt idx="85">
                  <c:v>3.7348626032528522</c:v>
                </c:pt>
                <c:pt idx="86">
                  <c:v>3.7530543804489667</c:v>
                </c:pt>
                <c:pt idx="87">
                  <c:v>3.7266288693065408</c:v>
                </c:pt>
                <c:pt idx="88">
                  <c:v>3.7002324704501399</c:v>
                </c:pt>
                <c:pt idx="89">
                  <c:v>3.819846531922316</c:v>
                </c:pt>
                <c:pt idx="90">
                  <c:v>3.9636458082128265</c:v>
                </c:pt>
                <c:pt idx="91">
                  <c:v>3.957113832996038</c:v>
                </c:pt>
                <c:pt idx="92">
                  <c:v>3.809360628559221</c:v>
                </c:pt>
                <c:pt idx="93">
                  <c:v>3.831520482122404</c:v>
                </c:pt>
                <c:pt idx="94">
                  <c:v>3.902129690622961</c:v>
                </c:pt>
                <c:pt idx="95">
                  <c:v>3.9484379488647932</c:v>
                </c:pt>
                <c:pt idx="96">
                  <c:v>4.3530802020440467</c:v>
                </c:pt>
                <c:pt idx="97">
                  <c:v>4.3023583093705762</c:v>
                </c:pt>
                <c:pt idx="98">
                  <c:v>4.3241638885164351</c:v>
                </c:pt>
                <c:pt idx="99">
                  <c:v>4.2252249296198183</c:v>
                </c:pt>
                <c:pt idx="100">
                  <c:v>4.1263940169019451</c:v>
                </c:pt>
                <c:pt idx="101">
                  <c:v>4.3605606904400487</c:v>
                </c:pt>
                <c:pt idx="102">
                  <c:v>4.2618714280853389</c:v>
                </c:pt>
                <c:pt idx="103">
                  <c:v>4.3076811942039033</c:v>
                </c:pt>
                <c:pt idx="104">
                  <c:v>4.3534410971778943</c:v>
                </c:pt>
                <c:pt idx="105">
                  <c:v>4.3270339852876658</c:v>
                </c:pt>
                <c:pt idx="106">
                  <c:v>4.2959845646561945</c:v>
                </c:pt>
                <c:pt idx="107">
                  <c:v>4.2936528569642718</c:v>
                </c:pt>
                <c:pt idx="108">
                  <c:v>4.4591408061484765</c:v>
                </c:pt>
                <c:pt idx="109">
                  <c:v>4.312957903999175</c:v>
                </c:pt>
                <c:pt idx="110">
                  <c:v>4.3345686825642504</c:v>
                </c:pt>
                <c:pt idx="111">
                  <c:v>4.3036246177864808</c:v>
                </c:pt>
                <c:pt idx="112">
                  <c:v>4.301297604485967</c:v>
                </c:pt>
                <c:pt idx="113">
                  <c:v>4.2750899223807801</c:v>
                </c:pt>
                <c:pt idx="114">
                  <c:v>4.177299699190355</c:v>
                </c:pt>
                <c:pt idx="115">
                  <c:v>4.2943316390069031</c:v>
                </c:pt>
                <c:pt idx="116">
                  <c:v>4.2873881998539396</c:v>
                </c:pt>
                <c:pt idx="117">
                  <c:v>4.2850787071109773</c:v>
                </c:pt>
                <c:pt idx="118">
                  <c:v>4.3303580533780508</c:v>
                </c:pt>
                <c:pt idx="119">
                  <c:v>4.3993690439898288</c:v>
                </c:pt>
                <c:pt idx="120">
                  <c:v>4.4683058060833361</c:v>
                </c:pt>
                <c:pt idx="121">
                  <c:v>4.7552065039326754</c:v>
                </c:pt>
                <c:pt idx="122">
                  <c:v>4.854927809021012</c:v>
                </c:pt>
                <c:pt idx="123">
                  <c:v>4.8956461086195295</c:v>
                </c:pt>
                <c:pt idx="124">
                  <c:v>4.9583965793022555</c:v>
                </c:pt>
                <c:pt idx="125">
                  <c:v>4.9407149294304515</c:v>
                </c:pt>
                <c:pt idx="126">
                  <c:v>5.2666351419555886</c:v>
                </c:pt>
                <c:pt idx="127">
                  <c:v>5.4761606705663981</c:v>
                </c:pt>
                <c:pt idx="128">
                  <c:v>5.7410497564641867</c:v>
                </c:pt>
                <c:pt idx="129">
                  <c:v>5.9621521388911276</c:v>
                </c:pt>
                <c:pt idx="130">
                  <c:v>6.1095619701316348</c:v>
                </c:pt>
                <c:pt idx="131">
                  <c:v>6.088379554899304</c:v>
                </c:pt>
                <c:pt idx="132">
                  <c:v>6.0673435149476482</c:v>
                </c:pt>
                <c:pt idx="133">
                  <c:v>5.8800362188694031</c:v>
                </c:pt>
                <c:pt idx="134">
                  <c:v>5.4904891532273234</c:v>
                </c:pt>
                <c:pt idx="135">
                  <c:v>5.417122638296064</c:v>
                </c:pt>
                <c:pt idx="136">
                  <c:v>5.5187590200838494</c:v>
                </c:pt>
                <c:pt idx="137">
                  <c:v>5.3033410624486343</c:v>
                </c:pt>
                <c:pt idx="138">
                  <c:v>5.2756992828984943</c:v>
                </c:pt>
                <c:pt idx="139">
                  <c:v>5.1545176651524933</c:v>
                </c:pt>
                <c:pt idx="140">
                  <c:v>4.982218679835988</c:v>
                </c:pt>
                <c:pt idx="141">
                  <c:v>5.1214149982235515</c:v>
                </c:pt>
                <c:pt idx="142">
                  <c:v>4.8675990558768945</c:v>
                </c:pt>
                <c:pt idx="143">
                  <c:v>4.4946391241935428</c:v>
                </c:pt>
                <c:pt idx="144">
                  <c:v>4.6840908617105717</c:v>
                </c:pt>
                <c:pt idx="145">
                  <c:v>4.7200880208222564</c:v>
                </c:pt>
                <c:pt idx="146">
                  <c:v>4.7052648400852579</c:v>
                </c:pt>
                <c:pt idx="147">
                  <c:v>4.8117147879552329</c:v>
                </c:pt>
                <c:pt idx="148">
                  <c:v>5.0965907813723508</c:v>
                </c:pt>
                <c:pt idx="149">
                  <c:v>5.1804568215162661</c:v>
                </c:pt>
                <c:pt idx="150">
                  <c:v>5.2638058500303675</c:v>
                </c:pt>
                <c:pt idx="151">
                  <c:v>5.198124782161603</c:v>
                </c:pt>
                <c:pt idx="152">
                  <c:v>4.9544276871763309</c:v>
                </c:pt>
                <c:pt idx="153">
                  <c:v>4.8317974837285469</c:v>
                </c:pt>
                <c:pt idx="154">
                  <c:v>4.8756827486205339</c:v>
                </c:pt>
                <c:pt idx="155">
                  <c:v>4.8609715283442334</c:v>
                </c:pt>
                <c:pt idx="156">
                  <c:v>4.7494218399499015</c:v>
                </c:pt>
                <c:pt idx="157">
                  <c:v>4.6108836607440029</c:v>
                </c:pt>
                <c:pt idx="158">
                  <c:v>4.5492909018040484</c:v>
                </c:pt>
                <c:pt idx="159">
                  <c:v>4.0106096831876288</c:v>
                </c:pt>
                <c:pt idx="160">
                  <c:v>4.2367802786364113</c:v>
                </c:pt>
                <c:pt idx="161">
                  <c:v>4.1768340684318117</c:v>
                </c:pt>
                <c:pt idx="162">
                  <c:v>4.1872889582747987</c:v>
                </c:pt>
                <c:pt idx="163">
                  <c:v>4.0812738783365772</c:v>
                </c:pt>
                <c:pt idx="164">
                  <c:v>4.2565243603976413</c:v>
                </c:pt>
                <c:pt idx="165">
                  <c:v>4.3841205703938364</c:v>
                </c:pt>
                <c:pt idx="166">
                  <c:v>4.3714652876707332</c:v>
                </c:pt>
                <c:pt idx="167">
                  <c:v>4.3339340475094357</c:v>
                </c:pt>
                <c:pt idx="168">
                  <c:v>4.2296182143616905</c:v>
                </c:pt>
                <c:pt idx="169">
                  <c:v>4.171739342162029</c:v>
                </c:pt>
                <c:pt idx="170">
                  <c:v>3.9770492985767931</c:v>
                </c:pt>
                <c:pt idx="171">
                  <c:v>4.1481319230592186</c:v>
                </c:pt>
                <c:pt idx="172">
                  <c:v>4.2488181255888309</c:v>
                </c:pt>
                <c:pt idx="173">
                  <c:v>4.2369308632609846</c:v>
                </c:pt>
                <c:pt idx="174">
                  <c:v>4.0902659972904916</c:v>
                </c:pt>
                <c:pt idx="175">
                  <c:v>4.0788860065259422</c:v>
                </c:pt>
                <c:pt idx="176">
                  <c:v>3.9334734764872796</c:v>
                </c:pt>
                <c:pt idx="177">
                  <c:v>4.2556402338827359</c:v>
                </c:pt>
                <c:pt idx="178">
                  <c:v>4.1997546417108946</c:v>
                </c:pt>
                <c:pt idx="179">
                  <c:v>4.188261882053065</c:v>
                </c:pt>
                <c:pt idx="180">
                  <c:v>4.4406317577261518</c:v>
                </c:pt>
                <c:pt idx="181">
                  <c:v>4.2970050069562706</c:v>
                </c:pt>
                <c:pt idx="182">
                  <c:v>4.6971233323693617</c:v>
                </c:pt>
                <c:pt idx="183">
                  <c:v>5.5085981275502007</c:v>
                </c:pt>
                <c:pt idx="184">
                  <c:v>5.9263902405375575</c:v>
                </c:pt>
                <c:pt idx="185">
                  <c:v>5.737950000736368</c:v>
                </c:pt>
                <c:pt idx="186">
                  <c:v>5.7226253489601522</c:v>
                </c:pt>
                <c:pt idx="187">
                  <c:v>5.6771386302283444</c:v>
                </c:pt>
                <c:pt idx="188">
                  <c:v>5.9601438494311729</c:v>
                </c:pt>
                <c:pt idx="189">
                  <c:v>5.9444355377545381</c:v>
                </c:pt>
                <c:pt idx="190">
                  <c:v>5.8441125258127151</c:v>
                </c:pt>
                <c:pt idx="191">
                  <c:v>5.6598403267505137</c:v>
                </c:pt>
                <c:pt idx="192">
                  <c:v>5.1965918502160067</c:v>
                </c:pt>
                <c:pt idx="193">
                  <c:v>5.0159120632336718</c:v>
                </c:pt>
                <c:pt idx="194">
                  <c:v>5.2113872937581922</c:v>
                </c:pt>
                <c:pt idx="195">
                  <c:v>5.4890204032984951</c:v>
                </c:pt>
                <c:pt idx="196">
                  <c:v>5.3089832373732779</c:v>
                </c:pt>
                <c:pt idx="197">
                  <c:v>5.2566052136207393</c:v>
                </c:pt>
                <c:pt idx="198">
                  <c:v>5.364447392334486</c:v>
                </c:pt>
                <c:pt idx="199">
                  <c:v>5.3108170829739487</c:v>
                </c:pt>
                <c:pt idx="200">
                  <c:v>5.377853681805969</c:v>
                </c:pt>
                <c:pt idx="201">
                  <c:v>5.3244565937079873</c:v>
                </c:pt>
                <c:pt idx="202">
                  <c:v>5.1658458024415141</c:v>
                </c:pt>
                <c:pt idx="203">
                  <c:v>5.0342168759263695</c:v>
                </c:pt>
                <c:pt idx="204">
                  <c:v>5.061402939963501</c:v>
                </c:pt>
                <c:pt idx="205">
                  <c:v>4.8517835116016297</c:v>
                </c:pt>
                <c:pt idx="206">
                  <c:v>4.8399333066427745</c:v>
                </c:pt>
                <c:pt idx="207">
                  <c:v>4.4531620608902198</c:v>
                </c:pt>
                <c:pt idx="208">
                  <c:v>4.4034223603978546</c:v>
                </c:pt>
                <c:pt idx="209">
                  <c:v>4.4705456307389433</c:v>
                </c:pt>
                <c:pt idx="210">
                  <c:v>4.4210035486098622</c:v>
                </c:pt>
                <c:pt idx="211">
                  <c:v>4.5264498272822209</c:v>
                </c:pt>
                <c:pt idx="212">
                  <c:v>4.5324846925286835</c:v>
                </c:pt>
                <c:pt idx="213">
                  <c:v>4.4833844748253728</c:v>
                </c:pt>
                <c:pt idx="214">
                  <c:v>4.4727458736672192</c:v>
                </c:pt>
                <c:pt idx="215">
                  <c:v>4.4621576415582176</c:v>
                </c:pt>
                <c:pt idx="216">
                  <c:v>4.6418595678541035</c:v>
                </c:pt>
                <c:pt idx="217">
                  <c:v>4.83588520092521</c:v>
                </c:pt>
                <c:pt idx="218">
                  <c:v>4.711495345370615</c:v>
                </c:pt>
                <c:pt idx="219">
                  <c:v>4.662894142726576</c:v>
                </c:pt>
                <c:pt idx="220">
                  <c:v>4.5019700431979777</c:v>
                </c:pt>
                <c:pt idx="221">
                  <c:v>4.566369222372793</c:v>
                </c:pt>
                <c:pt idx="222">
                  <c:v>4.5719328509162711</c:v>
                </c:pt>
                <c:pt idx="223">
                  <c:v>4.4872395281698694</c:v>
                </c:pt>
                <c:pt idx="224">
                  <c:v>4.4399346745542321</c:v>
                </c:pt>
                <c:pt idx="225">
                  <c:v>4.5774199905209505</c:v>
                </c:pt>
                <c:pt idx="226">
                  <c:v>4.6037858359790436</c:v>
                </c:pt>
                <c:pt idx="227">
                  <c:v>4.3313761004127942</c:v>
                </c:pt>
                <c:pt idx="228">
                  <c:v>4.3591426834287441</c:v>
                </c:pt>
                <c:pt idx="229">
                  <c:v>4.349289868631498</c:v>
                </c:pt>
                <c:pt idx="230">
                  <c:v>4.4143001397578727</c:v>
                </c:pt>
                <c:pt idx="231">
                  <c:v>4.4043675550626826</c:v>
                </c:pt>
                <c:pt idx="232">
                  <c:v>4.4860608425830026</c:v>
                </c:pt>
                <c:pt idx="233">
                  <c:v>4.4020724190757559</c:v>
                </c:pt>
                <c:pt idx="234">
                  <c:v>4.2077280680932141</c:v>
                </c:pt>
                <c:pt idx="235">
                  <c:v>4.3456982111011255</c:v>
                </c:pt>
                <c:pt idx="236">
                  <c:v>4.4095643514795348</c:v>
                </c:pt>
                <c:pt idx="237">
                  <c:v>4.3804535845358883</c:v>
                </c:pt>
                <c:pt idx="238">
                  <c:v>4.3344115951632292</c:v>
                </c:pt>
                <c:pt idx="239">
                  <c:v>4.2885713558076013</c:v>
                </c:pt>
                <c:pt idx="240">
                  <c:v>4.2791959154694155</c:v>
                </c:pt>
                <c:pt idx="241">
                  <c:v>4.2698613778625578</c:v>
                </c:pt>
                <c:pt idx="242">
                  <c:v>4.2421005221051624</c:v>
                </c:pt>
                <c:pt idx="243">
                  <c:v>4.2687992098682432</c:v>
                </c:pt>
                <c:pt idx="244">
                  <c:v>4.2595878189516627</c:v>
                </c:pt>
                <c:pt idx="245">
                  <c:v>4.1789805312397208</c:v>
                </c:pt>
                <c:pt idx="246">
                  <c:v>4.1700017045354949</c:v>
                </c:pt>
                <c:pt idx="247">
                  <c:v>4.2849463606732678</c:v>
                </c:pt>
                <c:pt idx="248">
                  <c:v>4.2051436253194439</c:v>
                </c:pt>
                <c:pt idx="249">
                  <c:v>4.2314668394524233</c:v>
                </c:pt>
                <c:pt idx="250">
                  <c:v>4.1521161049107356</c:v>
                </c:pt>
                <c:pt idx="251">
                  <c:v>4.1082142412482705</c:v>
                </c:pt>
                <c:pt idx="252">
                  <c:v>4.0473995059873742</c:v>
                </c:pt>
                <c:pt idx="253">
                  <c:v>3.9971224037828916</c:v>
                </c:pt>
                <c:pt idx="254">
                  <c:v>4.0026482557698566</c:v>
                </c:pt>
                <c:pt idx="255">
                  <c:v>4.119103284658288</c:v>
                </c:pt>
                <c:pt idx="256">
                  <c:v>4.1381917598968094</c:v>
                </c:pt>
                <c:pt idx="257">
                  <c:v>4.0849500490808035</c:v>
                </c:pt>
                <c:pt idx="258">
                  <c:v>4.0490488717738353</c:v>
                </c:pt>
                <c:pt idx="259">
                  <c:v>4.08178219437018</c:v>
                </c:pt>
                <c:pt idx="260">
                  <c:v>4.0186973816934479</c:v>
                </c:pt>
                <c:pt idx="261">
                  <c:v>3.9831538253897936</c:v>
                </c:pt>
                <c:pt idx="262">
                  <c:v>3.9994105465445191</c:v>
                </c:pt>
                <c:pt idx="263">
                  <c:v>3.9777258962181312</c:v>
                </c:pt>
                <c:pt idx="264">
                  <c:v>3.9291252009013307</c:v>
                </c:pt>
                <c:pt idx="265">
                  <c:v>3.9480955424925042</c:v>
                </c:pt>
                <c:pt idx="266">
                  <c:v>3.953541571445371</c:v>
                </c:pt>
                <c:pt idx="267">
                  <c:v>3.902917238015577</c:v>
                </c:pt>
                <c:pt idx="268">
                  <c:v>3.8683924445719193</c:v>
                </c:pt>
                <c:pt idx="269">
                  <c:v>3.8473187078564886</c:v>
                </c:pt>
                <c:pt idx="270">
                  <c:v>3.8396152287919758</c:v>
                </c:pt>
                <c:pt idx="271">
                  <c:v>3.8452018541432706</c:v>
                </c:pt>
                <c:pt idx="272">
                  <c:v>3.8091073546188614</c:v>
                </c:pt>
                <c:pt idx="273">
                  <c:v>3.998868580983137</c:v>
                </c:pt>
                <c:pt idx="274">
                  <c:v>3.9647004113767119</c:v>
                </c:pt>
                <c:pt idx="275">
                  <c:v>4.1665072109972874</c:v>
                </c:pt>
                <c:pt idx="276">
                  <c:v>4.2367545672484219</c:v>
                </c:pt>
                <c:pt idx="277">
                  <c:v>4.2248528347995284</c:v>
                </c:pt>
                <c:pt idx="278">
                  <c:v>4.2036177809188384</c:v>
                </c:pt>
                <c:pt idx="279">
                  <c:v>4.2083632273484124</c:v>
                </c:pt>
                <c:pt idx="280">
                  <c:v>4.445714799994823</c:v>
                </c:pt>
                <c:pt idx="281">
                  <c:v>4.398377312465005</c:v>
                </c:pt>
                <c:pt idx="282">
                  <c:v>4.3087574186377022</c:v>
                </c:pt>
                <c:pt idx="283">
                  <c:v>4.3516419792417986</c:v>
                </c:pt>
                <c:pt idx="284">
                  <c:v>4.3049412718847231</c:v>
                </c:pt>
                <c:pt idx="285">
                  <c:v>4.3349185990741734</c:v>
                </c:pt>
                <c:pt idx="286">
                  <c:v>4.4284074885715112</c:v>
                </c:pt>
                <c:pt idx="287">
                  <c:v>4.442040096930274</c:v>
                </c:pt>
                <c:pt idx="288">
                  <c:v>4.3558037208586979</c:v>
                </c:pt>
                <c:pt idx="289">
                  <c:v>4.3863466554501214</c:v>
                </c:pt>
                <c:pt idx="290">
                  <c:v>4.2876283393188928</c:v>
                </c:pt>
                <c:pt idx="291">
                  <c:v>4.176393551108502</c:v>
                </c:pt>
                <c:pt idx="292">
                  <c:v>4.2938077289700667</c:v>
                </c:pt>
                <c:pt idx="293">
                  <c:v>4.2601565953754736</c:v>
                </c:pt>
                <c:pt idx="294">
                  <c:v>4.2777087509948561</c:v>
                </c:pt>
                <c:pt idx="295">
                  <c:v>4.2314682885637112</c:v>
                </c:pt>
                <c:pt idx="296">
                  <c:v>4.1726789678809775</c:v>
                </c:pt>
                <c:pt idx="297">
                  <c:v>4.0229226543475436</c:v>
                </c:pt>
                <c:pt idx="298">
                  <c:v>3.8386833996262157</c:v>
                </c:pt>
                <c:pt idx="299">
                  <c:v>3.8945997452087822</c:v>
                </c:pt>
                <c:pt idx="300">
                  <c:v>3.824503502449121</c:v>
                </c:pt>
                <c:pt idx="301">
                  <c:v>3.8174527662892093</c:v>
                </c:pt>
                <c:pt idx="302">
                  <c:v>3.7236891657349074</c:v>
                </c:pt>
                <c:pt idx="303">
                  <c:v>3.7169607353462841</c:v>
                </c:pt>
                <c:pt idx="304">
                  <c:v>3.6979709588472702</c:v>
                </c:pt>
                <c:pt idx="305">
                  <c:v>3.7281035556271154</c:v>
                </c:pt>
                <c:pt idx="306">
                  <c:v>3.8315765974462579</c:v>
                </c:pt>
                <c:pt idx="307">
                  <c:v>3.8475566746188252</c:v>
                </c:pt>
                <c:pt idx="308">
                  <c:v>3.9743862108542141</c:v>
                </c:pt>
                <c:pt idx="309">
                  <c:v>4.3434126886234754</c:v>
                </c:pt>
                <c:pt idx="310">
                  <c:v>4.6626834356417381</c:v>
                </c:pt>
                <c:pt idx="311">
                  <c:v>4.8236590403607433</c:v>
                </c:pt>
                <c:pt idx="312">
                  <c:v>4.6057057165331639</c:v>
                </c:pt>
                <c:pt idx="313">
                  <c:v>4.645605472969474</c:v>
                </c:pt>
                <c:pt idx="314">
                  <c:v>4.7692460546432835</c:v>
                </c:pt>
                <c:pt idx="315">
                  <c:v>4.6053647027197036</c:v>
                </c:pt>
                <c:pt idx="316">
                  <c:v>4.597291151227636</c:v>
                </c:pt>
                <c:pt idx="317">
                  <c:v>4.5732394507168523</c:v>
                </c:pt>
                <c:pt idx="318">
                  <c:v>4.6957145605620063</c:v>
                </c:pt>
                <c:pt idx="319">
                  <c:v>4.7940894695963143</c:v>
                </c:pt>
                <c:pt idx="320">
                  <c:v>5.2938916113931951</c:v>
                </c:pt>
                <c:pt idx="321">
                  <c:v>5.2729272688592674</c:v>
                </c:pt>
                <c:pt idx="322">
                  <c:v>5.0461736422743177</c:v>
                </c:pt>
                <c:pt idx="323">
                  <c:v>5.1312155143615472</c:v>
                </c:pt>
                <c:pt idx="324">
                  <c:v>4.970370578621198</c:v>
                </c:pt>
                <c:pt idx="325">
                  <c:v>5.172000294709191</c:v>
                </c:pt>
                <c:pt idx="326">
                  <c:v>5.0582558799829318</c:v>
                </c:pt>
                <c:pt idx="327">
                  <c:v>5.0440186852467983</c:v>
                </c:pt>
                <c:pt idx="328">
                  <c:v>5.1975069858319118</c:v>
                </c:pt>
                <c:pt idx="329">
                  <c:v>5.1077963723342794</c:v>
                </c:pt>
                <c:pt idx="330">
                  <c:v>5.0529992268771604</c:v>
                </c:pt>
                <c:pt idx="331">
                  <c:v>5.0444554730546907</c:v>
                </c:pt>
                <c:pt idx="332">
                  <c:v>5.0189966889420674</c:v>
                </c:pt>
                <c:pt idx="333">
                  <c:v>5.0334467406050889</c:v>
                </c:pt>
                <c:pt idx="334">
                  <c:v>5.2419963497604867</c:v>
                </c:pt>
                <c:pt idx="335">
                  <c:v>5.5296572851813943</c:v>
                </c:pt>
                <c:pt idx="336">
                  <c:v>5.5659461631426854</c:v>
                </c:pt>
                <c:pt idx="337">
                  <c:v>5.4928803176117462</c:v>
                </c:pt>
                <c:pt idx="338">
                  <c:v>5.2802413076011616</c:v>
                </c:pt>
                <c:pt idx="339">
                  <c:v>5.4746746746054518</c:v>
                </c:pt>
                <c:pt idx="340">
                  <c:v>5.4994249743324835</c:v>
                </c:pt>
                <c:pt idx="341">
                  <c:v>5.4115865162941432</c:v>
                </c:pt>
                <c:pt idx="342">
                  <c:v>5.4184889860141556</c:v>
                </c:pt>
                <c:pt idx="343">
                  <c:v>5.5660738235574403</c:v>
                </c:pt>
                <c:pt idx="344">
                  <c:v>5.6350652981635463</c:v>
                </c:pt>
                <c:pt idx="345">
                  <c:v>5.6815505085896172</c:v>
                </c:pt>
                <c:pt idx="346">
                  <c:v>5.7167618075800313</c:v>
                </c:pt>
                <c:pt idx="347">
                  <c:v>5.6556908093209701</c:v>
                </c:pt>
                <c:pt idx="348">
                  <c:v>5.6354659068293831</c:v>
                </c:pt>
                <c:pt idx="349">
                  <c:v>5.6263385543134872</c:v>
                </c:pt>
                <c:pt idx="350">
                  <c:v>5.7383968921897406</c:v>
                </c:pt>
                <c:pt idx="351">
                  <c:v>5.6081722603331121</c:v>
                </c:pt>
                <c:pt idx="352">
                  <c:v>5.5373680558310499</c:v>
                </c:pt>
                <c:pt idx="353">
                  <c:v>5.4083014238293954</c:v>
                </c:pt>
                <c:pt idx="354">
                  <c:v>5.4323652808761107</c:v>
                </c:pt>
                <c:pt idx="355">
                  <c:v>5.4236794184651069</c:v>
                </c:pt>
                <c:pt idx="356">
                  <c:v>5.3280329937603872</c:v>
                </c:pt>
                <c:pt idx="357">
                  <c:v>5.3026382757551946</c:v>
                </c:pt>
                <c:pt idx="358">
                  <c:v>5.2942270788600458</c:v>
                </c:pt>
                <c:pt idx="359">
                  <c:v>5.2642676564238267</c:v>
                </c:pt>
                <c:pt idx="360">
                  <c:v>5.2559437314025468</c:v>
                </c:pt>
                <c:pt idx="361">
                  <c:v>5.2691528348743306</c:v>
                </c:pt>
                <c:pt idx="362">
                  <c:v>5.1756076252222423</c:v>
                </c:pt>
                <c:pt idx="363">
                  <c:v>4.9791135373272128</c:v>
                </c:pt>
                <c:pt idx="364">
                  <c:v>4.9010726689202473</c:v>
                </c:pt>
                <c:pt idx="365">
                  <c:v>4.8826543142699164</c:v>
                </c:pt>
                <c:pt idx="366">
                  <c:v>4.8157520079258207</c:v>
                </c:pt>
                <c:pt idx="367">
                  <c:v>4.7114376067158581</c:v>
                </c:pt>
                <c:pt idx="368">
                  <c:v>4.6666026360409338</c:v>
                </c:pt>
                <c:pt idx="369">
                  <c:v>4.5650246467630087</c:v>
                </c:pt>
                <c:pt idx="370">
                  <c:v>4.5970237035560455</c:v>
                </c:pt>
                <c:pt idx="371">
                  <c:v>4.5461173466298792</c:v>
                </c:pt>
                <c:pt idx="372">
                  <c:v>4.8949775504783632</c:v>
                </c:pt>
                <c:pt idx="373">
                  <c:v>5.1926932839278566</c:v>
                </c:pt>
                <c:pt idx="374">
                  <c:v>5.0573305817669203</c:v>
                </c:pt>
                <c:pt idx="375">
                  <c:v>4.9877414495765215</c:v>
                </c:pt>
                <c:pt idx="376">
                  <c:v>4.7215353514148344</c:v>
                </c:pt>
                <c:pt idx="377">
                  <c:v>4.6900782150637772</c:v>
                </c:pt>
                <c:pt idx="378">
                  <c:v>4.6084145580231031</c:v>
                </c:pt>
                <c:pt idx="379">
                  <c:v>4.486922830380804</c:v>
                </c:pt>
                <c:pt idx="380">
                  <c:v>4.4177446411351324</c:v>
                </c:pt>
                <c:pt idx="381">
                  <c:v>4.7067448784614001</c:v>
                </c:pt>
                <c:pt idx="382">
                  <c:v>4.6610660025212205</c:v>
                </c:pt>
                <c:pt idx="383">
                  <c:v>4.5921526478165262</c:v>
                </c:pt>
                <c:pt idx="384">
                  <c:v>4.4932286312025003</c:v>
                </c:pt>
                <c:pt idx="385">
                  <c:v>4.4432060958095789</c:v>
                </c:pt>
                <c:pt idx="386">
                  <c:v>4.3632198734000669</c:v>
                </c:pt>
                <c:pt idx="387">
                  <c:v>4.2158326875940766</c:v>
                </c:pt>
                <c:pt idx="388">
                  <c:v>4.1917209855783852</c:v>
                </c:pt>
                <c:pt idx="389">
                  <c:v>4.1141125865035697</c:v>
                </c:pt>
                <c:pt idx="390">
                  <c:v>4.076755461366381</c:v>
                </c:pt>
                <c:pt idx="391">
                  <c:v>4.0836932710023932</c:v>
                </c:pt>
                <c:pt idx="392">
                  <c:v>4.0905313163213242</c:v>
                </c:pt>
                <c:pt idx="393">
                  <c:v>4.0253897736052551</c:v>
                </c:pt>
                <c:pt idx="394">
                  <c:v>3.8242731457988848</c:v>
                </c:pt>
                <c:pt idx="395">
                  <c:v>3.7989609128635244</c:v>
                </c:pt>
                <c:pt idx="396">
                  <c:v>3.5753509437075457</c:v>
                </c:pt>
                <c:pt idx="397">
                  <c:v>3.5519954579676809</c:v>
                </c:pt>
                <c:pt idx="398">
                  <c:v>3.4635923262792314</c:v>
                </c:pt>
                <c:pt idx="399">
                  <c:v>3.2051362456717363</c:v>
                </c:pt>
                <c:pt idx="400">
                  <c:v>3.3759530320556848</c:v>
                </c:pt>
                <c:pt idx="401">
                  <c:v>3.2281381788321446</c:v>
                </c:pt>
                <c:pt idx="402">
                  <c:v>3.302325044854439</c:v>
                </c:pt>
                <c:pt idx="403">
                  <c:v>3.2818244038758984</c:v>
                </c:pt>
                <c:pt idx="404">
                  <c:v>3.2402321700670185</c:v>
                </c:pt>
                <c:pt idx="405">
                  <c:v>3.1718073542459138</c:v>
                </c:pt>
                <c:pt idx="406">
                  <c:v>3.055703290066738</c:v>
                </c:pt>
                <c:pt idx="407">
                  <c:v>3.1278141153292611</c:v>
                </c:pt>
                <c:pt idx="408">
                  <c:v>3.1930761453526588</c:v>
                </c:pt>
                <c:pt idx="409">
                  <c:v>3.2547990170108512</c:v>
                </c:pt>
                <c:pt idx="410">
                  <c:v>3.2124789630769399</c:v>
                </c:pt>
                <c:pt idx="411">
                  <c:v>3.1706479209106933</c:v>
                </c:pt>
                <c:pt idx="412">
                  <c:v>3.3491002426531042</c:v>
                </c:pt>
                <c:pt idx="413">
                  <c:v>3.2667079963789596</c:v>
                </c:pt>
                <c:pt idx="414">
                  <c:v>3.3926166407362874</c:v>
                </c:pt>
                <c:pt idx="415">
                  <c:v>3.3174444913954377</c:v>
                </c:pt>
                <c:pt idx="416">
                  <c:v>3.382896301993541</c:v>
                </c:pt>
                <c:pt idx="417">
                  <c:v>3.3086080774960211</c:v>
                </c:pt>
                <c:pt idx="418">
                  <c:v>3.2351358305540003</c:v>
                </c:pt>
                <c:pt idx="419">
                  <c:v>3.2044600126394136</c:v>
                </c:pt>
                <c:pt idx="420">
                  <c:v>3.2142958716262284</c:v>
                </c:pt>
                <c:pt idx="421">
                  <c:v>3.2132618850549957</c:v>
                </c:pt>
                <c:pt idx="422">
                  <c:v>3.1961776989617134</c:v>
                </c:pt>
                <c:pt idx="423">
                  <c:v>3.1792742176028721</c:v>
                </c:pt>
                <c:pt idx="424">
                  <c:v>3.1296197791642202</c:v>
                </c:pt>
                <c:pt idx="425">
                  <c:v>3.0508300569379867</c:v>
                </c:pt>
                <c:pt idx="426">
                  <c:v>3.1181225153178631</c:v>
                </c:pt>
                <c:pt idx="427">
                  <c:v>3.1331088018014395</c:v>
                </c:pt>
                <c:pt idx="428">
                  <c:v>3.0811832618232957</c:v>
                </c:pt>
                <c:pt idx="429">
                  <c:v>3.1662588165505716</c:v>
                </c:pt>
                <c:pt idx="430">
                  <c:v>3.200760592432391</c:v>
                </c:pt>
                <c:pt idx="431">
                  <c:v>3.1648126021776242</c:v>
                </c:pt>
                <c:pt idx="432">
                  <c:v>3.1491517247209604</c:v>
                </c:pt>
                <c:pt idx="433">
                  <c:v>3.3121438480666834</c:v>
                </c:pt>
                <c:pt idx="434">
                  <c:v>3.4251703737374628</c:v>
                </c:pt>
                <c:pt idx="435">
                  <c:v>3.4086303680375099</c:v>
                </c:pt>
                <c:pt idx="436">
                  <c:v>3.3632143922667637</c:v>
                </c:pt>
                <c:pt idx="437">
                  <c:v>3.3712089857580181</c:v>
                </c:pt>
                <c:pt idx="438">
                  <c:v>3.3551620276487739</c:v>
                </c:pt>
                <c:pt idx="439">
                  <c:v>3.279571209374367</c:v>
                </c:pt>
                <c:pt idx="440">
                  <c:v>3.2565455940493706</c:v>
                </c:pt>
                <c:pt idx="441">
                  <c:v>3.1602682044396047</c:v>
                </c:pt>
                <c:pt idx="442">
                  <c:v>3.2002672467372659</c:v>
                </c:pt>
                <c:pt idx="443">
                  <c:v>3.1455429986289398</c:v>
                </c:pt>
                <c:pt idx="444">
                  <c:v>3.1305929269823265</c:v>
                </c:pt>
                <c:pt idx="445">
                  <c:v>3.0727190502328305</c:v>
                </c:pt>
                <c:pt idx="446">
                  <c:v>3.1472170740550887</c:v>
                </c:pt>
                <c:pt idx="447">
                  <c:v>3.5186661555197229</c:v>
                </c:pt>
                <c:pt idx="448">
                  <c:v>3.4380766960194222</c:v>
                </c:pt>
                <c:pt idx="449">
                  <c:v>3.6908295703737255</c:v>
                </c:pt>
                <c:pt idx="450">
                  <c:v>3.940698323980222</c:v>
                </c:pt>
                <c:pt idx="451">
                  <c:v>4.0647587933373908</c:v>
                </c:pt>
                <c:pt idx="452">
                  <c:v>4.0476139882638211</c:v>
                </c:pt>
                <c:pt idx="453">
                  <c:v>3.9840898639959716</c:v>
                </c:pt>
                <c:pt idx="454">
                  <c:v>4.1751423595613462</c:v>
                </c:pt>
                <c:pt idx="455">
                  <c:v>3.8762182275236086</c:v>
                </c:pt>
                <c:pt idx="456">
                  <c:v>3.851898531262484</c:v>
                </c:pt>
                <c:pt idx="457">
                  <c:v>3.8819841162478856</c:v>
                </c:pt>
                <c:pt idx="458">
                  <c:v>3.9699617032697931</c:v>
                </c:pt>
                <c:pt idx="459">
                  <c:v>3.8727246806086497</c:v>
                </c:pt>
                <c:pt idx="460">
                  <c:v>3.7836289508995136</c:v>
                </c:pt>
                <c:pt idx="461">
                  <c:v>3.8295443265822122</c:v>
                </c:pt>
                <c:pt idx="462">
                  <c:v>3.7940250536777689</c:v>
                </c:pt>
                <c:pt idx="463">
                  <c:v>3.7184139275611661</c:v>
                </c:pt>
                <c:pt idx="464">
                  <c:v>3.6667025192523113</c:v>
                </c:pt>
                <c:pt idx="465">
                  <c:v>3.6205897387683881</c:v>
                </c:pt>
                <c:pt idx="466">
                  <c:v>3.6302595045992949</c:v>
                </c:pt>
                <c:pt idx="467">
                  <c:v>3.7897074933034611</c:v>
                </c:pt>
                <c:pt idx="468">
                  <c:v>3.8418609759812079</c:v>
                </c:pt>
                <c:pt idx="469">
                  <c:v>4.0774831432577514</c:v>
                </c:pt>
                <c:pt idx="470">
                  <c:v>4.0619843546601953</c:v>
                </c:pt>
                <c:pt idx="471">
                  <c:v>4.2470061371912786</c:v>
                </c:pt>
                <c:pt idx="472">
                  <c:v>4.3077721593166132</c:v>
                </c:pt>
                <c:pt idx="473">
                  <c:v>4.3680814382749311</c:v>
                </c:pt>
                <c:pt idx="474">
                  <c:v>4.1605255507178756</c:v>
                </c:pt>
                <c:pt idx="475">
                  <c:v>3.9717795656146757</c:v>
                </c:pt>
                <c:pt idx="476">
                  <c:v>3.9421105294069707</c:v>
                </c:pt>
                <c:pt idx="477">
                  <c:v>3.9201407652012534</c:v>
                </c:pt>
                <c:pt idx="478">
                  <c:v>3.95796221804977</c:v>
                </c:pt>
                <c:pt idx="479">
                  <c:v>3.9149539774873547</c:v>
                </c:pt>
                <c:pt idx="480">
                  <c:v>4.0330562047313334</c:v>
                </c:pt>
                <c:pt idx="481">
                  <c:v>4.4430997929417018</c:v>
                </c:pt>
                <c:pt idx="482">
                  <c:v>4.9158467558204579</c:v>
                </c:pt>
                <c:pt idx="483">
                  <c:v>4.6148629004378705</c:v>
                </c:pt>
                <c:pt idx="484">
                  <c:v>4.5371946755385117</c:v>
                </c:pt>
                <c:pt idx="485">
                  <c:v>4.3420940680552729</c:v>
                </c:pt>
                <c:pt idx="486">
                  <c:v>4.2626027952039118</c:v>
                </c:pt>
                <c:pt idx="487">
                  <c:v>4.190782322524492</c:v>
                </c:pt>
                <c:pt idx="488">
                  <c:v>4.1903651582801897</c:v>
                </c:pt>
                <c:pt idx="489">
                  <c:v>4.3856060746629391</c:v>
                </c:pt>
                <c:pt idx="490">
                  <c:v>4.6013041034822413</c:v>
                </c:pt>
                <c:pt idx="491">
                  <c:v>4.4322344576894528</c:v>
                </c:pt>
                <c:pt idx="492">
                  <c:v>4.4657277220559557</c:v>
                </c:pt>
                <c:pt idx="493">
                  <c:v>4.4989932061589029</c:v>
                </c:pt>
                <c:pt idx="494">
                  <c:v>4.4535616781191072</c:v>
                </c:pt>
                <c:pt idx="495">
                  <c:v>4.6161658932686453</c:v>
                </c:pt>
                <c:pt idx="496">
                  <c:v>4.6007315469018675</c:v>
                </c:pt>
                <c:pt idx="497">
                  <c:v>4.646448293127392</c:v>
                </c:pt>
                <c:pt idx="498">
                  <c:v>4.4687613225643075</c:v>
                </c:pt>
                <c:pt idx="499">
                  <c:v>4.351040885247154</c:v>
                </c:pt>
                <c:pt idx="500">
                  <c:v>4.376810911911349</c:v>
                </c:pt>
                <c:pt idx="501">
                  <c:v>4.2162077926863191</c:v>
                </c:pt>
                <c:pt idx="502">
                  <c:v>4.1428213456793577</c:v>
                </c:pt>
                <c:pt idx="503">
                  <c:v>4.2747282691099304</c:v>
                </c:pt>
                <c:pt idx="504">
                  <c:v>4.257306906927421</c:v>
                </c:pt>
                <c:pt idx="505">
                  <c:v>4.1013059835184507</c:v>
                </c:pt>
                <c:pt idx="506">
                  <c:v>4.2571404286605619</c:v>
                </c:pt>
                <c:pt idx="507">
                  <c:v>4.1627560672125901</c:v>
                </c:pt>
                <c:pt idx="508">
                  <c:v>3.961539239220119</c:v>
                </c:pt>
                <c:pt idx="509">
                  <c:v>3.9574318254811338</c:v>
                </c:pt>
                <c:pt idx="510">
                  <c:v>3.891986937136795</c:v>
                </c:pt>
                <c:pt idx="511">
                  <c:v>3.8005126233310942</c:v>
                </c:pt>
                <c:pt idx="512">
                  <c:v>3.3274459811712123</c:v>
                </c:pt>
                <c:pt idx="513">
                  <c:v>3.0379518497656721</c:v>
                </c:pt>
                <c:pt idx="514">
                  <c:v>3.4166619304128623</c:v>
                </c:pt>
                <c:pt idx="515">
                  <c:v>3.6397509796197149</c:v>
                </c:pt>
                <c:pt idx="516">
                  <c:v>3.6221549670041551</c:v>
                </c:pt>
                <c:pt idx="517">
                  <c:v>3.7723251136200293</c:v>
                </c:pt>
                <c:pt idx="518">
                  <c:v>3.7415755344129615</c:v>
                </c:pt>
                <c:pt idx="519">
                  <c:v>3.8097066175680339</c:v>
                </c:pt>
                <c:pt idx="520">
                  <c:v>3.5251492689021946</c:v>
                </c:pt>
                <c:pt idx="521">
                  <c:v>3.4766019336250285</c:v>
                </c:pt>
                <c:pt idx="522">
                  <c:v>3.5041088767922317</c:v>
                </c:pt>
                <c:pt idx="523">
                  <c:v>3.4747978168415687</c:v>
                </c:pt>
                <c:pt idx="524">
                  <c:v>3.4565334706394117</c:v>
                </c:pt>
                <c:pt idx="525">
                  <c:v>3.4277070546321209</c:v>
                </c:pt>
                <c:pt idx="526">
                  <c:v>3.4424681845236118</c:v>
                </c:pt>
                <c:pt idx="527">
                  <c:v>3.3952978788078076</c:v>
                </c:pt>
                <c:pt idx="528">
                  <c:v>3.3545690384759435</c:v>
                </c:pt>
                <c:pt idx="529">
                  <c:v>3.2093426015005186</c:v>
                </c:pt>
                <c:pt idx="530">
                  <c:v>3.1818097507230338</c:v>
                </c:pt>
                <c:pt idx="531">
                  <c:v>3.1205573601827643</c:v>
                </c:pt>
                <c:pt idx="532">
                  <c:v>3.0565992990147026</c:v>
                </c:pt>
                <c:pt idx="533">
                  <c:v>3.2795062406153779</c:v>
                </c:pt>
                <c:pt idx="534">
                  <c:v>3.1670265007678595</c:v>
                </c:pt>
                <c:pt idx="535">
                  <c:v>3.0435716054807287</c:v>
                </c:pt>
                <c:pt idx="536">
                  <c:v>3.0289902908898521</c:v>
                </c:pt>
                <c:pt idx="537">
                  <c:v>3.0684280869404561</c:v>
                </c:pt>
                <c:pt idx="538">
                  <c:v>3.0538588315508974</c:v>
                </c:pt>
                <c:pt idx="539">
                  <c:v>2.9810043440116543</c:v>
                </c:pt>
                <c:pt idx="540">
                  <c:v>2.9786586720632</c:v>
                </c:pt>
                <c:pt idx="541">
                  <c:v>2.9704322418565625</c:v>
                </c:pt>
                <c:pt idx="542">
                  <c:v>2.9740060906347034</c:v>
                </c:pt>
                <c:pt idx="543">
                  <c:v>2.9423922722841143</c:v>
                </c:pt>
                <c:pt idx="544">
                  <c:v>2.8808503082615395</c:v>
                </c:pt>
                <c:pt idx="545">
                  <c:v>2.8447225356525614</c:v>
                </c:pt>
                <c:pt idx="546">
                  <c:v>3.3705442669562222</c:v>
                </c:pt>
                <c:pt idx="547">
                  <c:v>3.5936358541109974</c:v>
                </c:pt>
                <c:pt idx="548">
                  <c:v>3.4656006765897325</c:v>
                </c:pt>
                <c:pt idx="549">
                  <c:v>3.3823198239513323</c:v>
                </c:pt>
                <c:pt idx="550">
                  <c:v>3.2617633070737884</c:v>
                </c:pt>
                <c:pt idx="551">
                  <c:v>3.3145257679449291</c:v>
                </c:pt>
                <c:pt idx="552">
                  <c:v>3.300339950080434</c:v>
                </c:pt>
                <c:pt idx="553">
                  <c:v>3.2917695082121066</c:v>
                </c:pt>
                <c:pt idx="554">
                  <c:v>3.1343505362938546</c:v>
                </c:pt>
                <c:pt idx="555">
                  <c:v>3.1756573690089391</c:v>
                </c:pt>
                <c:pt idx="556">
                  <c:v>3.1893990805394323</c:v>
                </c:pt>
                <c:pt idx="557">
                  <c:v>3.0721102233672961</c:v>
                </c:pt>
                <c:pt idx="558">
                  <c:v>3.1731301220382444</c:v>
                </c:pt>
                <c:pt idx="559">
                  <c:v>3.2462613194827732</c:v>
                </c:pt>
                <c:pt idx="560">
                  <c:v>4.0408470401855308</c:v>
                </c:pt>
                <c:pt idx="561">
                  <c:v>4.3262532577982551</c:v>
                </c:pt>
                <c:pt idx="562">
                  <c:v>4.0955957441788966</c:v>
                </c:pt>
                <c:pt idx="563">
                  <c:v>4.010471125775088</c:v>
                </c:pt>
                <c:pt idx="564">
                  <c:v>3.8213265489775168</c:v>
                </c:pt>
                <c:pt idx="565">
                  <c:v>3.8859655589891471</c:v>
                </c:pt>
                <c:pt idx="566">
                  <c:v>3.8552243148420891</c:v>
                </c:pt>
                <c:pt idx="567">
                  <c:v>3.9089243210626372</c:v>
                </c:pt>
                <c:pt idx="568">
                  <c:v>3.9098086583018814</c:v>
                </c:pt>
                <c:pt idx="569">
                  <c:v>3.8863528241616971</c:v>
                </c:pt>
                <c:pt idx="570">
                  <c:v>3.9549337593697618</c:v>
                </c:pt>
                <c:pt idx="571">
                  <c:v>3.9453130155405365</c:v>
                </c:pt>
                <c:pt idx="572">
                  <c:v>3.852881302414918</c:v>
                </c:pt>
                <c:pt idx="573">
                  <c:v>3.7660631769388151</c:v>
                </c:pt>
                <c:pt idx="574">
                  <c:v>3.7696824678812448</c:v>
                </c:pt>
                <c:pt idx="575">
                  <c:v>3.7350616682204967</c:v>
                </c:pt>
                <c:pt idx="576">
                  <c:v>3.6087293585159426</c:v>
                </c:pt>
                <c:pt idx="577">
                  <c:v>3.3862499476394037</c:v>
                </c:pt>
                <c:pt idx="578">
                  <c:v>3.3019893065208894</c:v>
                </c:pt>
                <c:pt idx="579">
                  <c:v>3.2785755916192549</c:v>
                </c:pt>
                <c:pt idx="580">
                  <c:v>3.1198825734327977</c:v>
                </c:pt>
                <c:pt idx="581">
                  <c:v>3.2129477406004519</c:v>
                </c:pt>
                <c:pt idx="582">
                  <c:v>3.3556605541099338</c:v>
                </c:pt>
                <c:pt idx="583">
                  <c:v>3.3528001312771423</c:v>
                </c:pt>
                <c:pt idx="584">
                  <c:v>3.2252138537286905</c:v>
                </c:pt>
                <c:pt idx="585">
                  <c:v>3.2177322169036127</c:v>
                </c:pt>
                <c:pt idx="586">
                  <c:v>3.2004074099053064</c:v>
                </c:pt>
                <c:pt idx="587">
                  <c:v>3.1535976317930996</c:v>
                </c:pt>
                <c:pt idx="588">
                  <c:v>3.1954941319367687</c:v>
                </c:pt>
                <c:pt idx="589">
                  <c:v>3.154031708593084</c:v>
                </c:pt>
                <c:pt idx="590">
                  <c:v>3.0250506753821234</c:v>
                </c:pt>
                <c:pt idx="591">
                  <c:v>3.0473221954006977</c:v>
                </c:pt>
                <c:pt idx="592">
                  <c:v>2.9822083536225934</c:v>
                </c:pt>
                <c:pt idx="593">
                  <c:v>2.9173897564839009</c:v>
                </c:pt>
                <c:pt idx="594">
                  <c:v>2.6958528370514867</c:v>
                </c:pt>
                <c:pt idx="595">
                  <c:v>2.6466440783608367</c:v>
                </c:pt>
                <c:pt idx="596">
                  <c:v>2.7268211579465467</c:v>
                </c:pt>
                <c:pt idx="597">
                  <c:v>2.7970931776898689</c:v>
                </c:pt>
                <c:pt idx="598">
                  <c:v>2.9242020709363783</c:v>
                </c:pt>
                <c:pt idx="599">
                  <c:v>2.9047542376974786</c:v>
                </c:pt>
                <c:pt idx="600">
                  <c:v>2.8983289841993929</c:v>
                </c:pt>
                <c:pt idx="601">
                  <c:v>2.8919320930078167</c:v>
                </c:pt>
                <c:pt idx="602">
                  <c:v>2.8620653036407915</c:v>
                </c:pt>
                <c:pt idx="603">
                  <c:v>2.8135726218228316</c:v>
                </c:pt>
                <c:pt idx="604">
                  <c:v>2.8964480801977319</c:v>
                </c:pt>
                <c:pt idx="605">
                  <c:v>2.8644774107694819</c:v>
                </c:pt>
                <c:pt idx="606">
                  <c:v>2.8325984494641951</c:v>
                </c:pt>
                <c:pt idx="607">
                  <c:v>2.8481142644100328</c:v>
                </c:pt>
                <c:pt idx="608">
                  <c:v>2.9867154816384307</c:v>
                </c:pt>
                <c:pt idx="609">
                  <c:v>3.1708766855751147</c:v>
                </c:pt>
                <c:pt idx="610">
                  <c:v>3.1847234000288944</c:v>
                </c:pt>
                <c:pt idx="611">
                  <c:v>3.2764319695771675</c:v>
                </c:pt>
                <c:pt idx="612">
                  <c:v>3.308163440789464</c:v>
                </c:pt>
                <c:pt idx="613">
                  <c:v>3.1440134453938882</c:v>
                </c:pt>
                <c:pt idx="614">
                  <c:v>3.0212773976777445</c:v>
                </c:pt>
                <c:pt idx="615">
                  <c:v>3.0033923048405642</c:v>
                </c:pt>
                <c:pt idx="616">
                  <c:v>2.9447216127274101</c:v>
                </c:pt>
                <c:pt idx="617">
                  <c:v>2.9097614420256894</c:v>
                </c:pt>
                <c:pt idx="618">
                  <c:v>2.549249411655564</c:v>
                </c:pt>
                <c:pt idx="619">
                  <c:v>2.6448143512739208</c:v>
                </c:pt>
                <c:pt idx="620">
                  <c:v>2.6591242503777002</c:v>
                </c:pt>
                <c:pt idx="621">
                  <c:v>2.8306527899419818</c:v>
                </c:pt>
                <c:pt idx="622">
                  <c:v>2.7696599486771216</c:v>
                </c:pt>
                <c:pt idx="623">
                  <c:v>2.8775304318273709</c:v>
                </c:pt>
                <c:pt idx="624">
                  <c:v>2.6727600363438988</c:v>
                </c:pt>
                <c:pt idx="625">
                  <c:v>2.6646136580017403</c:v>
                </c:pt>
                <c:pt idx="626">
                  <c:v>2.674288671674419</c:v>
                </c:pt>
                <c:pt idx="627">
                  <c:v>2.8228020966332732</c:v>
                </c:pt>
                <c:pt idx="628">
                  <c:v>2.8233564667460165</c:v>
                </c:pt>
                <c:pt idx="629">
                  <c:v>2.6307586825020004</c:v>
                </c:pt>
                <c:pt idx="630">
                  <c:v>2.6883942822632947</c:v>
                </c:pt>
                <c:pt idx="631">
                  <c:v>2.806990378407495</c:v>
                </c:pt>
                <c:pt idx="632">
                  <c:v>2.8478186007733628</c:v>
                </c:pt>
                <c:pt idx="633">
                  <c:v>2.7788574331802698</c:v>
                </c:pt>
                <c:pt idx="634">
                  <c:v>2.7274261108040254</c:v>
                </c:pt>
                <c:pt idx="635">
                  <c:v>2.6588115691095937</c:v>
                </c:pt>
                <c:pt idx="636">
                  <c:v>2.698493651170188</c:v>
                </c:pt>
                <c:pt idx="637">
                  <c:v>2.6747669542252646</c:v>
                </c:pt>
                <c:pt idx="638">
                  <c:v>2.7873408785460296</c:v>
                </c:pt>
                <c:pt idx="639">
                  <c:v>2.873840739471214</c:v>
                </c:pt>
                <c:pt idx="640">
                  <c:v>2.8657302783539764</c:v>
                </c:pt>
                <c:pt idx="641">
                  <c:v>3.0461514267137719</c:v>
                </c:pt>
                <c:pt idx="642">
                  <c:v>3.0041958797827628</c:v>
                </c:pt>
                <c:pt idx="643">
                  <c:v>2.9405648772947526</c:v>
                </c:pt>
                <c:pt idx="644">
                  <c:v>2.8600774459563234</c:v>
                </c:pt>
                <c:pt idx="645">
                  <c:v>2.8265571195965404</c:v>
                </c:pt>
                <c:pt idx="646">
                  <c:v>2.8483082985744126</c:v>
                </c:pt>
                <c:pt idx="647">
                  <c:v>2.8667098066283634</c:v>
                </c:pt>
                <c:pt idx="648">
                  <c:v>2.8460680693368938</c:v>
                </c:pt>
                <c:pt idx="649">
                  <c:v>2.8803030331229409</c:v>
                </c:pt>
                <c:pt idx="650">
                  <c:v>2.7754648147250851</c:v>
                </c:pt>
                <c:pt idx="651">
                  <c:v>2.5657463488613823</c:v>
                </c:pt>
                <c:pt idx="652">
                  <c:v>2.4091113165027451</c:v>
                </c:pt>
                <c:pt idx="653">
                  <c:v>2.20932424407897</c:v>
                </c:pt>
                <c:pt idx="654">
                  <c:v>2.3401883110625672</c:v>
                </c:pt>
                <c:pt idx="655">
                  <c:v>2.2369977109968762</c:v>
                </c:pt>
                <c:pt idx="656">
                  <c:v>2.2341083788114942</c:v>
                </c:pt>
                <c:pt idx="657">
                  <c:v>2.2254849921389099</c:v>
                </c:pt>
                <c:pt idx="658">
                  <c:v>2.3179991513529412</c:v>
                </c:pt>
                <c:pt idx="659">
                  <c:v>2.4889618409807146</c:v>
                </c:pt>
                <c:pt idx="660">
                  <c:v>2.4857717908376391</c:v>
                </c:pt>
                <c:pt idx="661">
                  <c:v>2.4784591422309354</c:v>
                </c:pt>
                <c:pt idx="662">
                  <c:v>2.6212316245226823</c:v>
                </c:pt>
                <c:pt idx="663">
                  <c:v>2.6343323306828585</c:v>
                </c:pt>
                <c:pt idx="664">
                  <c:v>2.5488918150835258</c:v>
                </c:pt>
                <c:pt idx="665">
                  <c:v>2.6604338934284941</c:v>
                </c:pt>
                <c:pt idx="666">
                  <c:v>2.6510627822098995</c:v>
                </c:pt>
                <c:pt idx="667">
                  <c:v>2.5866152893949907</c:v>
                </c:pt>
                <c:pt idx="668">
                  <c:v>2.5833544110679214</c:v>
                </c:pt>
                <c:pt idx="669">
                  <c:v>2.6004175059624677</c:v>
                </c:pt>
                <c:pt idx="670">
                  <c:v>2.5890313865818624</c:v>
                </c:pt>
                <c:pt idx="671">
                  <c:v>2.4256748731174684</c:v>
                </c:pt>
                <c:pt idx="672">
                  <c:v>2.4832058413824458</c:v>
                </c:pt>
                <c:pt idx="673">
                  <c:v>2.4801027128765232</c:v>
                </c:pt>
                <c:pt idx="674">
                  <c:v>2.4488137509463592</c:v>
                </c:pt>
                <c:pt idx="675">
                  <c:v>2.5262139015491312</c:v>
                </c:pt>
                <c:pt idx="676">
                  <c:v>2.5208097352814658</c:v>
                </c:pt>
                <c:pt idx="677">
                  <c:v>2.5937338982611529</c:v>
                </c:pt>
                <c:pt idx="678">
                  <c:v>2.5945184730517297</c:v>
                </c:pt>
                <c:pt idx="679">
                  <c:v>2.5354095423767218</c:v>
                </c:pt>
                <c:pt idx="680">
                  <c:v>2.5203129047942787</c:v>
                </c:pt>
                <c:pt idx="681">
                  <c:v>2.4752460328344532</c:v>
                </c:pt>
                <c:pt idx="682">
                  <c:v>2.5356938497543666</c:v>
                </c:pt>
                <c:pt idx="683">
                  <c:v>2.5722130972974133</c:v>
                </c:pt>
                <c:pt idx="684">
                  <c:v>2.5131833165715705</c:v>
                </c:pt>
                <c:pt idx="685">
                  <c:v>2.5061849491443904</c:v>
                </c:pt>
                <c:pt idx="686">
                  <c:v>2.4206123164368467</c:v>
                </c:pt>
                <c:pt idx="687">
                  <c:v>2.4255179165519389</c:v>
                </c:pt>
                <c:pt idx="688">
                  <c:v>2.426491579976338</c:v>
                </c:pt>
                <c:pt idx="689">
                  <c:v>2.4176810731305296</c:v>
                </c:pt>
                <c:pt idx="690">
                  <c:v>2.4108573746790283</c:v>
                </c:pt>
                <c:pt idx="691">
                  <c:v>2.46639181123837</c:v>
                </c:pt>
                <c:pt idx="692">
                  <c:v>2.3972593517261789</c:v>
                </c:pt>
                <c:pt idx="693">
                  <c:v>2.3516152349784929</c:v>
                </c:pt>
                <c:pt idx="694">
                  <c:v>2.3896240047186401</c:v>
                </c:pt>
                <c:pt idx="695">
                  <c:v>2.3635495470725512</c:v>
                </c:pt>
                <c:pt idx="696">
                  <c:v>2.4302662876494296</c:v>
                </c:pt>
                <c:pt idx="697">
                  <c:v>2.3733329662375584</c:v>
                </c:pt>
                <c:pt idx="698">
                  <c:v>2.3319535239399798</c:v>
                </c:pt>
                <c:pt idx="699">
                  <c:v>2.2391318236407955</c:v>
                </c:pt>
                <c:pt idx="700">
                  <c:v>2.1482388391302378</c:v>
                </c:pt>
                <c:pt idx="701">
                  <c:v>2.0422353502768744</c:v>
                </c:pt>
                <c:pt idx="702">
                  <c:v>2.0474675048171505</c:v>
                </c:pt>
                <c:pt idx="703">
                  <c:v>2.1062023884209187</c:v>
                </c:pt>
                <c:pt idx="704">
                  <c:v>2.2282494974503302</c:v>
                </c:pt>
                <c:pt idx="705">
                  <c:v>2.2066001316469164</c:v>
                </c:pt>
                <c:pt idx="706">
                  <c:v>2.1615428822580083</c:v>
                </c:pt>
                <c:pt idx="707">
                  <c:v>2.1320130611521408</c:v>
                </c:pt>
                <c:pt idx="708">
                  <c:v>2.1102542798152584</c:v>
                </c:pt>
                <c:pt idx="709">
                  <c:v>1.985399815215255</c:v>
                </c:pt>
                <c:pt idx="710">
                  <c:v>1.9447976189231577</c:v>
                </c:pt>
                <c:pt idx="711">
                  <c:v>1.9100259655491001</c:v>
                </c:pt>
                <c:pt idx="712">
                  <c:v>1.8333217208148591</c:v>
                </c:pt>
                <c:pt idx="713">
                  <c:v>1.8117110580012172</c:v>
                </c:pt>
                <c:pt idx="714">
                  <c:v>1.8400234683340404</c:v>
                </c:pt>
                <c:pt idx="715">
                  <c:v>1.8530810926743646</c:v>
                </c:pt>
                <c:pt idx="716">
                  <c:v>1.7902504298929152</c:v>
                </c:pt>
                <c:pt idx="717">
                  <c:v>1.7048338838297252</c:v>
                </c:pt>
                <c:pt idx="718">
                  <c:v>1.5101716785504686</c:v>
                </c:pt>
                <c:pt idx="719">
                  <c:v>1.3877595601254031</c:v>
                </c:pt>
                <c:pt idx="720">
                  <c:v>1.4916339141079558</c:v>
                </c:pt>
                <c:pt idx="721">
                  <c:v>1.5576455246209082</c:v>
                </c:pt>
                <c:pt idx="722">
                  <c:v>1.5558596978635673</c:v>
                </c:pt>
                <c:pt idx="723">
                  <c:v>1.5055838996165802</c:v>
                </c:pt>
                <c:pt idx="724">
                  <c:v>1.5038656409231559</c:v>
                </c:pt>
                <c:pt idx="725">
                  <c:v>1.5021512997096091</c:v>
                </c:pt>
                <c:pt idx="726">
                  <c:v>1.5004408625939272</c:v>
                </c:pt>
                <c:pt idx="727">
                  <c:v>1.4838215369887582</c:v>
                </c:pt>
                <c:pt idx="728">
                  <c:v>1.411896512550745</c:v>
                </c:pt>
                <c:pt idx="729">
                  <c:v>1.3731848420683745</c:v>
                </c:pt>
                <c:pt idx="730">
                  <c:v>1.5199163893478473</c:v>
                </c:pt>
                <c:pt idx="731">
                  <c:v>1.5552286631245982</c:v>
                </c:pt>
                <c:pt idx="732">
                  <c:v>1.5608712689377771</c:v>
                </c:pt>
                <c:pt idx="733">
                  <c:v>1.5187426432979467</c:v>
                </c:pt>
                <c:pt idx="734">
                  <c:v>1.4949438587857571</c:v>
                </c:pt>
                <c:pt idx="735">
                  <c:v>1.4859104658962252</c:v>
                </c:pt>
                <c:pt idx="736">
                  <c:v>1.4181153391383445</c:v>
                </c:pt>
                <c:pt idx="737">
                  <c:v>1.4679043594116694</c:v>
                </c:pt>
                <c:pt idx="738">
                  <c:v>1.4191010211890869</c:v>
                </c:pt>
                <c:pt idx="739">
                  <c:v>1.454053372586692</c:v>
                </c:pt>
                <c:pt idx="740">
                  <c:v>1.4597332340571498</c:v>
                </c:pt>
                <c:pt idx="741">
                  <c:v>1.4435288140590059</c:v>
                </c:pt>
                <c:pt idx="742">
                  <c:v>1.441925296808559</c:v>
                </c:pt>
                <c:pt idx="743">
                  <c:v>1.4734273632780017</c:v>
                </c:pt>
                <c:pt idx="744">
                  <c:v>1.4500471666297763</c:v>
                </c:pt>
                <c:pt idx="745">
                  <c:v>1.4194763994649897</c:v>
                </c:pt>
                <c:pt idx="746">
                  <c:v>1.4106758052624386</c:v>
                </c:pt>
                <c:pt idx="747">
                  <c:v>1.3946683512672489</c:v>
                </c:pt>
                <c:pt idx="748">
                  <c:v>1.397274131899048</c:v>
                </c:pt>
                <c:pt idx="749">
                  <c:v>1.3453789536229881</c:v>
                </c:pt>
                <c:pt idx="750">
                  <c:v>1.3439041237764457</c:v>
                </c:pt>
                <c:pt idx="751">
                  <c:v>1.3208961732117257</c:v>
                </c:pt>
                <c:pt idx="752">
                  <c:v>1.2477420370631402</c:v>
                </c:pt>
                <c:pt idx="753">
                  <c:v>1.3008408268852631</c:v>
                </c:pt>
                <c:pt idx="754">
                  <c:v>1.228027207887276</c:v>
                </c:pt>
                <c:pt idx="755">
                  <c:v>1.2124274205791632</c:v>
                </c:pt>
                <c:pt idx="756">
                  <c:v>1.2111098891399059</c:v>
                </c:pt>
                <c:pt idx="757">
                  <c:v>1.2097952180859224</c:v>
                </c:pt>
                <c:pt idx="758">
                  <c:v>1.120748160902465</c:v>
                </c:pt>
                <c:pt idx="759">
                  <c:v>1.0982798093858612</c:v>
                </c:pt>
                <c:pt idx="760">
                  <c:v>1.2386545750483715</c:v>
                </c:pt>
                <c:pt idx="761">
                  <c:v>1.2726706675684847</c:v>
                </c:pt>
                <c:pt idx="762">
                  <c:v>1.2712995899393664</c:v>
                </c:pt>
                <c:pt idx="763">
                  <c:v>1.2460839579897052</c:v>
                </c:pt>
                <c:pt idx="764">
                  <c:v>1.2799096355896062</c:v>
                </c:pt>
                <c:pt idx="765">
                  <c:v>1.2644882771884884</c:v>
                </c:pt>
                <c:pt idx="766">
                  <c:v>1.2561173483136674</c:v>
                </c:pt>
                <c:pt idx="767">
                  <c:v>1.2828138804053371</c:v>
                </c:pt>
                <c:pt idx="768">
                  <c:v>1.2577495621774351</c:v>
                </c:pt>
                <c:pt idx="769">
                  <c:v>1.2284901971215281</c:v>
                </c:pt>
                <c:pt idx="770">
                  <c:v>1.1714025344974301</c:v>
                </c:pt>
                <c:pt idx="771">
                  <c:v>1.0308534634483364</c:v>
                </c:pt>
                <c:pt idx="772">
                  <c:v>1.0297594023062671</c:v>
                </c:pt>
                <c:pt idx="773">
                  <c:v>1.040362609854772</c:v>
                </c:pt>
                <c:pt idx="774">
                  <c:v>1.0392631241113761</c:v>
                </c:pt>
                <c:pt idx="775">
                  <c:v>1.0381659598521806</c:v>
                </c:pt>
                <c:pt idx="776">
                  <c:v>1.037071109732471</c:v>
                </c:pt>
                <c:pt idx="777">
                  <c:v>1.0566981377672542</c:v>
                </c:pt>
                <c:pt idx="778">
                  <c:v>1.0178762321010864</c:v>
                </c:pt>
                <c:pt idx="779">
                  <c:v>1.0030688598915967</c:v>
                </c:pt>
                <c:pt idx="780">
                  <c:v>0.97878151570533145</c:v>
                </c:pt>
                <c:pt idx="781">
                  <c:v>0.94962100944420436</c:v>
                </c:pt>
                <c:pt idx="782">
                  <c:v>0.96768774100692367</c:v>
                </c:pt>
                <c:pt idx="783">
                  <c:v>0.92465040682767985</c:v>
                </c:pt>
                <c:pt idx="784">
                  <c:v>0.89569789902295138</c:v>
                </c:pt>
                <c:pt idx="785">
                  <c:v>0.88078630435962335</c:v>
                </c:pt>
                <c:pt idx="786">
                  <c:v>0.87987189196347715</c:v>
                </c:pt>
                <c:pt idx="787">
                  <c:v>0.77407210708167118</c:v>
                </c:pt>
                <c:pt idx="788">
                  <c:v>0.77327755667527642</c:v>
                </c:pt>
                <c:pt idx="789">
                  <c:v>0.73799871449896604</c:v>
                </c:pt>
                <c:pt idx="790">
                  <c:v>0.70968226735526907</c:v>
                </c:pt>
                <c:pt idx="791">
                  <c:v>0.6883068413008151</c:v>
                </c:pt>
                <c:pt idx="792">
                  <c:v>0.67247626121094106</c:v>
                </c:pt>
                <c:pt idx="793">
                  <c:v>0.7334860030831174</c:v>
                </c:pt>
                <c:pt idx="794">
                  <c:v>0.664258941376488</c:v>
                </c:pt>
                <c:pt idx="795">
                  <c:v>0.6225369576381512</c:v>
                </c:pt>
                <c:pt idx="796">
                  <c:v>0.58773386992621268</c:v>
                </c:pt>
                <c:pt idx="797">
                  <c:v>0.59276120190240678</c:v>
                </c:pt>
                <c:pt idx="798">
                  <c:v>0.59896783134556775</c:v>
                </c:pt>
                <c:pt idx="799">
                  <c:v>0.52356704775470009</c:v>
                </c:pt>
                <c:pt idx="800">
                  <c:v>0.5094529024184592</c:v>
                </c:pt>
                <c:pt idx="801">
                  <c:v>0.49536723522423576</c:v>
                </c:pt>
                <c:pt idx="802">
                  <c:v>0.42621873613224459</c:v>
                </c:pt>
                <c:pt idx="803">
                  <c:v>0.40551473629250762</c:v>
                </c:pt>
                <c:pt idx="804">
                  <c:v>0.42536306985236566</c:v>
                </c:pt>
                <c:pt idx="805">
                  <c:v>0.49913178983853806</c:v>
                </c:pt>
                <c:pt idx="806">
                  <c:v>0.55927617591139822</c:v>
                </c:pt>
                <c:pt idx="807">
                  <c:v>0.55760040281551126</c:v>
                </c:pt>
                <c:pt idx="808">
                  <c:v>0.5369099192132909</c:v>
                </c:pt>
                <c:pt idx="809">
                  <c:v>0.5631934728977761</c:v>
                </c:pt>
                <c:pt idx="810">
                  <c:v>0.54923663430512237</c:v>
                </c:pt>
                <c:pt idx="811">
                  <c:v>0.58214697612814914</c:v>
                </c:pt>
                <c:pt idx="812">
                  <c:v>0.65380056260312436</c:v>
                </c:pt>
                <c:pt idx="813">
                  <c:v>0.68647685856809826</c:v>
                </c:pt>
                <c:pt idx="814">
                  <c:v>0.63918974534011164</c:v>
                </c:pt>
                <c:pt idx="815">
                  <c:v>0.60529944079608911</c:v>
                </c:pt>
                <c:pt idx="816">
                  <c:v>0.61799159450855501</c:v>
                </c:pt>
                <c:pt idx="817">
                  <c:v>0.60291455660881188</c:v>
                </c:pt>
                <c:pt idx="818">
                  <c:v>0.58246452393248471</c:v>
                </c:pt>
                <c:pt idx="819">
                  <c:v>0.56866710690574884</c:v>
                </c:pt>
                <c:pt idx="820">
                  <c:v>0.54829087658166986</c:v>
                </c:pt>
                <c:pt idx="821">
                  <c:v>0.57415066009141291</c:v>
                </c:pt>
                <c:pt idx="822">
                  <c:v>0.54614539964164432</c:v>
                </c:pt>
                <c:pt idx="823">
                  <c:v>0.54561165137670153</c:v>
                </c:pt>
                <c:pt idx="824">
                  <c:v>0.56478059398565061</c:v>
                </c:pt>
                <c:pt idx="825">
                  <c:v>0.58391214204512953</c:v>
                </c:pt>
                <c:pt idx="826">
                  <c:v>0.61611523976030447</c:v>
                </c:pt>
                <c:pt idx="827">
                  <c:v>0.67313719387231241</c:v>
                </c:pt>
                <c:pt idx="828">
                  <c:v>0.69207071331495584</c:v>
                </c:pt>
                <c:pt idx="829">
                  <c:v>0.74358070101082963</c:v>
                </c:pt>
                <c:pt idx="830">
                  <c:v>0.72331137902934639</c:v>
                </c:pt>
                <c:pt idx="831">
                  <c:v>0.74865137579168983</c:v>
                </c:pt>
                <c:pt idx="832">
                  <c:v>0.75297510508636412</c:v>
                </c:pt>
                <c:pt idx="833">
                  <c:v>0.81061331316598884</c:v>
                </c:pt>
                <c:pt idx="834">
                  <c:v>0.80983254589760301</c:v>
                </c:pt>
                <c:pt idx="835">
                  <c:v>0.78963600247287136</c:v>
                </c:pt>
                <c:pt idx="836">
                  <c:v>0.74361347362182662</c:v>
                </c:pt>
                <c:pt idx="837">
                  <c:v>0.77371311554931255</c:v>
                </c:pt>
                <c:pt idx="838">
                  <c:v>0.76008930229354477</c:v>
                </c:pt>
                <c:pt idx="839">
                  <c:v>0.78510318996307227</c:v>
                </c:pt>
                <c:pt idx="840">
                  <c:v>0.82935662362866458</c:v>
                </c:pt>
                <c:pt idx="841">
                  <c:v>0.82856466832750342</c:v>
                </c:pt>
                <c:pt idx="842">
                  <c:v>0.77496077533411423</c:v>
                </c:pt>
                <c:pt idx="843">
                  <c:v>0.79981774649701376</c:v>
                </c:pt>
                <c:pt idx="844">
                  <c:v>0.80545008818368125</c:v>
                </c:pt>
                <c:pt idx="845">
                  <c:v>0.80468534285652937</c:v>
                </c:pt>
                <c:pt idx="846">
                  <c:v>0.80392204834717729</c:v>
                </c:pt>
                <c:pt idx="847">
                  <c:v>0.85890088773998752</c:v>
                </c:pt>
                <c:pt idx="848">
                  <c:v>0.84537681268551035</c:v>
                </c:pt>
                <c:pt idx="849">
                  <c:v>0.85727913669577349</c:v>
                </c:pt>
                <c:pt idx="850">
                  <c:v>0.86910786774686999</c:v>
                </c:pt>
                <c:pt idx="851">
                  <c:v>0.86254795112641047</c:v>
                </c:pt>
                <c:pt idx="852">
                  <c:v>0.81160658423199494</c:v>
                </c:pt>
                <c:pt idx="853">
                  <c:v>0.79238616587925759</c:v>
                </c:pt>
                <c:pt idx="854">
                  <c:v>0.81120038516297621</c:v>
                </c:pt>
                <c:pt idx="855">
                  <c:v>0.76626260664676737</c:v>
                </c:pt>
                <c:pt idx="856">
                  <c:v>0.75973988024145001</c:v>
                </c:pt>
                <c:pt idx="857">
                  <c:v>0.8038570808081642</c:v>
                </c:pt>
                <c:pt idx="858">
                  <c:v>0.78467221687394328</c:v>
                </c:pt>
                <c:pt idx="859">
                  <c:v>0.77814977988638423</c:v>
                </c:pt>
                <c:pt idx="860">
                  <c:v>0.75228032304023273</c:v>
                </c:pt>
                <c:pt idx="861">
                  <c:v>0.76473279785036496</c:v>
                </c:pt>
                <c:pt idx="862">
                  <c:v>0.76454200113974358</c:v>
                </c:pt>
                <c:pt idx="863">
                  <c:v>0.73908348805349233</c:v>
                </c:pt>
                <c:pt idx="864">
                  <c:v>0.71363767215503271</c:v>
                </c:pt>
                <c:pt idx="865">
                  <c:v>0.75596017633856838</c:v>
                </c:pt>
                <c:pt idx="866">
                  <c:v>0.74947407662456711</c:v>
                </c:pt>
                <c:pt idx="867">
                  <c:v>0.76817734458430176</c:v>
                </c:pt>
                <c:pt idx="868">
                  <c:v>0.78057634409483767</c:v>
                </c:pt>
                <c:pt idx="869">
                  <c:v>0.78667577503763453</c:v>
                </c:pt>
                <c:pt idx="870">
                  <c:v>0.78608973898608836</c:v>
                </c:pt>
                <c:pt idx="871">
                  <c:v>0.80475605772090242</c:v>
                </c:pt>
                <c:pt idx="872">
                  <c:v>0.77941393685596649</c:v>
                </c:pt>
                <c:pt idx="873">
                  <c:v>0.7792205388191924</c:v>
                </c:pt>
                <c:pt idx="874">
                  <c:v>0.8167221030289854</c:v>
                </c:pt>
                <c:pt idx="875">
                  <c:v>0.84122596238191982</c:v>
                </c:pt>
                <c:pt idx="876">
                  <c:v>0.85984623508729541</c:v>
                </c:pt>
                <c:pt idx="877">
                  <c:v>0.8345344168880412</c:v>
                </c:pt>
                <c:pt idx="878">
                  <c:v>0.8280545601054633</c:v>
                </c:pt>
                <c:pt idx="879">
                  <c:v>0.81530632556034344</c:v>
                </c:pt>
                <c:pt idx="880">
                  <c:v>0.82096799653510821</c:v>
                </c:pt>
                <c:pt idx="881">
                  <c:v>0.82703027319877975</c:v>
                </c:pt>
                <c:pt idx="882">
                  <c:v>0.79550656377352946</c:v>
                </c:pt>
                <c:pt idx="883">
                  <c:v>0.76399844431337205</c:v>
                </c:pt>
                <c:pt idx="884">
                  <c:v>0.75128810590379869</c:v>
                </c:pt>
                <c:pt idx="885">
                  <c:v>0.70068257966600656</c:v>
                </c:pt>
                <c:pt idx="886">
                  <c:v>0.68800043447075387</c:v>
                </c:pt>
                <c:pt idx="887">
                  <c:v>0.73785460300682393</c:v>
                </c:pt>
                <c:pt idx="888">
                  <c:v>0.73767246627265692</c:v>
                </c:pt>
                <c:pt idx="889">
                  <c:v>0.72499058181832721</c:v>
                </c:pt>
                <c:pt idx="890">
                  <c:v>0.73694481764486497</c:v>
                </c:pt>
                <c:pt idx="891">
                  <c:v>0.73676312973292912</c:v>
                </c:pt>
                <c:pt idx="892">
                  <c:v>0.75530818048938786</c:v>
                </c:pt>
                <c:pt idx="893">
                  <c:v>0.73015934438179131</c:v>
                </c:pt>
                <c:pt idx="894">
                  <c:v>0.74245774382889296</c:v>
                </c:pt>
                <c:pt idx="895">
                  <c:v>0.76684754526001797</c:v>
                </c:pt>
                <c:pt idx="896">
                  <c:v>0.74795981539922407</c:v>
                </c:pt>
                <c:pt idx="897">
                  <c:v>0.76647016918718547</c:v>
                </c:pt>
                <c:pt idx="898">
                  <c:v>0.80989114351263591</c:v>
                </c:pt>
                <c:pt idx="899">
                  <c:v>0.8034635626166633</c:v>
                </c:pt>
                <c:pt idx="900">
                  <c:v>0.8588854680833542</c:v>
                </c:pt>
                <c:pt idx="901">
                  <c:v>0.8462298878596719</c:v>
                </c:pt>
                <c:pt idx="902">
                  <c:v>0.84602202528175718</c:v>
                </c:pt>
                <c:pt idx="903">
                  <c:v>0.85203348733012985</c:v>
                </c:pt>
                <c:pt idx="904">
                  <c:v>0.87669508449749656</c:v>
                </c:pt>
                <c:pt idx="905">
                  <c:v>0.83255800339818498</c:v>
                </c:pt>
                <c:pt idx="906">
                  <c:v>0.8323538000511701</c:v>
                </c:pt>
                <c:pt idx="907">
                  <c:v>0.83214969685040696</c:v>
                </c:pt>
                <c:pt idx="908">
                  <c:v>0.87540554339430043</c:v>
                </c:pt>
                <c:pt idx="909">
                  <c:v>0.93105424320122798</c:v>
                </c:pt>
                <c:pt idx="910">
                  <c:v>1.0231565980492787</c:v>
                </c:pt>
                <c:pt idx="911">
                  <c:v>0.94851296396596319</c:v>
                </c:pt>
                <c:pt idx="912">
                  <c:v>1.0536453694525671</c:v>
                </c:pt>
                <c:pt idx="913">
                  <c:v>1.0533875718231587</c:v>
                </c:pt>
                <c:pt idx="914">
                  <c:v>1.0526149352904159</c:v>
                </c:pt>
                <c:pt idx="915">
                  <c:v>1.0647383197262177</c:v>
                </c:pt>
                <c:pt idx="916">
                  <c:v>1.1139887367959922</c:v>
                </c:pt>
                <c:pt idx="917">
                  <c:v>1.0951546314650644</c:v>
                </c:pt>
                <c:pt idx="918">
                  <c:v>1.1258161509543514</c:v>
                </c:pt>
                <c:pt idx="919">
                  <c:v>1.0755416114583116</c:v>
                </c:pt>
                <c:pt idx="920">
                  <c:v>1.04438033626515</c:v>
                </c:pt>
                <c:pt idx="921">
                  <c:v>1.0379472958759173</c:v>
                </c:pt>
                <c:pt idx="922">
                  <c:v>1.037694144335759</c:v>
                </c:pt>
                <c:pt idx="923">
                  <c:v>1.1362450320843795</c:v>
                </c:pt>
                <c:pt idx="924">
                  <c:v>1.1107315412424044</c:v>
                </c:pt>
                <c:pt idx="925">
                  <c:v>1.1536455610451353</c:v>
                </c:pt>
                <c:pt idx="926">
                  <c:v>1.1657000525628327</c:v>
                </c:pt>
                <c:pt idx="927">
                  <c:v>1.1654162271615072</c:v>
                </c:pt>
                <c:pt idx="928">
                  <c:v>1.2443652162905698</c:v>
                </c:pt>
                <c:pt idx="929">
                  <c:v>1.1947927996713192</c:v>
                </c:pt>
                <c:pt idx="930">
                  <c:v>1.2376029141122882</c:v>
                </c:pt>
                <c:pt idx="931">
                  <c:v>1.2249906308356642</c:v>
                </c:pt>
                <c:pt idx="932">
                  <c:v>1.2370014210147635</c:v>
                </c:pt>
                <c:pt idx="933">
                  <c:v>1.1377042348877515</c:v>
                </c:pt>
                <c:pt idx="934">
                  <c:v>1.1743175907487429</c:v>
                </c:pt>
                <c:pt idx="935">
                  <c:v>1.1986196388216055</c:v>
                </c:pt>
                <c:pt idx="936">
                  <c:v>1.1860382378766336</c:v>
                </c:pt>
                <c:pt idx="937">
                  <c:v>1.2226132215560648</c:v>
                </c:pt>
                <c:pt idx="938">
                  <c:v>1.2769779228576881</c:v>
                </c:pt>
                <c:pt idx="939">
                  <c:v>1.3564602123783249</c:v>
                </c:pt>
                <c:pt idx="940">
                  <c:v>1.4113586174054324</c:v>
                </c:pt>
                <c:pt idx="941">
                  <c:v>1.5275789783778677</c:v>
                </c:pt>
                <c:pt idx="942">
                  <c:v>1.5104265066404328</c:v>
                </c:pt>
                <c:pt idx="943">
                  <c:v>1.5528085419988189</c:v>
                </c:pt>
                <c:pt idx="944">
                  <c:v>1.5338036474445942</c:v>
                </c:pt>
                <c:pt idx="945">
                  <c:v>1.5520573228441177</c:v>
                </c:pt>
                <c:pt idx="946">
                  <c:v>1.8478174816982031</c:v>
                </c:pt>
                <c:pt idx="947">
                  <c:v>1.7047888221822802</c:v>
                </c:pt>
                <c:pt idx="948">
                  <c:v>1.6733884716849556</c:v>
                </c:pt>
                <c:pt idx="949">
                  <c:v>1.7473393423861958</c:v>
                </c:pt>
                <c:pt idx="950">
                  <c:v>1.7840860552970736</c:v>
                </c:pt>
                <c:pt idx="951">
                  <c:v>1.7951756640262819</c:v>
                </c:pt>
                <c:pt idx="952">
                  <c:v>1.7514214116866063</c:v>
                </c:pt>
                <c:pt idx="953">
                  <c:v>1.7819355708298952</c:v>
                </c:pt>
                <c:pt idx="954">
                  <c:v>1.7629487407321804</c:v>
                </c:pt>
                <c:pt idx="955">
                  <c:v>1.9294998969311234</c:v>
                </c:pt>
                <c:pt idx="956">
                  <c:v>1.8724876739850169</c:v>
                </c:pt>
                <c:pt idx="957">
                  <c:v>1.9091069557222753</c:v>
                </c:pt>
                <c:pt idx="958">
                  <c:v>1.8345252620688746</c:v>
                </c:pt>
                <c:pt idx="959">
                  <c:v>1.7476287255803602</c:v>
                </c:pt>
                <c:pt idx="960">
                  <c:v>1.7719038538178209</c:v>
                </c:pt>
                <c:pt idx="961">
                  <c:v>1.7274400683539066</c:v>
                </c:pt>
                <c:pt idx="962">
                  <c:v>1.6468416281267626</c:v>
                </c:pt>
                <c:pt idx="963">
                  <c:v>1.7081105951498106</c:v>
                </c:pt>
                <c:pt idx="964">
                  <c:v>1.7508551788194915</c:v>
                </c:pt>
                <c:pt idx="965">
                  <c:v>1.7257807047681548</c:v>
                </c:pt>
                <c:pt idx="966">
                  <c:v>1.730697337917712</c:v>
                </c:pt>
                <c:pt idx="967">
                  <c:v>1.6502334749458967</c:v>
                </c:pt>
                <c:pt idx="968">
                  <c:v>1.6498376503234402</c:v>
                </c:pt>
                <c:pt idx="969">
                  <c:v>1.6802151874719757</c:v>
                </c:pt>
                <c:pt idx="970">
                  <c:v>1.6675060469947998</c:v>
                </c:pt>
                <c:pt idx="971">
                  <c:v>1.7032000002379888</c:v>
                </c:pt>
                <c:pt idx="972">
                  <c:v>1.7396756406577221</c:v>
                </c:pt>
                <c:pt idx="973">
                  <c:v>1.7208216866868233</c:v>
                </c:pt>
                <c:pt idx="974">
                  <c:v>1.8187188482351098</c:v>
                </c:pt>
                <c:pt idx="975">
                  <c:v>1.8735691989367658</c:v>
                </c:pt>
                <c:pt idx="976">
                  <c:v>1.9765784049330097</c:v>
                </c:pt>
                <c:pt idx="977">
                  <c:v>1.957694853639576</c:v>
                </c:pt>
                <c:pt idx="978">
                  <c:v>1.9204138087084981</c:v>
                </c:pt>
                <c:pt idx="979">
                  <c:v>1.9015527070792078</c:v>
                </c:pt>
                <c:pt idx="980">
                  <c:v>1.9685566731794866</c:v>
                </c:pt>
                <c:pt idx="981">
                  <c:v>1.9855311142059424</c:v>
                </c:pt>
                <c:pt idx="982">
                  <c:v>1.9973105780499092</c:v>
                </c:pt>
                <c:pt idx="983">
                  <c:v>2.0825875078895733</c:v>
                </c:pt>
                <c:pt idx="984">
                  <c:v>2.2719282735129607</c:v>
                </c:pt>
                <c:pt idx="985">
                  <c:v>2.4305670315528087</c:v>
                </c:pt>
                <c:pt idx="986">
                  <c:v>2.447182756167622</c:v>
                </c:pt>
                <c:pt idx="987">
                  <c:v>2.5505800334037403</c:v>
                </c:pt>
                <c:pt idx="988">
                  <c:v>2.3114857121289298</c:v>
                </c:pt>
                <c:pt idx="989">
                  <c:v>2.3781845440586298</c:v>
                </c:pt>
                <c:pt idx="990">
                  <c:v>2.4876365109896494</c:v>
                </c:pt>
                <c:pt idx="991">
                  <c:v>2.5073242435582053</c:v>
                </c:pt>
                <c:pt idx="992">
                  <c:v>2.4036232209459998</c:v>
                </c:pt>
                <c:pt idx="993">
                  <c:v>2.3772814990317679</c:v>
                </c:pt>
                <c:pt idx="994">
                  <c:v>2.3831571316774127</c:v>
                </c:pt>
                <c:pt idx="995">
                  <c:v>2.2924384622225369</c:v>
                </c:pt>
                <c:pt idx="996">
                  <c:v>2.1942818838385976</c:v>
                </c:pt>
                <c:pt idx="997">
                  <c:v>2.1229942155928478</c:v>
                </c:pt>
                <c:pt idx="998">
                  <c:v>2.0646039805581964</c:v>
                </c:pt>
                <c:pt idx="999">
                  <c:v>2.1412769540973744</c:v>
                </c:pt>
                <c:pt idx="1000">
                  <c:v>2.1986273256339484</c:v>
                </c:pt>
                <c:pt idx="1001">
                  <c:v>2.126397110578675</c:v>
                </c:pt>
                <c:pt idx="1002">
                  <c:v>2.2928814433106637</c:v>
                </c:pt>
                <c:pt idx="1003">
                  <c:v>2.2217056030187949</c:v>
                </c:pt>
                <c:pt idx="1004">
                  <c:v>2.2725357608796073</c:v>
                </c:pt>
                <c:pt idx="1005">
                  <c:v>2.3361779719068574</c:v>
                </c:pt>
                <c:pt idx="1006">
                  <c:v>2.2960373294685454</c:v>
                </c:pt>
                <c:pt idx="1007">
                  <c:v>2.2377858292120818</c:v>
                </c:pt>
                <c:pt idx="1008">
                  <c:v>2.1987933315160193</c:v>
                </c:pt>
                <c:pt idx="1009">
                  <c:v>2.1213655311396891</c:v>
                </c:pt>
                <c:pt idx="1010">
                  <c:v>2.0824190236431619</c:v>
                </c:pt>
                <c:pt idx="1011">
                  <c:v>2.0233160757850679</c:v>
                </c:pt>
                <c:pt idx="1012">
                  <c:v>2.048443417846959</c:v>
                </c:pt>
                <c:pt idx="1013">
                  <c:v>1.9519612963203612</c:v>
                </c:pt>
                <c:pt idx="1014">
                  <c:v>2.0346788740816382</c:v>
                </c:pt>
                <c:pt idx="1015">
                  <c:v>2.1493416302223856</c:v>
                </c:pt>
                <c:pt idx="1016">
                  <c:v>2.2373123226304155</c:v>
                </c:pt>
                <c:pt idx="1017">
                  <c:v>2.2048303552765751</c:v>
                </c:pt>
                <c:pt idx="1018">
                  <c:v>2.1723637128488709</c:v>
                </c:pt>
                <c:pt idx="1019">
                  <c:v>2.1526879808298571</c:v>
                </c:pt>
                <c:pt idx="1020">
                  <c:v>2.1713392793928592</c:v>
                </c:pt>
                <c:pt idx="1021">
                  <c:v>2.1889497728347389</c:v>
                </c:pt>
                <c:pt idx="1022">
                  <c:v>2.192302901632035</c:v>
                </c:pt>
                <c:pt idx="1023">
                  <c:v>2.1402151429570933</c:v>
                </c:pt>
                <c:pt idx="1024">
                  <c:v>2.0817069995791795</c:v>
                </c:pt>
                <c:pt idx="1025">
                  <c:v>2.1263207406849323</c:v>
                </c:pt>
                <c:pt idx="1026">
                  <c:v>2.0861871031985109</c:v>
                </c:pt>
                <c:pt idx="1027">
                  <c:v>2.0792591435651411</c:v>
                </c:pt>
                <c:pt idx="1028">
                  <c:v>2.0723344417697467</c:v>
                </c:pt>
                <c:pt idx="1029">
                  <c:v>1.9882012947479832</c:v>
                </c:pt>
                <c:pt idx="1030">
                  <c:v>2.0327636174739987</c:v>
                </c:pt>
                <c:pt idx="1031">
                  <c:v>1.9799053431185021</c:v>
                </c:pt>
                <c:pt idx="1032">
                  <c:v>1.9344531950759352</c:v>
                </c:pt>
                <c:pt idx="1033">
                  <c:v>1.9468496014402898</c:v>
                </c:pt>
                <c:pt idx="1034">
                  <c:v>1.9235102067550736</c:v>
                </c:pt>
                <c:pt idx="1035">
                  <c:v>1.9477882523602494</c:v>
                </c:pt>
                <c:pt idx="1036">
                  <c:v>1.9409267282955152</c:v>
                </c:pt>
                <c:pt idx="1037">
                  <c:v>2.100577616263684</c:v>
                </c:pt>
                <c:pt idx="1038">
                  <c:v>2.0424619466310925</c:v>
                </c:pt>
                <c:pt idx="1039">
                  <c:v>2.0035770727205793</c:v>
                </c:pt>
                <c:pt idx="1040">
                  <c:v>2.0341559864491168</c:v>
                </c:pt>
                <c:pt idx="1041">
                  <c:v>2.0784472846554349</c:v>
                </c:pt>
                <c:pt idx="1042">
                  <c:v>2.2314112773256047</c:v>
                </c:pt>
                <c:pt idx="1043">
                  <c:v>2.1861445273314182</c:v>
                </c:pt>
                <c:pt idx="1044">
                  <c:v>2.153680400759296</c:v>
                </c:pt>
                <c:pt idx="1045">
                  <c:v>2.1521729610737959</c:v>
                </c:pt>
                <c:pt idx="1046">
                  <c:v>2.0942079276042143</c:v>
                </c:pt>
                <c:pt idx="1047">
                  <c:v>2.0681863859912863</c:v>
                </c:pt>
                <c:pt idx="1048">
                  <c:v>2.0166497659441576</c:v>
                </c:pt>
                <c:pt idx="1049">
                  <c:v>2.0225600111518771</c:v>
                </c:pt>
                <c:pt idx="1050">
                  <c:v>1.9956432278622358</c:v>
                </c:pt>
                <c:pt idx="1051">
                  <c:v>1.9888041152389893</c:v>
                </c:pt>
                <c:pt idx="1052">
                  <c:v>2.0138326275344731</c:v>
                </c:pt>
                <c:pt idx="1053">
                  <c:v>2.0707065113523031</c:v>
                </c:pt>
                <c:pt idx="1054">
                  <c:v>2.019265251567703</c:v>
                </c:pt>
                <c:pt idx="1055">
                  <c:v>2.0624148408071585</c:v>
                </c:pt>
                <c:pt idx="1056">
                  <c:v>2.0110233488909492</c:v>
                </c:pt>
                <c:pt idx="1057">
                  <c:v>2.0232809349452543</c:v>
                </c:pt>
                <c:pt idx="1058">
                  <c:v>2.0864211445051213</c:v>
                </c:pt>
                <c:pt idx="1059">
                  <c:v>2.2004085119035803</c:v>
                </c:pt>
                <c:pt idx="1060">
                  <c:v>2.3196233938790232</c:v>
                </c:pt>
                <c:pt idx="1061">
                  <c:v>2.185658155179746</c:v>
                </c:pt>
                <c:pt idx="1062">
                  <c:v>2.1597422044949641</c:v>
                </c:pt>
                <c:pt idx="1063">
                  <c:v>2.0893833153310375</c:v>
                </c:pt>
                <c:pt idx="1064">
                  <c:v>2.0952478996683053</c:v>
                </c:pt>
                <c:pt idx="1065">
                  <c:v>2.1572390857827251</c:v>
                </c:pt>
                <c:pt idx="1066">
                  <c:v>2.2265160132564636</c:v>
                </c:pt>
                <c:pt idx="1067">
                  <c:v>2.2957608391175239</c:v>
                </c:pt>
                <c:pt idx="1068">
                  <c:v>2.1684208211806677</c:v>
                </c:pt>
                <c:pt idx="1069">
                  <c:v>2.0157840091598827</c:v>
                </c:pt>
                <c:pt idx="1070">
                  <c:v>2.1030681114180205</c:v>
                </c:pt>
                <c:pt idx="1071">
                  <c:v>2.1849115264747416</c:v>
                </c:pt>
                <c:pt idx="1072">
                  <c:v>2.273048690205429</c:v>
                </c:pt>
                <c:pt idx="1073">
                  <c:v>2.2851833161267612</c:v>
                </c:pt>
                <c:pt idx="1074">
                  <c:v>2.2593402261523221</c:v>
                </c:pt>
                <c:pt idx="1075">
                  <c:v>2.2261526901044477</c:v>
                </c:pt>
                <c:pt idx="1076">
                  <c:v>2.2698983162588302</c:v>
                </c:pt>
                <c:pt idx="1077">
                  <c:v>2.2188030920987014</c:v>
                </c:pt>
                <c:pt idx="1078">
                  <c:v>2.1487717120948324</c:v>
                </c:pt>
                <c:pt idx="1079">
                  <c:v>2.1482757008284654</c:v>
                </c:pt>
                <c:pt idx="1080">
                  <c:v>2.1531031254503028</c:v>
                </c:pt>
                <c:pt idx="1081">
                  <c:v>2.1084181681086829</c:v>
                </c:pt>
                <c:pt idx="1082">
                  <c:v>2.0574426429184487</c:v>
                </c:pt>
                <c:pt idx="1083">
                  <c:v>2.0443489325945534</c:v>
                </c:pt>
                <c:pt idx="1084">
                  <c:v>2.075419110910051</c:v>
                </c:pt>
                <c:pt idx="1085">
                  <c:v>1.9920344017588401</c:v>
                </c:pt>
                <c:pt idx="1086">
                  <c:v>2.0293904647099219</c:v>
                </c:pt>
                <c:pt idx="1087">
                  <c:v>2.0352243088819923</c:v>
                </c:pt>
                <c:pt idx="1088">
                  <c:v>2.0599541295426405</c:v>
                </c:pt>
                <c:pt idx="1089">
                  <c:v>2.0594801522106763</c:v>
                </c:pt>
                <c:pt idx="1090">
                  <c:v>2.0391782479347733</c:v>
                </c:pt>
                <c:pt idx="1091">
                  <c:v>2.12680186742717</c:v>
                </c:pt>
                <c:pt idx="1092">
                  <c:v>2.0948587359817989</c:v>
                </c:pt>
                <c:pt idx="1093">
                  <c:v>2.0755091271329023</c:v>
                </c:pt>
                <c:pt idx="1094">
                  <c:v>2.0987786765088052</c:v>
                </c:pt>
                <c:pt idx="1095">
                  <c:v>2.0816939672300463</c:v>
                </c:pt>
                <c:pt idx="1096">
                  <c:v>2.0895600151797291</c:v>
                </c:pt>
                <c:pt idx="1097">
                  <c:v>2.0539544841724831</c:v>
                </c:pt>
                <c:pt idx="1098">
                  <c:v>2.0185046627223171</c:v>
                </c:pt>
                <c:pt idx="1099">
                  <c:v>1.980744492611324</c:v>
                </c:pt>
                <c:pt idx="1100">
                  <c:v>1.9825890112865139</c:v>
                </c:pt>
                <c:pt idx="1101">
                  <c:v>1.8986787677190202</c:v>
                </c:pt>
                <c:pt idx="1102">
                  <c:v>1.9618079576675691</c:v>
                </c:pt>
                <c:pt idx="1103">
                  <c:v>1.8844022810139753</c:v>
                </c:pt>
                <c:pt idx="1104">
                  <c:v>1.8844240117094964</c:v>
                </c:pt>
                <c:pt idx="1105">
                  <c:v>1.8924929311336376</c:v>
                </c:pt>
                <c:pt idx="1106">
                  <c:v>1.894494045380102</c:v>
                </c:pt>
                <c:pt idx="1107">
                  <c:v>1.8121983547016349</c:v>
                </c:pt>
                <c:pt idx="1108">
                  <c:v>1.7482753252817105</c:v>
                </c:pt>
                <c:pt idx="1109">
                  <c:v>1.6775198363290029</c:v>
                </c:pt>
                <c:pt idx="1110">
                  <c:v>1.6739906870275691</c:v>
                </c:pt>
                <c:pt idx="1111">
                  <c:v>1.6645316000151946</c:v>
                </c:pt>
                <c:pt idx="1112">
                  <c:v>1.6432475429090552</c:v>
                </c:pt>
                <c:pt idx="1113">
                  <c:v>1.6042927798363527</c:v>
                </c:pt>
                <c:pt idx="1114">
                  <c:v>1.5766447027384158</c:v>
                </c:pt>
                <c:pt idx="1115">
                  <c:v>1.5851175227551066</c:v>
                </c:pt>
                <c:pt idx="1116">
                  <c:v>1.6111312601597971</c:v>
                </c:pt>
                <c:pt idx="1117">
                  <c:v>1.5551856977777718</c:v>
                </c:pt>
                <c:pt idx="1118">
                  <c:v>1.5344777782296533</c:v>
                </c:pt>
                <c:pt idx="1119">
                  <c:v>1.4844602294073985</c:v>
                </c:pt>
                <c:pt idx="1120">
                  <c:v>1.4467056513733405</c:v>
                </c:pt>
                <c:pt idx="1121">
                  <c:v>1.5592556092702106</c:v>
                </c:pt>
                <c:pt idx="1122">
                  <c:v>1.5503188188950348</c:v>
                </c:pt>
                <c:pt idx="1123">
                  <c:v>1.5184120886244015</c:v>
                </c:pt>
                <c:pt idx="1124">
                  <c:v>1.3754435873522632</c:v>
                </c:pt>
                <c:pt idx="1125">
                  <c:v>1.4570988802171405</c:v>
                </c:pt>
                <c:pt idx="1126">
                  <c:v>1.4373655898224451</c:v>
                </c:pt>
                <c:pt idx="1127">
                  <c:v>1.4849535806397069</c:v>
                </c:pt>
                <c:pt idx="1128">
                  <c:v>1.5770938513011121</c:v>
                </c:pt>
                <c:pt idx="1129">
                  <c:v>1.5956026284069516</c:v>
                </c:pt>
                <c:pt idx="1130">
                  <c:v>1.6035734290178147</c:v>
                </c:pt>
                <c:pt idx="1131">
                  <c:v>1.6115130530517607</c:v>
                </c:pt>
                <c:pt idx="1132">
                  <c:v>1.5752053913776474</c:v>
                </c:pt>
                <c:pt idx="1133">
                  <c:v>1.6438483086695264</c:v>
                </c:pt>
                <c:pt idx="1134">
                  <c:v>1.705592052742678</c:v>
                </c:pt>
                <c:pt idx="1135">
                  <c:v>1.7460840993678433</c:v>
                </c:pt>
                <c:pt idx="1136">
                  <c:v>1.7208632125623755</c:v>
                </c:pt>
                <c:pt idx="1137">
                  <c:v>1.6902869153845934</c:v>
                </c:pt>
                <c:pt idx="1138">
                  <c:v>1.654386084681422</c:v>
                </c:pt>
                <c:pt idx="1139">
                  <c:v>1.67195664477785</c:v>
                </c:pt>
                <c:pt idx="1140">
                  <c:v>1.6471657384092764</c:v>
                </c:pt>
                <c:pt idx="1141">
                  <c:v>1.6602010559705676</c:v>
                </c:pt>
                <c:pt idx="1142">
                  <c:v>1.6839468849034731</c:v>
                </c:pt>
                <c:pt idx="1143">
                  <c:v>1.6592742766921804</c:v>
                </c:pt>
                <c:pt idx="1144">
                  <c:v>1.6338697184897093</c:v>
                </c:pt>
                <c:pt idx="1145">
                  <c:v>1.6521122548176488</c:v>
                </c:pt>
                <c:pt idx="1146">
                  <c:v>1.6383699552069384</c:v>
                </c:pt>
                <c:pt idx="1147">
                  <c:v>1.5928227345953494</c:v>
                </c:pt>
                <c:pt idx="1148">
                  <c:v>1.5686438869941439</c:v>
                </c:pt>
                <c:pt idx="1149">
                  <c:v>1.5809654779821793</c:v>
                </c:pt>
                <c:pt idx="1150">
                  <c:v>1.5727686005402253</c:v>
                </c:pt>
                <c:pt idx="1151">
                  <c:v>1.5908538328832256</c:v>
                </c:pt>
                <c:pt idx="1152">
                  <c:v>1.566947117627594</c:v>
                </c:pt>
                <c:pt idx="1153">
                  <c:v>1.5640525071484379</c:v>
                </c:pt>
                <c:pt idx="1154">
                  <c:v>1.5525802246763074</c:v>
                </c:pt>
                <c:pt idx="1155">
                  <c:v>1.5808368319307466</c:v>
                </c:pt>
                <c:pt idx="1156">
                  <c:v>1.5520805663720025</c:v>
                </c:pt>
                <c:pt idx="1157">
                  <c:v>1.5234291870218466</c:v>
                </c:pt>
                <c:pt idx="1158">
                  <c:v>1.5254117918524375</c:v>
                </c:pt>
                <c:pt idx="1159">
                  <c:v>1.4970161900591354</c:v>
                </c:pt>
                <c:pt idx="1160">
                  <c:v>1.4584882180616345</c:v>
                </c:pt>
                <c:pt idx="1161">
                  <c:v>1.4200992527528016</c:v>
                </c:pt>
                <c:pt idx="1162">
                  <c:v>1.4022448316556446</c:v>
                </c:pt>
                <c:pt idx="1163">
                  <c:v>1.37442367606292</c:v>
                </c:pt>
                <c:pt idx="1164">
                  <c:v>1.3314655659818848</c:v>
                </c:pt>
                <c:pt idx="1165">
                  <c:v>1.3139286452071843</c:v>
                </c:pt>
                <c:pt idx="1166">
                  <c:v>1.3519444655137542</c:v>
                </c:pt>
                <c:pt idx="1167">
                  <c:v>1.3596114895726685</c:v>
                </c:pt>
                <c:pt idx="1168">
                  <c:v>1.3624143135027975</c:v>
                </c:pt>
                <c:pt idx="1169">
                  <c:v>1.3200083809122833</c:v>
                </c:pt>
                <c:pt idx="1170">
                  <c:v>1.3376465628471395</c:v>
                </c:pt>
                <c:pt idx="1171">
                  <c:v>1.3452578022480186</c:v>
                </c:pt>
                <c:pt idx="1172">
                  <c:v>1.3528423042411517</c:v>
                </c:pt>
                <c:pt idx="1173">
                  <c:v>1.3285869037452853</c:v>
                </c:pt>
                <c:pt idx="1174">
                  <c:v>1.2572482394256137</c:v>
                </c:pt>
                <c:pt idx="1175">
                  <c:v>1.2452193536539446</c:v>
                </c:pt>
                <c:pt idx="1176">
                  <c:v>1.2479720379606387</c:v>
                </c:pt>
                <c:pt idx="1177">
                  <c:v>1.2855000710029305</c:v>
                </c:pt>
                <c:pt idx="1178">
                  <c:v>1.3174408354659166</c:v>
                </c:pt>
                <c:pt idx="1179">
                  <c:v>1.3103035757635535</c:v>
                </c:pt>
                <c:pt idx="1180">
                  <c:v>1.3372293951386407</c:v>
                </c:pt>
                <c:pt idx="1181">
                  <c:v>1.3349369991450275</c:v>
                </c:pt>
                <c:pt idx="1182">
                  <c:v>1.2749824586834613</c:v>
                </c:pt>
                <c:pt idx="1183">
                  <c:v>1.3017391950314903</c:v>
                </c:pt>
                <c:pt idx="1184">
                  <c:v>1.2706482355481172</c:v>
                </c:pt>
                <c:pt idx="1185">
                  <c:v>1.2252481049085728</c:v>
                </c:pt>
                <c:pt idx="1186">
                  <c:v>1.2231725833593341</c:v>
                </c:pt>
                <c:pt idx="1187">
                  <c:v>1.2408505053190271</c:v>
                </c:pt>
                <c:pt idx="1188">
                  <c:v>1.1911179813048203</c:v>
                </c:pt>
                <c:pt idx="1189">
                  <c:v>1.1653348764527922</c:v>
                </c:pt>
                <c:pt idx="1190">
                  <c:v>1.1823746779691018</c:v>
                </c:pt>
                <c:pt idx="1191">
                  <c:v>1.2040979696996308</c:v>
                </c:pt>
                <c:pt idx="1192">
                  <c:v>1.1980808157099401</c:v>
                </c:pt>
                <c:pt idx="1193">
                  <c:v>1.1395803242801663</c:v>
                </c:pt>
                <c:pt idx="1194">
                  <c:v>1.1423895707510647</c:v>
                </c:pt>
                <c:pt idx="1195">
                  <c:v>1.1639631032311542</c:v>
                </c:pt>
                <c:pt idx="1196">
                  <c:v>1.1596607177251939</c:v>
                </c:pt>
                <c:pt idx="1197">
                  <c:v>1.1208278013896575</c:v>
                </c:pt>
                <c:pt idx="1198">
                  <c:v>1.1189853426144281</c:v>
                </c:pt>
                <c:pt idx="1199">
                  <c:v>1.0794392627366001</c:v>
                </c:pt>
                <c:pt idx="1200">
                  <c:v>1.0917886107760257</c:v>
                </c:pt>
                <c:pt idx="1201">
                  <c:v>1.0993992699342148</c:v>
                </c:pt>
                <c:pt idx="1202">
                  <c:v>1.0747560805890182</c:v>
                </c:pt>
                <c:pt idx="1203">
                  <c:v>1.1101787226951907</c:v>
                </c:pt>
                <c:pt idx="1204">
                  <c:v>1.1510451234636772</c:v>
                </c:pt>
                <c:pt idx="1205">
                  <c:v>1.1999632329592658</c:v>
                </c:pt>
                <c:pt idx="1206">
                  <c:v>1.1842146389111698</c:v>
                </c:pt>
                <c:pt idx="1207">
                  <c:v>1.1731169528717806</c:v>
                </c:pt>
                <c:pt idx="1208">
                  <c:v>1.1712409641780188</c:v>
                </c:pt>
                <c:pt idx="1209">
                  <c:v>1.1702199979041557</c:v>
                </c:pt>
                <c:pt idx="1210">
                  <c:v>1.1135936359684353</c:v>
                </c:pt>
                <c:pt idx="1211">
                  <c:v>1.0890436204726686</c:v>
                </c:pt>
                <c:pt idx="1212">
                  <c:v>1.0873186286691279</c:v>
                </c:pt>
                <c:pt idx="1213">
                  <c:v>1.0810568372102896</c:v>
                </c:pt>
                <c:pt idx="1214">
                  <c:v>1.0759521560817138</c:v>
                </c:pt>
                <c:pt idx="1215">
                  <c:v>1.0742612917489618</c:v>
                </c:pt>
                <c:pt idx="1216">
                  <c:v>1.1266551822286199</c:v>
                </c:pt>
                <c:pt idx="1217">
                  <c:v>1.2733756896847095</c:v>
                </c:pt>
                <c:pt idx="1218">
                  <c:v>1.2983391003116211</c:v>
                </c:pt>
                <c:pt idx="1219">
                  <c:v>1.2565029120966522</c:v>
                </c:pt>
                <c:pt idx="1220">
                  <c:v>1.2322268465231525</c:v>
                </c:pt>
                <c:pt idx="1221">
                  <c:v>1.2436874216118876</c:v>
                </c:pt>
                <c:pt idx="1222">
                  <c:v>1.2284079575349776</c:v>
                </c:pt>
                <c:pt idx="1223">
                  <c:v>1.2353951104743113</c:v>
                </c:pt>
                <c:pt idx="1224">
                  <c:v>1.2031474103156934</c:v>
                </c:pt>
                <c:pt idx="1225">
                  <c:v>1.2454627052115061</c:v>
                </c:pt>
                <c:pt idx="1226">
                  <c:v>1.305287080189824</c:v>
                </c:pt>
                <c:pt idx="1227">
                  <c:v>1.3913460004236826</c:v>
                </c:pt>
                <c:pt idx="1228">
                  <c:v>1.389216386921851</c:v>
                </c:pt>
                <c:pt idx="1229">
                  <c:v>1.3741141635047318</c:v>
                </c:pt>
                <c:pt idx="1230">
                  <c:v>1.4506747654134204</c:v>
                </c:pt>
                <c:pt idx="1231">
                  <c:v>1.448471206469875</c:v>
                </c:pt>
                <c:pt idx="1232">
                  <c:v>1.4244930918006851</c:v>
                </c:pt>
                <c:pt idx="1233">
                  <c:v>1.4745316673997291</c:v>
                </c:pt>
                <c:pt idx="1234">
                  <c:v>1.4895128198307477</c:v>
                </c:pt>
                <c:pt idx="1235">
                  <c:v>1.4613299327976603</c:v>
                </c:pt>
                <c:pt idx="1236">
                  <c:v>1.4764013953951043</c:v>
                </c:pt>
                <c:pt idx="1237">
                  <c:v>1.4397018074958694</c:v>
                </c:pt>
                <c:pt idx="1238">
                  <c:v>1.4805846617160008</c:v>
                </c:pt>
                <c:pt idx="1239">
                  <c:v>1.5639384906097347</c:v>
                </c:pt>
                <c:pt idx="1240">
                  <c:v>1.5359386045691064</c:v>
                </c:pt>
                <c:pt idx="1241">
                  <c:v>1.5421981465044832</c:v>
                </c:pt>
                <c:pt idx="1242">
                  <c:v>1.5484390957217558</c:v>
                </c:pt>
                <c:pt idx="1243">
                  <c:v>1.6355891216871523</c:v>
                </c:pt>
                <c:pt idx="1244">
                  <c:v>1.6537877596702308</c:v>
                </c:pt>
                <c:pt idx="1245">
                  <c:v>1.5793678290278217</c:v>
                </c:pt>
                <c:pt idx="1246">
                  <c:v>1.61932291938116</c:v>
                </c:pt>
                <c:pt idx="1247">
                  <c:v>1.6676041173706826</c:v>
                </c:pt>
                <c:pt idx="1248">
                  <c:v>1.6567253825720669</c:v>
                </c:pt>
                <c:pt idx="1249">
                  <c:v>1.6788423156624608</c:v>
                </c:pt>
                <c:pt idx="1250">
                  <c:v>1.63448282451314</c:v>
                </c:pt>
                <c:pt idx="1251">
                  <c:v>1.6321013512428162</c:v>
                </c:pt>
                <c:pt idx="1252">
                  <c:v>1.6171904475233581</c:v>
                </c:pt>
                <c:pt idx="1253">
                  <c:v>1.585632005293959</c:v>
                </c:pt>
                <c:pt idx="1254">
                  <c:v>1.6161427190834743</c:v>
                </c:pt>
                <c:pt idx="1255">
                  <c:v>1.6760374895236227</c:v>
                </c:pt>
                <c:pt idx="1256">
                  <c:v>1.7233316141956947</c:v>
                </c:pt>
                <c:pt idx="1257">
                  <c:v>1.7291229325219912</c:v>
                </c:pt>
                <c:pt idx="1258">
                  <c:v>1.7142440503809255</c:v>
                </c:pt>
                <c:pt idx="1259">
                  <c:v>1.7315575282657167</c:v>
                </c:pt>
                <c:pt idx="1260">
                  <c:v>1.7126531861499061</c:v>
                </c:pt>
                <c:pt idx="1261">
                  <c:v>1.6897016132780747</c:v>
                </c:pt>
                <c:pt idx="1262">
                  <c:v>1.777390475205382</c:v>
                </c:pt>
                <c:pt idx="1263">
                  <c:v>1.795307472391132</c:v>
                </c:pt>
                <c:pt idx="1264">
                  <c:v>1.8161764809976302</c:v>
                </c:pt>
                <c:pt idx="1265">
                  <c:v>1.838003480826111</c:v>
                </c:pt>
                <c:pt idx="1266">
                  <c:v>1.8232230898813417</c:v>
                </c:pt>
                <c:pt idx="1267">
                  <c:v>1.8493530523258659</c:v>
                </c:pt>
                <c:pt idx="1268">
                  <c:v>1.8835989010798506</c:v>
                </c:pt>
                <c:pt idx="1269">
                  <c:v>1.859355954978904</c:v>
                </c:pt>
                <c:pt idx="1270">
                  <c:v>1.840462103406646</c:v>
                </c:pt>
                <c:pt idx="1271">
                  <c:v>1.8977920892091156</c:v>
                </c:pt>
                <c:pt idx="1272">
                  <c:v>1.8830607341337664</c:v>
                </c:pt>
                <c:pt idx="1273">
                  <c:v>1.8844768637513498</c:v>
                </c:pt>
                <c:pt idx="1274">
                  <c:v>1.8818679869364887</c:v>
                </c:pt>
                <c:pt idx="1275">
                  <c:v>2.2708891678547971</c:v>
                </c:pt>
                <c:pt idx="1276">
                  <c:v>2.3328930017210587</c:v>
                </c:pt>
                <c:pt idx="1277">
                  <c:v>2.4681542522342679</c:v>
                </c:pt>
                <c:pt idx="1278">
                  <c:v>2.4055477926452999</c:v>
                </c:pt>
                <c:pt idx="1279">
                  <c:v>2.3273328546235099</c:v>
                </c:pt>
                <c:pt idx="1280">
                  <c:v>2.2690264835011629</c:v>
                </c:pt>
                <c:pt idx="1281">
                  <c:v>2.2284453069121257</c:v>
                </c:pt>
                <c:pt idx="1282">
                  <c:v>2.3233899814677166</c:v>
                </c:pt>
                <c:pt idx="1283">
                  <c:v>2.3515621228717913</c:v>
                </c:pt>
                <c:pt idx="1284">
                  <c:v>2.4382707421772278</c:v>
                </c:pt>
                <c:pt idx="1285">
                  <c:v>2.3647547218614022</c:v>
                </c:pt>
                <c:pt idx="1286">
                  <c:v>2.3552619420275058</c:v>
                </c:pt>
                <c:pt idx="1287">
                  <c:v>2.3559959729582518</c:v>
                </c:pt>
                <c:pt idx="1288">
                  <c:v>2.3489756498459031</c:v>
                </c:pt>
                <c:pt idx="1289">
                  <c:v>2.2568113469578859</c:v>
                </c:pt>
                <c:pt idx="1290">
                  <c:v>2.280868757100297</c:v>
                </c:pt>
                <c:pt idx="1291">
                  <c:v>2.3103027297633365</c:v>
                </c:pt>
                <c:pt idx="1292">
                  <c:v>2.2880170397705428</c:v>
                </c:pt>
                <c:pt idx="1293">
                  <c:v>2.3041935057969911</c:v>
                </c:pt>
                <c:pt idx="1294">
                  <c:v>2.339503510526483</c:v>
                </c:pt>
                <c:pt idx="1295">
                  <c:v>2.386210972414696</c:v>
                </c:pt>
                <c:pt idx="1296">
                  <c:v>2.3958837132876867</c:v>
                </c:pt>
                <c:pt idx="1297">
                  <c:v>2.3393995236591389</c:v>
                </c:pt>
                <c:pt idx="1298">
                  <c:v>2.557030926997065</c:v>
                </c:pt>
                <c:pt idx="1299">
                  <c:v>2.5498853572277178</c:v>
                </c:pt>
                <c:pt idx="1300">
                  <c:v>2.4820358704640477</c:v>
                </c:pt>
                <c:pt idx="1301">
                  <c:v>2.4080787766811627</c:v>
                </c:pt>
                <c:pt idx="1302">
                  <c:v>2.3747452515527803</c:v>
                </c:pt>
                <c:pt idx="1303">
                  <c:v>2.2321529398016939</c:v>
                </c:pt>
                <c:pt idx="1304">
                  <c:v>2.4363692639604237</c:v>
                </c:pt>
                <c:pt idx="1305">
                  <c:v>2.4595400567321972</c:v>
                </c:pt>
                <c:pt idx="1306">
                  <c:v>2.4500233411468209</c:v>
                </c:pt>
                <c:pt idx="1307">
                  <c:v>2.4244191221520182</c:v>
                </c:pt>
                <c:pt idx="1308">
                  <c:v>2.4026173547048302</c:v>
                </c:pt>
                <c:pt idx="1309">
                  <c:v>2.4443117615705359</c:v>
                </c:pt>
                <c:pt idx="1310">
                  <c:v>2.4188134334788822</c:v>
                </c:pt>
                <c:pt idx="1311">
                  <c:v>2.4466649778901677</c:v>
                </c:pt>
                <c:pt idx="1312">
                  <c:v>2.3767984040921029</c:v>
                </c:pt>
                <c:pt idx="1313">
                  <c:v>2.4589422641187166</c:v>
                </c:pt>
                <c:pt idx="1314">
                  <c:v>2.5667665047660546</c:v>
                </c:pt>
                <c:pt idx="1315">
                  <c:v>2.6853979214980588</c:v>
                </c:pt>
                <c:pt idx="1316">
                  <c:v>2.6531129758445537</c:v>
                </c:pt>
                <c:pt idx="1317">
                  <c:v>2.6901822545240677</c:v>
                </c:pt>
                <c:pt idx="1318">
                  <c:v>2.7014645678295306</c:v>
                </c:pt>
                <c:pt idx="1319">
                  <c:v>2.6980550596900046</c:v>
                </c:pt>
                <c:pt idx="1320">
                  <c:v>2.658041998220892</c:v>
                </c:pt>
                <c:pt idx="1321">
                  <c:v>2.604259371427772</c:v>
                </c:pt>
                <c:pt idx="1322">
                  <c:v>2.5754932240687931</c:v>
                </c:pt>
                <c:pt idx="1323">
                  <c:v>2.5104162973880482</c:v>
                </c:pt>
                <c:pt idx="1324">
                  <c:v>2.5690491152918224</c:v>
                </c:pt>
                <c:pt idx="1325">
                  <c:v>2.5985018716084829</c:v>
                </c:pt>
                <c:pt idx="1326">
                  <c:v>2.56348843745777</c:v>
                </c:pt>
                <c:pt idx="1327">
                  <c:v>2.6036350696749309</c:v>
                </c:pt>
                <c:pt idx="1328">
                  <c:v>2.6833552632044873</c:v>
                </c:pt>
                <c:pt idx="1329">
                  <c:v>2.6151880388470516</c:v>
                </c:pt>
                <c:pt idx="1330">
                  <c:v>2.6191441955886448</c:v>
                </c:pt>
                <c:pt idx="1331">
                  <c:v>2.6094476435203124</c:v>
                </c:pt>
                <c:pt idx="1332">
                  <c:v>2.5382116192724129</c:v>
                </c:pt>
                <c:pt idx="1333">
                  <c:v>2.5815695776027425</c:v>
                </c:pt>
                <c:pt idx="1334">
                  <c:v>2.6033938083772235</c:v>
                </c:pt>
                <c:pt idx="1335">
                  <c:v>2.6180308398477568</c:v>
                </c:pt>
                <c:pt idx="1336">
                  <c:v>2.8029842309489976</c:v>
                </c:pt>
                <c:pt idx="1337">
                  <c:v>2.7933054902154622</c:v>
                </c:pt>
                <c:pt idx="1338">
                  <c:v>2.8120129036188963</c:v>
                </c:pt>
                <c:pt idx="1339">
                  <c:v>2.7208595771224693</c:v>
                </c:pt>
                <c:pt idx="1340">
                  <c:v>2.6639177477043008</c:v>
                </c:pt>
                <c:pt idx="1341">
                  <c:v>2.8273803185097277</c:v>
                </c:pt>
                <c:pt idx="1342">
                  <c:v>2.8001083064526879</c:v>
                </c:pt>
                <c:pt idx="1343">
                  <c:v>2.8151664823816245</c:v>
                </c:pt>
                <c:pt idx="1344">
                  <c:v>2.9780432847422214</c:v>
                </c:pt>
                <c:pt idx="1345">
                  <c:v>2.9523566810493316</c:v>
                </c:pt>
                <c:pt idx="1346">
                  <c:v>2.9040758029488103</c:v>
                </c:pt>
                <c:pt idx="1347">
                  <c:v>2.9715196456434501</c:v>
                </c:pt>
                <c:pt idx="1348">
                  <c:v>2.9058041976366189</c:v>
                </c:pt>
                <c:pt idx="1349">
                  <c:v>2.9381461808092308</c:v>
                </c:pt>
                <c:pt idx="1350">
                  <c:v>2.8499411230137794</c:v>
                </c:pt>
                <c:pt idx="1351">
                  <c:v>2.7358404895972961</c:v>
                </c:pt>
                <c:pt idx="1352">
                  <c:v>2.7438159268907558</c:v>
                </c:pt>
                <c:pt idx="1353">
                  <c:v>2.8143964236784123</c:v>
                </c:pt>
                <c:pt idx="1354">
                  <c:v>2.7110635517098967</c:v>
                </c:pt>
                <c:pt idx="1355">
                  <c:v>2.6621558161658223</c:v>
                </c:pt>
                <c:pt idx="1356">
                  <c:v>2.5697206298624513</c:v>
                </c:pt>
                <c:pt idx="1357">
                  <c:v>2.5617035833969961</c:v>
                </c:pt>
                <c:pt idx="1358">
                  <c:v>2.4220026017895089</c:v>
                </c:pt>
                <c:pt idx="1359">
                  <c:v>2.4129817844190278</c:v>
                </c:pt>
                <c:pt idx="1360">
                  <c:v>2.5503321383826871</c:v>
                </c:pt>
                <c:pt idx="1361">
                  <c:v>2.4967665314823613</c:v>
                </c:pt>
                <c:pt idx="1362">
                  <c:v>2.46379904955498</c:v>
                </c:pt>
                <c:pt idx="1363">
                  <c:v>2.4889308611277792</c:v>
                </c:pt>
                <c:pt idx="1364">
                  <c:v>2.4492063394752455</c:v>
                </c:pt>
                <c:pt idx="1365">
                  <c:v>2.3984958056254633</c:v>
                </c:pt>
                <c:pt idx="1366">
                  <c:v>2.2740130167709829</c:v>
                </c:pt>
                <c:pt idx="1367">
                  <c:v>2.2448411137097426</c:v>
                </c:pt>
                <c:pt idx="1368">
                  <c:v>2.1580371692048987</c:v>
                </c:pt>
                <c:pt idx="1369">
                  <c:v>2.3188673171555321</c:v>
                </c:pt>
                <c:pt idx="1370">
                  <c:v>2.4209666722999805</c:v>
                </c:pt>
                <c:pt idx="1371">
                  <c:v>2.4830328196911511</c:v>
                </c:pt>
                <c:pt idx="1372">
                  <c:v>2.4234788320635343</c:v>
                </c:pt>
                <c:pt idx="1373">
                  <c:v>2.4382210828021691</c:v>
                </c:pt>
                <c:pt idx="1374">
                  <c:v>2.5607590004308141</c:v>
                </c:pt>
                <c:pt idx="1375">
                  <c:v>2.5305392107625981</c:v>
                </c:pt>
                <c:pt idx="1376">
                  <c:v>2.5551970967374293</c:v>
                </c:pt>
                <c:pt idx="1377">
                  <c:v>2.5965858867730351</c:v>
                </c:pt>
                <c:pt idx="1378">
                  <c:v>2.6278471821177765</c:v>
                </c:pt>
                <c:pt idx="1379">
                  <c:v>2.5585861330718784</c:v>
                </c:pt>
                <c:pt idx="1380">
                  <c:v>2.5519368600231349</c:v>
                </c:pt>
                <c:pt idx="1381">
                  <c:v>2.4729692785970823</c:v>
                </c:pt>
                <c:pt idx="1382">
                  <c:v>2.4841685443020327</c:v>
                </c:pt>
                <c:pt idx="1383">
                  <c:v>2.3987328292968995</c:v>
                </c:pt>
                <c:pt idx="1384">
                  <c:v>2.3300881103183197</c:v>
                </c:pt>
                <c:pt idx="1385">
                  <c:v>2.4402726157904673</c:v>
                </c:pt>
                <c:pt idx="1386">
                  <c:v>2.3651938970184752</c:v>
                </c:pt>
                <c:pt idx="1387">
                  <c:v>2.4228198926412023</c:v>
                </c:pt>
                <c:pt idx="1388">
                  <c:v>2.3942467468262087</c:v>
                </c:pt>
                <c:pt idx="1389">
                  <c:v>2.3624139348235245</c:v>
                </c:pt>
                <c:pt idx="1390">
                  <c:v>2.3893501147328924</c:v>
                </c:pt>
                <c:pt idx="1391">
                  <c:v>2.3708199189386625</c:v>
                </c:pt>
                <c:pt idx="1392">
                  <c:v>2.3687942273833125</c:v>
                </c:pt>
                <c:pt idx="1393">
                  <c:v>2.3371461976110854</c:v>
                </c:pt>
                <c:pt idx="1394">
                  <c:v>2.4568437397838467</c:v>
                </c:pt>
                <c:pt idx="1395">
                  <c:v>2.5643094655616867</c:v>
                </c:pt>
                <c:pt idx="1396">
                  <c:v>2.5944791939545859</c:v>
                </c:pt>
                <c:pt idx="1397">
                  <c:v>2.5412501982111149</c:v>
                </c:pt>
                <c:pt idx="1398">
                  <c:v>2.5653421610091924</c:v>
                </c:pt>
                <c:pt idx="1399">
                  <c:v>2.515708152061944</c:v>
                </c:pt>
                <c:pt idx="1400">
                  <c:v>2.557622607291576</c:v>
                </c:pt>
                <c:pt idx="1401">
                  <c:v>2.5960816214373637</c:v>
                </c:pt>
                <c:pt idx="1402">
                  <c:v>2.5871296378096438</c:v>
                </c:pt>
                <c:pt idx="1403">
                  <c:v>2.5165106044688095</c:v>
                </c:pt>
                <c:pt idx="1404">
                  <c:v>2.4672094901369088</c:v>
                </c:pt>
                <c:pt idx="1405">
                  <c:v>2.4920800041386881</c:v>
                </c:pt>
                <c:pt idx="1406">
                  <c:v>2.5909355317114358</c:v>
                </c:pt>
                <c:pt idx="1407">
                  <c:v>2.5887644335375581</c:v>
                </c:pt>
                <c:pt idx="1408">
                  <c:v>2.5822729157711763</c:v>
                </c:pt>
                <c:pt idx="1409">
                  <c:v>2.5432575007634566</c:v>
                </c:pt>
                <c:pt idx="1410">
                  <c:v>2.5511792594765965</c:v>
                </c:pt>
                <c:pt idx="1411">
                  <c:v>2.5289808929920081</c:v>
                </c:pt>
                <c:pt idx="1412">
                  <c:v>2.5369013463556502</c:v>
                </c:pt>
                <c:pt idx="1413">
                  <c:v>2.5384697061826418</c:v>
                </c:pt>
                <c:pt idx="1414">
                  <c:v>2.579635046254606</c:v>
                </c:pt>
                <c:pt idx="1415">
                  <c:v>2.5907999201443719</c:v>
                </c:pt>
                <c:pt idx="1416">
                  <c:v>2.5354853468484446</c:v>
                </c:pt>
                <c:pt idx="1417">
                  <c:v>2.5822379498813253</c:v>
                </c:pt>
                <c:pt idx="1418">
                  <c:v>2.5801062922822324</c:v>
                </c:pt>
                <c:pt idx="1419">
                  <c:v>2.7235892405922217</c:v>
                </c:pt>
                <c:pt idx="1420">
                  <c:v>2.7048115245528606</c:v>
                </c:pt>
                <c:pt idx="1421">
                  <c:v>2.6431141296214449</c:v>
                </c:pt>
                <c:pt idx="1422">
                  <c:v>2.5838686439317673</c:v>
                </c:pt>
                <c:pt idx="1423">
                  <c:v>2.6377296733818461</c:v>
                </c:pt>
                <c:pt idx="1424">
                  <c:v>2.6980830512156282</c:v>
                </c:pt>
                <c:pt idx="1425">
                  <c:v>2.7155980824026384</c:v>
                </c:pt>
                <c:pt idx="1426">
                  <c:v>2.6838100739982527</c:v>
                </c:pt>
                <c:pt idx="1427">
                  <c:v>2.6739572175551265</c:v>
                </c:pt>
                <c:pt idx="1428">
                  <c:v>2.5866449765319053</c:v>
                </c:pt>
                <c:pt idx="1429">
                  <c:v>2.6499670840741314</c:v>
                </c:pt>
                <c:pt idx="1430">
                  <c:v>2.7131860086806214</c:v>
                </c:pt>
                <c:pt idx="1431">
                  <c:v>2.7240421999527022</c:v>
                </c:pt>
                <c:pt idx="1432">
                  <c:v>2.7532466979089478</c:v>
                </c:pt>
                <c:pt idx="1433">
                  <c:v>2.7282231473114367</c:v>
                </c:pt>
                <c:pt idx="1434">
                  <c:v>2.6670349489694645</c:v>
                </c:pt>
                <c:pt idx="1435">
                  <c:v>2.6681481154366091</c:v>
                </c:pt>
                <c:pt idx="1436">
                  <c:v>2.679072933722753</c:v>
                </c:pt>
                <c:pt idx="1437">
                  <c:v>2.6541234393220772</c:v>
                </c:pt>
                <c:pt idx="1438">
                  <c:v>2.5151491272822057</c:v>
                </c:pt>
                <c:pt idx="1439">
                  <c:v>2.3601220154197287</c:v>
                </c:pt>
                <c:pt idx="1440">
                  <c:v>2.3777386533399594</c:v>
                </c:pt>
                <c:pt idx="1441">
                  <c:v>2.3428069260323872</c:v>
                </c:pt>
                <c:pt idx="1442">
                  <c:v>2.3474117932031233</c:v>
                </c:pt>
                <c:pt idx="1443">
                  <c:v>2.3746870524837651</c:v>
                </c:pt>
                <c:pt idx="1444">
                  <c:v>2.3501252212573518</c:v>
                </c:pt>
                <c:pt idx="1445">
                  <c:v>2.3773546464847604</c:v>
                </c:pt>
                <c:pt idx="1446">
                  <c:v>2.3071248570893976</c:v>
                </c:pt>
                <c:pt idx="1447">
                  <c:v>2.3826642945539085</c:v>
                </c:pt>
                <c:pt idx="1448">
                  <c:v>2.4162024480856457</c:v>
                </c:pt>
                <c:pt idx="1449">
                  <c:v>2.4818775405261948</c:v>
                </c:pt>
                <c:pt idx="1450">
                  <c:v>2.5152833374948638</c:v>
                </c:pt>
                <c:pt idx="1451">
                  <c:v>2.5285444749985073</c:v>
                </c:pt>
                <c:pt idx="1452">
                  <c:v>2.5201257579279104</c:v>
                </c:pt>
                <c:pt idx="1453">
                  <c:v>2.5309427392457282</c:v>
                </c:pt>
                <c:pt idx="1454">
                  <c:v>2.5225354602686574</c:v>
                </c:pt>
                <c:pt idx="1455">
                  <c:v>2.5205387971147126</c:v>
                </c:pt>
                <c:pt idx="1456">
                  <c:v>2.5783892436900087</c:v>
                </c:pt>
                <c:pt idx="1457">
                  <c:v>2.6273717388007607</c:v>
                </c:pt>
                <c:pt idx="1458">
                  <c:v>2.6093700723992632</c:v>
                </c:pt>
                <c:pt idx="1459">
                  <c:v>2.5850297007954919</c:v>
                </c:pt>
                <c:pt idx="1460">
                  <c:v>2.5988999867804154</c:v>
                </c:pt>
                <c:pt idx="1461">
                  <c:v>2.5451741198751843</c:v>
                </c:pt>
                <c:pt idx="1462">
                  <c:v>2.479756055772111</c:v>
                </c:pt>
                <c:pt idx="1463">
                  <c:v>2.5190029652586041</c:v>
                </c:pt>
                <c:pt idx="1464">
                  <c:v>2.5708526762116004</c:v>
                </c:pt>
                <c:pt idx="1465">
                  <c:v>2.5245497249969588</c:v>
                </c:pt>
                <c:pt idx="1466">
                  <c:v>2.4965412616968767</c:v>
                </c:pt>
                <c:pt idx="1467">
                  <c:v>2.4535945658613132</c:v>
                </c:pt>
                <c:pt idx="1468">
                  <c:v>2.4264711561374708</c:v>
                </c:pt>
                <c:pt idx="1469">
                  <c:v>2.3867947920939661</c:v>
                </c:pt>
                <c:pt idx="1470">
                  <c:v>2.4698880238169885</c:v>
                </c:pt>
                <c:pt idx="1471">
                  <c:v>2.4107690121271323</c:v>
                </c:pt>
                <c:pt idx="1472">
                  <c:v>2.4465368714721212</c:v>
                </c:pt>
                <c:pt idx="1473">
                  <c:v>2.4415052597027951</c:v>
                </c:pt>
                <c:pt idx="1474">
                  <c:v>2.442744895060287</c:v>
                </c:pt>
                <c:pt idx="1475">
                  <c:v>2.4439826105497229</c:v>
                </c:pt>
                <c:pt idx="1476">
                  <c:v>2.5101252078759093</c:v>
                </c:pt>
                <c:pt idx="1477">
                  <c:v>2.4925892685850601</c:v>
                </c:pt>
                <c:pt idx="1478">
                  <c:v>2.4096185593547612</c:v>
                </c:pt>
                <c:pt idx="1479">
                  <c:v>2.4015316031524403</c:v>
                </c:pt>
                <c:pt idx="1480">
                  <c:v>2.2969718371162497</c:v>
                </c:pt>
                <c:pt idx="1481">
                  <c:v>2.2295716752159129</c:v>
                </c:pt>
                <c:pt idx="1482">
                  <c:v>2.1751109799809045</c:v>
                </c:pt>
                <c:pt idx="1483">
                  <c:v>2.1424372700654679</c:v>
                </c:pt>
                <c:pt idx="1484">
                  <c:v>2.0819306588770847</c:v>
                </c:pt>
                <c:pt idx="1485">
                  <c:v>2.0865272442198743</c:v>
                </c:pt>
                <c:pt idx="1486">
                  <c:v>2.1867567470982139</c:v>
                </c:pt>
                <c:pt idx="1487">
                  <c:v>2.1820003904708281</c:v>
                </c:pt>
                <c:pt idx="1488">
                  <c:v>2.1741673680305933</c:v>
                </c:pt>
                <c:pt idx="1489">
                  <c:v>2.1478568498231976</c:v>
                </c:pt>
                <c:pt idx="1490">
                  <c:v>1.9861005019225755</c:v>
                </c:pt>
                <c:pt idx="1491">
                  <c:v>1.7757331842501387</c:v>
                </c:pt>
                <c:pt idx="1492">
                  <c:v>1.8020130480629069</c:v>
                </c:pt>
                <c:pt idx="1493">
                  <c:v>1.766902242275141</c:v>
                </c:pt>
                <c:pt idx="1494">
                  <c:v>1.7379751239432626</c:v>
                </c:pt>
                <c:pt idx="1495">
                  <c:v>1.7580980733953631</c:v>
                </c:pt>
                <c:pt idx="1496">
                  <c:v>1.7938367942871358</c:v>
                </c:pt>
                <c:pt idx="1497">
                  <c:v>1.8199639707898625</c:v>
                </c:pt>
                <c:pt idx="1498">
                  <c:v>1.8918215680984594</c:v>
                </c:pt>
                <c:pt idx="1499">
                  <c:v>1.9391785488407483</c:v>
                </c:pt>
                <c:pt idx="1500">
                  <c:v>1.9072492945514399</c:v>
                </c:pt>
                <c:pt idx="1501">
                  <c:v>1.8117497504974207</c:v>
                </c:pt>
                <c:pt idx="1502">
                  <c:v>1.7162234450006795</c:v>
                </c:pt>
                <c:pt idx="1503">
                  <c:v>1.7604636161167999</c:v>
                </c:pt>
                <c:pt idx="1504">
                  <c:v>1.719713267308324</c:v>
                </c:pt>
                <c:pt idx="1505">
                  <c:v>1.7275157111721202</c:v>
                </c:pt>
                <c:pt idx="1506">
                  <c:v>1.6135689023774504</c:v>
                </c:pt>
                <c:pt idx="1507">
                  <c:v>1.5731109952526769</c:v>
                </c:pt>
                <c:pt idx="1508">
                  <c:v>1.6262452306206281</c:v>
                </c:pt>
                <c:pt idx="1509">
                  <c:v>1.6310617580055955</c:v>
                </c:pt>
                <c:pt idx="1510">
                  <c:v>1.4890435395865831</c:v>
                </c:pt>
                <c:pt idx="1511">
                  <c:v>1.4788074873760324</c:v>
                </c:pt>
                <c:pt idx="1512">
                  <c:v>1.5081138299527415</c:v>
                </c:pt>
                <c:pt idx="1513">
                  <c:v>1.3641938949463106</c:v>
                </c:pt>
                <c:pt idx="1514">
                  <c:v>1.3783616065707425</c:v>
                </c:pt>
                <c:pt idx="1515">
                  <c:v>1.2480690886935315</c:v>
                </c:pt>
                <c:pt idx="1516">
                  <c:v>1.2986054226670145</c:v>
                </c:pt>
                <c:pt idx="1517">
                  <c:v>1.352091833456488</c:v>
                </c:pt>
                <c:pt idx="1518">
                  <c:v>1.3510927820044025</c:v>
                </c:pt>
                <c:pt idx="1519">
                  <c:v>1.2564644421304181</c:v>
                </c:pt>
                <c:pt idx="1520">
                  <c:v>1.4811157420070022</c:v>
                </c:pt>
                <c:pt idx="1521">
                  <c:v>1.6208436375176849</c:v>
                </c:pt>
                <c:pt idx="1522">
                  <c:v>1.6765400091609952</c:v>
                </c:pt>
                <c:pt idx="1523">
                  <c:v>1.7740377638898668</c:v>
                </c:pt>
                <c:pt idx="1524">
                  <c:v>1.6441951428761119</c:v>
                </c:pt>
                <c:pt idx="1525">
                  <c:v>1.7420171326782075</c:v>
                </c:pt>
                <c:pt idx="1526">
                  <c:v>1.5917111626482048</c:v>
                </c:pt>
                <c:pt idx="1527">
                  <c:v>1.5339595045632461</c:v>
                </c:pt>
                <c:pt idx="1528">
                  <c:v>1.5239142059924264</c:v>
                </c:pt>
                <c:pt idx="1529">
                  <c:v>1.5941877483682259</c:v>
                </c:pt>
                <c:pt idx="1530">
                  <c:v>1.7183316125544543</c:v>
                </c:pt>
                <c:pt idx="1531">
                  <c:v>1.7052234569996705</c:v>
                </c:pt>
                <c:pt idx="1532">
                  <c:v>1.8403071739534722</c:v>
                </c:pt>
                <c:pt idx="1533">
                  <c:v>1.9337369399825859</c:v>
                </c:pt>
                <c:pt idx="1534">
                  <c:v>1.8406038155882574</c:v>
                </c:pt>
                <c:pt idx="1535">
                  <c:v>1.8041376458078775</c:v>
                </c:pt>
                <c:pt idx="1536">
                  <c:v>1.7821818859960963</c:v>
                </c:pt>
                <c:pt idx="1537">
                  <c:v>1.8428159306581771</c:v>
                </c:pt>
                <c:pt idx="1538">
                  <c:v>1.8473813761903932</c:v>
                </c:pt>
                <c:pt idx="1539">
                  <c:v>1.9019926889672918</c:v>
                </c:pt>
                <c:pt idx="1540">
                  <c:v>1.8567638281820271</c:v>
                </c:pt>
                <c:pt idx="1541">
                  <c:v>1.8554312629631098</c:v>
                </c:pt>
                <c:pt idx="1542">
                  <c:v>1.8658354230690766</c:v>
                </c:pt>
                <c:pt idx="1543">
                  <c:v>1.7237814163262666</c:v>
                </c:pt>
                <c:pt idx="1544">
                  <c:v>1.7928549866958365</c:v>
                </c:pt>
                <c:pt idx="1545">
                  <c:v>1.7247005715226169</c:v>
                </c:pt>
                <c:pt idx="1546">
                  <c:v>1.6942576344168727</c:v>
                </c:pt>
                <c:pt idx="1547">
                  <c:v>1.6842914901666608</c:v>
                </c:pt>
                <c:pt idx="1548">
                  <c:v>1.6772565270208886</c:v>
                </c:pt>
                <c:pt idx="1549">
                  <c:v>1.5915295775713674</c:v>
                </c:pt>
                <c:pt idx="1550">
                  <c:v>1.4456097160523846</c:v>
                </c:pt>
                <c:pt idx="1551">
                  <c:v>1.4910882246987067</c:v>
                </c:pt>
                <c:pt idx="1552">
                  <c:v>1.4232250542622218</c:v>
                </c:pt>
                <c:pt idx="1553">
                  <c:v>1.4541425082039896</c:v>
                </c:pt>
                <c:pt idx="1554">
                  <c:v>1.3922026118244151</c:v>
                </c:pt>
                <c:pt idx="1555">
                  <c:v>1.4297672733903128</c:v>
                </c:pt>
                <c:pt idx="1556">
                  <c:v>1.4923852181950625</c:v>
                </c:pt>
                <c:pt idx="1557">
                  <c:v>1.5028915128051799</c:v>
                </c:pt>
                <c:pt idx="1558">
                  <c:v>1.6462372023131528</c:v>
                </c:pt>
                <c:pt idx="1559">
                  <c:v>1.6652784181783296</c:v>
                </c:pt>
                <c:pt idx="1560">
                  <c:v>1.6704011606194598</c:v>
                </c:pt>
                <c:pt idx="1561">
                  <c:v>1.6289342990995324</c:v>
                </c:pt>
                <c:pt idx="1562">
                  <c:v>1.6565486025043308</c:v>
                </c:pt>
                <c:pt idx="1563">
                  <c:v>1.641015125969999</c:v>
                </c:pt>
                <c:pt idx="1564">
                  <c:v>1.5709370897860584</c:v>
                </c:pt>
                <c:pt idx="1565">
                  <c:v>1.5790988706991413</c:v>
                </c:pt>
                <c:pt idx="1566">
                  <c:v>1.514988170799662</c:v>
                </c:pt>
                <c:pt idx="1567">
                  <c:v>1.4681383845613165</c:v>
                </c:pt>
                <c:pt idx="1568">
                  <c:v>1.4213541052947847</c:v>
                </c:pt>
                <c:pt idx="1569">
                  <c:v>1.5032393200432206</c:v>
                </c:pt>
                <c:pt idx="1570">
                  <c:v>1.4630206928977361</c:v>
                </c:pt>
                <c:pt idx="1571">
                  <c:v>1.4591515277204405</c:v>
                </c:pt>
                <c:pt idx="1572">
                  <c:v>1.5093982533661088</c:v>
                </c:pt>
                <c:pt idx="1573">
                  <c:v>1.5197319058909542</c:v>
                </c:pt>
                <c:pt idx="1574">
                  <c:v>1.5584908031072948</c:v>
                </c:pt>
                <c:pt idx="1575">
                  <c:v>1.5552470459004306</c:v>
                </c:pt>
                <c:pt idx="1576">
                  <c:v>1.5541687920303446</c:v>
                </c:pt>
                <c:pt idx="1577">
                  <c:v>1.5474238131370086</c:v>
                </c:pt>
                <c:pt idx="1578">
                  <c:v>1.5463524686474717</c:v>
                </c:pt>
                <c:pt idx="1579">
                  <c:v>1.5594335462232716</c:v>
                </c:pt>
                <c:pt idx="1580">
                  <c:v>1.5491238253404598</c:v>
                </c:pt>
                <c:pt idx="1581">
                  <c:v>1.5511117131811489</c:v>
                </c:pt>
                <c:pt idx="1582">
                  <c:v>1.5108171357669717</c:v>
                </c:pt>
                <c:pt idx="1583">
                  <c:v>1.5309003978230047</c:v>
                </c:pt>
                <c:pt idx="1584">
                  <c:v>1.5750824325867729</c:v>
                </c:pt>
                <c:pt idx="1585">
                  <c:v>1.6107837209222868</c:v>
                </c:pt>
                <c:pt idx="1586">
                  <c:v>1.5930637026914745</c:v>
                </c:pt>
                <c:pt idx="1587">
                  <c:v>1.5809789103472818</c:v>
                </c:pt>
                <c:pt idx="1588">
                  <c:v>1.5644274243694716</c:v>
                </c:pt>
                <c:pt idx="1589">
                  <c:v>1.6252392784154794</c:v>
                </c:pt>
                <c:pt idx="1590">
                  <c:v>1.6383753324736494</c:v>
                </c:pt>
                <c:pt idx="1591">
                  <c:v>1.6682922649761358</c:v>
                </c:pt>
                <c:pt idx="1592">
                  <c:v>1.6785937135500362</c:v>
                </c:pt>
                <c:pt idx="1593">
                  <c:v>1.6780429505118881</c:v>
                </c:pt>
                <c:pt idx="1594">
                  <c:v>1.7105299851919624</c:v>
                </c:pt>
                <c:pt idx="1595">
                  <c:v>1.7040643377068574</c:v>
                </c:pt>
                <c:pt idx="1596">
                  <c:v>1.7754008786587239</c:v>
                </c:pt>
                <c:pt idx="1597">
                  <c:v>1.8605466163302324</c:v>
                </c:pt>
                <c:pt idx="1598">
                  <c:v>1.8298730451909737</c:v>
                </c:pt>
                <c:pt idx="1599">
                  <c:v>1.7984252329603778</c:v>
                </c:pt>
                <c:pt idx="1600">
                  <c:v>1.8279420073844128</c:v>
                </c:pt>
                <c:pt idx="1601">
                  <c:v>1.8380506100582377</c:v>
                </c:pt>
                <c:pt idx="1602">
                  <c:v>1.8426151776076278</c:v>
                </c:pt>
                <c:pt idx="1603">
                  <c:v>1.8258945181710733</c:v>
                </c:pt>
                <c:pt idx="1604">
                  <c:v>1.7835211100584454</c:v>
                </c:pt>
                <c:pt idx="1605">
                  <c:v>1.8405312726350227</c:v>
                </c:pt>
                <c:pt idx="1606">
                  <c:v>1.8092265714164693</c:v>
                </c:pt>
                <c:pt idx="1607">
                  <c:v>1.8827024711199059</c:v>
                </c:pt>
                <c:pt idx="1608">
                  <c:v>1.9320325185967206</c:v>
                </c:pt>
                <c:pt idx="1609">
                  <c:v>1.9145155961545473</c:v>
                </c:pt>
                <c:pt idx="1610">
                  <c:v>1.8832705233398308</c:v>
                </c:pt>
                <c:pt idx="1611">
                  <c:v>1.8822846326228981</c:v>
                </c:pt>
                <c:pt idx="1612">
                  <c:v>1.8648212354291416</c:v>
                </c:pt>
                <c:pt idx="1613">
                  <c:v>1.8454459449789979</c:v>
                </c:pt>
                <c:pt idx="1614">
                  <c:v>1.8910740572051481</c:v>
                </c:pt>
                <c:pt idx="1615">
                  <c:v>1.9421330600177644</c:v>
                </c:pt>
                <c:pt idx="1616">
                  <c:v>1.8836256784728898</c:v>
                </c:pt>
                <c:pt idx="1617">
                  <c:v>2.0057817479309747</c:v>
                </c:pt>
                <c:pt idx="1618">
                  <c:v>2.0190424750523492</c:v>
                </c:pt>
                <c:pt idx="1619">
                  <c:v>1.9497244436350831</c:v>
                </c:pt>
                <c:pt idx="1620">
                  <c:v>1.9841913899787529</c:v>
                </c:pt>
                <c:pt idx="1621">
                  <c:v>2.0459011946318273</c:v>
                </c:pt>
                <c:pt idx="1622">
                  <c:v>2.0748294764228934</c:v>
                </c:pt>
                <c:pt idx="1623">
                  <c:v>2.0498237042002594</c:v>
                </c:pt>
                <c:pt idx="1624">
                  <c:v>2.0351571993127888</c:v>
                </c:pt>
                <c:pt idx="1625">
                  <c:v>2.0177865023077524</c:v>
                </c:pt>
                <c:pt idx="1626">
                  <c:v>2.0031517753304433</c:v>
                </c:pt>
                <c:pt idx="1627">
                  <c:v>1.996681918546849</c:v>
                </c:pt>
                <c:pt idx="1628">
                  <c:v>1.9881619178486338</c:v>
                </c:pt>
                <c:pt idx="1629">
                  <c:v>1.9844241307352637</c:v>
                </c:pt>
                <c:pt idx="1630">
                  <c:v>1.9264989521243225</c:v>
                </c:pt>
                <c:pt idx="1631">
                  <c:v>1.9444621525820998</c:v>
                </c:pt>
                <c:pt idx="1632">
                  <c:v>1.9705271309617918</c:v>
                </c:pt>
                <c:pt idx="1633">
                  <c:v>1.970185997933517</c:v>
                </c:pt>
                <c:pt idx="1634">
                  <c:v>2.0258972450775721</c:v>
                </c:pt>
                <c:pt idx="1635">
                  <c:v>1.9708590964414108</c:v>
                </c:pt>
                <c:pt idx="1636">
                  <c:v>1.9293696311550348</c:v>
                </c:pt>
                <c:pt idx="1637">
                  <c:v>1.9499545509628879</c:v>
                </c:pt>
                <c:pt idx="1638">
                  <c:v>1.9681602121236645</c:v>
                </c:pt>
                <c:pt idx="1639">
                  <c:v>1.9671525643410057</c:v>
                </c:pt>
                <c:pt idx="1640">
                  <c:v>1.9641358021784825</c:v>
                </c:pt>
                <c:pt idx="1641">
                  <c:v>1.901449152151766</c:v>
                </c:pt>
                <c:pt idx="1642">
                  <c:v>1.9085196598051846</c:v>
                </c:pt>
                <c:pt idx="1643">
                  <c:v>1.9262994977622065</c:v>
                </c:pt>
                <c:pt idx="1644">
                  <c:v>1.9520945058092609</c:v>
                </c:pt>
                <c:pt idx="1645">
                  <c:v>1.959806223693632</c:v>
                </c:pt>
                <c:pt idx="1646">
                  <c:v>1.9588084719971397</c:v>
                </c:pt>
                <c:pt idx="1647">
                  <c:v>1.9604826930565709</c:v>
                </c:pt>
                <c:pt idx="1648">
                  <c:v>1.9808424036205932</c:v>
                </c:pt>
                <c:pt idx="1649">
                  <c:v>1.9691625125992642</c:v>
                </c:pt>
                <c:pt idx="1650">
                  <c:v>1.9315297990156723</c:v>
                </c:pt>
                <c:pt idx="1651">
                  <c:v>1.9225614525556025</c:v>
                </c:pt>
                <c:pt idx="1652">
                  <c:v>1.9136022007559499</c:v>
                </c:pt>
                <c:pt idx="1653">
                  <c:v>1.9126324153892722</c:v>
                </c:pt>
                <c:pt idx="1654">
                  <c:v>1.9010284880618029</c:v>
                </c:pt>
                <c:pt idx="1655">
                  <c:v>1.9307028618116695</c:v>
                </c:pt>
                <c:pt idx="1656">
                  <c:v>1.8793640920691832</c:v>
                </c:pt>
                <c:pt idx="1657">
                  <c:v>1.88901305259696</c:v>
                </c:pt>
                <c:pt idx="1658">
                  <c:v>1.8438308983598384</c:v>
                </c:pt>
                <c:pt idx="1659">
                  <c:v>1.8693426098834909</c:v>
                </c:pt>
                <c:pt idx="1660">
                  <c:v>1.8076189467060713</c:v>
                </c:pt>
                <c:pt idx="1661">
                  <c:v>1.7829368347136982</c:v>
                </c:pt>
                <c:pt idx="1662">
                  <c:v>1.8031605606035799</c:v>
                </c:pt>
                <c:pt idx="1663">
                  <c:v>1.7925356513370658</c:v>
                </c:pt>
                <c:pt idx="1664">
                  <c:v>1.7784620912260634</c:v>
                </c:pt>
                <c:pt idx="1665">
                  <c:v>1.6590651807370518</c:v>
                </c:pt>
                <c:pt idx="1666">
                  <c:v>1.642440547276897</c:v>
                </c:pt>
                <c:pt idx="1667">
                  <c:v>1.6442481576236743</c:v>
                </c:pt>
                <c:pt idx="1668">
                  <c:v>1.6207648125465299</c:v>
                </c:pt>
                <c:pt idx="1669">
                  <c:v>1.7013456506963174</c:v>
                </c:pt>
                <c:pt idx="1670">
                  <c:v>1.7424826051049069</c:v>
                </c:pt>
                <c:pt idx="1671">
                  <c:v>1.7206286201210641</c:v>
                </c:pt>
                <c:pt idx="1672">
                  <c:v>1.7119044622791828</c:v>
                </c:pt>
                <c:pt idx="1673">
                  <c:v>1.7302847119006004</c:v>
                </c:pt>
                <c:pt idx="1674">
                  <c:v>1.8209952919294354</c:v>
                </c:pt>
                <c:pt idx="1675">
                  <c:v>1.8280129807614172</c:v>
                </c:pt>
                <c:pt idx="1676">
                  <c:v>1.8719881879057654</c:v>
                </c:pt>
                <c:pt idx="1677">
                  <c:v>1.8182763351856175</c:v>
                </c:pt>
                <c:pt idx="1678">
                  <c:v>1.6785416768507202</c:v>
                </c:pt>
                <c:pt idx="1679">
                  <c:v>1.6645390961908291</c:v>
                </c:pt>
                <c:pt idx="1680">
                  <c:v>1.7163618394644664</c:v>
                </c:pt>
                <c:pt idx="1681">
                  <c:v>1.7312970441266082</c:v>
                </c:pt>
                <c:pt idx="1682">
                  <c:v>1.7356980516207206</c:v>
                </c:pt>
                <c:pt idx="1683">
                  <c:v>1.8539124521345658</c:v>
                </c:pt>
                <c:pt idx="1684">
                  <c:v>1.8766165211445598</c:v>
                </c:pt>
                <c:pt idx="1685">
                  <c:v>1.8992981244732883</c:v>
                </c:pt>
                <c:pt idx="1686">
                  <c:v>1.83280784381831</c:v>
                </c:pt>
                <c:pt idx="1687">
                  <c:v>1.8476264386393346</c:v>
                </c:pt>
                <c:pt idx="1688">
                  <c:v>1.8919944621840745</c:v>
                </c:pt>
                <c:pt idx="1689">
                  <c:v>1.9407571048472549</c:v>
                </c:pt>
                <c:pt idx="1690">
                  <c:v>1.9842430913464753</c:v>
                </c:pt>
                <c:pt idx="1691">
                  <c:v>1.933618300757322</c:v>
                </c:pt>
                <c:pt idx="1692">
                  <c:v>1.9428535394224402</c:v>
                </c:pt>
                <c:pt idx="1693">
                  <c:v>1.8637012020515746</c:v>
                </c:pt>
                <c:pt idx="1694">
                  <c:v>1.9435496040770748</c:v>
                </c:pt>
                <c:pt idx="1695">
                  <c:v>1.8827027734676778</c:v>
                </c:pt>
                <c:pt idx="1696">
                  <c:v>1.8869840950169958</c:v>
                </c:pt>
                <c:pt idx="1697">
                  <c:v>1.8842094208893911</c:v>
                </c:pt>
                <c:pt idx="1698">
                  <c:v>1.9066650689433904</c:v>
                </c:pt>
                <c:pt idx="1699">
                  <c:v>1.9472732761915315</c:v>
                </c:pt>
                <c:pt idx="1700">
                  <c:v>2.0423387008647707</c:v>
                </c:pt>
                <c:pt idx="1701">
                  <c:v>2.0491210948474934</c:v>
                </c:pt>
                <c:pt idx="1702">
                  <c:v>2.0694285211110213</c:v>
                </c:pt>
                <c:pt idx="1703">
                  <c:v>2.0710069263378861</c:v>
                </c:pt>
                <c:pt idx="1704">
                  <c:v>2.1062212308780488</c:v>
                </c:pt>
                <c:pt idx="1705">
                  <c:v>2.0793315841974676</c:v>
                </c:pt>
                <c:pt idx="1706">
                  <c:v>2.1403572202860475</c:v>
                </c:pt>
                <c:pt idx="1707">
                  <c:v>2.1862741785803146</c:v>
                </c:pt>
                <c:pt idx="1708">
                  <c:v>2.1671508231292136</c:v>
                </c:pt>
                <c:pt idx="1709">
                  <c:v>1.9907461760064151</c:v>
                </c:pt>
                <c:pt idx="1710">
                  <c:v>2.0310174220108168</c:v>
                </c:pt>
                <c:pt idx="1711">
                  <c:v>1.9862355624599159</c:v>
                </c:pt>
                <c:pt idx="1712">
                  <c:v>1.9035993247017629</c:v>
                </c:pt>
                <c:pt idx="1713">
                  <c:v>1.9181033478832359</c:v>
                </c:pt>
                <c:pt idx="1714">
                  <c:v>1.9017540565113054</c:v>
                </c:pt>
                <c:pt idx="1715">
                  <c:v>1.939363157160396</c:v>
                </c:pt>
                <c:pt idx="1716">
                  <c:v>1.9872056330058363</c:v>
                </c:pt>
                <c:pt idx="1717">
                  <c:v>2.0048329495103223</c:v>
                </c:pt>
                <c:pt idx="1718">
                  <c:v>2.0756136757552652</c:v>
                </c:pt>
                <c:pt idx="1719">
                  <c:v>2.0361923480028179</c:v>
                </c:pt>
                <c:pt idx="1720">
                  <c:v>2.0147291675519923</c:v>
                </c:pt>
                <c:pt idx="1721">
                  <c:v>2.0444622273228519</c:v>
                </c:pt>
                <c:pt idx="1722">
                  <c:v>2.0874980849606102</c:v>
                </c:pt>
                <c:pt idx="1723">
                  <c:v>2.1477849719589939</c:v>
                </c:pt>
                <c:pt idx="1724">
                  <c:v>2.1441983851536981</c:v>
                </c:pt>
                <c:pt idx="1725">
                  <c:v>2.1635777496407331</c:v>
                </c:pt>
                <c:pt idx="1726">
                  <c:v>2.1599870172451894</c:v>
                </c:pt>
                <c:pt idx="1727">
                  <c:v>2.2103512155238052</c:v>
                </c:pt>
                <c:pt idx="1728">
                  <c:v>2.2500144335804344</c:v>
                </c:pt>
                <c:pt idx="1729">
                  <c:v>2.289639591189951</c:v>
                </c:pt>
                <c:pt idx="1730">
                  <c:v>2.196999897431029</c:v>
                </c:pt>
                <c:pt idx="1731">
                  <c:v>2.1705307469628368</c:v>
                </c:pt>
                <c:pt idx="1732">
                  <c:v>2.1344205715269338</c:v>
                </c:pt>
                <c:pt idx="1733">
                  <c:v>2.163840321822962</c:v>
                </c:pt>
                <c:pt idx="1734">
                  <c:v>2.1273082012206261</c:v>
                </c:pt>
                <c:pt idx="1735">
                  <c:v>2.1364286970503437</c:v>
                </c:pt>
                <c:pt idx="1736">
                  <c:v>2.1328749503599171</c:v>
                </c:pt>
                <c:pt idx="1737">
                  <c:v>2.1070571716194921</c:v>
                </c:pt>
                <c:pt idx="1738">
                  <c:v>2.0934111107467204</c:v>
                </c:pt>
                <c:pt idx="1739">
                  <c:v>2.1050487504150794</c:v>
                </c:pt>
                <c:pt idx="1740">
                  <c:v>2.0737355887373754</c:v>
                </c:pt>
                <c:pt idx="1741">
                  <c:v>2.0853715144170897</c:v>
                </c:pt>
                <c:pt idx="1742">
                  <c:v>2.1202129023246346</c:v>
                </c:pt>
                <c:pt idx="1743">
                  <c:v>2.1066059849833287</c:v>
                </c:pt>
                <c:pt idx="1744">
                  <c:v>2.0778999945037842</c:v>
                </c:pt>
                <c:pt idx="1745">
                  <c:v>2.0492212622953421</c:v>
                </c:pt>
                <c:pt idx="1746">
                  <c:v>2.1388347286655294</c:v>
                </c:pt>
                <c:pt idx="1747">
                  <c:v>2.1332813530205281</c:v>
                </c:pt>
                <c:pt idx="1748">
                  <c:v>2.1322709045896477</c:v>
                </c:pt>
                <c:pt idx="1749">
                  <c:v>2.1889987656867391</c:v>
                </c:pt>
                <c:pt idx="1750">
                  <c:v>2.2481820700670645</c:v>
                </c:pt>
                <c:pt idx="1751">
                  <c:v>2.2997855536010681</c:v>
                </c:pt>
                <c:pt idx="1752">
                  <c:v>2.2414302608165055</c:v>
                </c:pt>
                <c:pt idx="1753">
                  <c:v>2.2227115050779984</c:v>
                </c:pt>
                <c:pt idx="1754">
                  <c:v>2.2166191694545145</c:v>
                </c:pt>
                <c:pt idx="1755">
                  <c:v>2.2407793207015834</c:v>
                </c:pt>
                <c:pt idx="1756">
                  <c:v>2.2145292243567853</c:v>
                </c:pt>
                <c:pt idx="1757">
                  <c:v>2.2239807623976136</c:v>
                </c:pt>
                <c:pt idx="1758">
                  <c:v>2.2707122922380023</c:v>
                </c:pt>
                <c:pt idx="1759">
                  <c:v>2.2344560518017058</c:v>
                </c:pt>
                <c:pt idx="1760">
                  <c:v>2.223356572369775</c:v>
                </c:pt>
                <c:pt idx="1761">
                  <c:v>2.2901112163503567</c:v>
                </c:pt>
                <c:pt idx="1762">
                  <c:v>2.2494087487788206</c:v>
                </c:pt>
                <c:pt idx="1763">
                  <c:v>2.2108846204255217</c:v>
                </c:pt>
                <c:pt idx="1764">
                  <c:v>2.2373186862087659</c:v>
                </c:pt>
                <c:pt idx="1765">
                  <c:v>2.2886864743861257</c:v>
                </c:pt>
                <c:pt idx="1766">
                  <c:v>2.2252511984425527</c:v>
                </c:pt>
                <c:pt idx="1767">
                  <c:v>2.1797890935419733</c:v>
                </c:pt>
                <c:pt idx="1768">
                  <c:v>2.1538731856011939</c:v>
                </c:pt>
                <c:pt idx="1769">
                  <c:v>2.2126028999030867</c:v>
                </c:pt>
                <c:pt idx="1770">
                  <c:v>2.3558600285434337</c:v>
                </c:pt>
                <c:pt idx="1771">
                  <c:v>2.2428690841430021</c:v>
                </c:pt>
                <c:pt idx="1772">
                  <c:v>2.2993367726166558</c:v>
                </c:pt>
                <c:pt idx="1773">
                  <c:v>2.2982689141449129</c:v>
                </c:pt>
                <c:pt idx="1774">
                  <c:v>2.2972020470828549</c:v>
                </c:pt>
                <c:pt idx="1775">
                  <c:v>2.2267065666364192</c:v>
                </c:pt>
                <c:pt idx="1776">
                  <c:v>2.2628510584935171</c:v>
                </c:pt>
                <c:pt idx="1777">
                  <c:v>2.2300066563401439</c:v>
                </c:pt>
                <c:pt idx="1778">
                  <c:v>2.2091832369119766</c:v>
                </c:pt>
                <c:pt idx="1779">
                  <c:v>2.282343387325604</c:v>
                </c:pt>
                <c:pt idx="1780">
                  <c:v>2.2862310351508661</c:v>
                </c:pt>
                <c:pt idx="1781">
                  <c:v>2.3419947185046768</c:v>
                </c:pt>
                <c:pt idx="1782">
                  <c:v>2.3782238871597303</c:v>
                </c:pt>
                <c:pt idx="1783">
                  <c:v>2.3795924257127306</c:v>
                </c:pt>
                <c:pt idx="1784">
                  <c:v>2.3760301787134308</c:v>
                </c:pt>
                <c:pt idx="1785">
                  <c:v>2.3182714582762265</c:v>
                </c:pt>
                <c:pt idx="1786">
                  <c:v>2.2654909465462278</c:v>
                </c:pt>
                <c:pt idx="1787">
                  <c:v>2.3164635740188642</c:v>
                </c:pt>
                <c:pt idx="1788">
                  <c:v>2.2711548755873938</c:v>
                </c:pt>
                <c:pt idx="1789">
                  <c:v>2.3143337103481287</c:v>
                </c:pt>
                <c:pt idx="1790">
                  <c:v>2.3108145456605045</c:v>
                </c:pt>
                <c:pt idx="1791">
                  <c:v>2.270480018784037</c:v>
                </c:pt>
                <c:pt idx="1792">
                  <c:v>2.2575510417698035</c:v>
                </c:pt>
                <c:pt idx="1793">
                  <c:v>2.2761166219585398</c:v>
                </c:pt>
                <c:pt idx="1794">
                  <c:v>2.2922162378789808</c:v>
                </c:pt>
                <c:pt idx="1795">
                  <c:v>2.3180924143465438</c:v>
                </c:pt>
                <c:pt idx="1796">
                  <c:v>2.3243712445091482</c:v>
                </c:pt>
                <c:pt idx="1797">
                  <c:v>2.3382865854289712</c:v>
                </c:pt>
                <c:pt idx="1798">
                  <c:v>2.3469869435913799</c:v>
                </c:pt>
                <c:pt idx="1799">
                  <c:v>2.3361504053915283</c:v>
                </c:pt>
                <c:pt idx="1800">
                  <c:v>2.4082838968051807</c:v>
                </c:pt>
                <c:pt idx="1801">
                  <c:v>2.3876737139538022</c:v>
                </c:pt>
                <c:pt idx="1802">
                  <c:v>2.3576181072366329</c:v>
                </c:pt>
                <c:pt idx="1803">
                  <c:v>2.2932485235442144</c:v>
                </c:pt>
                <c:pt idx="1804">
                  <c:v>2.3311377520301635</c:v>
                </c:pt>
                <c:pt idx="1805">
                  <c:v>2.3154834215536173</c:v>
                </c:pt>
                <c:pt idx="1806">
                  <c:v>2.3727770547396303</c:v>
                </c:pt>
                <c:pt idx="1807">
                  <c:v>2.3549763822542489</c:v>
                </c:pt>
                <c:pt idx="1808">
                  <c:v>2.2883858954910705</c:v>
                </c:pt>
                <c:pt idx="1809">
                  <c:v>2.3237313438867817</c:v>
                </c:pt>
                <c:pt idx="1810">
                  <c:v>2.3105545937238521</c:v>
                </c:pt>
                <c:pt idx="1811">
                  <c:v>2.3313174914370292</c:v>
                </c:pt>
                <c:pt idx="1812">
                  <c:v>2.2966887695107858</c:v>
                </c:pt>
                <c:pt idx="1813">
                  <c:v>2.2811350631040779</c:v>
                </c:pt>
                <c:pt idx="1814">
                  <c:v>2.2921926025824297</c:v>
                </c:pt>
                <c:pt idx="1815">
                  <c:v>2.2452361917890644</c:v>
                </c:pt>
                <c:pt idx="1816">
                  <c:v>2.2104009263820603</c:v>
                </c:pt>
                <c:pt idx="1817">
                  <c:v>2.2411819962372075</c:v>
                </c:pt>
                <c:pt idx="1818">
                  <c:v>2.2401707340080459</c:v>
                </c:pt>
                <c:pt idx="1819">
                  <c:v>2.2391603839672443</c:v>
                </c:pt>
                <c:pt idx="1820">
                  <c:v>2.1827392422629734</c:v>
                </c:pt>
                <c:pt idx="1821">
                  <c:v>2.1600826121850027</c:v>
                </c:pt>
                <c:pt idx="1822">
                  <c:v>2.2365271413817056</c:v>
                </c:pt>
                <c:pt idx="1823">
                  <c:v>2.2268725749032705</c:v>
                </c:pt>
                <c:pt idx="1824">
                  <c:v>2.1693708544443258</c:v>
                </c:pt>
                <c:pt idx="1825">
                  <c:v>2.1534492294831602</c:v>
                </c:pt>
                <c:pt idx="1826">
                  <c:v>2.1542875373632562</c:v>
                </c:pt>
                <c:pt idx="1827">
                  <c:v>2.2220242933791354</c:v>
                </c:pt>
                <c:pt idx="1828">
                  <c:v>2.335027021050136</c:v>
                </c:pt>
                <c:pt idx="1829">
                  <c:v>2.3276119266022013</c:v>
                </c:pt>
                <c:pt idx="1830">
                  <c:v>2.3497478612119647</c:v>
                </c:pt>
                <c:pt idx="1831">
                  <c:v>2.40277889207632</c:v>
                </c:pt>
                <c:pt idx="1832">
                  <c:v>2.3725289646366075</c:v>
                </c:pt>
                <c:pt idx="1833">
                  <c:v>2.4040874709156994</c:v>
                </c:pt>
                <c:pt idx="1834">
                  <c:v>2.4842693625913612</c:v>
                </c:pt>
                <c:pt idx="1835">
                  <c:v>2.4398565097270897</c:v>
                </c:pt>
                <c:pt idx="1836">
                  <c:v>2.4097096733217946</c:v>
                </c:pt>
                <c:pt idx="1837">
                  <c:v>2.3937983251345445</c:v>
                </c:pt>
                <c:pt idx="1838">
                  <c:v>2.4015469331522565</c:v>
                </c:pt>
                <c:pt idx="1839">
                  <c:v>2.3586834825610503</c:v>
                </c:pt>
                <c:pt idx="1840">
                  <c:v>2.3947191031556065</c:v>
                </c:pt>
                <c:pt idx="1841">
                  <c:v>2.3788862103648327</c:v>
                </c:pt>
                <c:pt idx="1842">
                  <c:v>2.3960270489220026</c:v>
                </c:pt>
                <c:pt idx="1843">
                  <c:v>2.4413674742319427</c:v>
                </c:pt>
                <c:pt idx="1844">
                  <c:v>2.4878177513685715</c:v>
                </c:pt>
                <c:pt idx="1845">
                  <c:v>2.4063167387923059</c:v>
                </c:pt>
                <c:pt idx="1846">
                  <c:v>2.4702391118278704</c:v>
                </c:pt>
                <c:pt idx="1847">
                  <c:v>2.4357061381328178</c:v>
                </c:pt>
                <c:pt idx="1848">
                  <c:v>2.3824989304275421</c:v>
                </c:pt>
                <c:pt idx="1849">
                  <c:v>2.5238320998354435</c:v>
                </c:pt>
                <c:pt idx="1850">
                  <c:v>2.512775234846663</c:v>
                </c:pt>
                <c:pt idx="1851">
                  <c:v>2.4831681029035551</c:v>
                </c:pt>
                <c:pt idx="1852">
                  <c:v>2.4118586741287285</c:v>
                </c:pt>
                <c:pt idx="1853">
                  <c:v>2.4379828302052036</c:v>
                </c:pt>
                <c:pt idx="1854">
                  <c:v>2.4375074024948886</c:v>
                </c:pt>
                <c:pt idx="1855">
                  <c:v>2.338746106936278</c:v>
                </c:pt>
                <c:pt idx="1856">
                  <c:v>2.3648302131860239</c:v>
                </c:pt>
                <c:pt idx="1857">
                  <c:v>2.5108834739230126</c:v>
                </c:pt>
                <c:pt idx="1858">
                  <c:v>2.5183620479103497</c:v>
                </c:pt>
                <c:pt idx="1859">
                  <c:v>2.4578854178057821</c:v>
                </c:pt>
                <c:pt idx="1860">
                  <c:v>2.4469816426584061</c:v>
                </c:pt>
                <c:pt idx="1861">
                  <c:v>2.4314965791804353</c:v>
                </c:pt>
                <c:pt idx="1862">
                  <c:v>2.4389990572142581</c:v>
                </c:pt>
                <c:pt idx="1863">
                  <c:v>2.4281309918677856</c:v>
                </c:pt>
                <c:pt idx="1864">
                  <c:v>2.4780663967654637</c:v>
                </c:pt>
                <c:pt idx="1865">
                  <c:v>2.4214276912044865</c:v>
                </c:pt>
                <c:pt idx="1866">
                  <c:v>2.3831639566839304</c:v>
                </c:pt>
                <c:pt idx="1867">
                  <c:v>2.4043767257667121</c:v>
                </c:pt>
                <c:pt idx="1868">
                  <c:v>2.375313263146237</c:v>
                </c:pt>
                <c:pt idx="1869">
                  <c:v>2.3658569382556283</c:v>
                </c:pt>
                <c:pt idx="1870">
                  <c:v>2.3778980240906944</c:v>
                </c:pt>
                <c:pt idx="1871">
                  <c:v>2.4445493822164366</c:v>
                </c:pt>
                <c:pt idx="1872">
                  <c:v>2.4519708628247976</c:v>
                </c:pt>
                <c:pt idx="1873">
                  <c:v>2.4093762473571454</c:v>
                </c:pt>
                <c:pt idx="1874">
                  <c:v>2.3862853086452098</c:v>
                </c:pt>
                <c:pt idx="1875">
                  <c:v>2.3937212512329813</c:v>
                </c:pt>
                <c:pt idx="1876">
                  <c:v>2.4192688992648548</c:v>
                </c:pt>
                <c:pt idx="1877">
                  <c:v>2.404035306844241</c:v>
                </c:pt>
                <c:pt idx="1878">
                  <c:v>2.4023953532354385</c:v>
                </c:pt>
                <c:pt idx="1879">
                  <c:v>2.3974888896588036</c:v>
                </c:pt>
                <c:pt idx="1880">
                  <c:v>2.3823219322895346</c:v>
                </c:pt>
                <c:pt idx="1881">
                  <c:v>2.3130687265796008</c:v>
                </c:pt>
                <c:pt idx="1882">
                  <c:v>2.3007390544648012</c:v>
                </c:pt>
                <c:pt idx="1883">
                  <c:v>2.3306153743511855</c:v>
                </c:pt>
                <c:pt idx="1884">
                  <c:v>2.3559637139885168</c:v>
                </c:pt>
                <c:pt idx="1885">
                  <c:v>2.3947313207663559</c:v>
                </c:pt>
                <c:pt idx="1886">
                  <c:v>2.3841501972705892</c:v>
                </c:pt>
                <c:pt idx="1887">
                  <c:v>2.3659097082606717</c:v>
                </c:pt>
                <c:pt idx="1888">
                  <c:v>2.3330295036805864</c:v>
                </c:pt>
                <c:pt idx="1889">
                  <c:v>2.3225255612402416</c:v>
                </c:pt>
                <c:pt idx="1890">
                  <c:v>2.3522062622236537</c:v>
                </c:pt>
                <c:pt idx="1891">
                  <c:v>2.5335002230943195</c:v>
                </c:pt>
                <c:pt idx="1892">
                  <c:v>2.528398930582993</c:v>
                </c:pt>
                <c:pt idx="1893">
                  <c:v>2.4955641156694326</c:v>
                </c:pt>
                <c:pt idx="1894">
                  <c:v>2.5561275409465165</c:v>
                </c:pt>
                <c:pt idx="1895">
                  <c:v>2.5410879861135536</c:v>
                </c:pt>
                <c:pt idx="1896">
                  <c:v>2.4994316387978599</c:v>
                </c:pt>
                <c:pt idx="1897">
                  <c:v>2.5336506454490642</c:v>
                </c:pt>
                <c:pt idx="1898">
                  <c:v>2.6070818851574642</c:v>
                </c:pt>
                <c:pt idx="1899">
                  <c:v>2.5533716492790544</c:v>
                </c:pt>
                <c:pt idx="1900">
                  <c:v>2.5208256973327243</c:v>
                </c:pt>
                <c:pt idx="1901">
                  <c:v>2.5455764183498837</c:v>
                </c:pt>
                <c:pt idx="1902">
                  <c:v>2.5130788347951496</c:v>
                </c:pt>
                <c:pt idx="1903">
                  <c:v>2.4982174343899812</c:v>
                </c:pt>
                <c:pt idx="1904">
                  <c:v>2.576658305492352</c:v>
                </c:pt>
                <c:pt idx="1905">
                  <c:v>2.5925006078759902</c:v>
                </c:pt>
                <c:pt idx="1906">
                  <c:v>2.6872291867155549</c:v>
                </c:pt>
                <c:pt idx="1907">
                  <c:v>2.7161200402196539</c:v>
                </c:pt>
                <c:pt idx="1908">
                  <c:v>2.714327123075901</c:v>
                </c:pt>
                <c:pt idx="1909">
                  <c:v>2.7745019621086855</c:v>
                </c:pt>
                <c:pt idx="1910">
                  <c:v>2.7028126444994114</c:v>
                </c:pt>
                <c:pt idx="1911">
                  <c:v>2.7010343807785158</c:v>
                </c:pt>
                <c:pt idx="1912">
                  <c:v>2.6730943993569389</c:v>
                </c:pt>
                <c:pt idx="1913">
                  <c:v>2.6408333240047939</c:v>
                </c:pt>
                <c:pt idx="1914">
                  <c:v>2.6791303336592405</c:v>
                </c:pt>
                <c:pt idx="1915">
                  <c:v>2.7164920680175868</c:v>
                </c:pt>
                <c:pt idx="1916">
                  <c:v>2.7364307017003804</c:v>
                </c:pt>
                <c:pt idx="1917">
                  <c:v>2.7476618402517574</c:v>
                </c:pt>
                <c:pt idx="1918">
                  <c:v>2.7111618388105128</c:v>
                </c:pt>
                <c:pt idx="1919">
                  <c:v>2.7274993062009933</c:v>
                </c:pt>
                <c:pt idx="1920">
                  <c:v>2.6867811613776023</c:v>
                </c:pt>
                <c:pt idx="1921">
                  <c:v>2.6763821408842645</c:v>
                </c:pt>
                <c:pt idx="1922">
                  <c:v>2.661675768118049</c:v>
                </c:pt>
                <c:pt idx="1923">
                  <c:v>2.6599428122566242</c:v>
                </c:pt>
                <c:pt idx="1924">
                  <c:v>2.5607364859055135</c:v>
                </c:pt>
                <c:pt idx="1925">
                  <c:v>2.61969792225594</c:v>
                </c:pt>
                <c:pt idx="1926">
                  <c:v>2.6794392905215534</c:v>
                </c:pt>
                <c:pt idx="1927">
                  <c:v>2.6863449394686447</c:v>
                </c:pt>
                <c:pt idx="1928">
                  <c:v>2.6457646493618148</c:v>
                </c:pt>
                <c:pt idx="1929">
                  <c:v>2.5577903927528456</c:v>
                </c:pt>
                <c:pt idx="1930">
                  <c:v>2.5001033181542658</c:v>
                </c:pt>
                <c:pt idx="1931">
                  <c:v>2.3662076263138241</c:v>
                </c:pt>
                <c:pt idx="1932">
                  <c:v>2.2915946283238346</c:v>
                </c:pt>
                <c:pt idx="1933">
                  <c:v>2.3502741232740507</c:v>
                </c:pt>
                <c:pt idx="1934">
                  <c:v>2.4818744994768256</c:v>
                </c:pt>
                <c:pt idx="1935">
                  <c:v>2.5918501102820612</c:v>
                </c:pt>
                <c:pt idx="1936">
                  <c:v>2.5868655168352448</c:v>
                </c:pt>
                <c:pt idx="1937">
                  <c:v>2.623729558407585</c:v>
                </c:pt>
                <c:pt idx="1938">
                  <c:v>2.4466761072852883</c:v>
                </c:pt>
                <c:pt idx="1939">
                  <c:v>2.4536599899627416</c:v>
                </c:pt>
                <c:pt idx="1940">
                  <c:v>2.4990823623268557</c:v>
                </c:pt>
                <c:pt idx="1941">
                  <c:v>2.4516600822934911</c:v>
                </c:pt>
                <c:pt idx="1942">
                  <c:v>2.4714016268918639</c:v>
                </c:pt>
                <c:pt idx="1943">
                  <c:v>2.4826013629062249</c:v>
                </c:pt>
                <c:pt idx="1944">
                  <c:v>2.6342219255610826</c:v>
                </c:pt>
                <c:pt idx="1945">
                  <c:v>2.5942689568871806</c:v>
                </c:pt>
                <c:pt idx="1946">
                  <c:v>2.6275272332622133</c:v>
                </c:pt>
                <c:pt idx="1947">
                  <c:v>2.6216167753745037</c:v>
                </c:pt>
                <c:pt idx="1948">
                  <c:v>2.6665866966194587</c:v>
                </c:pt>
                <c:pt idx="1949">
                  <c:v>2.5971081939686749</c:v>
                </c:pt>
                <c:pt idx="1950">
                  <c:v>2.6081643836235751</c:v>
                </c:pt>
                <c:pt idx="1951">
                  <c:v>2.5947630472842675</c:v>
                </c:pt>
                <c:pt idx="1952">
                  <c:v>2.6353560520155441</c:v>
                </c:pt>
                <c:pt idx="1953">
                  <c:v>2.6716771089350742</c:v>
                </c:pt>
                <c:pt idx="1954">
                  <c:v>2.7037343092788468</c:v>
                </c:pt>
                <c:pt idx="1955">
                  <c:v>2.6809517289759173</c:v>
                </c:pt>
                <c:pt idx="1956">
                  <c:v>2.6043614196319917</c:v>
                </c:pt>
                <c:pt idx="1957">
                  <c:v>2.5354468026366139</c:v>
                </c:pt>
                <c:pt idx="1958">
                  <c:v>2.596883245140083</c:v>
                </c:pt>
                <c:pt idx="1959">
                  <c:v>2.6414447130026262</c:v>
                </c:pt>
                <c:pt idx="1960">
                  <c:v>2.6313918328305324</c:v>
                </c:pt>
                <c:pt idx="1961">
                  <c:v>2.6473867633938934</c:v>
                </c:pt>
                <c:pt idx="1962">
                  <c:v>2.6122376863809986</c:v>
                </c:pt>
                <c:pt idx="1963">
                  <c:v>2.5269287481339431</c:v>
                </c:pt>
                <c:pt idx="1964">
                  <c:v>2.5880629386492808</c:v>
                </c:pt>
                <c:pt idx="1965">
                  <c:v>2.5321247945546941</c:v>
                </c:pt>
                <c:pt idx="1966">
                  <c:v>2.6191359099313112</c:v>
                </c:pt>
                <c:pt idx="1967">
                  <c:v>2.6133339318848701</c:v>
                </c:pt>
                <c:pt idx="1968">
                  <c:v>2.6117045866658066</c:v>
                </c:pt>
                <c:pt idx="1969">
                  <c:v>2.6683565092197568</c:v>
                </c:pt>
                <c:pt idx="1970">
                  <c:v>2.7457389302748516</c:v>
                </c:pt>
                <c:pt idx="1971">
                  <c:v>2.6783324015258776</c:v>
                </c:pt>
                <c:pt idx="1972">
                  <c:v>2.5978211481711884</c:v>
                </c:pt>
                <c:pt idx="1973">
                  <c:v>2.538146341604226</c:v>
                </c:pt>
                <c:pt idx="1974">
                  <c:v>2.5945978783553341</c:v>
                </c:pt>
                <c:pt idx="1975">
                  <c:v>2.5722784643775691</c:v>
                </c:pt>
                <c:pt idx="1976">
                  <c:v>2.6129820669044665</c:v>
                </c:pt>
                <c:pt idx="1977">
                  <c:v>2.5617831397468116</c:v>
                </c:pt>
                <c:pt idx="1978">
                  <c:v>2.5230355658679566</c:v>
                </c:pt>
                <c:pt idx="1979">
                  <c:v>2.5462379168363132</c:v>
                </c:pt>
                <c:pt idx="1980">
                  <c:v>2.5817843900957604</c:v>
                </c:pt>
                <c:pt idx="1981">
                  <c:v>2.5317289435854917</c:v>
                </c:pt>
                <c:pt idx="1982">
                  <c:v>2.5260558197538359</c:v>
                </c:pt>
                <c:pt idx="1983">
                  <c:v>2.499831850865641</c:v>
                </c:pt>
                <c:pt idx="1984">
                  <c:v>2.5352756910822558</c:v>
                </c:pt>
                <c:pt idx="1985">
                  <c:v>2.5090782927416928</c:v>
                </c:pt>
                <c:pt idx="1986">
                  <c:v>2.5577465066499041</c:v>
                </c:pt>
                <c:pt idx="1987">
                  <c:v>2.5438889006026635</c:v>
                </c:pt>
                <c:pt idx="1988">
                  <c:v>2.5587057825476403</c:v>
                </c:pt>
                <c:pt idx="1989">
                  <c:v>2.5407731397407081</c:v>
                </c:pt>
                <c:pt idx="1990">
                  <c:v>2.5269513654997651</c:v>
                </c:pt>
                <c:pt idx="1991">
                  <c:v>2.5572667598067738</c:v>
                </c:pt>
                <c:pt idx="1992">
                  <c:v>2.5474877649780758</c:v>
                </c:pt>
                <c:pt idx="1993">
                  <c:v>2.5336143594551719</c:v>
                </c:pt>
                <c:pt idx="1994">
                  <c:v>2.575034584995878</c:v>
                </c:pt>
                <c:pt idx="1995">
                  <c:v>2.5611950374882029</c:v>
                </c:pt>
                <c:pt idx="1996">
                  <c:v>2.5432834266999222</c:v>
                </c:pt>
                <c:pt idx="1997">
                  <c:v>2.4191472362792146</c:v>
                </c:pt>
                <c:pt idx="1998">
                  <c:v>2.4871058324811637</c:v>
                </c:pt>
                <c:pt idx="1999">
                  <c:v>2.5437337792926513</c:v>
                </c:pt>
                <c:pt idx="2000">
                  <c:v>2.4827847615299738</c:v>
                </c:pt>
                <c:pt idx="2001">
                  <c:v>2.4691258514268144</c:v>
                </c:pt>
                <c:pt idx="2002">
                  <c:v>2.4514314359728258</c:v>
                </c:pt>
                <c:pt idx="2003">
                  <c:v>2.5309466664989677</c:v>
                </c:pt>
                <c:pt idx="2004">
                  <c:v>2.5263861739472864</c:v>
                </c:pt>
                <c:pt idx="2005">
                  <c:v>2.6501031949260572</c:v>
                </c:pt>
                <c:pt idx="2006">
                  <c:v>2.6323638996932277</c:v>
                </c:pt>
                <c:pt idx="2007">
                  <c:v>2.6590302963902608</c:v>
                </c:pt>
                <c:pt idx="2008">
                  <c:v>2.6775996772834092</c:v>
                </c:pt>
                <c:pt idx="2009">
                  <c:v>2.709022777008228</c:v>
                </c:pt>
                <c:pt idx="2010">
                  <c:v>2.6993576604180864</c:v>
                </c:pt>
                <c:pt idx="2011">
                  <c:v>2.6374377939878366</c:v>
                </c:pt>
                <c:pt idx="2012">
                  <c:v>2.6077365376726727</c:v>
                </c:pt>
                <c:pt idx="2013">
                  <c:v>2.610196218061378</c:v>
                </c:pt>
                <c:pt idx="2014">
                  <c:v>2.6335917227190428</c:v>
                </c:pt>
                <c:pt idx="2015">
                  <c:v>2.5879566574007802</c:v>
                </c:pt>
                <c:pt idx="2016">
                  <c:v>2.6184469795343461</c:v>
                </c:pt>
                <c:pt idx="2017">
                  <c:v>2.6128887951724251</c:v>
                </c:pt>
                <c:pt idx="2018">
                  <c:v>2.6233331500708528</c:v>
                </c:pt>
                <c:pt idx="2019">
                  <c:v>2.5747545244502676</c:v>
                </c:pt>
                <c:pt idx="2020">
                  <c:v>2.5732282163671591</c:v>
                </c:pt>
                <c:pt idx="2021">
                  <c:v>2.5637294417044085</c:v>
                </c:pt>
                <c:pt idx="2022">
                  <c:v>2.5582266921847836</c:v>
                </c:pt>
                <c:pt idx="2023">
                  <c:v>2.5885722243765414</c:v>
                </c:pt>
                <c:pt idx="2024">
                  <c:v>2.5919357656605002</c:v>
                </c:pt>
                <c:pt idx="2025">
                  <c:v>2.5506754744603959</c:v>
                </c:pt>
                <c:pt idx="2026">
                  <c:v>2.5531412478542066</c:v>
                </c:pt>
                <c:pt idx="2027">
                  <c:v>2.5595724427220339</c:v>
                </c:pt>
                <c:pt idx="2028">
                  <c:v>2.5580640760990963</c:v>
                </c:pt>
                <c:pt idx="2029">
                  <c:v>2.707950298988445</c:v>
                </c:pt>
                <c:pt idx="2030">
                  <c:v>2.730098230105785</c:v>
                </c:pt>
                <c:pt idx="2031">
                  <c:v>2.7205854199916475</c:v>
                </c:pt>
                <c:pt idx="2032">
                  <c:v>2.6913236963741554</c:v>
                </c:pt>
                <c:pt idx="2033">
                  <c:v>2.6936939016061787</c:v>
                </c:pt>
                <c:pt idx="2034">
                  <c:v>2.6692458063047648</c:v>
                </c:pt>
                <c:pt idx="2035">
                  <c:v>2.6834447296512951</c:v>
                </c:pt>
                <c:pt idx="2036">
                  <c:v>2.673998185595829</c:v>
                </c:pt>
                <c:pt idx="2037">
                  <c:v>2.660626852129786</c:v>
                </c:pt>
                <c:pt idx="2038">
                  <c:v>2.6787394541661453</c:v>
                </c:pt>
                <c:pt idx="2039">
                  <c:v>2.6819039565671186</c:v>
                </c:pt>
                <c:pt idx="2040">
                  <c:v>2.6293233661416879</c:v>
                </c:pt>
                <c:pt idx="2041">
                  <c:v>2.6983884235394822</c:v>
                </c:pt>
                <c:pt idx="2042">
                  <c:v>2.6772178165316056</c:v>
                </c:pt>
                <c:pt idx="2043">
                  <c:v>2.644319326024164</c:v>
                </c:pt>
                <c:pt idx="2044">
                  <c:v>2.6240668743112385</c:v>
                </c:pt>
                <c:pt idx="2045">
                  <c:v>2.6225429521932337</c:v>
                </c:pt>
                <c:pt idx="2046">
                  <c:v>2.6288330816385326</c:v>
                </c:pt>
                <c:pt idx="2047">
                  <c:v>2.5726539067562899</c:v>
                </c:pt>
                <c:pt idx="2048">
                  <c:v>2.5984737265387499</c:v>
                </c:pt>
                <c:pt idx="2049">
                  <c:v>2.5394345344287319</c:v>
                </c:pt>
                <c:pt idx="2050">
                  <c:v>2.5963545156252001</c:v>
                </c:pt>
                <c:pt idx="2051">
                  <c:v>2.6259763429446714</c:v>
                </c:pt>
                <c:pt idx="2052">
                  <c:v>2.6011307148020237</c:v>
                </c:pt>
                <c:pt idx="2053">
                  <c:v>2.5724279353391997</c:v>
                </c:pt>
                <c:pt idx="2054">
                  <c:v>2.571858842905117</c:v>
                </c:pt>
                <c:pt idx="2055">
                  <c:v>2.6130230632632845</c:v>
                </c:pt>
                <c:pt idx="2056">
                  <c:v>2.6115186600109324</c:v>
                </c:pt>
                <c:pt idx="2057">
                  <c:v>2.6100159880306166</c:v>
                </c:pt>
                <c:pt idx="2058">
                  <c:v>2.6356064468731351</c:v>
                </c:pt>
                <c:pt idx="2059">
                  <c:v>2.6465214375957169</c:v>
                </c:pt>
                <c:pt idx="2060">
                  <c:v>2.683616175924652</c:v>
                </c:pt>
                <c:pt idx="2061">
                  <c:v>2.6230424892546296</c:v>
                </c:pt>
                <c:pt idx="2062">
                  <c:v>2.6411738537316438</c:v>
                </c:pt>
                <c:pt idx="2063">
                  <c:v>2.6069073690591358</c:v>
                </c:pt>
                <c:pt idx="2064">
                  <c:v>2.5826751750843502</c:v>
                </c:pt>
                <c:pt idx="2065">
                  <c:v>2.5507695034311539</c:v>
                </c:pt>
                <c:pt idx="2066">
                  <c:v>2.5035091242429628</c:v>
                </c:pt>
                <c:pt idx="2067">
                  <c:v>2.5985164529806513</c:v>
                </c:pt>
                <c:pt idx="2068">
                  <c:v>2.7486791470555847</c:v>
                </c:pt>
                <c:pt idx="2069">
                  <c:v>2.8203907351145583</c:v>
                </c:pt>
                <c:pt idx="2070">
                  <c:v>2.7616296315473776</c:v>
                </c:pt>
                <c:pt idx="2071">
                  <c:v>2.7987678538647973</c:v>
                </c:pt>
                <c:pt idx="2072">
                  <c:v>2.7630608109745904</c:v>
                </c:pt>
                <c:pt idx="2073">
                  <c:v>2.8015619894896302</c:v>
                </c:pt>
                <c:pt idx="2074">
                  <c:v>2.7850437646404487</c:v>
                </c:pt>
                <c:pt idx="2075">
                  <c:v>2.799131471091536</c:v>
                </c:pt>
                <c:pt idx="2076">
                  <c:v>2.809384668868578</c:v>
                </c:pt>
                <c:pt idx="2077">
                  <c:v>2.6820861020793814</c:v>
                </c:pt>
                <c:pt idx="2078">
                  <c:v>2.560317453429835</c:v>
                </c:pt>
                <c:pt idx="2079">
                  <c:v>2.5782798413110779</c:v>
                </c:pt>
                <c:pt idx="2080">
                  <c:v>2.6800989209144839</c:v>
                </c:pt>
                <c:pt idx="2081">
                  <c:v>2.6865618222819374</c:v>
                </c:pt>
                <c:pt idx="2082">
                  <c:v>2.5823632602972046</c:v>
                </c:pt>
                <c:pt idx="2083">
                  <c:v>2.5828228960891986</c:v>
                </c:pt>
                <c:pt idx="2084">
                  <c:v>2.6196227620242474</c:v>
                </c:pt>
                <c:pt idx="2085">
                  <c:v>2.6563909901300744</c:v>
                </c:pt>
                <c:pt idx="2086">
                  <c:v>2.6741886083817428</c:v>
                </c:pt>
                <c:pt idx="2087">
                  <c:v>2.6351783028510249</c:v>
                </c:pt>
                <c:pt idx="2088">
                  <c:v>2.658256416339702</c:v>
                </c:pt>
                <c:pt idx="2089">
                  <c:v>2.6495573042420935</c:v>
                </c:pt>
                <c:pt idx="2090">
                  <c:v>2.6333095236785704</c:v>
                </c:pt>
                <c:pt idx="2091">
                  <c:v>2.5944170001377351</c:v>
                </c:pt>
                <c:pt idx="2092">
                  <c:v>2.5442333040964975</c:v>
                </c:pt>
                <c:pt idx="2093">
                  <c:v>2.5258891883097196</c:v>
                </c:pt>
                <c:pt idx="2094">
                  <c:v>2.4720522228852526</c:v>
                </c:pt>
                <c:pt idx="2095">
                  <c:v>2.5124303180599146</c:v>
                </c:pt>
                <c:pt idx="2096">
                  <c:v>2.5151223887413208</c:v>
                </c:pt>
                <c:pt idx="2097">
                  <c:v>2.5027579774640389</c:v>
                </c:pt>
                <c:pt idx="2098">
                  <c:v>2.4506930801532918</c:v>
                </c:pt>
                <c:pt idx="2099">
                  <c:v>2.4383772074076795</c:v>
                </c:pt>
                <c:pt idx="2100">
                  <c:v>2.3960275950537979</c:v>
                </c:pt>
                <c:pt idx="2101">
                  <c:v>2.4400544385244469</c:v>
                </c:pt>
                <c:pt idx="2102">
                  <c:v>2.3602168446316591</c:v>
                </c:pt>
                <c:pt idx="2103">
                  <c:v>2.3122362156933014</c:v>
                </c:pt>
                <c:pt idx="2104">
                  <c:v>2.3037617655345817</c:v>
                </c:pt>
                <c:pt idx="2105">
                  <c:v>2.2391290695498296</c:v>
                </c:pt>
                <c:pt idx="2106">
                  <c:v>2.1895223488416695</c:v>
                </c:pt>
                <c:pt idx="2107">
                  <c:v>2.1362165485248217</c:v>
                </c:pt>
                <c:pt idx="2108">
                  <c:v>2.2343837858244542</c:v>
                </c:pt>
                <c:pt idx="2109">
                  <c:v>2.1960886944237616</c:v>
                </c:pt>
                <c:pt idx="2110">
                  <c:v>2.1951586687623155</c:v>
                </c:pt>
                <c:pt idx="2111">
                  <c:v>2.1643759688447539</c:v>
                </c:pt>
                <c:pt idx="2112">
                  <c:v>2.2194117045248754</c:v>
                </c:pt>
                <c:pt idx="2113">
                  <c:v>2.3693383174606328</c:v>
                </c:pt>
                <c:pt idx="2114">
                  <c:v>2.2938614441973812</c:v>
                </c:pt>
                <c:pt idx="2115">
                  <c:v>2.3785041440876804</c:v>
                </c:pt>
                <c:pt idx="2116">
                  <c:v>2.3551763218580457</c:v>
                </c:pt>
                <c:pt idx="2117">
                  <c:v>2.4062499431120741</c:v>
                </c:pt>
                <c:pt idx="2118">
                  <c:v>2.4403521875510017</c:v>
                </c:pt>
                <c:pt idx="2119">
                  <c:v>2.4393243767944517</c:v>
                </c:pt>
                <c:pt idx="2120">
                  <c:v>2.4568537284889191</c:v>
                </c:pt>
                <c:pt idx="2121">
                  <c:v>2.5263040938070427</c:v>
                </c:pt>
                <c:pt idx="2122">
                  <c:v>2.5474902482488342</c:v>
                </c:pt>
                <c:pt idx="2123">
                  <c:v>2.498788224524219</c:v>
                </c:pt>
                <c:pt idx="2124">
                  <c:v>2.5680460730584764</c:v>
                </c:pt>
                <c:pt idx="2125">
                  <c:v>2.500390130009992</c:v>
                </c:pt>
                <c:pt idx="2126">
                  <c:v>2.5215249536364048</c:v>
                </c:pt>
                <c:pt idx="2127">
                  <c:v>2.5146637025819176</c:v>
                </c:pt>
                <c:pt idx="2128">
                  <c:v>2.4287164578867872</c:v>
                </c:pt>
                <c:pt idx="2129">
                  <c:v>2.4941112149180351</c:v>
                </c:pt>
                <c:pt idx="2130">
                  <c:v>2.5115076442246442</c:v>
                </c:pt>
                <c:pt idx="2131">
                  <c:v>2.5104573845019367</c:v>
                </c:pt>
                <c:pt idx="2132">
                  <c:v>2.5073118690888005</c:v>
                </c:pt>
                <c:pt idx="2133">
                  <c:v>2.5541086486376643</c:v>
                </c:pt>
                <c:pt idx="2134">
                  <c:v>2.486825554158564</c:v>
                </c:pt>
                <c:pt idx="2135">
                  <c:v>2.5152058307744212</c:v>
                </c:pt>
                <c:pt idx="2136">
                  <c:v>2.4810760800633775</c:v>
                </c:pt>
                <c:pt idx="2137">
                  <c:v>2.4375946021698254</c:v>
                </c:pt>
                <c:pt idx="2138">
                  <c:v>2.4255712746282678</c:v>
                </c:pt>
                <c:pt idx="2139">
                  <c:v>2.3732097194314745</c:v>
                </c:pt>
                <c:pt idx="2140">
                  <c:v>2.4561323557368402</c:v>
                </c:pt>
                <c:pt idx="2141">
                  <c:v>2.4551129262678706</c:v>
                </c:pt>
                <c:pt idx="2142">
                  <c:v>2.3955764447977645</c:v>
                </c:pt>
                <c:pt idx="2143">
                  <c:v>2.2849074179756865</c:v>
                </c:pt>
                <c:pt idx="2144">
                  <c:v>2.2656885537478071</c:v>
                </c:pt>
                <c:pt idx="2145">
                  <c:v>2.3358703559433582</c:v>
                </c:pt>
                <c:pt idx="2146">
                  <c:v>2.3932762417031923</c:v>
                </c:pt>
                <c:pt idx="2147">
                  <c:v>2.406873299280301</c:v>
                </c:pt>
                <c:pt idx="2148">
                  <c:v>2.3985874933355005</c:v>
                </c:pt>
                <c:pt idx="2149">
                  <c:v>2.3866647740735436</c:v>
                </c:pt>
                <c:pt idx="2150">
                  <c:v>2.3727911822500567</c:v>
                </c:pt>
                <c:pt idx="2151">
                  <c:v>2.3354345483612704</c:v>
                </c:pt>
                <c:pt idx="2152">
                  <c:v>2.3199262206711242</c:v>
                </c:pt>
                <c:pt idx="2153">
                  <c:v>2.3843951532673988</c:v>
                </c:pt>
                <c:pt idx="2154">
                  <c:v>2.3906789339950913</c:v>
                </c:pt>
                <c:pt idx="2155">
                  <c:v>2.369582833469059</c:v>
                </c:pt>
                <c:pt idx="2156">
                  <c:v>2.4266441577336622</c:v>
                </c:pt>
                <c:pt idx="2157">
                  <c:v>2.443774975602155</c:v>
                </c:pt>
                <c:pt idx="2158">
                  <c:v>2.3992788075907234</c:v>
                </c:pt>
                <c:pt idx="2159">
                  <c:v>2.4308979865048936</c:v>
                </c:pt>
                <c:pt idx="2160">
                  <c:v>2.4775444722698321</c:v>
                </c:pt>
                <c:pt idx="2161">
                  <c:v>2.4222978372197241</c:v>
                </c:pt>
                <c:pt idx="2162">
                  <c:v>2.4176582711119687</c:v>
                </c:pt>
                <c:pt idx="2163">
                  <c:v>2.4604081469856944</c:v>
                </c:pt>
                <c:pt idx="2164">
                  <c:v>2.4537465926020472</c:v>
                </c:pt>
                <c:pt idx="2165">
                  <c:v>2.5218853356840158</c:v>
                </c:pt>
                <c:pt idx="2166">
                  <c:v>2.4772028729957247</c:v>
                </c:pt>
                <c:pt idx="2167">
                  <c:v>2.4870985760898008</c:v>
                </c:pt>
                <c:pt idx="2168">
                  <c:v>2.5042554387711857</c:v>
                </c:pt>
                <c:pt idx="2169">
                  <c:v>2.4358462852483709</c:v>
                </c:pt>
                <c:pt idx="2170">
                  <c:v>2.3949369815085992</c:v>
                </c:pt>
                <c:pt idx="2171">
                  <c:v>2.4157236573975949</c:v>
                </c:pt>
                <c:pt idx="2172">
                  <c:v>2.4111132480849853</c:v>
                </c:pt>
                <c:pt idx="2173">
                  <c:v>2.4463734218808035</c:v>
                </c:pt>
                <c:pt idx="2174">
                  <c:v>2.4216677929198642</c:v>
                </c:pt>
                <c:pt idx="2175">
                  <c:v>2.420682702588334</c:v>
                </c:pt>
                <c:pt idx="2176">
                  <c:v>2.4522504099568705</c:v>
                </c:pt>
                <c:pt idx="2177">
                  <c:v>2.4729462006005551</c:v>
                </c:pt>
                <c:pt idx="2178">
                  <c:v>2.4538717296158357</c:v>
                </c:pt>
                <c:pt idx="2179">
                  <c:v>2.4544939997230797</c:v>
                </c:pt>
                <c:pt idx="2180">
                  <c:v>2.453498391256447</c:v>
                </c:pt>
                <c:pt idx="2181">
                  <c:v>2.4452903442998219</c:v>
                </c:pt>
                <c:pt idx="2182">
                  <c:v>2.4118528225644336</c:v>
                </c:pt>
                <c:pt idx="2183">
                  <c:v>2.4144794001396299</c:v>
                </c:pt>
                <c:pt idx="2184">
                  <c:v>2.4763362685592067</c:v>
                </c:pt>
                <c:pt idx="2185">
                  <c:v>2.453747423547969</c:v>
                </c:pt>
                <c:pt idx="2186">
                  <c:v>2.4060019363900826</c:v>
                </c:pt>
                <c:pt idx="2187">
                  <c:v>2.4194093952625124</c:v>
                </c:pt>
                <c:pt idx="2188">
                  <c:v>2.4543670790229344</c:v>
                </c:pt>
                <c:pt idx="2189">
                  <c:v>2.4406285955183336</c:v>
                </c:pt>
                <c:pt idx="2190">
                  <c:v>2.4324687772616218</c:v>
                </c:pt>
                <c:pt idx="2191">
                  <c:v>2.4350743354222626</c:v>
                </c:pt>
                <c:pt idx="2192">
                  <c:v>2.4376777934445935</c:v>
                </c:pt>
                <c:pt idx="2193">
                  <c:v>2.4223622731481758</c:v>
                </c:pt>
                <c:pt idx="2194">
                  <c:v>2.4087011172153256</c:v>
                </c:pt>
                <c:pt idx="2195">
                  <c:v>2.4435084477780258</c:v>
                </c:pt>
                <c:pt idx="2196">
                  <c:v>2.4639830990964842</c:v>
                </c:pt>
                <c:pt idx="2197">
                  <c:v>2.5166139148831244</c:v>
                </c:pt>
                <c:pt idx="2198">
                  <c:v>2.4977364524659951</c:v>
                </c:pt>
                <c:pt idx="2199">
                  <c:v>2.4840229379201655</c:v>
                </c:pt>
                <c:pt idx="2200">
                  <c:v>2.4544861305215271</c:v>
                </c:pt>
                <c:pt idx="2201">
                  <c:v>2.4535021005646742</c:v>
                </c:pt>
                <c:pt idx="2202">
                  <c:v>2.4489541516637212</c:v>
                </c:pt>
                <c:pt idx="2203">
                  <c:v>2.4123403295482762</c:v>
                </c:pt>
                <c:pt idx="2204">
                  <c:v>2.4236807444192139</c:v>
                </c:pt>
                <c:pt idx="2205">
                  <c:v>2.4440568712644599</c:v>
                </c:pt>
                <c:pt idx="2206">
                  <c:v>2.4288551371875968</c:v>
                </c:pt>
                <c:pt idx="2207">
                  <c:v>2.3923371389059152</c:v>
                </c:pt>
                <c:pt idx="2208">
                  <c:v>2.3949347890903119</c:v>
                </c:pt>
                <c:pt idx="2209">
                  <c:v>2.4488531146721426</c:v>
                </c:pt>
                <c:pt idx="2210">
                  <c:v>2.4656146683833375</c:v>
                </c:pt>
                <c:pt idx="2211">
                  <c:v>2.4965477879456919</c:v>
                </c:pt>
                <c:pt idx="2212">
                  <c:v>2.4459254060612521</c:v>
                </c:pt>
                <c:pt idx="2213">
                  <c:v>2.3847131335933556</c:v>
                </c:pt>
                <c:pt idx="2214">
                  <c:v>2.3712491112045417</c:v>
                </c:pt>
                <c:pt idx="2215">
                  <c:v>2.3596927033148147</c:v>
                </c:pt>
                <c:pt idx="2216">
                  <c:v>2.3587545752836201</c:v>
                </c:pt>
                <c:pt idx="2217">
                  <c:v>2.3613521511973614</c:v>
                </c:pt>
                <c:pt idx="2218">
                  <c:v>2.3180114606228051</c:v>
                </c:pt>
                <c:pt idx="2219">
                  <c:v>2.2799587943420971</c:v>
                </c:pt>
                <c:pt idx="2220">
                  <c:v>2.2402470926954474</c:v>
                </c:pt>
                <c:pt idx="2221">
                  <c:v>2.264044770024813</c:v>
                </c:pt>
                <c:pt idx="2222">
                  <c:v>2.1503426609389238</c:v>
                </c:pt>
                <c:pt idx="2223">
                  <c:v>2.2023471422696539</c:v>
                </c:pt>
                <c:pt idx="2224">
                  <c:v>2.1610175958096813</c:v>
                </c:pt>
                <c:pt idx="2225">
                  <c:v>2.1496083295582036</c:v>
                </c:pt>
                <c:pt idx="2226">
                  <c:v>2.2401949836993373</c:v>
                </c:pt>
                <c:pt idx="2227">
                  <c:v>2.2147018450263114</c:v>
                </c:pt>
                <c:pt idx="2228">
                  <c:v>2.2103129144756894</c:v>
                </c:pt>
                <c:pt idx="2229">
                  <c:v>2.2068256821796353</c:v>
                </c:pt>
                <c:pt idx="2230">
                  <c:v>2.1498422549404186</c:v>
                </c:pt>
                <c:pt idx="2231">
                  <c:v>2.1735348764369533</c:v>
                </c:pt>
                <c:pt idx="2232">
                  <c:v>2.1726785878616339</c:v>
                </c:pt>
                <c:pt idx="2233">
                  <c:v>2.1456124810422885</c:v>
                </c:pt>
                <c:pt idx="2234">
                  <c:v>2.1253508638988579</c:v>
                </c:pt>
                <c:pt idx="2235">
                  <c:v>2.0927533488367542</c:v>
                </c:pt>
                <c:pt idx="2236">
                  <c:v>2.1765958207053502</c:v>
                </c:pt>
                <c:pt idx="2237">
                  <c:v>2.1404774643007594</c:v>
                </c:pt>
                <c:pt idx="2238">
                  <c:v>2.1133024012205062</c:v>
                </c:pt>
                <c:pt idx="2239">
                  <c:v>2.0948694890117632</c:v>
                </c:pt>
                <c:pt idx="2240">
                  <c:v>2.1151645259921703</c:v>
                </c:pt>
                <c:pt idx="2241">
                  <c:v>2.1178535081190675</c:v>
                </c:pt>
                <c:pt idx="2242">
                  <c:v>2.099440478847828</c:v>
                </c:pt>
                <c:pt idx="2243">
                  <c:v>2.0759005590356208</c:v>
                </c:pt>
                <c:pt idx="2244">
                  <c:v>2.0259324206084144</c:v>
                </c:pt>
                <c:pt idx="2245">
                  <c:v>2.0266124371315009</c:v>
                </c:pt>
                <c:pt idx="2246">
                  <c:v>2.0398177525974854</c:v>
                </c:pt>
                <c:pt idx="2247">
                  <c:v>2.0215355792191319</c:v>
                </c:pt>
                <c:pt idx="2248">
                  <c:v>1.9423207671691658</c:v>
                </c:pt>
                <c:pt idx="2249">
                  <c:v>1.9520411652373788</c:v>
                </c:pt>
                <c:pt idx="2250">
                  <c:v>1.9512820062227574</c:v>
                </c:pt>
                <c:pt idx="2251">
                  <c:v>1.8528228001636387</c:v>
                </c:pt>
                <c:pt idx="2252">
                  <c:v>1.9183738855889223</c:v>
                </c:pt>
                <c:pt idx="2253">
                  <c:v>1.9091722505377777</c:v>
                </c:pt>
                <c:pt idx="2254">
                  <c:v>1.8910187958827822</c:v>
                </c:pt>
                <c:pt idx="2255">
                  <c:v>1.9459843817238249</c:v>
                </c:pt>
                <c:pt idx="2256">
                  <c:v>1.9139113757349215</c:v>
                </c:pt>
                <c:pt idx="2257">
                  <c:v>1.9062126612571886</c:v>
                </c:pt>
                <c:pt idx="2258">
                  <c:v>1.8866267304722946</c:v>
                </c:pt>
                <c:pt idx="2259">
                  <c:v>1.8893698085920554</c:v>
                </c:pt>
                <c:pt idx="2260">
                  <c:v>1.9997354136704144</c:v>
                </c:pt>
                <c:pt idx="2261">
                  <c:v>2.0406072627984222</c:v>
                </c:pt>
                <c:pt idx="2262">
                  <c:v>2.0779784387710931</c:v>
                </c:pt>
                <c:pt idx="2263">
                  <c:v>2.0443862586829558</c:v>
                </c:pt>
                <c:pt idx="2264">
                  <c:v>2.1059443595668643</c:v>
                </c:pt>
                <c:pt idx="2265">
                  <c:v>2.0878200408577192</c:v>
                </c:pt>
                <c:pt idx="2266">
                  <c:v>2.0627875938216906</c:v>
                </c:pt>
                <c:pt idx="2267">
                  <c:v>2.0377744446686168</c:v>
                </c:pt>
                <c:pt idx="2268">
                  <c:v>2.0492436321029093</c:v>
                </c:pt>
                <c:pt idx="2269">
                  <c:v>2.0346373806835465</c:v>
                </c:pt>
                <c:pt idx="2270">
                  <c:v>2.0304015594088165</c:v>
                </c:pt>
                <c:pt idx="2271">
                  <c:v>2.0020068444851247</c:v>
                </c:pt>
                <c:pt idx="2272">
                  <c:v>2.0150388688254308</c:v>
                </c:pt>
                <c:pt idx="2273">
                  <c:v>1.9851462061139122</c:v>
                </c:pt>
                <c:pt idx="2274">
                  <c:v>1.9671586898793922</c:v>
                </c:pt>
                <c:pt idx="2275">
                  <c:v>1.921634658950033</c:v>
                </c:pt>
                <c:pt idx="2276">
                  <c:v>1.9071277682468677</c:v>
                </c:pt>
                <c:pt idx="2277">
                  <c:v>1.8891908519998468</c:v>
                </c:pt>
                <c:pt idx="2278">
                  <c:v>1.9420155983639285</c:v>
                </c:pt>
                <c:pt idx="2279">
                  <c:v>1.9344004320716333</c:v>
                </c:pt>
                <c:pt idx="2280">
                  <c:v>1.9851787026425118</c:v>
                </c:pt>
                <c:pt idx="2281">
                  <c:v>2.0084521151355457</c:v>
                </c:pt>
                <c:pt idx="2282">
                  <c:v>2.021411913678389</c:v>
                </c:pt>
                <c:pt idx="2283">
                  <c:v>1.9471076984996147</c:v>
                </c:pt>
                <c:pt idx="2284">
                  <c:v>1.9600711259310686</c:v>
                </c:pt>
                <c:pt idx="2285">
                  <c:v>1.9798754388922839</c:v>
                </c:pt>
                <c:pt idx="2286">
                  <c:v>1.9722719753489153</c:v>
                </c:pt>
                <c:pt idx="2287">
                  <c:v>1.9715198659300137</c:v>
                </c:pt>
                <c:pt idx="2288">
                  <c:v>1.9521726440837373</c:v>
                </c:pt>
                <c:pt idx="2289">
                  <c:v>1.8967483010945982</c:v>
                </c:pt>
                <c:pt idx="2290">
                  <c:v>1.8960263685118413</c:v>
                </c:pt>
                <c:pt idx="2291">
                  <c:v>1.9396995164647419</c:v>
                </c:pt>
                <c:pt idx="2292">
                  <c:v>1.9287208021315869</c:v>
                </c:pt>
                <c:pt idx="2293">
                  <c:v>1.9094738065839687</c:v>
                </c:pt>
                <c:pt idx="2294">
                  <c:v>1.9087486864249659</c:v>
                </c:pt>
                <c:pt idx="2295">
                  <c:v>1.8807666294011267</c:v>
                </c:pt>
                <c:pt idx="2296">
                  <c:v>1.8970824179423764</c:v>
                </c:pt>
                <c:pt idx="2297">
                  <c:v>1.9167904299053573</c:v>
                </c:pt>
                <c:pt idx="2298">
                  <c:v>1.8772036543798134</c:v>
                </c:pt>
                <c:pt idx="2299">
                  <c:v>1.822101586576429</c:v>
                </c:pt>
                <c:pt idx="2300">
                  <c:v>1.8485969915196212</c:v>
                </c:pt>
                <c:pt idx="2301">
                  <c:v>1.8478973803386354</c:v>
                </c:pt>
                <c:pt idx="2302">
                  <c:v>1.8471982985003237</c:v>
                </c:pt>
                <c:pt idx="2303">
                  <c:v>1.8451042230405428</c:v>
                </c:pt>
                <c:pt idx="2304">
                  <c:v>1.8240645255260939</c:v>
                </c:pt>
                <c:pt idx="2305">
                  <c:v>1.8470999827418821</c:v>
                </c:pt>
                <c:pt idx="2306">
                  <c:v>1.9103987494656591</c:v>
                </c:pt>
                <c:pt idx="2307">
                  <c:v>1.9170793942295263</c:v>
                </c:pt>
                <c:pt idx="2308">
                  <c:v>1.9102117838725776</c:v>
                </c:pt>
                <c:pt idx="2309">
                  <c:v>1.8796377033923672</c:v>
                </c:pt>
                <c:pt idx="2310">
                  <c:v>1.8626128903889276</c:v>
                </c:pt>
                <c:pt idx="2311">
                  <c:v>1.889428098786885</c:v>
                </c:pt>
                <c:pt idx="2312">
                  <c:v>1.9198088252548686</c:v>
                </c:pt>
                <c:pt idx="2313">
                  <c:v>2.0280586130157414</c:v>
                </c:pt>
                <c:pt idx="2314">
                  <c:v>2.0245738365486585</c:v>
                </c:pt>
                <c:pt idx="2315">
                  <c:v>1.9601520321034716</c:v>
                </c:pt>
                <c:pt idx="2316">
                  <c:v>1.9327851472165676</c:v>
                </c:pt>
                <c:pt idx="2317">
                  <c:v>1.8988431574853186</c:v>
                </c:pt>
                <c:pt idx="2318">
                  <c:v>1.9325961202238293</c:v>
                </c:pt>
                <c:pt idx="2319">
                  <c:v>1.9223483721475148</c:v>
                </c:pt>
                <c:pt idx="2320">
                  <c:v>1.9560968848622347</c:v>
                </c:pt>
                <c:pt idx="2321">
                  <c:v>1.9693450119393252</c:v>
                </c:pt>
                <c:pt idx="2322">
                  <c:v>1.9658651500079796</c:v>
                </c:pt>
                <c:pt idx="2323">
                  <c:v>1.9826861692740938</c:v>
                </c:pt>
                <c:pt idx="2324">
                  <c:v>1.9927390278589387</c:v>
                </c:pt>
                <c:pt idx="2325">
                  <c:v>2.0163232746745416</c:v>
                </c:pt>
                <c:pt idx="2326">
                  <c:v>1.9619061048543729</c:v>
                </c:pt>
                <c:pt idx="2327">
                  <c:v>1.9618102282875438</c:v>
                </c:pt>
                <c:pt idx="2328">
                  <c:v>1.9143626351336873</c:v>
                </c:pt>
                <c:pt idx="2329">
                  <c:v>1.9920574110728029</c:v>
                </c:pt>
                <c:pt idx="2330">
                  <c:v>1.9344671699097784</c:v>
                </c:pt>
                <c:pt idx="2331">
                  <c:v>1.8766991670977913</c:v>
                </c:pt>
                <c:pt idx="2332">
                  <c:v>1.9070389586231382</c:v>
                </c:pt>
                <c:pt idx="2333">
                  <c:v>1.8663724848955077</c:v>
                </c:pt>
                <c:pt idx="2334">
                  <c:v>1.9000907612171609</c:v>
                </c:pt>
                <c:pt idx="2335">
                  <c:v>1.899997950865524</c:v>
                </c:pt>
                <c:pt idx="2336">
                  <c:v>1.906480142082472</c:v>
                </c:pt>
                <c:pt idx="2337">
                  <c:v>1.8759659680782887</c:v>
                </c:pt>
                <c:pt idx="2338">
                  <c:v>1.8414453535960211</c:v>
                </c:pt>
                <c:pt idx="2339">
                  <c:v>1.8650059020339567</c:v>
                </c:pt>
                <c:pt idx="2340">
                  <c:v>1.8649148676623069</c:v>
                </c:pt>
                <c:pt idx="2341">
                  <c:v>1.9322013040166421</c:v>
                </c:pt>
                <c:pt idx="2342">
                  <c:v>1.932107008124736</c:v>
                </c:pt>
                <c:pt idx="2343">
                  <c:v>1.9117468537287241</c:v>
                </c:pt>
                <c:pt idx="2344">
                  <c:v>1.8677463278042028</c:v>
                </c:pt>
                <c:pt idx="2345">
                  <c:v>1.8912963957542057</c:v>
                </c:pt>
                <c:pt idx="2346">
                  <c:v>1.8606281918236038</c:v>
                </c:pt>
                <c:pt idx="2347">
                  <c:v>1.8571607639398191</c:v>
                </c:pt>
                <c:pt idx="2348">
                  <c:v>1.8435642007305642</c:v>
                </c:pt>
                <c:pt idx="2349">
                  <c:v>1.8434742700337077</c:v>
                </c:pt>
                <c:pt idx="2350">
                  <c:v>1.829879700871319</c:v>
                </c:pt>
                <c:pt idx="2351">
                  <c:v>1.8228606279894881</c:v>
                </c:pt>
                <c:pt idx="2352">
                  <c:v>1.8362737417209238</c:v>
                </c:pt>
                <c:pt idx="2353">
                  <c:v>1.7923047912009391</c:v>
                </c:pt>
                <c:pt idx="2354">
                  <c:v>1.809093260797948</c:v>
                </c:pt>
                <c:pt idx="2355">
                  <c:v>1.7955050083925781</c:v>
                </c:pt>
                <c:pt idx="2356">
                  <c:v>1.8222385165006358</c:v>
                </c:pt>
                <c:pt idx="2357">
                  <c:v>1.8019035705586002</c:v>
                </c:pt>
                <c:pt idx="2358">
                  <c:v>1.7815706072726589</c:v>
                </c:pt>
                <c:pt idx="2359">
                  <c:v>1.7106292922622628</c:v>
                </c:pt>
                <c:pt idx="2360">
                  <c:v>1.7274151962883151</c:v>
                </c:pt>
                <c:pt idx="2361">
                  <c:v>1.8047500070037994</c:v>
                </c:pt>
                <c:pt idx="2362">
                  <c:v>1.8215280516970793</c:v>
                </c:pt>
                <c:pt idx="2363">
                  <c:v>1.9057651752584241</c:v>
                </c:pt>
                <c:pt idx="2364">
                  <c:v>1.9360281475127077</c:v>
                </c:pt>
                <c:pt idx="2365">
                  <c:v>1.9359338075861929</c:v>
                </c:pt>
                <c:pt idx="2366">
                  <c:v>1.9355565398032539</c:v>
                </c:pt>
                <c:pt idx="2367">
                  <c:v>2.0062718401912738</c:v>
                </c:pt>
                <c:pt idx="2368">
                  <c:v>2.08372369325253</c:v>
                </c:pt>
                <c:pt idx="2369">
                  <c:v>2.0735075201225484</c:v>
                </c:pt>
                <c:pt idx="2370">
                  <c:v>2.1439969009499862</c:v>
                </c:pt>
                <c:pt idx="2371">
                  <c:v>2.0731035802288802</c:v>
                </c:pt>
                <c:pt idx="2372">
                  <c:v>2.0763733558125907</c:v>
                </c:pt>
                <c:pt idx="2373">
                  <c:v>2.1976128266346255</c:v>
                </c:pt>
                <c:pt idx="2374">
                  <c:v>2.4536567974039607</c:v>
                </c:pt>
                <c:pt idx="2375">
                  <c:v>2.3724204351842535</c:v>
                </c:pt>
                <c:pt idx="2376">
                  <c:v>2.3082796566379211</c:v>
                </c:pt>
                <c:pt idx="2377">
                  <c:v>2.392406963266291</c:v>
                </c:pt>
                <c:pt idx="2378">
                  <c:v>2.570869929697853</c:v>
                </c:pt>
                <c:pt idx="2379">
                  <c:v>2.503359598539368</c:v>
                </c:pt>
                <c:pt idx="2380">
                  <c:v>2.5670006482953891</c:v>
                </c:pt>
                <c:pt idx="2381">
                  <c:v>2.5466640943671002</c:v>
                </c:pt>
                <c:pt idx="2382">
                  <c:v>2.4960135656357836</c:v>
                </c:pt>
                <c:pt idx="2383">
                  <c:v>2.5228383017088936</c:v>
                </c:pt>
                <c:pt idx="2384">
                  <c:v>2.5055092064572251</c:v>
                </c:pt>
                <c:pt idx="2385">
                  <c:v>2.4818151141997564</c:v>
                </c:pt>
                <c:pt idx="2386">
                  <c:v>2.3470026838273972</c:v>
                </c:pt>
                <c:pt idx="2387">
                  <c:v>2.2963815805959915</c:v>
                </c:pt>
                <c:pt idx="2388">
                  <c:v>2.3568752348555582</c:v>
                </c:pt>
                <c:pt idx="2389">
                  <c:v>2.3228665967353659</c:v>
                </c:pt>
                <c:pt idx="2390">
                  <c:v>2.3362188598007494</c:v>
                </c:pt>
                <c:pt idx="2391">
                  <c:v>2.3495698241235985</c:v>
                </c:pt>
                <c:pt idx="2392">
                  <c:v>2.3258936859207049</c:v>
                </c:pt>
                <c:pt idx="2393">
                  <c:v>2.3426096723519896</c:v>
                </c:pt>
                <c:pt idx="2394">
                  <c:v>2.3792865683284621</c:v>
                </c:pt>
                <c:pt idx="2395">
                  <c:v>2.3993618718351817</c:v>
                </c:pt>
                <c:pt idx="2396">
                  <c:v>2.453085226436039</c:v>
                </c:pt>
                <c:pt idx="2397">
                  <c:v>2.4731549903125041</c:v>
                </c:pt>
                <c:pt idx="2398">
                  <c:v>2.4191999936423167</c:v>
                </c:pt>
                <c:pt idx="2399">
                  <c:v>2.4188472348617158</c:v>
                </c:pt>
                <c:pt idx="2400">
                  <c:v>2.4120016334326269</c:v>
                </c:pt>
                <c:pt idx="2401">
                  <c:v>2.3614265756346677</c:v>
                </c:pt>
                <c:pt idx="2402">
                  <c:v>2.3007653574358522</c:v>
                </c:pt>
                <c:pt idx="2403">
                  <c:v>2.2972900208990641</c:v>
                </c:pt>
                <c:pt idx="2404">
                  <c:v>2.3743050331989544</c:v>
                </c:pt>
                <c:pt idx="2405">
                  <c:v>2.3203836756582512</c:v>
                </c:pt>
                <c:pt idx="2406">
                  <c:v>2.3639861913498539</c:v>
                </c:pt>
                <c:pt idx="2407">
                  <c:v>2.4063564513418152</c:v>
                </c:pt>
                <c:pt idx="2408">
                  <c:v>2.3552599003267622</c:v>
                </c:pt>
                <c:pt idx="2409">
                  <c:v>2.2869537347098521</c:v>
                </c:pt>
                <c:pt idx="2410">
                  <c:v>2.259658792151888</c:v>
                </c:pt>
                <c:pt idx="2411">
                  <c:v>2.2255708646689785</c:v>
                </c:pt>
                <c:pt idx="2412">
                  <c:v>2.3002111473009688</c:v>
                </c:pt>
                <c:pt idx="2413">
                  <c:v>2.3102919065691849</c:v>
                </c:pt>
                <c:pt idx="2414">
                  <c:v>2.2420155079895965</c:v>
                </c:pt>
                <c:pt idx="2415">
                  <c:v>2.2351129937455698</c:v>
                </c:pt>
                <c:pt idx="2416">
                  <c:v>2.2621777831319831</c:v>
                </c:pt>
                <c:pt idx="2417">
                  <c:v>2.2416889665148187</c:v>
                </c:pt>
                <c:pt idx="2418">
                  <c:v>2.2449764740393294</c:v>
                </c:pt>
                <c:pt idx="2419">
                  <c:v>2.3667848857690545</c:v>
                </c:pt>
                <c:pt idx="2420">
                  <c:v>2.4345802016031222</c:v>
                </c:pt>
                <c:pt idx="2421">
                  <c:v>2.4039039448211894</c:v>
                </c:pt>
                <c:pt idx="2422">
                  <c:v>2.3868113845893744</c:v>
                </c:pt>
                <c:pt idx="2423">
                  <c:v>2.3253595998164318</c:v>
                </c:pt>
                <c:pt idx="2424">
                  <c:v>2.3693755429924916</c:v>
                </c:pt>
                <c:pt idx="2425">
                  <c:v>2.3692605852114124</c:v>
                </c:pt>
                <c:pt idx="2426">
                  <c:v>2.3487804898291325</c:v>
                </c:pt>
                <c:pt idx="2427">
                  <c:v>2.3011501672054928</c:v>
                </c:pt>
                <c:pt idx="2428">
                  <c:v>2.1447127922492126</c:v>
                </c:pt>
                <c:pt idx="2429">
                  <c:v>2.0903148721941718</c:v>
                </c:pt>
                <c:pt idx="2430">
                  <c:v>1.8900144691833114</c:v>
                </c:pt>
                <c:pt idx="2431">
                  <c:v>2.1002912318014366</c:v>
                </c:pt>
                <c:pt idx="2432">
                  <c:v>2.1239394961393998</c:v>
                </c:pt>
                <c:pt idx="2433">
                  <c:v>2.2254019580189639</c:v>
                </c:pt>
                <c:pt idx="2434">
                  <c:v>2.1642341558198246</c:v>
                </c:pt>
                <c:pt idx="2435">
                  <c:v>2.0827199726557915</c:v>
                </c:pt>
                <c:pt idx="2436">
                  <c:v>2.1097540972979614</c:v>
                </c:pt>
                <c:pt idx="2437">
                  <c:v>2.0655594139927183</c:v>
                </c:pt>
                <c:pt idx="2438">
                  <c:v>2.150039788104555</c:v>
                </c:pt>
                <c:pt idx="2439">
                  <c:v>2.1702819666581141</c:v>
                </c:pt>
                <c:pt idx="2440">
                  <c:v>2.1328768623789265</c:v>
                </c:pt>
                <c:pt idx="2441">
                  <c:v>2.1395549631571398</c:v>
                </c:pt>
                <c:pt idx="2442">
                  <c:v>2.1123266912577918</c:v>
                </c:pt>
                <c:pt idx="2443">
                  <c:v>2.0170973897934932</c:v>
                </c:pt>
                <c:pt idx="2444">
                  <c:v>1.976320667364778</c:v>
                </c:pt>
                <c:pt idx="2445">
                  <c:v>2.0135121724292389</c:v>
                </c:pt>
                <c:pt idx="2446">
                  <c:v>2.0371417260421101</c:v>
                </c:pt>
                <c:pt idx="2447">
                  <c:v>2.0438218766567635</c:v>
                </c:pt>
                <c:pt idx="2448">
                  <c:v>1.9926909128127488</c:v>
                </c:pt>
                <c:pt idx="2449">
                  <c:v>1.9959831562782611</c:v>
                </c:pt>
                <c:pt idx="2450">
                  <c:v>1.992497877154263</c:v>
                </c:pt>
                <c:pt idx="2451">
                  <c:v>2.0161204373175745</c:v>
                </c:pt>
                <c:pt idx="2452">
                  <c:v>2.0329641621342835</c:v>
                </c:pt>
                <c:pt idx="2453">
                  <c:v>2.1004244557592142</c:v>
                </c:pt>
                <c:pt idx="2454">
                  <c:v>2.0495084892495132</c:v>
                </c:pt>
                <c:pt idx="2455">
                  <c:v>1.9410107471078457</c:v>
                </c:pt>
                <c:pt idx="2456">
                  <c:v>1.8867201400714781</c:v>
                </c:pt>
                <c:pt idx="2457">
                  <c:v>1.9340485491234611</c:v>
                </c:pt>
                <c:pt idx="2458">
                  <c:v>1.926994413246701</c:v>
                </c:pt>
                <c:pt idx="2459">
                  <c:v>1.9167417277706245</c:v>
                </c:pt>
                <c:pt idx="2460">
                  <c:v>1.8523091457291707</c:v>
                </c:pt>
                <c:pt idx="2461">
                  <c:v>1.7912689425279933</c:v>
                </c:pt>
                <c:pt idx="2462">
                  <c:v>1.6896029144126581</c:v>
                </c:pt>
                <c:pt idx="2463">
                  <c:v>1.5759438390681819</c:v>
                </c:pt>
                <c:pt idx="2464">
                  <c:v>1.5843308866607257</c:v>
                </c:pt>
                <c:pt idx="2465">
                  <c:v>1.6705757704740447</c:v>
                </c:pt>
                <c:pt idx="2466">
                  <c:v>1.763582298107037</c:v>
                </c:pt>
                <c:pt idx="2467">
                  <c:v>1.8041149449140952</c:v>
                </c:pt>
                <c:pt idx="2468">
                  <c:v>1.7327819865362517</c:v>
                </c:pt>
                <c:pt idx="2469">
                  <c:v>1.6954722300657548</c:v>
                </c:pt>
                <c:pt idx="2470">
                  <c:v>1.661550095379617</c:v>
                </c:pt>
                <c:pt idx="2471">
                  <c:v>1.6763727177718046</c:v>
                </c:pt>
                <c:pt idx="2472">
                  <c:v>1.7354946898319448</c:v>
                </c:pt>
                <c:pt idx="2473">
                  <c:v>1.8301310478463446</c:v>
                </c:pt>
                <c:pt idx="2474">
                  <c:v>1.8334252614882043</c:v>
                </c:pt>
                <c:pt idx="2475">
                  <c:v>1.7927461381026015</c:v>
                </c:pt>
                <c:pt idx="2476">
                  <c:v>1.8161604871420367</c:v>
                </c:pt>
                <c:pt idx="2477">
                  <c:v>1.812690808237015</c:v>
                </c:pt>
                <c:pt idx="2478">
                  <c:v>1.8177477559850734</c:v>
                </c:pt>
                <c:pt idx="2479">
                  <c:v>1.8519553643932565</c:v>
                </c:pt>
                <c:pt idx="2480">
                  <c:v>1.8621539976167001</c:v>
                </c:pt>
                <c:pt idx="2481">
                  <c:v>1.9716083156124551</c:v>
                </c:pt>
                <c:pt idx="2482">
                  <c:v>1.9680843221146791</c:v>
                </c:pt>
                <c:pt idx="2483">
                  <c:v>1.9062752741126008</c:v>
                </c:pt>
                <c:pt idx="2484">
                  <c:v>1.8616141341386612</c:v>
                </c:pt>
                <c:pt idx="2485">
                  <c:v>1.8546677446451567</c:v>
                </c:pt>
                <c:pt idx="2486">
                  <c:v>1.8543989500402731</c:v>
                </c:pt>
                <c:pt idx="2487">
                  <c:v>1.8200337800730231</c:v>
                </c:pt>
                <c:pt idx="2488">
                  <c:v>1.8987759103367972</c:v>
                </c:pt>
                <c:pt idx="2489">
                  <c:v>1.8089646286100893</c:v>
                </c:pt>
                <c:pt idx="2490">
                  <c:v>1.9013766913264269</c:v>
                </c:pt>
                <c:pt idx="2491">
                  <c:v>1.9661840611709278</c:v>
                </c:pt>
                <c:pt idx="2492">
                  <c:v>1.9592386596209215</c:v>
                </c:pt>
                <c:pt idx="2493">
                  <c:v>1.9043428496629977</c:v>
                </c:pt>
                <c:pt idx="2494">
                  <c:v>1.9727491619612303</c:v>
                </c:pt>
                <c:pt idx="2495">
                  <c:v>1.9486807171068645</c:v>
                </c:pt>
                <c:pt idx="2496">
                  <c:v>1.95867133530647</c:v>
                </c:pt>
                <c:pt idx="2497">
                  <c:v>2.0167862639369876</c:v>
                </c:pt>
                <c:pt idx="2498">
                  <c:v>2.0166889419957368</c:v>
                </c:pt>
                <c:pt idx="2499">
                  <c:v>2.020015384335462</c:v>
                </c:pt>
                <c:pt idx="2500">
                  <c:v>2.0781189406744249</c:v>
                </c:pt>
                <c:pt idx="2501">
                  <c:v>2.0675488858750666</c:v>
                </c:pt>
                <c:pt idx="2502">
                  <c:v>2.0366427818087169</c:v>
                </c:pt>
                <c:pt idx="2503">
                  <c:v>2.0125851873903593</c:v>
                </c:pt>
                <c:pt idx="2504">
                  <c:v>2.005642908015949</c:v>
                </c:pt>
                <c:pt idx="2505">
                  <c:v>2.0192359007437219</c:v>
                </c:pt>
                <c:pt idx="2506">
                  <c:v>1.9539269168577762</c:v>
                </c:pt>
                <c:pt idx="2507">
                  <c:v>1.9983157432964465</c:v>
                </c:pt>
                <c:pt idx="2508">
                  <c:v>2.042700288577235</c:v>
                </c:pt>
                <c:pt idx="2509">
                  <c:v>2.0597090050792133</c:v>
                </c:pt>
                <c:pt idx="2510">
                  <c:v>2.0527671314372573</c:v>
                </c:pt>
                <c:pt idx="2511">
                  <c:v>2.038787094099646</c:v>
                </c:pt>
                <c:pt idx="2512">
                  <c:v>2.0215857113431404</c:v>
                </c:pt>
                <c:pt idx="2513">
                  <c:v>2.0317496182666441</c:v>
                </c:pt>
                <c:pt idx="2514">
                  <c:v>2.0624342794159691</c:v>
                </c:pt>
                <c:pt idx="2515">
                  <c:v>2.0349738717908394</c:v>
                </c:pt>
                <c:pt idx="2516">
                  <c:v>2.0278403828413931</c:v>
                </c:pt>
                <c:pt idx="2517">
                  <c:v>2.0277426548040158</c:v>
                </c:pt>
                <c:pt idx="2518">
                  <c:v>2.0310642362468525</c:v>
                </c:pt>
                <c:pt idx="2519">
                  <c:v>2.0925107974959718</c:v>
                </c:pt>
                <c:pt idx="2520">
                  <c:v>2.0992479084346991</c:v>
                </c:pt>
                <c:pt idx="2521">
                  <c:v>2.0921075352666163</c:v>
                </c:pt>
                <c:pt idx="2522">
                  <c:v>2.0954250556673792</c:v>
                </c:pt>
                <c:pt idx="2523">
                  <c:v>2.1055785504226705</c:v>
                </c:pt>
                <c:pt idx="2524">
                  <c:v>2.0986411552564936</c:v>
                </c:pt>
                <c:pt idx="2525">
                  <c:v>2.0301837099547417</c:v>
                </c:pt>
                <c:pt idx="2526">
                  <c:v>1.9991344561163249</c:v>
                </c:pt>
                <c:pt idx="2527">
                  <c:v>2.0332097692287205</c:v>
                </c:pt>
                <c:pt idx="2528">
                  <c:v>2.0877837685872342</c:v>
                </c:pt>
                <c:pt idx="2529">
                  <c:v>2.0979337197007371</c:v>
                </c:pt>
                <c:pt idx="2530">
                  <c:v>2.0670827057466528</c:v>
                </c:pt>
                <c:pt idx="2531">
                  <c:v>2.0941135127824655</c:v>
                </c:pt>
                <c:pt idx="2532">
                  <c:v>2.0666846316243062</c:v>
                </c:pt>
                <c:pt idx="2533">
                  <c:v>2.165644589899161</c:v>
                </c:pt>
                <c:pt idx="2534">
                  <c:v>2.1962814450742547</c:v>
                </c:pt>
                <c:pt idx="2535">
                  <c:v>2.141527492148533</c:v>
                </c:pt>
                <c:pt idx="2536">
                  <c:v>2.2334238451622479</c:v>
                </c:pt>
                <c:pt idx="2537">
                  <c:v>2.2640500657567775</c:v>
                </c:pt>
                <c:pt idx="2538">
                  <c:v>2.2400382590338284</c:v>
                </c:pt>
                <c:pt idx="2539">
                  <c:v>2.2979774387584699</c:v>
                </c:pt>
                <c:pt idx="2540">
                  <c:v>2.3046955848288708</c:v>
                </c:pt>
                <c:pt idx="2541">
                  <c:v>2.2531548533821146</c:v>
                </c:pt>
                <c:pt idx="2542">
                  <c:v>2.2598738630630977</c:v>
                </c:pt>
                <c:pt idx="2543">
                  <c:v>2.2836599387921273</c:v>
                </c:pt>
                <c:pt idx="2544">
                  <c:v>2.2801366996070778</c:v>
                </c:pt>
                <c:pt idx="2545">
                  <c:v>2.2800270134853644</c:v>
                </c:pt>
                <c:pt idx="2546">
                  <c:v>2.2762852968441094</c:v>
                </c:pt>
                <c:pt idx="2547">
                  <c:v>2.2864134894011028</c:v>
                </c:pt>
                <c:pt idx="2548">
                  <c:v>2.2624167745072286</c:v>
                </c:pt>
                <c:pt idx="2549">
                  <c:v>2.2964302643974506</c:v>
                </c:pt>
                <c:pt idx="2550">
                  <c:v>2.1941586034460023</c:v>
                </c:pt>
                <c:pt idx="2551">
                  <c:v>2.1579757818251881</c:v>
                </c:pt>
                <c:pt idx="2552">
                  <c:v>2.0403857795040317</c:v>
                </c:pt>
                <c:pt idx="2553">
                  <c:v>1.9365973556477674</c:v>
                </c:pt>
                <c:pt idx="2554">
                  <c:v>2.0701903563588782</c:v>
                </c:pt>
                <c:pt idx="2555">
                  <c:v>1.9694173413888698</c:v>
                </c:pt>
                <c:pt idx="2556">
                  <c:v>2.0012044969741476</c:v>
                </c:pt>
                <c:pt idx="2557">
                  <c:v>2.0767560909222076</c:v>
                </c:pt>
                <c:pt idx="2558">
                  <c:v>2.0915334474159208</c:v>
                </c:pt>
                <c:pt idx="2559">
                  <c:v>2.0221648060724888</c:v>
                </c:pt>
                <c:pt idx="2560">
                  <c:v>2.0128085710002739</c:v>
                </c:pt>
                <c:pt idx="2561">
                  <c:v>2.0342788352702006</c:v>
                </c:pt>
                <c:pt idx="2562">
                  <c:v>1.931828611368464</c:v>
                </c:pt>
                <c:pt idx="2563">
                  <c:v>1.943302134198442</c:v>
                </c:pt>
                <c:pt idx="2564">
                  <c:v>2.0015334598592305</c:v>
                </c:pt>
                <c:pt idx="2565">
                  <c:v>2.0322816941106012</c:v>
                </c:pt>
                <c:pt idx="2566">
                  <c:v>1.963720169176149</c:v>
                </c:pt>
                <c:pt idx="2567">
                  <c:v>2.0050205976494677</c:v>
                </c:pt>
                <c:pt idx="2568">
                  <c:v>2.0395964732660028</c:v>
                </c:pt>
                <c:pt idx="2569">
                  <c:v>2.0608304039274219</c:v>
                </c:pt>
                <c:pt idx="2570">
                  <c:v>2.0581065020856926</c:v>
                </c:pt>
                <c:pt idx="2571">
                  <c:v>2.0561001994809134</c:v>
                </c:pt>
                <c:pt idx="2572">
                  <c:v>1.9847472357039664</c:v>
                </c:pt>
                <c:pt idx="2573">
                  <c:v>1.9861154057302632</c:v>
                </c:pt>
                <c:pt idx="2574">
                  <c:v>1.9841849278180215</c:v>
                </c:pt>
                <c:pt idx="2575">
                  <c:v>1.9487632653006142</c:v>
                </c:pt>
                <c:pt idx="2576">
                  <c:v>1.9664558560808951</c:v>
                </c:pt>
                <c:pt idx="2577">
                  <c:v>1.9547925610568835</c:v>
                </c:pt>
                <c:pt idx="2578">
                  <c:v>2.0017391433741532</c:v>
                </c:pt>
                <c:pt idx="2579">
                  <c:v>2.0225817744949355</c:v>
                </c:pt>
                <c:pt idx="2580">
                  <c:v>2.0200222869229481</c:v>
                </c:pt>
                <c:pt idx="2581">
                  <c:v>2.0051353571419628</c:v>
                </c:pt>
                <c:pt idx="2582">
                  <c:v>1.9870406198890669</c:v>
                </c:pt>
                <c:pt idx="2583">
                  <c:v>1.9689803875602627</c:v>
                </c:pt>
                <c:pt idx="2584">
                  <c:v>1.9671048476587774</c:v>
                </c:pt>
                <c:pt idx="2585">
                  <c:v>1.9228493667433713</c:v>
                </c:pt>
                <c:pt idx="2586">
                  <c:v>1.9017179397615411</c:v>
                </c:pt>
                <c:pt idx="2587">
                  <c:v>1.9352772660869415</c:v>
                </c:pt>
                <c:pt idx="2588">
                  <c:v>1.9334443057313799</c:v>
                </c:pt>
                <c:pt idx="2589">
                  <c:v>1.8931108644115058</c:v>
                </c:pt>
                <c:pt idx="2590">
                  <c:v>1.7853655420456311</c:v>
                </c:pt>
                <c:pt idx="2591">
                  <c:v>1.7804859741105676</c:v>
                </c:pt>
                <c:pt idx="2592">
                  <c:v>1.8267124488374782</c:v>
                </c:pt>
                <c:pt idx="2593">
                  <c:v>1.8345653539698155</c:v>
                </c:pt>
                <c:pt idx="2594">
                  <c:v>1.8392159462125359</c:v>
                </c:pt>
                <c:pt idx="2595">
                  <c:v>1.8435796544926333</c:v>
                </c:pt>
                <c:pt idx="2596">
                  <c:v>1.7910434237532118</c:v>
                </c:pt>
                <c:pt idx="2597">
                  <c:v>1.7576413265774884</c:v>
                </c:pt>
                <c:pt idx="2598">
                  <c:v>1.7655074122249468</c:v>
                </c:pt>
                <c:pt idx="2599">
                  <c:v>1.7765255183294864</c:v>
                </c:pt>
                <c:pt idx="2600">
                  <c:v>1.7810359227416876</c:v>
                </c:pt>
                <c:pt idx="2601">
                  <c:v>1.7604493061416164</c:v>
                </c:pt>
                <c:pt idx="2602">
                  <c:v>1.7430529555043994</c:v>
                </c:pt>
                <c:pt idx="2603">
                  <c:v>1.7823721280019855</c:v>
                </c:pt>
                <c:pt idx="2604">
                  <c:v>1.7807184463403534</c:v>
                </c:pt>
                <c:pt idx="2605">
                  <c:v>1.775775761646057</c:v>
                </c:pt>
                <c:pt idx="2606">
                  <c:v>1.75532721459285</c:v>
                </c:pt>
                <c:pt idx="2607">
                  <c:v>1.7568377633959127</c:v>
                </c:pt>
                <c:pt idx="2608">
                  <c:v>1.8084051838147297</c:v>
                </c:pt>
                <c:pt idx="2609">
                  <c:v>1.8161157090450737</c:v>
                </c:pt>
                <c:pt idx="2610">
                  <c:v>1.8063294838616826</c:v>
                </c:pt>
                <c:pt idx="2611">
                  <c:v>1.7797800000501809</c:v>
                </c:pt>
                <c:pt idx="2612">
                  <c:v>1.8092349132069787</c:v>
                </c:pt>
                <c:pt idx="2613">
                  <c:v>1.7982604209063624</c:v>
                </c:pt>
                <c:pt idx="2614">
                  <c:v>1.7933328726301443</c:v>
                </c:pt>
                <c:pt idx="2615">
                  <c:v>1.7793184843863779</c:v>
                </c:pt>
                <c:pt idx="2616">
                  <c:v>1.8086126894324241</c:v>
                </c:pt>
                <c:pt idx="2617">
                  <c:v>1.8409423560064828</c:v>
                </c:pt>
                <c:pt idx="2618">
                  <c:v>1.8762991966913465</c:v>
                </c:pt>
                <c:pt idx="2619">
                  <c:v>1.8373366973815783</c:v>
                </c:pt>
                <c:pt idx="2620">
                  <c:v>1.9033168183730658</c:v>
                </c:pt>
                <c:pt idx="2621">
                  <c:v>1.8647280439528144</c:v>
                </c:pt>
                <c:pt idx="2622">
                  <c:v>1.8845250464432348</c:v>
                </c:pt>
                <c:pt idx="2623">
                  <c:v>1.8460230576394645</c:v>
                </c:pt>
                <c:pt idx="2624">
                  <c:v>1.8349121254608713</c:v>
                </c:pt>
                <c:pt idx="2625">
                  <c:v>1.8485359407640221</c:v>
                </c:pt>
                <c:pt idx="2626">
                  <c:v>1.8590825460861156</c:v>
                </c:pt>
                <c:pt idx="2627">
                  <c:v>1.8635103095521621</c:v>
                </c:pt>
                <c:pt idx="2628">
                  <c:v>1.8465997550799207</c:v>
                </c:pt>
                <c:pt idx="2629">
                  <c:v>1.7853329320462965</c:v>
                </c:pt>
                <c:pt idx="2630">
                  <c:v>1.7534001344007604</c:v>
                </c:pt>
                <c:pt idx="2631">
                  <c:v>1.7639563596422378</c:v>
                </c:pt>
                <c:pt idx="2632">
                  <c:v>1.7109026591733902</c:v>
                </c:pt>
                <c:pt idx="2633">
                  <c:v>1.6821709517982195</c:v>
                </c:pt>
                <c:pt idx="2634">
                  <c:v>1.6655872782030703</c:v>
                </c:pt>
                <c:pt idx="2635">
                  <c:v>1.7153561773398323</c:v>
                </c:pt>
                <c:pt idx="2636">
                  <c:v>1.5572081138756981</c:v>
                </c:pt>
                <c:pt idx="2637">
                  <c:v>1.4986488013760983</c:v>
                </c:pt>
                <c:pt idx="2638">
                  <c:v>1.5546963416887671</c:v>
                </c:pt>
                <c:pt idx="2639">
                  <c:v>1.5803097140300506</c:v>
                </c:pt>
                <c:pt idx="2640">
                  <c:v>1.5519490929306328</c:v>
                </c:pt>
                <c:pt idx="2641">
                  <c:v>1.5326187305136976</c:v>
                </c:pt>
                <c:pt idx="2642">
                  <c:v>1.4908917968814965</c:v>
                </c:pt>
                <c:pt idx="2643">
                  <c:v>1.4869574245904278</c:v>
                </c:pt>
                <c:pt idx="2644">
                  <c:v>1.481180214757958</c:v>
                </c:pt>
                <c:pt idx="2645">
                  <c:v>1.4605250262476672</c:v>
                </c:pt>
                <c:pt idx="2646">
                  <c:v>1.4562686497122048</c:v>
                </c:pt>
                <c:pt idx="2647">
                  <c:v>1.5070092235667227</c:v>
                </c:pt>
                <c:pt idx="2648">
                  <c:v>1.488233612450597</c:v>
                </c:pt>
                <c:pt idx="2649">
                  <c:v>1.4736045549730503</c:v>
                </c:pt>
                <c:pt idx="2650">
                  <c:v>1.4516024467789219</c:v>
                </c:pt>
                <c:pt idx="2651">
                  <c:v>1.4518151111053239</c:v>
                </c:pt>
                <c:pt idx="2652">
                  <c:v>1.4638445149893833</c:v>
                </c:pt>
                <c:pt idx="2653">
                  <c:v>1.5145401729910306</c:v>
                </c:pt>
                <c:pt idx="2654">
                  <c:v>1.5911338906146506</c:v>
                </c:pt>
                <c:pt idx="2655">
                  <c:v>1.544845385059856</c:v>
                </c:pt>
                <c:pt idx="2656">
                  <c:v>1.5024025453682781</c:v>
                </c:pt>
                <c:pt idx="2657">
                  <c:v>1.5159979776871675</c:v>
                </c:pt>
                <c:pt idx="2658">
                  <c:v>1.5087392465983249</c:v>
                </c:pt>
                <c:pt idx="2659">
                  <c:v>1.5133860357496296</c:v>
                </c:pt>
                <c:pt idx="2660">
                  <c:v>1.5150541313746495</c:v>
                </c:pt>
                <c:pt idx="2661">
                  <c:v>1.4711510183896106</c:v>
                </c:pt>
                <c:pt idx="2662">
                  <c:v>1.5098558902143557</c:v>
                </c:pt>
                <c:pt idx="2663">
                  <c:v>1.517435792255676</c:v>
                </c:pt>
                <c:pt idx="2664">
                  <c:v>1.5131809865610788</c:v>
                </c:pt>
                <c:pt idx="2665">
                  <c:v>1.4528283033225957</c:v>
                </c:pt>
                <c:pt idx="2666">
                  <c:v>1.4343821737798763</c:v>
                </c:pt>
                <c:pt idx="2667">
                  <c:v>1.3904880913846542</c:v>
                </c:pt>
                <c:pt idx="2668">
                  <c:v>1.4392890312725777</c:v>
                </c:pt>
                <c:pt idx="2669">
                  <c:v>1.5012270924896922</c:v>
                </c:pt>
                <c:pt idx="2670">
                  <c:v>1.4999503440488393</c:v>
                </c:pt>
                <c:pt idx="2671">
                  <c:v>1.4990609490152575</c:v>
                </c:pt>
                <c:pt idx="2672">
                  <c:v>1.4714620189243042</c:v>
                </c:pt>
                <c:pt idx="2673">
                  <c:v>1.4672929893832225</c:v>
                </c:pt>
                <c:pt idx="2674">
                  <c:v>1.4543697515450609</c:v>
                </c:pt>
                <c:pt idx="2675">
                  <c:v>1.4487632456586039</c:v>
                </c:pt>
                <c:pt idx="2676">
                  <c:v>1.5193175648847927</c:v>
                </c:pt>
                <c:pt idx="2677">
                  <c:v>1.5267617600482708</c:v>
                </c:pt>
                <c:pt idx="2678">
                  <c:v>1.5370990903616193</c:v>
                </c:pt>
                <c:pt idx="2679">
                  <c:v>1.5474190297742962</c:v>
                </c:pt>
                <c:pt idx="2680">
                  <c:v>1.572225547853727</c:v>
                </c:pt>
                <c:pt idx="2681">
                  <c:v>1.5509103892779359</c:v>
                </c:pt>
                <c:pt idx="2682">
                  <c:v>1.5611755373785303</c:v>
                </c:pt>
                <c:pt idx="2683">
                  <c:v>1.568534856590353</c:v>
                </c:pt>
                <c:pt idx="2684">
                  <c:v>1.5758818674018464</c:v>
                </c:pt>
                <c:pt idx="2685">
                  <c:v>1.5861004196105017</c:v>
                </c:pt>
                <c:pt idx="2686">
                  <c:v>1.5504918840903033</c:v>
                </c:pt>
                <c:pt idx="2687">
                  <c:v>1.5089617114871738</c:v>
                </c:pt>
                <c:pt idx="2688">
                  <c:v>1.5048343270374016</c:v>
                </c:pt>
                <c:pt idx="2689">
                  <c:v>1.509322106417887</c:v>
                </c:pt>
                <c:pt idx="2690">
                  <c:v>1.4879989793945407</c:v>
                </c:pt>
                <c:pt idx="2691">
                  <c:v>1.5014595438762739</c:v>
                </c:pt>
                <c:pt idx="2692">
                  <c:v>1.5002164291550202</c:v>
                </c:pt>
                <c:pt idx="2693">
                  <c:v>1.4704234593417251</c:v>
                </c:pt>
                <c:pt idx="2694">
                  <c:v>1.4948835336608028</c:v>
                </c:pt>
                <c:pt idx="2695">
                  <c:v>1.5136022553900725</c:v>
                </c:pt>
                <c:pt idx="2696">
                  <c:v>1.5468259246094014</c:v>
                </c:pt>
                <c:pt idx="2697">
                  <c:v>1.5569169863890269</c:v>
                </c:pt>
                <c:pt idx="2698">
                  <c:v>1.569830201202548</c:v>
                </c:pt>
                <c:pt idx="2699">
                  <c:v>1.6451234248552042</c:v>
                </c:pt>
                <c:pt idx="2700">
                  <c:v>1.5984271001652348</c:v>
                </c:pt>
                <c:pt idx="2701">
                  <c:v>1.4163902322983739</c:v>
                </c:pt>
                <c:pt idx="2702">
                  <c:v>1.3502603025996429</c:v>
                </c:pt>
                <c:pt idx="2703">
                  <c:v>1.3350435734104973</c:v>
                </c:pt>
                <c:pt idx="2704">
                  <c:v>1.3367728875954927</c:v>
                </c:pt>
                <c:pt idx="2705">
                  <c:v>1.3159562305779109</c:v>
                </c:pt>
                <c:pt idx="2706">
                  <c:v>1.2818197925211492</c:v>
                </c:pt>
                <c:pt idx="2707">
                  <c:v>1.3060551491314814</c:v>
                </c:pt>
                <c:pt idx="2708">
                  <c:v>1.3232350006465767</c:v>
                </c:pt>
                <c:pt idx="2709">
                  <c:v>1.3067370548274664</c:v>
                </c:pt>
                <c:pt idx="2710">
                  <c:v>1.31548281832386</c:v>
                </c:pt>
                <c:pt idx="2711">
                  <c:v>1.3122868491942064</c:v>
                </c:pt>
                <c:pt idx="2712">
                  <c:v>1.3209998143629123</c:v>
                </c:pt>
                <c:pt idx="2713">
                  <c:v>1.2920262194741534</c:v>
                </c:pt>
                <c:pt idx="2714">
                  <c:v>1.317471268602793</c:v>
                </c:pt>
                <c:pt idx="2715">
                  <c:v>1.3275519730902414</c:v>
                </c:pt>
                <c:pt idx="2716">
                  <c:v>1.3465794037501984</c:v>
                </c:pt>
                <c:pt idx="2717">
                  <c:v>1.3566042426089282</c:v>
                </c:pt>
                <c:pt idx="2718">
                  <c:v>1.3680003863654504</c:v>
                </c:pt>
                <c:pt idx="2719">
                  <c:v>1.3835371497328921</c:v>
                </c:pt>
                <c:pt idx="2720">
                  <c:v>1.3644190458618752</c:v>
                </c:pt>
                <c:pt idx="2721">
                  <c:v>1.3404133067006783</c:v>
                </c:pt>
                <c:pt idx="2722">
                  <c:v>1.3545292231908745</c:v>
                </c:pt>
                <c:pt idx="2723">
                  <c:v>1.3382700523796001</c:v>
                </c:pt>
                <c:pt idx="2724">
                  <c:v>1.3831441021294386</c:v>
                </c:pt>
                <c:pt idx="2725">
                  <c:v>1.4001733260445863</c:v>
                </c:pt>
                <c:pt idx="2726">
                  <c:v>1.5272608829700032</c:v>
                </c:pt>
                <c:pt idx="2727">
                  <c:v>1.4926305339935884</c:v>
                </c:pt>
                <c:pt idx="2728">
                  <c:v>1.4608377096719851</c:v>
                </c:pt>
                <c:pt idx="2729">
                  <c:v>1.4240560409493273</c:v>
                </c:pt>
                <c:pt idx="2730">
                  <c:v>1.4506666667580661</c:v>
                </c:pt>
                <c:pt idx="2731">
                  <c:v>1.4439766355257859</c:v>
                </c:pt>
                <c:pt idx="2732">
                  <c:v>1.4511439681504847</c:v>
                </c:pt>
                <c:pt idx="2733">
                  <c:v>1.4112580502991743</c:v>
                </c:pt>
                <c:pt idx="2734">
                  <c:v>1.4276601450114434</c:v>
                </c:pt>
                <c:pt idx="2735">
                  <c:v>1.4320295865899464</c:v>
                </c:pt>
                <c:pt idx="2736">
                  <c:v>1.4500982270108091</c:v>
                </c:pt>
                <c:pt idx="2737">
                  <c:v>1.4160964036237702</c:v>
                </c:pt>
                <c:pt idx="2738">
                  <c:v>1.4040430827462815</c:v>
                </c:pt>
                <c:pt idx="2739">
                  <c:v>1.4116842718182299</c:v>
                </c:pt>
                <c:pt idx="2740">
                  <c:v>1.4815240687868509</c:v>
                </c:pt>
                <c:pt idx="2741">
                  <c:v>1.491277001007981</c:v>
                </c:pt>
                <c:pt idx="2742">
                  <c:v>1.5582222347100183</c:v>
                </c:pt>
                <c:pt idx="2743">
                  <c:v>1.55701226628843</c:v>
                </c:pt>
                <c:pt idx="2744">
                  <c:v>1.6212866867221052</c:v>
                </c:pt>
                <c:pt idx="2745">
                  <c:v>1.5793273338502163</c:v>
                </c:pt>
                <c:pt idx="2746">
                  <c:v>1.5509905015898402</c:v>
                </c:pt>
                <c:pt idx="2747">
                  <c:v>1.5687577165060524</c:v>
                </c:pt>
                <c:pt idx="2748">
                  <c:v>1.5323508159636818</c:v>
                </c:pt>
                <c:pt idx="2749">
                  <c:v>1.5315097588826412</c:v>
                </c:pt>
                <c:pt idx="2750">
                  <c:v>1.6086014821573063</c:v>
                </c:pt>
                <c:pt idx="2751">
                  <c:v>1.5534255388350386</c:v>
                </c:pt>
                <c:pt idx="2752">
                  <c:v>1.5387571194355529</c:v>
                </c:pt>
                <c:pt idx="2753">
                  <c:v>1.5752739799228153</c:v>
                </c:pt>
                <c:pt idx="2754">
                  <c:v>1.6038911811954539</c:v>
                </c:pt>
                <c:pt idx="2755">
                  <c:v>1.6456153581528374</c:v>
                </c:pt>
                <c:pt idx="2756">
                  <c:v>1.6202138476531267</c:v>
                </c:pt>
                <c:pt idx="2757">
                  <c:v>1.694026802477312</c:v>
                </c:pt>
                <c:pt idx="2758">
                  <c:v>1.684697364383035</c:v>
                </c:pt>
                <c:pt idx="2759">
                  <c:v>1.683516882190935</c:v>
                </c:pt>
                <c:pt idx="2760">
                  <c:v>1.6795643023643698</c:v>
                </c:pt>
                <c:pt idx="2761">
                  <c:v>1.6489359283246812</c:v>
                </c:pt>
                <c:pt idx="2762">
                  <c:v>1.6290187509274665</c:v>
                </c:pt>
                <c:pt idx="2763">
                  <c:v>1.646429604965493</c:v>
                </c:pt>
                <c:pt idx="2764">
                  <c:v>1.6825553530660573</c:v>
                </c:pt>
                <c:pt idx="2765">
                  <c:v>1.6998728762224937</c:v>
                </c:pt>
                <c:pt idx="2766">
                  <c:v>1.6985858937952749</c:v>
                </c:pt>
                <c:pt idx="2767">
                  <c:v>1.6840406956974305</c:v>
                </c:pt>
                <c:pt idx="2768">
                  <c:v>1.685417655347565</c:v>
                </c:pt>
                <c:pt idx="2769">
                  <c:v>1.673671882974116</c:v>
                </c:pt>
                <c:pt idx="2770">
                  <c:v>1.6512741583695385</c:v>
                </c:pt>
                <c:pt idx="2771">
                  <c:v>1.6553106588121105</c:v>
                </c:pt>
                <c:pt idx="2772">
                  <c:v>1.6487888353951994</c:v>
                </c:pt>
                <c:pt idx="2773">
                  <c:v>1.6370046638274414</c:v>
                </c:pt>
                <c:pt idx="2774">
                  <c:v>1.5912376678478373</c:v>
                </c:pt>
                <c:pt idx="2775">
                  <c:v>1.5769038104710069</c:v>
                </c:pt>
                <c:pt idx="2776">
                  <c:v>1.5809748585115744</c:v>
                </c:pt>
                <c:pt idx="2777">
                  <c:v>1.5220580969919957</c:v>
                </c:pt>
                <c:pt idx="2778">
                  <c:v>1.5707427572882426</c:v>
                </c:pt>
                <c:pt idx="2779">
                  <c:v>1.4965828035352313</c:v>
                </c:pt>
                <c:pt idx="2780">
                  <c:v>1.5085388949975855</c:v>
                </c:pt>
                <c:pt idx="2781">
                  <c:v>1.5230896694804967</c:v>
                </c:pt>
                <c:pt idx="2782">
                  <c:v>1.488018166458468</c:v>
                </c:pt>
                <c:pt idx="2783">
                  <c:v>1.5156056332890901</c:v>
                </c:pt>
                <c:pt idx="2784">
                  <c:v>1.4731875958572278</c:v>
                </c:pt>
                <c:pt idx="2785">
                  <c:v>1.4408840954184385</c:v>
                </c:pt>
                <c:pt idx="2786">
                  <c:v>1.4710031873191525</c:v>
                </c:pt>
                <c:pt idx="2787">
                  <c:v>1.4699134104933287</c:v>
                </c:pt>
                <c:pt idx="2788">
                  <c:v>1.4766105400004716</c:v>
                </c:pt>
                <c:pt idx="2789">
                  <c:v>1.4733384434724695</c:v>
                </c:pt>
                <c:pt idx="2790">
                  <c:v>1.4722509648313804</c:v>
                </c:pt>
                <c:pt idx="2791">
                  <c:v>1.4737506177529112</c:v>
                </c:pt>
                <c:pt idx="2792">
                  <c:v>1.4700808164914763</c:v>
                </c:pt>
                <c:pt idx="2793">
                  <c:v>1.4973970492643496</c:v>
                </c:pt>
                <c:pt idx="2794">
                  <c:v>1.4907133369674408</c:v>
                </c:pt>
                <c:pt idx="2795">
                  <c:v>1.4930811047908867</c:v>
                </c:pt>
                <c:pt idx="2796">
                  <c:v>1.464507894927747</c:v>
                </c:pt>
                <c:pt idx="2797">
                  <c:v>1.4565667233698845</c:v>
                </c:pt>
                <c:pt idx="2798">
                  <c:v>1.4714101922310825</c:v>
                </c:pt>
                <c:pt idx="2799">
                  <c:v>1.4815082891364815</c:v>
                </c:pt>
                <c:pt idx="2800">
                  <c:v>1.5791933754799996</c:v>
                </c:pt>
                <c:pt idx="2801">
                  <c:v>1.6073040363132081</c:v>
                </c:pt>
                <c:pt idx="2802">
                  <c:v>1.6070768704628493</c:v>
                </c:pt>
                <c:pt idx="2803">
                  <c:v>1.5960983493168608</c:v>
                </c:pt>
                <c:pt idx="2804">
                  <c:v>1.6447786769180135</c:v>
                </c:pt>
                <c:pt idx="2805">
                  <c:v>1.6960188789233697</c:v>
                </c:pt>
                <c:pt idx="2806">
                  <c:v>1.6571804541719508</c:v>
                </c:pt>
                <c:pt idx="2807">
                  <c:v>1.6286445898934974</c:v>
                </c:pt>
                <c:pt idx="2808">
                  <c:v>1.6125241652780629</c:v>
                </c:pt>
                <c:pt idx="2809">
                  <c:v>1.632868183074083</c:v>
                </c:pt>
                <c:pt idx="2810">
                  <c:v>1.6454932106007982</c:v>
                </c:pt>
                <c:pt idx="2811">
                  <c:v>1.6709682781340403</c:v>
                </c:pt>
                <c:pt idx="2812">
                  <c:v>1.6947627830971499</c:v>
                </c:pt>
                <c:pt idx="2813">
                  <c:v>1.6760794709383049</c:v>
                </c:pt>
                <c:pt idx="2814">
                  <c:v>1.6886752980332098</c:v>
                </c:pt>
                <c:pt idx="2815">
                  <c:v>1.6961355488476704</c:v>
                </c:pt>
                <c:pt idx="2816">
                  <c:v>1.6907654331073261</c:v>
                </c:pt>
                <c:pt idx="2817">
                  <c:v>1.7059191651592089</c:v>
                </c:pt>
                <c:pt idx="2818">
                  <c:v>1.7308411003729296</c:v>
                </c:pt>
                <c:pt idx="2819">
                  <c:v>1.7331614242425224</c:v>
                </c:pt>
                <c:pt idx="2820">
                  <c:v>1.7201001697660407</c:v>
                </c:pt>
                <c:pt idx="2821">
                  <c:v>1.6865375735263943</c:v>
                </c:pt>
                <c:pt idx="2822">
                  <c:v>1.652984417624608</c:v>
                </c:pt>
                <c:pt idx="2823">
                  <c:v>1.6830275243423918</c:v>
                </c:pt>
                <c:pt idx="2824">
                  <c:v>1.680229634509582</c:v>
                </c:pt>
                <c:pt idx="2825">
                  <c:v>1.6851154281907965</c:v>
                </c:pt>
                <c:pt idx="2826">
                  <c:v>1.6899998487763397</c:v>
                </c:pt>
                <c:pt idx="2827">
                  <c:v>1.64879846762562</c:v>
                </c:pt>
                <c:pt idx="2828">
                  <c:v>1.6327487902471045</c:v>
                </c:pt>
                <c:pt idx="2829">
                  <c:v>1.6248430947036903</c:v>
                </c:pt>
                <c:pt idx="2830">
                  <c:v>1.688576184495536</c:v>
                </c:pt>
                <c:pt idx="2831">
                  <c:v>1.7139200363451044</c:v>
                </c:pt>
                <c:pt idx="2832">
                  <c:v>1.6932176237075054</c:v>
                </c:pt>
                <c:pt idx="2833">
                  <c:v>1.7129581684031736</c:v>
                </c:pt>
                <c:pt idx="2834">
                  <c:v>1.7459497093547207</c:v>
                </c:pt>
                <c:pt idx="2835">
                  <c:v>1.750816690798928</c:v>
                </c:pt>
                <c:pt idx="2836">
                  <c:v>1.7071263190045896</c:v>
                </c:pt>
                <c:pt idx="2837">
                  <c:v>1.701776499596789</c:v>
                </c:pt>
                <c:pt idx="2838">
                  <c:v>1.6959526217004215</c:v>
                </c:pt>
                <c:pt idx="2839">
                  <c:v>1.7493444812006533</c:v>
                </c:pt>
                <c:pt idx="2840">
                  <c:v>1.754206213037155</c:v>
                </c:pt>
                <c:pt idx="2841">
                  <c:v>1.7590665825603424</c:v>
                </c:pt>
                <c:pt idx="2842">
                  <c:v>1.7562674474034807</c:v>
                </c:pt>
                <c:pt idx="2843">
                  <c:v>1.7708395230733711</c:v>
                </c:pt>
                <c:pt idx="2844">
                  <c:v>1.7731428766452906</c:v>
                </c:pt>
                <c:pt idx="2845">
                  <c:v>1.8086076436798333</c:v>
                </c:pt>
                <c:pt idx="2846">
                  <c:v>1.8313096302362095</c:v>
                </c:pt>
                <c:pt idx="2847">
                  <c:v>1.8106516319325938</c:v>
                </c:pt>
                <c:pt idx="2848">
                  <c:v>1.7894986082994107</c:v>
                </c:pt>
                <c:pt idx="2849">
                  <c:v>1.8121873909451935</c:v>
                </c:pt>
                <c:pt idx="2850">
                  <c:v>1.8068370940155574</c:v>
                </c:pt>
                <c:pt idx="2851">
                  <c:v>1.7836517756097856</c:v>
                </c:pt>
                <c:pt idx="2852">
                  <c:v>1.7706638112285977</c:v>
                </c:pt>
                <c:pt idx="2853">
                  <c:v>1.7745187521291588</c:v>
                </c:pt>
                <c:pt idx="2854">
                  <c:v>1.8200913425225811</c:v>
                </c:pt>
                <c:pt idx="2855">
                  <c:v>1.7994753068881841</c:v>
                </c:pt>
                <c:pt idx="2856">
                  <c:v>1.7885449535816542</c:v>
                </c:pt>
                <c:pt idx="2857">
                  <c:v>1.7959266941777232</c:v>
                </c:pt>
                <c:pt idx="2858">
                  <c:v>1.8083932750344283</c:v>
                </c:pt>
                <c:pt idx="2859">
                  <c:v>1.7903392302910248</c:v>
                </c:pt>
                <c:pt idx="2860">
                  <c:v>1.7900894084868164</c:v>
                </c:pt>
                <c:pt idx="2861">
                  <c:v>1.7893403612171941</c:v>
                </c:pt>
                <c:pt idx="2862">
                  <c:v>1.7992561068168746</c:v>
                </c:pt>
                <c:pt idx="2863">
                  <c:v>1.7964642479885604</c:v>
                </c:pt>
                <c:pt idx="2864">
                  <c:v>1.7860513269980258</c:v>
                </c:pt>
                <c:pt idx="2865">
                  <c:v>1.8137451999399814</c:v>
                </c:pt>
                <c:pt idx="2866">
                  <c:v>1.7520462550875542</c:v>
                </c:pt>
                <c:pt idx="2867">
                  <c:v>1.7721129009014758</c:v>
                </c:pt>
                <c:pt idx="2868">
                  <c:v>1.7845584858575907</c:v>
                </c:pt>
                <c:pt idx="2869">
                  <c:v>1.7614666935736405</c:v>
                </c:pt>
                <c:pt idx="2870">
                  <c:v>1.791674775456658</c:v>
                </c:pt>
                <c:pt idx="2871">
                  <c:v>1.7856045082057295</c:v>
                </c:pt>
                <c:pt idx="2872">
                  <c:v>1.7853560059175564</c:v>
                </c:pt>
                <c:pt idx="2873">
                  <c:v>1.7343942894699691</c:v>
                </c:pt>
                <c:pt idx="2874">
                  <c:v>1.6758408196145007</c:v>
                </c:pt>
                <c:pt idx="2875">
                  <c:v>1.7511692345336118</c:v>
                </c:pt>
                <c:pt idx="2876">
                  <c:v>1.735722320740537</c:v>
                </c:pt>
                <c:pt idx="2877">
                  <c:v>1.7253468000494734</c:v>
                </c:pt>
                <c:pt idx="2878">
                  <c:v>1.7529721145250994</c:v>
                </c:pt>
                <c:pt idx="2879">
                  <c:v>1.7223343237426256</c:v>
                </c:pt>
                <c:pt idx="2880">
                  <c:v>1.7519978981304727</c:v>
                </c:pt>
                <c:pt idx="2881">
                  <c:v>1.7441602017292495</c:v>
                </c:pt>
                <c:pt idx="2882">
                  <c:v>1.6932962283934705</c:v>
                </c:pt>
                <c:pt idx="2883">
                  <c:v>1.6702844573152176</c:v>
                </c:pt>
                <c:pt idx="2884">
                  <c:v>1.6877651988056657</c:v>
                </c:pt>
                <c:pt idx="2885">
                  <c:v>1.7072970306191138</c:v>
                </c:pt>
                <c:pt idx="2886">
                  <c:v>1.6994731521660085</c:v>
                </c:pt>
                <c:pt idx="2887">
                  <c:v>1.7219949687410212</c:v>
                </c:pt>
                <c:pt idx="2888">
                  <c:v>1.7166994982093049</c:v>
                </c:pt>
                <c:pt idx="2889">
                  <c:v>1.7316289001274068</c:v>
                </c:pt>
                <c:pt idx="2890">
                  <c:v>1.7076930661756631</c:v>
                </c:pt>
                <c:pt idx="2891">
                  <c:v>1.7074563621300092</c:v>
                </c:pt>
                <c:pt idx="2892">
                  <c:v>1.6617612103417398</c:v>
                </c:pt>
                <c:pt idx="2893">
                  <c:v>1.6459240407668745</c:v>
                </c:pt>
                <c:pt idx="2894">
                  <c:v>1.6557923513819353</c:v>
                </c:pt>
                <c:pt idx="2895">
                  <c:v>1.6197394119386626</c:v>
                </c:pt>
                <c:pt idx="2896">
                  <c:v>1.6143981654171278</c:v>
                </c:pt>
                <c:pt idx="2897">
                  <c:v>1.6499883413106249</c:v>
                </c:pt>
                <c:pt idx="2898">
                  <c:v>1.5981620825008467</c:v>
                </c:pt>
                <c:pt idx="2899">
                  <c:v>1.5851574010139051</c:v>
                </c:pt>
                <c:pt idx="2900">
                  <c:v>1.6053888907910485</c:v>
                </c:pt>
                <c:pt idx="2901">
                  <c:v>1.5770508192021111</c:v>
                </c:pt>
                <c:pt idx="2902">
                  <c:v>1.5972778333510458</c:v>
                </c:pt>
                <c:pt idx="2903">
                  <c:v>1.6068336262049827</c:v>
                </c:pt>
                <c:pt idx="2904">
                  <c:v>1.6193826438498753</c:v>
                </c:pt>
                <c:pt idx="2905">
                  <c:v>1.6012816534412557</c:v>
                </c:pt>
                <c:pt idx="2906">
                  <c:v>1.590846242245588</c:v>
                </c:pt>
                <c:pt idx="2907">
                  <c:v>1.5804137151683706</c:v>
                </c:pt>
                <c:pt idx="2908">
                  <c:v>1.5925193711007637</c:v>
                </c:pt>
                <c:pt idx="2909">
                  <c:v>1.6152652810666013</c:v>
                </c:pt>
                <c:pt idx="2910">
                  <c:v>1.6788274611499281</c:v>
                </c:pt>
                <c:pt idx="2911">
                  <c:v>1.7041062301351313</c:v>
                </c:pt>
                <c:pt idx="2912">
                  <c:v>1.703870968942212</c:v>
                </c:pt>
                <c:pt idx="2913">
                  <c:v>1.6878676805654558</c:v>
                </c:pt>
                <c:pt idx="2914">
                  <c:v>1.6697897089416514</c:v>
                </c:pt>
                <c:pt idx="2915">
                  <c:v>1.6772061810394578</c:v>
                </c:pt>
                <c:pt idx="2916">
                  <c:v>1.6565860735112283</c:v>
                </c:pt>
                <c:pt idx="2917">
                  <c:v>1.6002962596013437</c:v>
                </c:pt>
                <c:pt idx="2918">
                  <c:v>1.5588793682189548</c:v>
                </c:pt>
                <c:pt idx="2919">
                  <c:v>1.5892265313972938</c:v>
                </c:pt>
                <c:pt idx="2920">
                  <c:v>1.5966469519494906</c:v>
                </c:pt>
                <c:pt idx="2921">
                  <c:v>1.6422573589155696</c:v>
                </c:pt>
                <c:pt idx="2922">
                  <c:v>1.6878551966424971</c:v>
                </c:pt>
                <c:pt idx="2923">
                  <c:v>1.6693446515879722</c:v>
                </c:pt>
                <c:pt idx="2924">
                  <c:v>1.6640259961854373</c:v>
                </c:pt>
                <c:pt idx="2925">
                  <c:v>1.6968692841335851</c:v>
                </c:pt>
                <c:pt idx="2926">
                  <c:v>1.6890046221035431</c:v>
                </c:pt>
                <c:pt idx="2927">
                  <c:v>1.6658821362807597</c:v>
                </c:pt>
                <c:pt idx="2928">
                  <c:v>1.682990433682976</c:v>
                </c:pt>
                <c:pt idx="2929">
                  <c:v>1.6471718408548137</c:v>
                </c:pt>
                <c:pt idx="2930">
                  <c:v>1.6367789243669157</c:v>
                </c:pt>
                <c:pt idx="2931">
                  <c:v>1.6136827037983057</c:v>
                </c:pt>
                <c:pt idx="2932">
                  <c:v>1.5931337189171384</c:v>
                </c:pt>
                <c:pt idx="2933">
                  <c:v>1.6026360492891571</c:v>
                </c:pt>
                <c:pt idx="2934">
                  <c:v>1.5897183389334257</c:v>
                </c:pt>
                <c:pt idx="2935">
                  <c:v>1.6047346879322024</c:v>
                </c:pt>
                <c:pt idx="2936">
                  <c:v>1.5968978157799605</c:v>
                </c:pt>
                <c:pt idx="2937">
                  <c:v>1.5941399759729857</c:v>
                </c:pt>
                <c:pt idx="2938">
                  <c:v>1.6112449375516391</c:v>
                </c:pt>
                <c:pt idx="2939">
                  <c:v>1.611023687614292</c:v>
                </c:pt>
                <c:pt idx="2940">
                  <c:v>1.5930456204955186</c:v>
                </c:pt>
                <c:pt idx="2941">
                  <c:v>1.5725361407646286</c:v>
                </c:pt>
                <c:pt idx="2942">
                  <c:v>1.5748562955631202</c:v>
                </c:pt>
                <c:pt idx="2943">
                  <c:v>1.5843478966039921</c:v>
                </c:pt>
                <c:pt idx="2944">
                  <c:v>1.5815959401035042</c:v>
                </c:pt>
                <c:pt idx="2945">
                  <c:v>1.5763104773322036</c:v>
                </c:pt>
                <c:pt idx="2946">
                  <c:v>1.5760942916322038</c:v>
                </c:pt>
                <c:pt idx="2947">
                  <c:v>1.5961466946785974</c:v>
                </c:pt>
                <c:pt idx="2948">
                  <c:v>1.5828277145196614</c:v>
                </c:pt>
                <c:pt idx="2949">
                  <c:v>1.468662807328402</c:v>
                </c:pt>
                <c:pt idx="2950">
                  <c:v>1.4684615507556205</c:v>
                </c:pt>
                <c:pt idx="2951">
                  <c:v>1.4302880989194322</c:v>
                </c:pt>
                <c:pt idx="2952">
                  <c:v>1.4756526127094303</c:v>
                </c:pt>
                <c:pt idx="2953">
                  <c:v>1.4295046439694712</c:v>
                </c:pt>
                <c:pt idx="2954">
                  <c:v>1.429308914321578</c:v>
                </c:pt>
                <c:pt idx="2955">
                  <c:v>1.4291132382654665</c:v>
                </c:pt>
                <c:pt idx="2956">
                  <c:v>1.4339757312332142</c:v>
                </c:pt>
                <c:pt idx="2957">
                  <c:v>1.4489517395391978</c:v>
                </c:pt>
                <c:pt idx="2958">
                  <c:v>1.4382463560375729</c:v>
                </c:pt>
                <c:pt idx="2959">
                  <c:v>1.4329949620755145</c:v>
                </c:pt>
                <c:pt idx="2960">
                  <c:v>1.4378529338315273</c:v>
                </c:pt>
                <c:pt idx="2961">
                  <c:v>1.4307804690520212</c:v>
                </c:pt>
                <c:pt idx="2962">
                  <c:v>1.4356399026643043</c:v>
                </c:pt>
                <c:pt idx="2963">
                  <c:v>1.4502102333676405</c:v>
                </c:pt>
                <c:pt idx="2964">
                  <c:v>1.4500120485834143</c:v>
                </c:pt>
                <c:pt idx="2965">
                  <c:v>1.4624429590566002</c:v>
                </c:pt>
                <c:pt idx="2966">
                  <c:v>1.4622431571656551</c:v>
                </c:pt>
                <c:pt idx="2967">
                  <c:v>1.4556477701518526</c:v>
                </c:pt>
                <c:pt idx="2968">
                  <c:v>1.4857379740677537</c:v>
                </c:pt>
                <c:pt idx="2969">
                  <c:v>1.4727508327084025</c:v>
                </c:pt>
                <c:pt idx="2970">
                  <c:v>1.4802193174807985</c:v>
                </c:pt>
                <c:pt idx="2971">
                  <c:v>1.4646803135334472</c:v>
                </c:pt>
                <c:pt idx="2972">
                  <c:v>1.4644804244446317</c:v>
                </c:pt>
                <c:pt idx="2973">
                  <c:v>1.4459977203646284</c:v>
                </c:pt>
                <c:pt idx="2974">
                  <c:v>1.44835490643396</c:v>
                </c:pt>
                <c:pt idx="2975">
                  <c:v>1.4430492411978959</c:v>
                </c:pt>
                <c:pt idx="2976">
                  <c:v>1.4402987441129553</c:v>
                </c:pt>
                <c:pt idx="2977">
                  <c:v>1.452869235027032</c:v>
                </c:pt>
                <c:pt idx="2978">
                  <c:v>1.4763900165290509</c:v>
                </c:pt>
                <c:pt idx="2979">
                  <c:v>1.4659908260753447</c:v>
                </c:pt>
                <c:pt idx="2980">
                  <c:v>1.481086488878715</c:v>
                </c:pt>
                <c:pt idx="2981">
                  <c:v>1.4757872004536643</c:v>
                </c:pt>
                <c:pt idx="2982">
                  <c:v>1.4730378627260801</c:v>
                </c:pt>
                <c:pt idx="2983">
                  <c:v>1.4851740846658856</c:v>
                </c:pt>
                <c:pt idx="2984">
                  <c:v>1.4671422343679559</c:v>
                </c:pt>
                <c:pt idx="2985">
                  <c:v>1.4491152883838863</c:v>
                </c:pt>
                <c:pt idx="2986">
                  <c:v>1.4336396739741857</c:v>
                </c:pt>
                <c:pt idx="2987">
                  <c:v>1.4487212642733263</c:v>
                </c:pt>
                <c:pt idx="2988">
                  <c:v>1.4404954945800921</c:v>
                </c:pt>
                <c:pt idx="2989">
                  <c:v>1.44029976085713</c:v>
                </c:pt>
                <c:pt idx="2990">
                  <c:v>1.4451927873169135</c:v>
                </c:pt>
                <c:pt idx="2991">
                  <c:v>1.4348204372101963</c:v>
                </c:pt>
                <c:pt idx="2992">
                  <c:v>1.4193635800734183</c:v>
                </c:pt>
                <c:pt idx="2993">
                  <c:v>1.4060723330054472</c:v>
                </c:pt>
                <c:pt idx="2994">
                  <c:v>1.3931700526443271</c:v>
                </c:pt>
                <c:pt idx="2995">
                  <c:v>1.3929809550317969</c:v>
                </c:pt>
                <c:pt idx="2996">
                  <c:v>1.3927919087454548</c:v>
                </c:pt>
                <c:pt idx="2997">
                  <c:v>1.3849791751854046</c:v>
                </c:pt>
                <c:pt idx="2998">
                  <c:v>1.3691743274515593</c:v>
                </c:pt>
                <c:pt idx="2999">
                  <c:v>1.3689886380481511</c:v>
                </c:pt>
                <c:pt idx="3000">
                  <c:v>1.3586449062478507</c:v>
                </c:pt>
                <c:pt idx="3001">
                  <c:v>1.3660782314323205</c:v>
                </c:pt>
                <c:pt idx="3002">
                  <c:v>1.3658930372748332</c:v>
                </c:pt>
                <c:pt idx="3003">
                  <c:v>1.3627999534325528</c:v>
                </c:pt>
                <c:pt idx="3004">
                  <c:v>1.3524654691627118</c:v>
                </c:pt>
                <c:pt idx="3005">
                  <c:v>1.3218368657662318</c:v>
                </c:pt>
                <c:pt idx="3006">
                  <c:v>1.3292681285994832</c:v>
                </c:pt>
                <c:pt idx="3007">
                  <c:v>1.3214788125065238</c:v>
                </c:pt>
                <c:pt idx="3008">
                  <c:v>1.2829111337119254</c:v>
                </c:pt>
                <c:pt idx="3009">
                  <c:v>1.2751323102925243</c:v>
                </c:pt>
                <c:pt idx="3010">
                  <c:v>1.3307233721670988</c:v>
                </c:pt>
                <c:pt idx="3011">
                  <c:v>1.317871447468572</c:v>
                </c:pt>
                <c:pt idx="3012">
                  <c:v>1.3100910512329258</c:v>
                </c:pt>
                <c:pt idx="3013">
                  <c:v>1.2968944786510102</c:v>
                </c:pt>
                <c:pt idx="3014">
                  <c:v>1.2891211280303421</c:v>
                </c:pt>
                <c:pt idx="3015">
                  <c:v>1.2838821916185621</c:v>
                </c:pt>
                <c:pt idx="3016">
                  <c:v>1.2837086111065528</c:v>
                </c:pt>
                <c:pt idx="3017">
                  <c:v>1.3189778607300702</c:v>
                </c:pt>
                <c:pt idx="3018">
                  <c:v>1.3108513702756552</c:v>
                </c:pt>
                <c:pt idx="3019">
                  <c:v>1.3207953000443013</c:v>
                </c:pt>
                <c:pt idx="3020">
                  <c:v>1.2978476171877096</c:v>
                </c:pt>
                <c:pt idx="3021">
                  <c:v>1.2824948604899447</c:v>
                </c:pt>
                <c:pt idx="3022">
                  <c:v>1.2873801229501112</c:v>
                </c:pt>
                <c:pt idx="3023">
                  <c:v>1.2969715768640404</c:v>
                </c:pt>
                <c:pt idx="3024">
                  <c:v>1.314491589790918</c:v>
                </c:pt>
                <c:pt idx="3025">
                  <c:v>1.3218967645302186</c:v>
                </c:pt>
                <c:pt idx="3026">
                  <c:v>1.339408685493493</c:v>
                </c:pt>
                <c:pt idx="3027">
                  <c:v>1.306378976512881</c:v>
                </c:pt>
                <c:pt idx="3028">
                  <c:v>1.3058503966491273</c:v>
                </c:pt>
                <c:pt idx="3029">
                  <c:v>1.3183017094118932</c:v>
                </c:pt>
                <c:pt idx="3030">
                  <c:v>1.3155988143566437</c:v>
                </c:pt>
                <c:pt idx="3031">
                  <c:v>1.3457190642958561</c:v>
                </c:pt>
                <c:pt idx="3032">
                  <c:v>1.3581599675459608</c:v>
                </c:pt>
                <c:pt idx="3033">
                  <c:v>1.3576109546662334</c:v>
                </c:pt>
                <c:pt idx="3034">
                  <c:v>1.3574280489948323</c:v>
                </c:pt>
                <c:pt idx="3035">
                  <c:v>1.3723817560873974</c:v>
                </c:pt>
                <c:pt idx="3036">
                  <c:v>1.367152068628553</c:v>
                </c:pt>
                <c:pt idx="3037">
                  <c:v>1.3795783573964331</c:v>
                </c:pt>
                <c:pt idx="3038">
                  <c:v>1.438993247885747</c:v>
                </c:pt>
                <c:pt idx="3039">
                  <c:v>1.4258642043948988</c:v>
                </c:pt>
                <c:pt idx="3040">
                  <c:v>1.4026718372123885</c:v>
                </c:pt>
                <c:pt idx="3041">
                  <c:v>1.4298432330833133</c:v>
                </c:pt>
                <c:pt idx="3042">
                  <c:v>1.4835769482341123</c:v>
                </c:pt>
                <c:pt idx="3043">
                  <c:v>1.4805149734851955</c:v>
                </c:pt>
                <c:pt idx="3044">
                  <c:v>1.4824806194963425</c:v>
                </c:pt>
                <c:pt idx="3045">
                  <c:v>1.5271445796857936</c:v>
                </c:pt>
                <c:pt idx="3046">
                  <c:v>1.4989616749173045</c:v>
                </c:pt>
                <c:pt idx="3047">
                  <c:v>1.4446342358154476</c:v>
                </c:pt>
                <c:pt idx="3048">
                  <c:v>1.4340731574312393</c:v>
                </c:pt>
                <c:pt idx="3049">
                  <c:v>1.4485818327284823</c:v>
                </c:pt>
                <c:pt idx="3050">
                  <c:v>1.4505534497466417</c:v>
                </c:pt>
                <c:pt idx="3051">
                  <c:v>1.4400018593164112</c:v>
                </c:pt>
                <c:pt idx="3052">
                  <c:v>1.4484190630321068</c:v>
                </c:pt>
                <c:pt idx="3053">
                  <c:v>1.4478864474297501</c:v>
                </c:pt>
                <c:pt idx="3054">
                  <c:v>1.4748514538886188</c:v>
                </c:pt>
                <c:pt idx="3055">
                  <c:v>1.4568177092482346</c:v>
                </c:pt>
                <c:pt idx="3056">
                  <c:v>1.483759625703476</c:v>
                </c:pt>
                <c:pt idx="3057">
                  <c:v>1.4796312335508577</c:v>
                </c:pt>
                <c:pt idx="3058">
                  <c:v>1.4316978423449518</c:v>
                </c:pt>
                <c:pt idx="3059">
                  <c:v>1.4112262588069451</c:v>
                </c:pt>
                <c:pt idx="3060">
                  <c:v>1.4057241940133673</c:v>
                </c:pt>
                <c:pt idx="3061">
                  <c:v>1.4176667002255661</c:v>
                </c:pt>
                <c:pt idx="3062">
                  <c:v>1.4061551383390858</c:v>
                </c:pt>
                <c:pt idx="3063">
                  <c:v>1.3558835190729193</c:v>
                </c:pt>
                <c:pt idx="3064">
                  <c:v>1.3081356188040476</c:v>
                </c:pt>
                <c:pt idx="3065">
                  <c:v>1.3076574021279186</c:v>
                </c:pt>
                <c:pt idx="3066">
                  <c:v>1.2674174198363599</c:v>
                </c:pt>
                <c:pt idx="3067">
                  <c:v>1.26602945560644</c:v>
                </c:pt>
                <c:pt idx="3068">
                  <c:v>1.3077530587004633</c:v>
                </c:pt>
                <c:pt idx="3069">
                  <c:v>1.3221596262529907</c:v>
                </c:pt>
                <c:pt idx="3070">
                  <c:v>1.3133658040348963</c:v>
                </c:pt>
                <c:pt idx="3071">
                  <c:v>1.3301956724512407</c:v>
                </c:pt>
                <c:pt idx="3072">
                  <c:v>1.3410953096286953</c:v>
                </c:pt>
                <c:pt idx="3073">
                  <c:v>1.3233261807657077</c:v>
                </c:pt>
                <c:pt idx="3074">
                  <c:v>1.3154419338608236</c:v>
                </c:pt>
                <c:pt idx="3075">
                  <c:v>1.3075634075458222</c:v>
                </c:pt>
                <c:pt idx="3076">
                  <c:v>1.3021568016606615</c:v>
                </c:pt>
                <c:pt idx="3077">
                  <c:v>1.3007416422194293</c:v>
                </c:pt>
                <c:pt idx="3078">
                  <c:v>1.297807971976829</c:v>
                </c:pt>
                <c:pt idx="3079">
                  <c:v>1.3096468792254452</c:v>
                </c:pt>
                <c:pt idx="3080">
                  <c:v>1.3165555153905668</c:v>
                </c:pt>
                <c:pt idx="3081">
                  <c:v>1.3308390371027459</c:v>
                </c:pt>
                <c:pt idx="3082">
                  <c:v>1.3293963647105609</c:v>
                </c:pt>
                <c:pt idx="3083">
                  <c:v>1.2969828781692687</c:v>
                </c:pt>
                <c:pt idx="3084">
                  <c:v>1.3161587195356075</c:v>
                </c:pt>
                <c:pt idx="3085">
                  <c:v>1.3205929157210765</c:v>
                </c:pt>
                <c:pt idx="3086">
                  <c:v>1.2759489522872571</c:v>
                </c:pt>
                <c:pt idx="3087">
                  <c:v>1.2623137985177253</c:v>
                </c:pt>
                <c:pt idx="3088">
                  <c:v>1.2594087720475393</c:v>
                </c:pt>
                <c:pt idx="3089">
                  <c:v>1.2393605343650422</c:v>
                </c:pt>
                <c:pt idx="3090">
                  <c:v>1.2242236276515632</c:v>
                </c:pt>
                <c:pt idx="3091">
                  <c:v>1.2152165319572861</c:v>
                </c:pt>
                <c:pt idx="3092">
                  <c:v>1.1906790303601726</c:v>
                </c:pt>
                <c:pt idx="3093">
                  <c:v>1.1902511049749245</c:v>
                </c:pt>
                <c:pt idx="3094">
                  <c:v>1.1653917932889459</c:v>
                </c:pt>
                <c:pt idx="3095">
                  <c:v>1.1698578407647506</c:v>
                </c:pt>
                <c:pt idx="3096">
                  <c:v>1.1694378512613384</c:v>
                </c:pt>
                <c:pt idx="3097">
                  <c:v>1.16817969016465</c:v>
                </c:pt>
                <c:pt idx="3098">
                  <c:v>1.1677609045236912</c:v>
                </c:pt>
                <c:pt idx="3099">
                  <c:v>1.1649053784987806</c:v>
                </c:pt>
                <c:pt idx="3100">
                  <c:v>1.1822832538432571</c:v>
                </c:pt>
                <c:pt idx="3101">
                  <c:v>1.2037467781651843</c:v>
                </c:pt>
                <c:pt idx="3102">
                  <c:v>1.2422115540287764</c:v>
                </c:pt>
                <c:pt idx="3103">
                  <c:v>1.2466278079927386</c:v>
                </c:pt>
                <c:pt idx="3104">
                  <c:v>1.234036467353897</c:v>
                </c:pt>
                <c:pt idx="3105">
                  <c:v>1.2096626898112401</c:v>
                </c:pt>
                <c:pt idx="3106">
                  <c:v>1.1764837135654767</c:v>
                </c:pt>
                <c:pt idx="3107">
                  <c:v>1.1930383294141749</c:v>
                </c:pt>
                <c:pt idx="3108">
                  <c:v>1.224125205334855</c:v>
                </c:pt>
                <c:pt idx="3109">
                  <c:v>1.1873418231604895</c:v>
                </c:pt>
                <c:pt idx="3110">
                  <c:v>1.1969664640643034</c:v>
                </c:pt>
                <c:pt idx="3111">
                  <c:v>1.1953307159593836</c:v>
                </c:pt>
                <c:pt idx="3112">
                  <c:v>1.1816019457600566</c:v>
                </c:pt>
                <c:pt idx="3113">
                  <c:v>1.1739278811767071</c:v>
                </c:pt>
                <c:pt idx="3114">
                  <c:v>1.1880133308293532</c:v>
                </c:pt>
                <c:pt idx="3115">
                  <c:v>1.2088276438500289</c:v>
                </c:pt>
                <c:pt idx="3116">
                  <c:v>1.1698073156997317</c:v>
                </c:pt>
                <c:pt idx="3117">
                  <c:v>1.1573369625626164</c:v>
                </c:pt>
                <c:pt idx="3118">
                  <c:v>1.1500858635062756</c:v>
                </c:pt>
                <c:pt idx="3119">
                  <c:v>1.1532902295732239</c:v>
                </c:pt>
                <c:pt idx="3120">
                  <c:v>1.1540854755419756</c:v>
                </c:pt>
                <c:pt idx="3121">
                  <c:v>1.1548801587926494</c:v>
                </c:pt>
                <c:pt idx="3122">
                  <c:v>1.1580794293081995</c:v>
                </c:pt>
                <c:pt idx="3123">
                  <c:v>1.1736701775753242</c:v>
                </c:pt>
                <c:pt idx="3124">
                  <c:v>1.1732556648436732</c:v>
                </c:pt>
                <c:pt idx="3125">
                  <c:v>1.1704405411268606</c:v>
                </c:pt>
                <c:pt idx="3126">
                  <c:v>1.1616272636529361</c:v>
                </c:pt>
                <c:pt idx="3127">
                  <c:v>1.1588182288339632</c:v>
                </c:pt>
                <c:pt idx="3128">
                  <c:v>1.1731713970160909</c:v>
                </c:pt>
                <c:pt idx="3129">
                  <c:v>1.1727580822534587</c:v>
                </c:pt>
                <c:pt idx="3130">
                  <c:v>1.166357596619443</c:v>
                </c:pt>
                <c:pt idx="3131">
                  <c:v>1.1683411133528812</c:v>
                </c:pt>
                <c:pt idx="3132">
                  <c:v>1.1727165330010556</c:v>
                </c:pt>
                <c:pt idx="3133">
                  <c:v>1.1762612336894098</c:v>
                </c:pt>
                <c:pt idx="3134">
                  <c:v>1.1662881112057488</c:v>
                </c:pt>
                <c:pt idx="3135">
                  <c:v>1.1575165436610024</c:v>
                </c:pt>
                <c:pt idx="3136">
                  <c:v>1.1571100331328079</c:v>
                </c:pt>
                <c:pt idx="3137">
                  <c:v>1.1567038080308494</c:v>
                </c:pt>
                <c:pt idx="3138">
                  <c:v>1.1650264653323015</c:v>
                </c:pt>
                <c:pt idx="3139">
                  <c:v>1.1693861739110474</c:v>
                </c:pt>
                <c:pt idx="3140">
                  <c:v>1.1738420242667029</c:v>
                </c:pt>
                <c:pt idx="3141">
                  <c:v>1.1746467817699608</c:v>
                </c:pt>
                <c:pt idx="3142">
                  <c:v>1.1535708126701958</c:v>
                </c:pt>
                <c:pt idx="3143">
                  <c:v>1.1535744041186993</c:v>
                </c:pt>
                <c:pt idx="3144">
                  <c:v>1.153170978197682</c:v>
                </c:pt>
                <c:pt idx="3145">
                  <c:v>1.1527678343487626</c:v>
                </c:pt>
                <c:pt idx="3146">
                  <c:v>1.1402348146733035</c:v>
                </c:pt>
                <c:pt idx="3147">
                  <c:v>1.1252853678772741</c:v>
                </c:pt>
                <c:pt idx="3148">
                  <c:v>1.1007079834923121</c:v>
                </c:pt>
                <c:pt idx="3149">
                  <c:v>1.0954822095529544</c:v>
                </c:pt>
                <c:pt idx="3150">
                  <c:v>1.0951003015689074</c:v>
                </c:pt>
                <c:pt idx="3151">
                  <c:v>1.0753645177230069</c:v>
                </c:pt>
                <c:pt idx="3152">
                  <c:v>1.0210730970065527</c:v>
                </c:pt>
                <c:pt idx="3153">
                  <c:v>1.0038064490188445</c:v>
                </c:pt>
                <c:pt idx="3154">
                  <c:v>0.96964639827247112</c:v>
                </c:pt>
                <c:pt idx="3155">
                  <c:v>0.95240964478179191</c:v>
                </c:pt>
                <c:pt idx="3156">
                  <c:v>0.97138558093011729</c:v>
                </c:pt>
                <c:pt idx="3157">
                  <c:v>0.97037352606787142</c:v>
                </c:pt>
                <c:pt idx="3158">
                  <c:v>0.96521658506557451</c:v>
                </c:pt>
                <c:pt idx="3159">
                  <c:v>0.9335621056383816</c:v>
                </c:pt>
                <c:pt idx="3160">
                  <c:v>0.95611761593092692</c:v>
                </c:pt>
                <c:pt idx="3161">
                  <c:v>0.94856346289805193</c:v>
                </c:pt>
                <c:pt idx="3162">
                  <c:v>0.97283028442078967</c:v>
                </c:pt>
                <c:pt idx="3163">
                  <c:v>0.97008918081016748</c:v>
                </c:pt>
                <c:pt idx="3164">
                  <c:v>0.95292985132442753</c:v>
                </c:pt>
                <c:pt idx="3165">
                  <c:v>0.94899627121724173</c:v>
                </c:pt>
                <c:pt idx="3166">
                  <c:v>0.9498687949136434</c:v>
                </c:pt>
                <c:pt idx="3167">
                  <c:v>0.93568834125605538</c:v>
                </c:pt>
                <c:pt idx="3168">
                  <c:v>0.95695041871185027</c:v>
                </c:pt>
                <c:pt idx="3169">
                  <c:v>0.9590174603922188</c:v>
                </c:pt>
                <c:pt idx="3170">
                  <c:v>0.96228143272574274</c:v>
                </c:pt>
                <c:pt idx="3171">
                  <c:v>0.95116781977050069</c:v>
                </c:pt>
                <c:pt idx="3172">
                  <c:v>1.0028390371459679</c:v>
                </c:pt>
                <c:pt idx="3173">
                  <c:v>1.0970005374898231</c:v>
                </c:pt>
                <c:pt idx="3174">
                  <c:v>1.1157566709755029</c:v>
                </c:pt>
                <c:pt idx="3175">
                  <c:v>1.1117859774797796</c:v>
                </c:pt>
                <c:pt idx="3176">
                  <c:v>1.1675708778677656</c:v>
                </c:pt>
                <c:pt idx="3177">
                  <c:v>1.1377143607228566</c:v>
                </c:pt>
                <c:pt idx="3178">
                  <c:v>1.1158417393653519</c:v>
                </c:pt>
                <c:pt idx="3179">
                  <c:v>1.109493198310284</c:v>
                </c:pt>
                <c:pt idx="3180">
                  <c:v>1.1079193939857783</c:v>
                </c:pt>
                <c:pt idx="3181">
                  <c:v>1.0753498890523816</c:v>
                </c:pt>
                <c:pt idx="3182">
                  <c:v>1.0539967074505014</c:v>
                </c:pt>
                <c:pt idx="3183">
                  <c:v>1.0857799880554875</c:v>
                </c:pt>
                <c:pt idx="3184">
                  <c:v>1.086597832404357</c:v>
                </c:pt>
                <c:pt idx="3185">
                  <c:v>1.0886048481698725</c:v>
                </c:pt>
                <c:pt idx="3186">
                  <c:v>1.0941784617797417</c:v>
                </c:pt>
                <c:pt idx="3187">
                  <c:v>1.0811738309084189</c:v>
                </c:pt>
                <c:pt idx="3188">
                  <c:v>1.0796161791590464</c:v>
                </c:pt>
                <c:pt idx="3189">
                  <c:v>1.0471900452188154</c:v>
                </c:pt>
                <c:pt idx="3190">
                  <c:v>1.0587008067615979</c:v>
                </c:pt>
                <c:pt idx="3191">
                  <c:v>1.0595253914796388</c:v>
                </c:pt>
                <c:pt idx="3192">
                  <c:v>1.0667368192321385</c:v>
                </c:pt>
                <c:pt idx="3193">
                  <c:v>0.98817201337997285</c:v>
                </c:pt>
                <c:pt idx="3194">
                  <c:v>0.97835917095336766</c:v>
                </c:pt>
                <c:pt idx="3195">
                  <c:v>0.96973707356087369</c:v>
                </c:pt>
                <c:pt idx="3196">
                  <c:v>0.96822273490226318</c:v>
                </c:pt>
                <c:pt idx="3197">
                  <c:v>0.96959809298462585</c:v>
                </c:pt>
                <c:pt idx="3198">
                  <c:v>0.97636010263217732</c:v>
                </c:pt>
                <c:pt idx="3199">
                  <c:v>0.97602771854960946</c:v>
                </c:pt>
                <c:pt idx="3200">
                  <c:v>0.96388326577457772</c:v>
                </c:pt>
                <c:pt idx="3201">
                  <c:v>0.96473618010684781</c:v>
                </c:pt>
                <c:pt idx="3202">
                  <c:v>0.95549520758325668</c:v>
                </c:pt>
                <c:pt idx="3203">
                  <c:v>0.95045369783671219</c:v>
                </c:pt>
                <c:pt idx="3204">
                  <c:v>0.92773327561839669</c:v>
                </c:pt>
                <c:pt idx="3205">
                  <c:v>0.91092039209878128</c:v>
                </c:pt>
                <c:pt idx="3206">
                  <c:v>0.90236507695111767</c:v>
                </c:pt>
                <c:pt idx="3207">
                  <c:v>0.87908758749294647</c:v>
                </c:pt>
                <c:pt idx="3208">
                  <c:v>0.85643755757604578</c:v>
                </c:pt>
                <c:pt idx="3209">
                  <c:v>0.87496380791526074</c:v>
                </c:pt>
                <c:pt idx="3210">
                  <c:v>0.88642373868412583</c:v>
                </c:pt>
                <c:pt idx="3211">
                  <c:v>0.87907222511244143</c:v>
                </c:pt>
                <c:pt idx="3212">
                  <c:v>0.8805282777368495</c:v>
                </c:pt>
                <c:pt idx="3213">
                  <c:v>0.94250535911283284</c:v>
                </c:pt>
                <c:pt idx="3214">
                  <c:v>1.0008489787294719</c:v>
                </c:pt>
                <c:pt idx="3215">
                  <c:v>0.98854295828798877</c:v>
                </c:pt>
                <c:pt idx="3216">
                  <c:v>0.99060179928993219</c:v>
                </c:pt>
                <c:pt idx="3217">
                  <c:v>1.0012128024320663</c:v>
                </c:pt>
                <c:pt idx="3218">
                  <c:v>0.97937666385177891</c:v>
                </c:pt>
                <c:pt idx="3219">
                  <c:v>0.98024047142638526</c:v>
                </c:pt>
                <c:pt idx="3220">
                  <c:v>0.98707148085549856</c:v>
                </c:pt>
                <c:pt idx="3221">
                  <c:v>0.98970405930126537</c:v>
                </c:pt>
                <c:pt idx="3222">
                  <c:v>0.99293921678804808</c:v>
                </c:pt>
                <c:pt idx="3223">
                  <c:v>0.97239720972133115</c:v>
                </c:pt>
                <c:pt idx="3224">
                  <c:v>0.90552330615258847</c:v>
                </c:pt>
                <c:pt idx="3225">
                  <c:v>0.92185091757522442</c:v>
                </c:pt>
                <c:pt idx="3226">
                  <c:v>0.90786992331353689</c:v>
                </c:pt>
                <c:pt idx="3227">
                  <c:v>0.90163402188796871</c:v>
                </c:pt>
                <c:pt idx="3228">
                  <c:v>0.90133211313236739</c:v>
                </c:pt>
                <c:pt idx="3229">
                  <c:v>0.87494794735972148</c:v>
                </c:pt>
                <c:pt idx="3230">
                  <c:v>0.87702550962135728</c:v>
                </c:pt>
                <c:pt idx="3231">
                  <c:v>0.83352265834365702</c:v>
                </c:pt>
                <c:pt idx="3232">
                  <c:v>0.74329162623541645</c:v>
                </c:pt>
                <c:pt idx="3233">
                  <c:v>0.70991399985258663</c:v>
                </c:pt>
                <c:pt idx="3234">
                  <c:v>0.69193499982624895</c:v>
                </c:pt>
                <c:pt idx="3235">
                  <c:v>0.67633280403876495</c:v>
                </c:pt>
                <c:pt idx="3236">
                  <c:v>0.66738760162478128</c:v>
                </c:pt>
                <c:pt idx="3237">
                  <c:v>0.63882534158574855</c:v>
                </c:pt>
                <c:pt idx="3238">
                  <c:v>0.65986016480985032</c:v>
                </c:pt>
                <c:pt idx="3239">
                  <c:v>0.67144068080469155</c:v>
                </c:pt>
                <c:pt idx="3240">
                  <c:v>0.70188777587639473</c:v>
                </c:pt>
                <c:pt idx="3241">
                  <c:v>0.66936858281774403</c:v>
                </c:pt>
                <c:pt idx="3242">
                  <c:v>0.66561171679784614</c:v>
                </c:pt>
                <c:pt idx="3243">
                  <c:v>0.66774575973447148</c:v>
                </c:pt>
                <c:pt idx="3244">
                  <c:v>0.66987838396965149</c:v>
                </c:pt>
                <c:pt idx="3245">
                  <c:v>0.66259439524803521</c:v>
                </c:pt>
                <c:pt idx="3246">
                  <c:v>0.66663744793863577</c:v>
                </c:pt>
                <c:pt idx="3247">
                  <c:v>0.66171487788258476</c:v>
                </c:pt>
                <c:pt idx="3248">
                  <c:v>0.67206988948380042</c:v>
                </c:pt>
                <c:pt idx="3249">
                  <c:v>0.71413109144057796</c:v>
                </c:pt>
                <c:pt idx="3250">
                  <c:v>0.74911939548343731</c:v>
                </c:pt>
                <c:pt idx="3251">
                  <c:v>0.73781808494175671</c:v>
                </c:pt>
                <c:pt idx="3252">
                  <c:v>0.74109165045901082</c:v>
                </c:pt>
                <c:pt idx="3253">
                  <c:v>0.74319082381503498</c:v>
                </c:pt>
                <c:pt idx="3254">
                  <c:v>0.75231963271966451</c:v>
                </c:pt>
                <c:pt idx="3255">
                  <c:v>0.73801340593113907</c:v>
                </c:pt>
                <c:pt idx="3256">
                  <c:v>0.73260068682202872</c:v>
                </c:pt>
                <c:pt idx="3257">
                  <c:v>0.75575674194612985</c:v>
                </c:pt>
                <c:pt idx="3258">
                  <c:v>0.79293169397334018</c:v>
                </c:pt>
                <c:pt idx="3259">
                  <c:v>0.79150082271554834</c:v>
                </c:pt>
                <c:pt idx="3260">
                  <c:v>0.79708335936049923</c:v>
                </c:pt>
                <c:pt idx="3261">
                  <c:v>0.8056357688554362</c:v>
                </c:pt>
                <c:pt idx="3262">
                  <c:v>0.79953425551968871</c:v>
                </c:pt>
                <c:pt idx="3263">
                  <c:v>0.77126720576517471</c:v>
                </c:pt>
                <c:pt idx="3264">
                  <c:v>0.74885094700844401</c:v>
                </c:pt>
                <c:pt idx="3265">
                  <c:v>0.74277415489443122</c:v>
                </c:pt>
                <c:pt idx="3266">
                  <c:v>0.71291876298043833</c:v>
                </c:pt>
                <c:pt idx="3267">
                  <c:v>0.70919081088739078</c:v>
                </c:pt>
                <c:pt idx="3268">
                  <c:v>0.72176318785859606</c:v>
                </c:pt>
                <c:pt idx="3269">
                  <c:v>0.75643858459653057</c:v>
                </c:pt>
                <c:pt idx="3270">
                  <c:v>0.75386338061895619</c:v>
                </c:pt>
                <c:pt idx="3271">
                  <c:v>0.72871454676675407</c:v>
                </c:pt>
                <c:pt idx="3272">
                  <c:v>0.72847550212425294</c:v>
                </c:pt>
                <c:pt idx="3273">
                  <c:v>0.72126784283251066</c:v>
                </c:pt>
                <c:pt idx="3274">
                  <c:v>0.7163870714908841</c:v>
                </c:pt>
                <c:pt idx="3275">
                  <c:v>0.7022238939300306</c:v>
                </c:pt>
                <c:pt idx="3276">
                  <c:v>0.70617242972185046</c:v>
                </c:pt>
                <c:pt idx="3277">
                  <c:v>0.70594131041466912</c:v>
                </c:pt>
                <c:pt idx="3278">
                  <c:v>0.70571034234153551</c:v>
                </c:pt>
                <c:pt idx="3279">
                  <c:v>0.6950537195606481</c:v>
                </c:pt>
                <c:pt idx="3280">
                  <c:v>0.70524885930403702</c:v>
                </c:pt>
                <c:pt idx="3281">
                  <c:v>0.69486563532576839</c:v>
                </c:pt>
                <c:pt idx="3282">
                  <c:v>0.69350011447256321</c:v>
                </c:pt>
                <c:pt idx="3283">
                  <c:v>0.70369026588067995</c:v>
                </c:pt>
                <c:pt idx="3284">
                  <c:v>0.74923158449979155</c:v>
                </c:pt>
                <c:pt idx="3285">
                  <c:v>0.76631721482414805</c:v>
                </c:pt>
                <c:pt idx="3286">
                  <c:v>0.7880075302509375</c:v>
                </c:pt>
                <c:pt idx="3287">
                  <c:v>0.77969645716545788</c:v>
                </c:pt>
                <c:pt idx="3288">
                  <c:v>0.79560443606462117</c:v>
                </c:pt>
                <c:pt idx="3289">
                  <c:v>0.7776064156019229</c:v>
                </c:pt>
                <c:pt idx="3290">
                  <c:v>0.80731584766823739</c:v>
                </c:pt>
                <c:pt idx="3291">
                  <c:v>0.8324021513839589</c:v>
                </c:pt>
                <c:pt idx="3292">
                  <c:v>0.8114345392640937</c:v>
                </c:pt>
                <c:pt idx="3293">
                  <c:v>0.80428702739261881</c:v>
                </c:pt>
                <c:pt idx="3294">
                  <c:v>0.82655462352823172</c:v>
                </c:pt>
                <c:pt idx="3295">
                  <c:v>0.81711266476214295</c:v>
                </c:pt>
                <c:pt idx="3296">
                  <c:v>0.80422967175456517</c:v>
                </c:pt>
                <c:pt idx="3297">
                  <c:v>0.80973128533616578</c:v>
                </c:pt>
                <c:pt idx="3298">
                  <c:v>0.831304550275484</c:v>
                </c:pt>
                <c:pt idx="3299">
                  <c:v>0.84891246939596721</c:v>
                </c:pt>
                <c:pt idx="3300">
                  <c:v>0.85897980987663802</c:v>
                </c:pt>
                <c:pt idx="3301">
                  <c:v>0.83693934056007846</c:v>
                </c:pt>
                <c:pt idx="3302">
                  <c:v>0.85502728300205233</c:v>
                </c:pt>
                <c:pt idx="3303">
                  <c:v>0.85935472782602851</c:v>
                </c:pt>
                <c:pt idx="3304">
                  <c:v>0.86136120128919069</c:v>
                </c:pt>
                <c:pt idx="3305">
                  <c:v>0.86909870891251084</c:v>
                </c:pt>
                <c:pt idx="3306">
                  <c:v>0.8882486819363492</c:v>
                </c:pt>
                <c:pt idx="3307">
                  <c:v>0.89711493356188554</c:v>
                </c:pt>
                <c:pt idx="3308">
                  <c:v>0.86718096475691131</c:v>
                </c:pt>
                <c:pt idx="3309">
                  <c:v>0.9017469255020184</c:v>
                </c:pt>
                <c:pt idx="3310">
                  <c:v>0.93794803934631021</c:v>
                </c:pt>
                <c:pt idx="3311">
                  <c:v>0.93311171691641837</c:v>
                </c:pt>
                <c:pt idx="3312">
                  <c:v>0.952197097448089</c:v>
                </c:pt>
                <c:pt idx="3313">
                  <c:v>0.95874594596107143</c:v>
                </c:pt>
                <c:pt idx="3314">
                  <c:v>0.95675401773220536</c:v>
                </c:pt>
                <c:pt idx="3315">
                  <c:v>0.99172625376008428</c:v>
                </c:pt>
                <c:pt idx="3316">
                  <c:v>0.97324045926208536</c:v>
                </c:pt>
                <c:pt idx="3317">
                  <c:v>0.94339937858141576</c:v>
                </c:pt>
                <c:pt idx="3318">
                  <c:v>0.96584527727235847</c:v>
                </c:pt>
                <c:pt idx="3319">
                  <c:v>0.97747450725013807</c:v>
                </c:pt>
                <c:pt idx="3320">
                  <c:v>0.97945475310373753</c:v>
                </c:pt>
                <c:pt idx="3321">
                  <c:v>0.98256843134155969</c:v>
                </c:pt>
                <c:pt idx="3322">
                  <c:v>0.95845779549875232</c:v>
                </c:pt>
                <c:pt idx="3323">
                  <c:v>0.92415603149179126</c:v>
                </c:pt>
                <c:pt idx="3324">
                  <c:v>0.92107011796243754</c:v>
                </c:pt>
                <c:pt idx="3325">
                  <c:v>0.96270368354901048</c:v>
                </c:pt>
                <c:pt idx="3326">
                  <c:v>0.94543523081559921</c:v>
                </c:pt>
                <c:pt idx="3327">
                  <c:v>0.92704506142067911</c:v>
                </c:pt>
                <c:pt idx="3328">
                  <c:v>0.91998164569461682</c:v>
                </c:pt>
                <c:pt idx="3329">
                  <c:v>0.93273401853623827</c:v>
                </c:pt>
                <c:pt idx="3330">
                  <c:v>0.91889574298888732</c:v>
                </c:pt>
                <c:pt idx="3331">
                  <c:v>0.90845539097590511</c:v>
                </c:pt>
                <c:pt idx="3332">
                  <c:v>0.91157623391230702</c:v>
                </c:pt>
                <c:pt idx="3333">
                  <c:v>0.82887197986003924</c:v>
                </c:pt>
                <c:pt idx="3334">
                  <c:v>0.81347218489554607</c:v>
                </c:pt>
                <c:pt idx="3335">
                  <c:v>0.83240732827292652</c:v>
                </c:pt>
                <c:pt idx="3336">
                  <c:v>0.824269135148886</c:v>
                </c:pt>
                <c:pt idx="3337">
                  <c:v>0.83191736245359771</c:v>
                </c:pt>
                <c:pt idx="3338">
                  <c:v>0.82829181287082443</c:v>
                </c:pt>
                <c:pt idx="3339">
                  <c:v>0.81517608570150779</c:v>
                </c:pt>
                <c:pt idx="3340">
                  <c:v>0.8183133353898524</c:v>
                </c:pt>
                <c:pt idx="3341">
                  <c:v>0.82144874170717508</c:v>
                </c:pt>
                <c:pt idx="3342">
                  <c:v>0.80995806346511312</c:v>
                </c:pt>
                <c:pt idx="3343">
                  <c:v>0.81799661031198245</c:v>
                </c:pt>
                <c:pt idx="3344">
                  <c:v>0.82674305333718756</c:v>
                </c:pt>
                <c:pt idx="3345">
                  <c:v>0.82537770197551119</c:v>
                </c:pt>
                <c:pt idx="3346">
                  <c:v>0.82625841842109005</c:v>
                </c:pt>
                <c:pt idx="3347">
                  <c:v>0.86193006675081552</c:v>
                </c:pt>
                <c:pt idx="3348">
                  <c:v>0.88023548661440387</c:v>
                </c:pt>
                <c:pt idx="3349">
                  <c:v>0.86876795897477965</c:v>
                </c:pt>
                <c:pt idx="3350">
                  <c:v>0.89989233312915218</c:v>
                </c:pt>
                <c:pt idx="3351">
                  <c:v>0.9052307914301444</c:v>
                </c:pt>
                <c:pt idx="3352">
                  <c:v>0.90496608997402506</c:v>
                </c:pt>
                <c:pt idx="3353">
                  <c:v>0.9041729136180584</c:v>
                </c:pt>
                <c:pt idx="3354">
                  <c:v>0.89831533514759188</c:v>
                </c:pt>
                <c:pt idx="3355">
                  <c:v>0.9070000185776278</c:v>
                </c:pt>
                <c:pt idx="3356">
                  <c:v>0.89331871289931875</c:v>
                </c:pt>
                <c:pt idx="3357">
                  <c:v>0.90311750545058667</c:v>
                </c:pt>
                <c:pt idx="3358">
                  <c:v>0.91237824315253258</c:v>
                </c:pt>
                <c:pt idx="3359">
                  <c:v>0.90764664095231573</c:v>
                </c:pt>
                <c:pt idx="3360">
                  <c:v>0.85256763100370281</c:v>
                </c:pt>
                <c:pt idx="3361">
                  <c:v>0.86011863745706141</c:v>
                </c:pt>
                <c:pt idx="3362">
                  <c:v>0.85764087837822089</c:v>
                </c:pt>
                <c:pt idx="3363">
                  <c:v>0.85405106441247769</c:v>
                </c:pt>
                <c:pt idx="3364">
                  <c:v>0.85157650895886738</c:v>
                </c:pt>
                <c:pt idx="3365">
                  <c:v>0.8508346783618842</c:v>
                </c:pt>
                <c:pt idx="3366">
                  <c:v>0.83835701597841861</c:v>
                </c:pt>
                <c:pt idx="3367">
                  <c:v>0.83922527567968985</c:v>
                </c:pt>
                <c:pt idx="3368">
                  <c:v>0.84231549991483534</c:v>
                </c:pt>
                <c:pt idx="3369">
                  <c:v>0.82985116542925863</c:v>
                </c:pt>
                <c:pt idx="3370">
                  <c:v>0.83911924154449635</c:v>
                </c:pt>
                <c:pt idx="3371">
                  <c:v>0.84664351840139773</c:v>
                </c:pt>
                <c:pt idx="3372">
                  <c:v>0.83308667678679671</c:v>
                </c:pt>
                <c:pt idx="3373">
                  <c:v>0.81621073957385137</c:v>
                </c:pt>
                <c:pt idx="3374">
                  <c:v>0.82484377457846225</c:v>
                </c:pt>
                <c:pt idx="3375">
                  <c:v>0.83077433548449608</c:v>
                </c:pt>
                <c:pt idx="3376">
                  <c:v>0.84271531270174749</c:v>
                </c:pt>
                <c:pt idx="3377">
                  <c:v>0.86239879879932924</c:v>
                </c:pt>
                <c:pt idx="3378">
                  <c:v>0.87321699858263813</c:v>
                </c:pt>
                <c:pt idx="3379">
                  <c:v>0.88845462519297547</c:v>
                </c:pt>
                <c:pt idx="3380">
                  <c:v>0.88989628243347485</c:v>
                </c:pt>
                <c:pt idx="3381">
                  <c:v>0.88742923420288755</c:v>
                </c:pt>
                <c:pt idx="3382">
                  <c:v>0.88385878572509025</c:v>
                </c:pt>
                <c:pt idx="3383">
                  <c:v>0.8981811327000776</c:v>
                </c:pt>
                <c:pt idx="3384">
                  <c:v>0.8915461433336338</c:v>
                </c:pt>
                <c:pt idx="3385">
                  <c:v>0.93383841460186268</c:v>
                </c:pt>
                <c:pt idx="3386">
                  <c:v>0.93468898068177386</c:v>
                </c:pt>
                <c:pt idx="3387">
                  <c:v>0.93665812305950036</c:v>
                </c:pt>
                <c:pt idx="3388">
                  <c:v>0.94533859578660751</c:v>
                </c:pt>
                <c:pt idx="3389">
                  <c:v>0.9121077768058472</c:v>
                </c:pt>
                <c:pt idx="3390">
                  <c:v>0.90625837355540484</c:v>
                </c:pt>
                <c:pt idx="3391">
                  <c:v>0.91940365832673077</c:v>
                </c:pt>
                <c:pt idx="3392">
                  <c:v>0.92919094416525871</c:v>
                </c:pt>
                <c:pt idx="3393">
                  <c:v>0.93339013280710614</c:v>
                </c:pt>
                <c:pt idx="3394">
                  <c:v>0.90916060494762774</c:v>
                </c:pt>
                <c:pt idx="3395">
                  <c:v>0.89217164440886143</c:v>
                </c:pt>
                <c:pt idx="3396">
                  <c:v>0.89191584790319245</c:v>
                </c:pt>
                <c:pt idx="3397">
                  <c:v>0.89611849902562135</c:v>
                </c:pt>
                <c:pt idx="3398">
                  <c:v>0.89363320641625954</c:v>
                </c:pt>
                <c:pt idx="3399">
                  <c:v>0.89286566008076163</c:v>
                </c:pt>
                <c:pt idx="3400">
                  <c:v>0.89594904475771386</c:v>
                </c:pt>
                <c:pt idx="3401">
                  <c:v>0.90014332660197283</c:v>
                </c:pt>
                <c:pt idx="3402">
                  <c:v>0.90211052198590647</c:v>
                </c:pt>
                <c:pt idx="3403">
                  <c:v>0.90630064289267387</c:v>
                </c:pt>
                <c:pt idx="3404">
                  <c:v>0.89441305221666945</c:v>
                </c:pt>
                <c:pt idx="3405">
                  <c:v>0.89415756533771606</c:v>
                </c:pt>
                <c:pt idx="3406">
                  <c:v>0.89057091173804959</c:v>
                </c:pt>
                <c:pt idx="3407">
                  <c:v>0.88587618547275471</c:v>
                </c:pt>
                <c:pt idx="3408">
                  <c:v>0.8711959056715336</c:v>
                </c:pt>
                <c:pt idx="3409">
                  <c:v>0.87045061813361546</c:v>
                </c:pt>
                <c:pt idx="3410">
                  <c:v>0.88350493041497324</c:v>
                </c:pt>
                <c:pt idx="3411">
                  <c:v>0.87660380130064008</c:v>
                </c:pt>
                <c:pt idx="3412">
                  <c:v>0.87856985667955645</c:v>
                </c:pt>
                <c:pt idx="3413">
                  <c:v>0.88385756486022293</c:v>
                </c:pt>
                <c:pt idx="3414">
                  <c:v>0.87978301595416863</c:v>
                </c:pt>
                <c:pt idx="3415">
                  <c:v>0.90055298768473058</c:v>
                </c:pt>
                <c:pt idx="3416">
                  <c:v>0.89919082866919697</c:v>
                </c:pt>
                <c:pt idx="3417">
                  <c:v>0.88566673016090125</c:v>
                </c:pt>
                <c:pt idx="3418">
                  <c:v>0.87878264239524195</c:v>
                </c:pt>
                <c:pt idx="3419">
                  <c:v>0.86919829311974539</c:v>
                </c:pt>
                <c:pt idx="3420">
                  <c:v>0.87999280423580029</c:v>
                </c:pt>
                <c:pt idx="3421">
                  <c:v>0.89409264123978538</c:v>
                </c:pt>
                <c:pt idx="3422">
                  <c:v>0.88611437903904366</c:v>
                </c:pt>
                <c:pt idx="3423">
                  <c:v>0.85497361671219141</c:v>
                </c:pt>
                <c:pt idx="3424">
                  <c:v>0.77819106056069165</c:v>
                </c:pt>
                <c:pt idx="3425">
                  <c:v>0.75372782807052308</c:v>
                </c:pt>
                <c:pt idx="3426">
                  <c:v>0.76012407095719159</c:v>
                </c:pt>
                <c:pt idx="3427">
                  <c:v>0.77202327617178823</c:v>
                </c:pt>
                <c:pt idx="3428">
                  <c:v>0.74978458012534621</c:v>
                </c:pt>
                <c:pt idx="3429">
                  <c:v>0.745848025449242</c:v>
                </c:pt>
                <c:pt idx="3430">
                  <c:v>0.71044477393452132</c:v>
                </c:pt>
                <c:pt idx="3431">
                  <c:v>0.70914445399469794</c:v>
                </c:pt>
                <c:pt idx="3432">
                  <c:v>0.71004314514317579</c:v>
                </c:pt>
                <c:pt idx="3433">
                  <c:v>0.71313898318876057</c:v>
                </c:pt>
                <c:pt idx="3434">
                  <c:v>0.74437394173019977</c:v>
                </c:pt>
                <c:pt idx="3435">
                  <c:v>0.75623728838952042</c:v>
                </c:pt>
                <c:pt idx="3436">
                  <c:v>0.7527320610177477</c:v>
                </c:pt>
                <c:pt idx="3437">
                  <c:v>0.75581061638620028</c:v>
                </c:pt>
                <c:pt idx="3438">
                  <c:v>0.74901751202003408</c:v>
                </c:pt>
                <c:pt idx="3439">
                  <c:v>0.72975690025774997</c:v>
                </c:pt>
                <c:pt idx="3440">
                  <c:v>0.74926892775347731</c:v>
                </c:pt>
                <c:pt idx="3441">
                  <c:v>0.75015302861335231</c:v>
                </c:pt>
                <c:pt idx="3442">
                  <c:v>0.75760546515608829</c:v>
                </c:pt>
                <c:pt idx="3443">
                  <c:v>0.77380968594637656</c:v>
                </c:pt>
                <c:pt idx="3444">
                  <c:v>0.75784679592246218</c:v>
                </c:pt>
                <c:pt idx="3445">
                  <c:v>0.74560779498377339</c:v>
                </c:pt>
                <c:pt idx="3446">
                  <c:v>0.78146588224339275</c:v>
                </c:pt>
                <c:pt idx="3447">
                  <c:v>0.79763607888760812</c:v>
                </c:pt>
                <c:pt idx="3448">
                  <c:v>0.80833546457511862</c:v>
                </c:pt>
                <c:pt idx="3449">
                  <c:v>0.80219769459892332</c:v>
                </c:pt>
                <c:pt idx="3450">
                  <c:v>0.80415483793906817</c:v>
                </c:pt>
                <c:pt idx="3451">
                  <c:v>0.81483738807191497</c:v>
                </c:pt>
                <c:pt idx="3452">
                  <c:v>0.83641901851330402</c:v>
                </c:pt>
                <c:pt idx="3453">
                  <c:v>0.87687464703594153</c:v>
                </c:pt>
                <c:pt idx="3454">
                  <c:v>0.87440695271692159</c:v>
                </c:pt>
                <c:pt idx="3455">
                  <c:v>0.87082988823523089</c:v>
                </c:pt>
                <c:pt idx="3456">
                  <c:v>0.86059217701827295</c:v>
                </c:pt>
                <c:pt idx="3457">
                  <c:v>0.86146150311640368</c:v>
                </c:pt>
                <c:pt idx="3458">
                  <c:v>0.86739416397075109</c:v>
                </c:pt>
                <c:pt idx="3459">
                  <c:v>0.85273616153078524</c:v>
                </c:pt>
                <c:pt idx="3460">
                  <c:v>0.8314348716504838</c:v>
                </c:pt>
                <c:pt idx="3461">
                  <c:v>0.83120261546234486</c:v>
                </c:pt>
                <c:pt idx="3462">
                  <c:v>0.81767496117268179</c:v>
                </c:pt>
                <c:pt idx="3463">
                  <c:v>0.81588345547607155</c:v>
                </c:pt>
                <c:pt idx="3464">
                  <c:v>0.78976576589955361</c:v>
                </c:pt>
                <c:pt idx="3465">
                  <c:v>0.78292038757779514</c:v>
                </c:pt>
                <c:pt idx="3466">
                  <c:v>0.78491044119024467</c:v>
                </c:pt>
                <c:pt idx="3467">
                  <c:v>0.79462490755820991</c:v>
                </c:pt>
                <c:pt idx="3468">
                  <c:v>0.78955141675416951</c:v>
                </c:pt>
                <c:pt idx="3469">
                  <c:v>0.78492234876291644</c:v>
                </c:pt>
                <c:pt idx="3470">
                  <c:v>0.7825000781784921</c:v>
                </c:pt>
                <c:pt idx="3471">
                  <c:v>0.77346831271464866</c:v>
                </c:pt>
                <c:pt idx="3472">
                  <c:v>0.80629859315807939</c:v>
                </c:pt>
                <c:pt idx="3473">
                  <c:v>0.80232582334035063</c:v>
                </c:pt>
                <c:pt idx="3474">
                  <c:v>0.80540415133766674</c:v>
                </c:pt>
                <c:pt idx="3475">
                  <c:v>0.82498037998521612</c:v>
                </c:pt>
                <c:pt idx="3476">
                  <c:v>0.83464873593302891</c:v>
                </c:pt>
                <c:pt idx="3477">
                  <c:v>0.80803271388921372</c:v>
                </c:pt>
                <c:pt idx="3478">
                  <c:v>0.81505071422706776</c:v>
                </c:pt>
                <c:pt idx="3479">
                  <c:v>0.81262882039900119</c:v>
                </c:pt>
                <c:pt idx="3480">
                  <c:v>0.80471905102224572</c:v>
                </c:pt>
                <c:pt idx="3481">
                  <c:v>0.79242350005348683</c:v>
                </c:pt>
                <c:pt idx="3482">
                  <c:v>0.79659328909460292</c:v>
                </c:pt>
                <c:pt idx="3483">
                  <c:v>0.80251087123691001</c:v>
                </c:pt>
                <c:pt idx="3484">
                  <c:v>0.80886531275587192</c:v>
                </c:pt>
                <c:pt idx="3485">
                  <c:v>0.80754619901722247</c:v>
                </c:pt>
                <c:pt idx="3486">
                  <c:v>0.79855988612888273</c:v>
                </c:pt>
                <c:pt idx="3487">
                  <c:v>0.78848341833369517</c:v>
                </c:pt>
                <c:pt idx="3488">
                  <c:v>0.76704104209000312</c:v>
                </c:pt>
                <c:pt idx="3489">
                  <c:v>0.75917219419929705</c:v>
                </c:pt>
                <c:pt idx="3490">
                  <c:v>0.73380997993018116</c:v>
                </c:pt>
                <c:pt idx="3491">
                  <c:v>0.72048810064808577</c:v>
                </c:pt>
                <c:pt idx="3492">
                  <c:v>0.69842952993877927</c:v>
                </c:pt>
                <c:pt idx="3493">
                  <c:v>0.70986587805181267</c:v>
                </c:pt>
                <c:pt idx="3494">
                  <c:v>0.74460815418067727</c:v>
                </c:pt>
                <c:pt idx="3495">
                  <c:v>0.73021379414636955</c:v>
                </c:pt>
                <c:pt idx="3496">
                  <c:v>0.71255375150226619</c:v>
                </c:pt>
                <c:pt idx="3497">
                  <c:v>0.71235782369916989</c:v>
                </c:pt>
                <c:pt idx="3498">
                  <c:v>0.7292107030524293</c:v>
                </c:pt>
                <c:pt idx="3499">
                  <c:v>0.72792071378138223</c:v>
                </c:pt>
                <c:pt idx="3500">
                  <c:v>0.71464800601175682</c:v>
                </c:pt>
                <c:pt idx="3501">
                  <c:v>0.70682810226393744</c:v>
                </c:pt>
                <c:pt idx="3502">
                  <c:v>0.67179237809972814</c:v>
                </c:pt>
                <c:pt idx="3503">
                  <c:v>0.67885509989001314</c:v>
                </c:pt>
                <c:pt idx="3504">
                  <c:v>0.69172032787856275</c:v>
                </c:pt>
                <c:pt idx="3505">
                  <c:v>0.68174494150914799</c:v>
                </c:pt>
                <c:pt idx="3506">
                  <c:v>0.68481919654988155</c:v>
                </c:pt>
                <c:pt idx="3507">
                  <c:v>0.69332535170573284</c:v>
                </c:pt>
                <c:pt idx="3508">
                  <c:v>0.69709938908165603</c:v>
                </c:pt>
                <c:pt idx="3509">
                  <c:v>0.69148101721671573</c:v>
                </c:pt>
                <c:pt idx="3510">
                  <c:v>0.69237710242075723</c:v>
                </c:pt>
                <c:pt idx="3511">
                  <c:v>0.69001789613778608</c:v>
                </c:pt>
                <c:pt idx="3512">
                  <c:v>0.68549070542337953</c:v>
                </c:pt>
                <c:pt idx="3513">
                  <c:v>0.67517521824358651</c:v>
                </c:pt>
                <c:pt idx="3514">
                  <c:v>0.71724547873135791</c:v>
                </c:pt>
                <c:pt idx="3515">
                  <c:v>0.7495443584066287</c:v>
                </c:pt>
                <c:pt idx="3516">
                  <c:v>0.7395940297137219</c:v>
                </c:pt>
                <c:pt idx="3517">
                  <c:v>0.74155735145301549</c:v>
                </c:pt>
                <c:pt idx="3518">
                  <c:v>0.75068593332877454</c:v>
                </c:pt>
                <c:pt idx="3519">
                  <c:v>0.74074885415361025</c:v>
                </c:pt>
                <c:pt idx="3520">
                  <c:v>0.7405470052161589</c:v>
                </c:pt>
                <c:pt idx="3521">
                  <c:v>0.74034526625361796</c:v>
                </c:pt>
                <c:pt idx="3522">
                  <c:v>0.7563511620778014</c:v>
                </c:pt>
                <c:pt idx="3523">
                  <c:v>0.7665298977130528</c:v>
                </c:pt>
                <c:pt idx="3524">
                  <c:v>0.76416271283149406</c:v>
                </c:pt>
                <c:pt idx="3525">
                  <c:v>0.78527633706251876</c:v>
                </c:pt>
                <c:pt idx="3526">
                  <c:v>0.78393899807273104</c:v>
                </c:pt>
                <c:pt idx="3527">
                  <c:v>0.77023697858606088</c:v>
                </c:pt>
                <c:pt idx="3528">
                  <c:v>0.77859845274738337</c:v>
                </c:pt>
                <c:pt idx="3529">
                  <c:v>0.76219388424309287</c:v>
                </c:pt>
                <c:pt idx="3530">
                  <c:v>0.77700964492728697</c:v>
                </c:pt>
                <c:pt idx="3531">
                  <c:v>0.77890561651116275</c:v>
                </c:pt>
                <c:pt idx="3532">
                  <c:v>0.77276352189955488</c:v>
                </c:pt>
                <c:pt idx="3533">
                  <c:v>0.77250955214996486</c:v>
                </c:pt>
                <c:pt idx="3534">
                  <c:v>0.77870016443445544</c:v>
                </c:pt>
                <c:pt idx="3535">
                  <c:v>0.77414954598665731</c:v>
                </c:pt>
                <c:pt idx="3536">
                  <c:v>0.77818882691973801</c:v>
                </c:pt>
                <c:pt idx="3537">
                  <c:v>0.77206154008249794</c:v>
                </c:pt>
                <c:pt idx="3538">
                  <c:v>0.75251317385595085</c:v>
                </c:pt>
                <c:pt idx="3539">
                  <c:v>0.76405415978045443</c:v>
                </c:pt>
                <c:pt idx="3540">
                  <c:v>0.75309125725962822</c:v>
                </c:pt>
                <c:pt idx="3541">
                  <c:v>0.65111771988313183</c:v>
                </c:pt>
                <c:pt idx="3542">
                  <c:v>0.66157577294119174</c:v>
                </c:pt>
                <c:pt idx="3543">
                  <c:v>0.65922648692937535</c:v>
                </c:pt>
                <c:pt idx="3544">
                  <c:v>0.70913045096394833</c:v>
                </c:pt>
                <c:pt idx="3545">
                  <c:v>0.70570117660012821</c:v>
                </c:pt>
                <c:pt idx="3546">
                  <c:v>0.71033636790200094</c:v>
                </c:pt>
                <c:pt idx="3547">
                  <c:v>0.73139754867572659</c:v>
                </c:pt>
                <c:pt idx="3548">
                  <c:v>0.70987386995189816</c:v>
                </c:pt>
                <c:pt idx="3549">
                  <c:v>0.72241003439935803</c:v>
                </c:pt>
                <c:pt idx="3550">
                  <c:v>0.72536576638793238</c:v>
                </c:pt>
                <c:pt idx="3551">
                  <c:v>0.73103378698022048</c:v>
                </c:pt>
                <c:pt idx="3552">
                  <c:v>0.72442304071001784</c:v>
                </c:pt>
                <c:pt idx="3553">
                  <c:v>0.73374447178077951</c:v>
                </c:pt>
                <c:pt idx="3554">
                  <c:v>0.73032168061228431</c:v>
                </c:pt>
                <c:pt idx="3555">
                  <c:v>0.7247787724910183</c:v>
                </c:pt>
                <c:pt idx="3556">
                  <c:v>0.69438983471335192</c:v>
                </c:pt>
                <c:pt idx="3557">
                  <c:v>0.6909853493409065</c:v>
                </c:pt>
                <c:pt idx="3558">
                  <c:v>0.69499922078385068</c:v>
                </c:pt>
                <c:pt idx="3559">
                  <c:v>0.67782835540038155</c:v>
                </c:pt>
                <c:pt idx="3560">
                  <c:v>0.66807995859455171</c:v>
                </c:pt>
                <c:pt idx="3561">
                  <c:v>0.69599036750864629</c:v>
                </c:pt>
                <c:pt idx="3562">
                  <c:v>0.69470786055324651</c:v>
                </c:pt>
                <c:pt idx="3563">
                  <c:v>0.69448323507260457</c:v>
                </c:pt>
                <c:pt idx="3564">
                  <c:v>0.68791849220397805</c:v>
                </c:pt>
                <c:pt idx="3565">
                  <c:v>0.67924525389481338</c:v>
                </c:pt>
                <c:pt idx="3566">
                  <c:v>0.64376102383765887</c:v>
                </c:pt>
                <c:pt idx="3567">
                  <c:v>0.64144326371133442</c:v>
                </c:pt>
                <c:pt idx="3568">
                  <c:v>0.63701766901046142</c:v>
                </c:pt>
                <c:pt idx="3569">
                  <c:v>0.6188887053935378</c:v>
                </c:pt>
                <c:pt idx="3570">
                  <c:v>0.57652977708027164</c:v>
                </c:pt>
                <c:pt idx="3571">
                  <c:v>0.55175446616803125</c:v>
                </c:pt>
                <c:pt idx="3572">
                  <c:v>0.52736637723079771</c:v>
                </c:pt>
                <c:pt idx="3573">
                  <c:v>0.50720314313202908</c:v>
                </c:pt>
                <c:pt idx="3574">
                  <c:v>0.45865023312787812</c:v>
                </c:pt>
                <c:pt idx="3575">
                  <c:v>0.47743170776162253</c:v>
                </c:pt>
                <c:pt idx="3576">
                  <c:v>0.44755468044114671</c:v>
                </c:pt>
                <c:pt idx="3577">
                  <c:v>0.46001402269736763</c:v>
                </c:pt>
                <c:pt idx="3578">
                  <c:v>0.50254406227150694</c:v>
                </c:pt>
                <c:pt idx="3579">
                  <c:v>0.53324232036065278</c:v>
                </c:pt>
                <c:pt idx="3580">
                  <c:v>0.54602088062208398</c:v>
                </c:pt>
              </c:numCache>
            </c:numRef>
          </c:yVal>
          <c:smooth val="0"/>
          <c:extLst>
            <c:ext xmlns:c16="http://schemas.microsoft.com/office/drawing/2014/chart" uri="{C3380CC4-5D6E-409C-BE32-E72D297353CC}">
              <c16:uniqueId val="{00000004-E4AB-41DE-A4A5-3B8618C133FF}"/>
            </c:ext>
          </c:extLst>
        </c:ser>
        <c:dLbls>
          <c:showLegendKey val="0"/>
          <c:showVal val="0"/>
          <c:showCatName val="0"/>
          <c:showSerName val="0"/>
          <c:showPercent val="0"/>
          <c:showBubbleSize val="0"/>
        </c:dLbls>
        <c:axId val="581810816"/>
        <c:axId val="581824896"/>
      </c:scatterChart>
      <c:scatterChart>
        <c:scatterStyle val="lineMarker"/>
        <c:varyColors val="0"/>
        <c:ser>
          <c:idx val="1"/>
          <c:order val="1"/>
          <c:tx>
            <c:strRef>
              <c:f>'PB ROE'!$E$2</c:f>
              <c:strCache>
                <c:ptCount val="1"/>
                <c:pt idx="0">
                  <c:v>ROE (right axis)</c:v>
                </c:pt>
              </c:strCache>
            </c:strRef>
          </c:tx>
          <c:spPr>
            <a:ln w="19050">
              <a:solidFill>
                <a:srgbClr val="CBAA7B"/>
              </a:solidFill>
            </a:ln>
          </c:spPr>
          <c:marker>
            <c:symbol val="none"/>
          </c:marker>
          <c:dPt>
            <c:idx val="14"/>
            <c:marker>
              <c:symbol val="diamond"/>
              <c:size val="5"/>
              <c:spPr>
                <a:solidFill>
                  <a:srgbClr val="CBAA7B"/>
                </a:solidFill>
                <a:ln w="19050">
                  <a:noFill/>
                </a:ln>
              </c:spPr>
            </c:marker>
            <c:bubble3D val="0"/>
            <c:spPr>
              <a:ln w="19050">
                <a:solidFill>
                  <a:srgbClr val="CBAA7B"/>
                </a:solidFill>
                <a:prstDash val="sysDash"/>
              </a:ln>
            </c:spPr>
            <c:extLst>
              <c:ext xmlns:c16="http://schemas.microsoft.com/office/drawing/2014/chart" uri="{C3380CC4-5D6E-409C-BE32-E72D297353CC}">
                <c16:uniqueId val="{00000006-E4AB-41DE-A4A5-3B8618C133FF}"/>
              </c:ext>
            </c:extLst>
          </c:dPt>
          <c:dPt>
            <c:idx val="15"/>
            <c:marker>
              <c:symbol val="diamond"/>
              <c:size val="5"/>
              <c:spPr>
                <a:solidFill>
                  <a:srgbClr val="CBAA7B"/>
                </a:solidFill>
                <a:ln w="19050">
                  <a:noFill/>
                </a:ln>
              </c:spPr>
            </c:marker>
            <c:bubble3D val="0"/>
            <c:spPr>
              <a:ln w="19050">
                <a:solidFill>
                  <a:srgbClr val="CBAA7B"/>
                </a:solidFill>
                <a:prstDash val="sysDash"/>
              </a:ln>
            </c:spPr>
            <c:extLst>
              <c:ext xmlns:c16="http://schemas.microsoft.com/office/drawing/2014/chart" uri="{C3380CC4-5D6E-409C-BE32-E72D297353CC}">
                <c16:uniqueId val="{00000008-E4AB-41DE-A4A5-3B8618C133FF}"/>
              </c:ext>
            </c:extLst>
          </c:dPt>
          <c:xVal>
            <c:numRef>
              <c:f>'PB ROE'!$D$3:$D$18</c:f>
              <c:numCache>
                <c:formatCode>yyyy\-mm\-dd</c:formatCode>
                <c:ptCount val="16"/>
                <c:pt idx="0">
                  <c:v>38898</c:v>
                </c:pt>
                <c:pt idx="1">
                  <c:v>39263</c:v>
                </c:pt>
                <c:pt idx="2">
                  <c:v>39629</c:v>
                </c:pt>
                <c:pt idx="3">
                  <c:v>39994</c:v>
                </c:pt>
                <c:pt idx="4">
                  <c:v>40359</c:v>
                </c:pt>
                <c:pt idx="5">
                  <c:v>40724</c:v>
                </c:pt>
                <c:pt idx="6">
                  <c:v>41090</c:v>
                </c:pt>
                <c:pt idx="7">
                  <c:v>41455</c:v>
                </c:pt>
                <c:pt idx="8">
                  <c:v>41820</c:v>
                </c:pt>
                <c:pt idx="9">
                  <c:v>42185</c:v>
                </c:pt>
                <c:pt idx="10">
                  <c:v>42551</c:v>
                </c:pt>
                <c:pt idx="11">
                  <c:v>42916</c:v>
                </c:pt>
                <c:pt idx="12">
                  <c:v>43281</c:v>
                </c:pt>
                <c:pt idx="13">
                  <c:v>43646</c:v>
                </c:pt>
                <c:pt idx="14">
                  <c:v>44012</c:v>
                </c:pt>
                <c:pt idx="15">
                  <c:v>44377</c:v>
                </c:pt>
              </c:numCache>
            </c:numRef>
          </c:xVal>
          <c:yVal>
            <c:numRef>
              <c:f>'PB ROE'!$E$3:$E$18</c:f>
              <c:numCache>
                <c:formatCode>0.0%</c:formatCode>
                <c:ptCount val="16"/>
                <c:pt idx="0">
                  <c:v>0.24659393664952384</c:v>
                </c:pt>
                <c:pt idx="1">
                  <c:v>0.25872716049540495</c:v>
                </c:pt>
                <c:pt idx="2">
                  <c:v>0.20915891206127885</c:v>
                </c:pt>
                <c:pt idx="3">
                  <c:v>0.17941637415955011</c:v>
                </c:pt>
                <c:pt idx="4">
                  <c:v>0.2322391439397809</c:v>
                </c:pt>
                <c:pt idx="5">
                  <c:v>0.21366777506870749</c:v>
                </c:pt>
                <c:pt idx="6">
                  <c:v>0.18534284259390019</c:v>
                </c:pt>
                <c:pt idx="7">
                  <c:v>0.18676819911790263</c:v>
                </c:pt>
                <c:pt idx="8">
                  <c:v>0.19334727147603031</c:v>
                </c:pt>
                <c:pt idx="9">
                  <c:v>0.21035279840705426</c:v>
                </c:pt>
                <c:pt idx="10">
                  <c:v>0.21097269250660977</c:v>
                </c:pt>
                <c:pt idx="11">
                  <c:v>0.17281939962245094</c:v>
                </c:pt>
                <c:pt idx="12">
                  <c:v>0.1175863754900464</c:v>
                </c:pt>
                <c:pt idx="13">
                  <c:v>0.13431854962184941</c:v>
                </c:pt>
                <c:pt idx="14">
                  <c:v>0.13528163246369354</c:v>
                </c:pt>
                <c:pt idx="15">
                  <c:v>0.13727059571083119</c:v>
                </c:pt>
              </c:numCache>
            </c:numRef>
          </c:yVal>
          <c:smooth val="0"/>
          <c:extLst>
            <c:ext xmlns:c16="http://schemas.microsoft.com/office/drawing/2014/chart" uri="{C3380CC4-5D6E-409C-BE32-E72D297353CC}">
              <c16:uniqueId val="{00000009-E4AB-41DE-A4A5-3B8618C133FF}"/>
            </c:ext>
          </c:extLst>
        </c:ser>
        <c:dLbls>
          <c:showLegendKey val="0"/>
          <c:showVal val="0"/>
          <c:showCatName val="0"/>
          <c:showSerName val="0"/>
          <c:showPercent val="0"/>
          <c:showBubbleSize val="0"/>
        </c:dLbls>
        <c:axId val="581827968"/>
        <c:axId val="581826432"/>
      </c:scatterChart>
      <c:valAx>
        <c:axId val="581810816"/>
        <c:scaling>
          <c:orientation val="minMax"/>
          <c:max val="44561"/>
          <c:min val="38718"/>
        </c:scaling>
        <c:delete val="0"/>
        <c:axPos val="b"/>
        <c:numFmt formatCode="[$-409]mmm\-yy;@" sourceLinked="0"/>
        <c:majorTickMark val="out"/>
        <c:minorTickMark val="none"/>
        <c:tickLblPos val="nextTo"/>
        <c:txPr>
          <a:bodyPr/>
          <a:lstStyle/>
          <a:p>
            <a:pPr>
              <a:defRPr sz="800"/>
            </a:pPr>
            <a:endParaRPr lang="zh-CN"/>
          </a:p>
        </c:txPr>
        <c:crossAx val="581824896"/>
        <c:crosses val="autoZero"/>
        <c:crossBetween val="midCat"/>
      </c:valAx>
      <c:valAx>
        <c:axId val="581824896"/>
        <c:scaling>
          <c:orientation val="minMax"/>
        </c:scaling>
        <c:delete val="0"/>
        <c:axPos val="l"/>
        <c:majorGridlines>
          <c:spPr>
            <a:ln w="9525" cap="flat" cmpd="sng" algn="ctr">
              <a:noFill/>
              <a:prstDash val="solid"/>
              <a:round/>
            </a:ln>
            <a:effectLst/>
          </c:spPr>
        </c:majorGridlines>
        <c:numFmt formatCode="#,##0" sourceLinked="0"/>
        <c:majorTickMark val="none"/>
        <c:minorTickMark val="none"/>
        <c:tickLblPos val="nextTo"/>
        <c:txPr>
          <a:bodyPr/>
          <a:lstStyle/>
          <a:p>
            <a:pPr>
              <a:defRPr sz="800">
                <a:solidFill>
                  <a:srgbClr val="000000"/>
                </a:solidFill>
                <a:latin typeface="Calibri"/>
                <a:ea typeface="Calibri"/>
                <a:cs typeface="Calibri"/>
              </a:defRPr>
            </a:pPr>
            <a:endParaRPr lang="zh-CN"/>
          </a:p>
        </c:txPr>
        <c:crossAx val="581810816"/>
        <c:crosses val="autoZero"/>
        <c:crossBetween val="midCat"/>
      </c:valAx>
      <c:valAx>
        <c:axId val="581826432"/>
        <c:scaling>
          <c:orientation val="minMax"/>
          <c:max val="0.30000000000000004"/>
          <c:min val="0.1"/>
        </c:scaling>
        <c:delete val="0"/>
        <c:axPos val="r"/>
        <c:numFmt formatCode="0%" sourceLinked="0"/>
        <c:majorTickMark val="out"/>
        <c:minorTickMark val="none"/>
        <c:tickLblPos val="nextTo"/>
        <c:txPr>
          <a:bodyPr/>
          <a:lstStyle/>
          <a:p>
            <a:pPr>
              <a:defRPr sz="800"/>
            </a:pPr>
            <a:endParaRPr lang="zh-CN"/>
          </a:p>
        </c:txPr>
        <c:crossAx val="581827968"/>
        <c:crosses val="max"/>
        <c:crossBetween val="midCat"/>
      </c:valAx>
      <c:valAx>
        <c:axId val="581827968"/>
        <c:scaling>
          <c:orientation val="minMax"/>
        </c:scaling>
        <c:delete val="1"/>
        <c:axPos val="b"/>
        <c:numFmt formatCode="yyyy\-mm\-dd" sourceLinked="1"/>
        <c:majorTickMark val="out"/>
        <c:minorTickMark val="none"/>
        <c:tickLblPos val="nextTo"/>
        <c:crossAx val="581826432"/>
        <c:crosses val="autoZero"/>
        <c:crossBetween val="midCat"/>
      </c:valAx>
      <c:spPr>
        <a:noFill/>
      </c:spPr>
    </c:plotArea>
    <c:legend>
      <c:legendPos val="t"/>
      <c:overlay val="0"/>
      <c:txPr>
        <a:bodyPr/>
        <a:lstStyle/>
        <a:p>
          <a:pPr>
            <a:defRPr sz="800"/>
          </a:pPr>
          <a:endParaRPr lang="zh-CN"/>
        </a:p>
      </c:txPr>
    </c:legend>
    <c:plotVisOnly val="1"/>
    <c:dispBlanksAs val="gap"/>
    <c:showDLblsOverMax val="0"/>
  </c:chart>
  <c:spPr>
    <a:noFill/>
    <a:ln w="9525" cap="flat" cmpd="sng" algn="ctr">
      <a:noFill/>
      <a:prstDash val="solid"/>
      <a:roun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983333333333333E-2"/>
          <c:y val="0.19402777777777777"/>
          <c:w val="0.8811331018518519"/>
          <c:h val="0.65867777777777781"/>
        </c:manualLayout>
      </c:layout>
      <c:scatterChart>
        <c:scatterStyle val="lineMarker"/>
        <c:varyColors val="0"/>
        <c:ser>
          <c:idx val="0"/>
          <c:order val="0"/>
          <c:tx>
            <c:strRef>
              <c:f>'PB ROE'!$B$2</c:f>
              <c:strCache>
                <c:ptCount val="1"/>
                <c:pt idx="0">
                  <c:v>P/B</c:v>
                </c:pt>
              </c:strCache>
            </c:strRef>
          </c:tx>
          <c:spPr>
            <a:ln w="19050">
              <a:solidFill>
                <a:srgbClr val="640000"/>
              </a:solidFill>
            </a:ln>
          </c:spPr>
          <c:marker>
            <c:symbol val="none"/>
          </c:marker>
          <c:dPt>
            <c:idx val="3579"/>
            <c:marker>
              <c:symbol val="diamond"/>
              <c:size val="5"/>
              <c:spPr>
                <a:solidFill>
                  <a:srgbClr val="640000"/>
                </a:solidFill>
                <a:ln>
                  <a:noFill/>
                  <a:prstDash val="solid"/>
                </a:ln>
              </c:spPr>
            </c:marker>
            <c:bubble3D val="0"/>
            <c:spPr>
              <a:ln w="19050">
                <a:noFill/>
              </a:ln>
            </c:spPr>
            <c:extLst>
              <c:ext xmlns:c16="http://schemas.microsoft.com/office/drawing/2014/chart" uri="{C3380CC4-5D6E-409C-BE32-E72D297353CC}">
                <c16:uniqueId val="{00000001-815A-48C0-BB68-4F00B95C9759}"/>
              </c:ext>
            </c:extLst>
          </c:dPt>
          <c:dPt>
            <c:idx val="3580"/>
            <c:marker>
              <c:symbol val="diamond"/>
              <c:size val="5"/>
              <c:spPr>
                <a:solidFill>
                  <a:srgbClr val="640000"/>
                </a:solidFill>
                <a:ln>
                  <a:noFill/>
                  <a:prstDash val="solid"/>
                </a:ln>
              </c:spPr>
            </c:marker>
            <c:bubble3D val="0"/>
            <c:spPr>
              <a:ln w="19050">
                <a:noFill/>
              </a:ln>
            </c:spPr>
            <c:extLst>
              <c:ext xmlns:c16="http://schemas.microsoft.com/office/drawing/2014/chart" uri="{C3380CC4-5D6E-409C-BE32-E72D297353CC}">
                <c16:uniqueId val="{00000003-815A-48C0-BB68-4F00B95C9759}"/>
              </c:ext>
            </c:extLst>
          </c:dPt>
          <c:xVal>
            <c:numRef>
              <c:f>'PB ROE'!$A$3:$A$3745</c:f>
              <c:numCache>
                <c:formatCode>yyyy\-mm\-dd</c:formatCode>
                <c:ptCount val="3743"/>
                <c:pt idx="0">
                  <c:v>38541</c:v>
                </c:pt>
                <c:pt idx="1">
                  <c:v>38544</c:v>
                </c:pt>
                <c:pt idx="2">
                  <c:v>38545</c:v>
                </c:pt>
                <c:pt idx="3">
                  <c:v>38546</c:v>
                </c:pt>
                <c:pt idx="4">
                  <c:v>38547</c:v>
                </c:pt>
                <c:pt idx="5">
                  <c:v>38548</c:v>
                </c:pt>
                <c:pt idx="6">
                  <c:v>38551</c:v>
                </c:pt>
                <c:pt idx="7">
                  <c:v>38552</c:v>
                </c:pt>
                <c:pt idx="8">
                  <c:v>38553</c:v>
                </c:pt>
                <c:pt idx="9">
                  <c:v>38554</c:v>
                </c:pt>
                <c:pt idx="10">
                  <c:v>38555</c:v>
                </c:pt>
                <c:pt idx="11">
                  <c:v>38558</c:v>
                </c:pt>
                <c:pt idx="12">
                  <c:v>38559</c:v>
                </c:pt>
                <c:pt idx="13">
                  <c:v>38560</c:v>
                </c:pt>
                <c:pt idx="14">
                  <c:v>38561</c:v>
                </c:pt>
                <c:pt idx="15">
                  <c:v>38562</c:v>
                </c:pt>
                <c:pt idx="16">
                  <c:v>38565</c:v>
                </c:pt>
                <c:pt idx="17">
                  <c:v>38566</c:v>
                </c:pt>
                <c:pt idx="18">
                  <c:v>38567</c:v>
                </c:pt>
                <c:pt idx="19">
                  <c:v>38568</c:v>
                </c:pt>
                <c:pt idx="20">
                  <c:v>38569</c:v>
                </c:pt>
                <c:pt idx="21">
                  <c:v>38572</c:v>
                </c:pt>
                <c:pt idx="22">
                  <c:v>38573</c:v>
                </c:pt>
                <c:pt idx="23">
                  <c:v>38574</c:v>
                </c:pt>
                <c:pt idx="24">
                  <c:v>38575</c:v>
                </c:pt>
                <c:pt idx="25">
                  <c:v>38576</c:v>
                </c:pt>
                <c:pt idx="26">
                  <c:v>38579</c:v>
                </c:pt>
                <c:pt idx="27">
                  <c:v>38580</c:v>
                </c:pt>
                <c:pt idx="28">
                  <c:v>38581</c:v>
                </c:pt>
                <c:pt idx="29">
                  <c:v>38582</c:v>
                </c:pt>
                <c:pt idx="30">
                  <c:v>38583</c:v>
                </c:pt>
                <c:pt idx="31">
                  <c:v>38586</c:v>
                </c:pt>
                <c:pt idx="32">
                  <c:v>38587</c:v>
                </c:pt>
                <c:pt idx="33">
                  <c:v>38588</c:v>
                </c:pt>
                <c:pt idx="34">
                  <c:v>38589</c:v>
                </c:pt>
                <c:pt idx="35">
                  <c:v>38590</c:v>
                </c:pt>
                <c:pt idx="36">
                  <c:v>38593</c:v>
                </c:pt>
                <c:pt idx="37">
                  <c:v>38594</c:v>
                </c:pt>
                <c:pt idx="38">
                  <c:v>38595</c:v>
                </c:pt>
                <c:pt idx="39">
                  <c:v>38596</c:v>
                </c:pt>
                <c:pt idx="40">
                  <c:v>38597</c:v>
                </c:pt>
                <c:pt idx="41">
                  <c:v>38600</c:v>
                </c:pt>
                <c:pt idx="42">
                  <c:v>38601</c:v>
                </c:pt>
                <c:pt idx="43">
                  <c:v>38602</c:v>
                </c:pt>
                <c:pt idx="44">
                  <c:v>38603</c:v>
                </c:pt>
                <c:pt idx="45">
                  <c:v>38604</c:v>
                </c:pt>
                <c:pt idx="46">
                  <c:v>38607</c:v>
                </c:pt>
                <c:pt idx="47">
                  <c:v>38608</c:v>
                </c:pt>
                <c:pt idx="48">
                  <c:v>38609</c:v>
                </c:pt>
                <c:pt idx="49">
                  <c:v>38610</c:v>
                </c:pt>
                <c:pt idx="50">
                  <c:v>38611</c:v>
                </c:pt>
                <c:pt idx="51">
                  <c:v>38614</c:v>
                </c:pt>
                <c:pt idx="52">
                  <c:v>38615</c:v>
                </c:pt>
                <c:pt idx="53">
                  <c:v>38616</c:v>
                </c:pt>
                <c:pt idx="54">
                  <c:v>38617</c:v>
                </c:pt>
                <c:pt idx="55">
                  <c:v>38618</c:v>
                </c:pt>
                <c:pt idx="56">
                  <c:v>38621</c:v>
                </c:pt>
                <c:pt idx="57">
                  <c:v>38622</c:v>
                </c:pt>
                <c:pt idx="58">
                  <c:v>38623</c:v>
                </c:pt>
                <c:pt idx="59">
                  <c:v>38624</c:v>
                </c:pt>
                <c:pt idx="60">
                  <c:v>38625</c:v>
                </c:pt>
                <c:pt idx="61">
                  <c:v>38635</c:v>
                </c:pt>
                <c:pt idx="62">
                  <c:v>38636</c:v>
                </c:pt>
                <c:pt idx="63">
                  <c:v>38637</c:v>
                </c:pt>
                <c:pt idx="64">
                  <c:v>38638</c:v>
                </c:pt>
                <c:pt idx="65">
                  <c:v>38639</c:v>
                </c:pt>
                <c:pt idx="66">
                  <c:v>38642</c:v>
                </c:pt>
                <c:pt idx="67">
                  <c:v>38643</c:v>
                </c:pt>
                <c:pt idx="68">
                  <c:v>38644</c:v>
                </c:pt>
                <c:pt idx="69">
                  <c:v>38645</c:v>
                </c:pt>
                <c:pt idx="70">
                  <c:v>38646</c:v>
                </c:pt>
                <c:pt idx="71">
                  <c:v>38649</c:v>
                </c:pt>
                <c:pt idx="72">
                  <c:v>38650</c:v>
                </c:pt>
                <c:pt idx="73">
                  <c:v>38651</c:v>
                </c:pt>
                <c:pt idx="74">
                  <c:v>38652</c:v>
                </c:pt>
                <c:pt idx="75">
                  <c:v>38653</c:v>
                </c:pt>
                <c:pt idx="76">
                  <c:v>38656</c:v>
                </c:pt>
                <c:pt idx="77">
                  <c:v>38657</c:v>
                </c:pt>
                <c:pt idx="78">
                  <c:v>38658</c:v>
                </c:pt>
                <c:pt idx="79">
                  <c:v>38659</c:v>
                </c:pt>
                <c:pt idx="80">
                  <c:v>38660</c:v>
                </c:pt>
                <c:pt idx="81">
                  <c:v>38663</c:v>
                </c:pt>
                <c:pt idx="82">
                  <c:v>38664</c:v>
                </c:pt>
                <c:pt idx="83">
                  <c:v>38665</c:v>
                </c:pt>
                <c:pt idx="84">
                  <c:v>38666</c:v>
                </c:pt>
                <c:pt idx="85">
                  <c:v>38667</c:v>
                </c:pt>
                <c:pt idx="86">
                  <c:v>38670</c:v>
                </c:pt>
                <c:pt idx="87">
                  <c:v>38671</c:v>
                </c:pt>
                <c:pt idx="88">
                  <c:v>38672</c:v>
                </c:pt>
                <c:pt idx="89">
                  <c:v>38673</c:v>
                </c:pt>
                <c:pt idx="90">
                  <c:v>38674</c:v>
                </c:pt>
                <c:pt idx="91">
                  <c:v>38677</c:v>
                </c:pt>
                <c:pt idx="92">
                  <c:v>38678</c:v>
                </c:pt>
                <c:pt idx="93">
                  <c:v>38679</c:v>
                </c:pt>
                <c:pt idx="94">
                  <c:v>38680</c:v>
                </c:pt>
                <c:pt idx="95">
                  <c:v>38681</c:v>
                </c:pt>
                <c:pt idx="96">
                  <c:v>38684</c:v>
                </c:pt>
                <c:pt idx="97">
                  <c:v>38685</c:v>
                </c:pt>
                <c:pt idx="98">
                  <c:v>38686</c:v>
                </c:pt>
                <c:pt idx="99">
                  <c:v>38687</c:v>
                </c:pt>
                <c:pt idx="100">
                  <c:v>38688</c:v>
                </c:pt>
                <c:pt idx="101">
                  <c:v>38691</c:v>
                </c:pt>
                <c:pt idx="102">
                  <c:v>38692</c:v>
                </c:pt>
                <c:pt idx="103">
                  <c:v>38693</c:v>
                </c:pt>
                <c:pt idx="104">
                  <c:v>38694</c:v>
                </c:pt>
                <c:pt idx="105">
                  <c:v>38695</c:v>
                </c:pt>
                <c:pt idx="106">
                  <c:v>38698</c:v>
                </c:pt>
                <c:pt idx="107">
                  <c:v>38699</c:v>
                </c:pt>
                <c:pt idx="108">
                  <c:v>38700</c:v>
                </c:pt>
                <c:pt idx="109">
                  <c:v>38701</c:v>
                </c:pt>
                <c:pt idx="110">
                  <c:v>38702</c:v>
                </c:pt>
                <c:pt idx="111">
                  <c:v>38705</c:v>
                </c:pt>
                <c:pt idx="112">
                  <c:v>38706</c:v>
                </c:pt>
                <c:pt idx="113">
                  <c:v>38707</c:v>
                </c:pt>
                <c:pt idx="114">
                  <c:v>38708</c:v>
                </c:pt>
                <c:pt idx="115">
                  <c:v>38709</c:v>
                </c:pt>
                <c:pt idx="116">
                  <c:v>38712</c:v>
                </c:pt>
                <c:pt idx="117">
                  <c:v>38713</c:v>
                </c:pt>
                <c:pt idx="118">
                  <c:v>38714</c:v>
                </c:pt>
                <c:pt idx="119">
                  <c:v>38715</c:v>
                </c:pt>
                <c:pt idx="120">
                  <c:v>38716</c:v>
                </c:pt>
                <c:pt idx="121">
                  <c:v>38721</c:v>
                </c:pt>
                <c:pt idx="122">
                  <c:v>38722</c:v>
                </c:pt>
                <c:pt idx="123">
                  <c:v>38723</c:v>
                </c:pt>
                <c:pt idx="124">
                  <c:v>38726</c:v>
                </c:pt>
                <c:pt idx="125">
                  <c:v>38727</c:v>
                </c:pt>
                <c:pt idx="126">
                  <c:v>38728</c:v>
                </c:pt>
                <c:pt idx="127">
                  <c:v>38729</c:v>
                </c:pt>
                <c:pt idx="128">
                  <c:v>38730</c:v>
                </c:pt>
                <c:pt idx="129">
                  <c:v>38733</c:v>
                </c:pt>
                <c:pt idx="130">
                  <c:v>38734</c:v>
                </c:pt>
                <c:pt idx="131">
                  <c:v>38735</c:v>
                </c:pt>
                <c:pt idx="132">
                  <c:v>38736</c:v>
                </c:pt>
                <c:pt idx="133">
                  <c:v>38737</c:v>
                </c:pt>
                <c:pt idx="134">
                  <c:v>38740</c:v>
                </c:pt>
                <c:pt idx="135">
                  <c:v>38741</c:v>
                </c:pt>
                <c:pt idx="136">
                  <c:v>38742</c:v>
                </c:pt>
                <c:pt idx="137">
                  <c:v>38754</c:v>
                </c:pt>
                <c:pt idx="138">
                  <c:v>38755</c:v>
                </c:pt>
                <c:pt idx="139">
                  <c:v>38756</c:v>
                </c:pt>
                <c:pt idx="140">
                  <c:v>38757</c:v>
                </c:pt>
                <c:pt idx="141">
                  <c:v>38758</c:v>
                </c:pt>
                <c:pt idx="142">
                  <c:v>38761</c:v>
                </c:pt>
                <c:pt idx="143">
                  <c:v>38762</c:v>
                </c:pt>
                <c:pt idx="144">
                  <c:v>38763</c:v>
                </c:pt>
                <c:pt idx="145">
                  <c:v>38764</c:v>
                </c:pt>
                <c:pt idx="146">
                  <c:v>38765</c:v>
                </c:pt>
                <c:pt idx="147">
                  <c:v>38768</c:v>
                </c:pt>
                <c:pt idx="148">
                  <c:v>38769</c:v>
                </c:pt>
                <c:pt idx="149">
                  <c:v>38770</c:v>
                </c:pt>
                <c:pt idx="150">
                  <c:v>38771</c:v>
                </c:pt>
                <c:pt idx="151">
                  <c:v>38772</c:v>
                </c:pt>
                <c:pt idx="152">
                  <c:v>38775</c:v>
                </c:pt>
                <c:pt idx="153">
                  <c:v>38776</c:v>
                </c:pt>
                <c:pt idx="154">
                  <c:v>38777</c:v>
                </c:pt>
                <c:pt idx="155">
                  <c:v>38778</c:v>
                </c:pt>
                <c:pt idx="156">
                  <c:v>38779</c:v>
                </c:pt>
                <c:pt idx="157">
                  <c:v>38782</c:v>
                </c:pt>
                <c:pt idx="158">
                  <c:v>38783</c:v>
                </c:pt>
                <c:pt idx="159">
                  <c:v>38784</c:v>
                </c:pt>
                <c:pt idx="160">
                  <c:v>38785</c:v>
                </c:pt>
                <c:pt idx="161">
                  <c:v>38786</c:v>
                </c:pt>
                <c:pt idx="162">
                  <c:v>38789</c:v>
                </c:pt>
                <c:pt idx="163">
                  <c:v>38790</c:v>
                </c:pt>
                <c:pt idx="164">
                  <c:v>38791</c:v>
                </c:pt>
                <c:pt idx="165">
                  <c:v>38792</c:v>
                </c:pt>
                <c:pt idx="166">
                  <c:v>38793</c:v>
                </c:pt>
                <c:pt idx="167">
                  <c:v>38796</c:v>
                </c:pt>
                <c:pt idx="168">
                  <c:v>38797</c:v>
                </c:pt>
                <c:pt idx="169">
                  <c:v>38798</c:v>
                </c:pt>
                <c:pt idx="170">
                  <c:v>38799</c:v>
                </c:pt>
                <c:pt idx="171">
                  <c:v>38800</c:v>
                </c:pt>
                <c:pt idx="172">
                  <c:v>38803</c:v>
                </c:pt>
                <c:pt idx="173">
                  <c:v>38804</c:v>
                </c:pt>
                <c:pt idx="174">
                  <c:v>38805</c:v>
                </c:pt>
                <c:pt idx="175">
                  <c:v>38806</c:v>
                </c:pt>
                <c:pt idx="176">
                  <c:v>38807</c:v>
                </c:pt>
                <c:pt idx="177">
                  <c:v>38810</c:v>
                </c:pt>
                <c:pt idx="178">
                  <c:v>38811</c:v>
                </c:pt>
                <c:pt idx="179">
                  <c:v>38812</c:v>
                </c:pt>
                <c:pt idx="180">
                  <c:v>38813</c:v>
                </c:pt>
                <c:pt idx="181">
                  <c:v>38814</c:v>
                </c:pt>
                <c:pt idx="182">
                  <c:v>38817</c:v>
                </c:pt>
                <c:pt idx="183">
                  <c:v>38818</c:v>
                </c:pt>
                <c:pt idx="184">
                  <c:v>38819</c:v>
                </c:pt>
                <c:pt idx="185">
                  <c:v>38820</c:v>
                </c:pt>
                <c:pt idx="186">
                  <c:v>38821</c:v>
                </c:pt>
                <c:pt idx="187">
                  <c:v>38824</c:v>
                </c:pt>
                <c:pt idx="188">
                  <c:v>38825</c:v>
                </c:pt>
                <c:pt idx="189">
                  <c:v>38826</c:v>
                </c:pt>
                <c:pt idx="190">
                  <c:v>38827</c:v>
                </c:pt>
                <c:pt idx="191">
                  <c:v>38828</c:v>
                </c:pt>
                <c:pt idx="192">
                  <c:v>38831</c:v>
                </c:pt>
                <c:pt idx="193">
                  <c:v>38832</c:v>
                </c:pt>
                <c:pt idx="194">
                  <c:v>38833</c:v>
                </c:pt>
                <c:pt idx="195">
                  <c:v>38834</c:v>
                </c:pt>
                <c:pt idx="196">
                  <c:v>38835</c:v>
                </c:pt>
                <c:pt idx="197">
                  <c:v>38845</c:v>
                </c:pt>
                <c:pt idx="198">
                  <c:v>38846</c:v>
                </c:pt>
                <c:pt idx="199">
                  <c:v>38847</c:v>
                </c:pt>
                <c:pt idx="200">
                  <c:v>38848</c:v>
                </c:pt>
                <c:pt idx="201">
                  <c:v>38849</c:v>
                </c:pt>
                <c:pt idx="202">
                  <c:v>38852</c:v>
                </c:pt>
                <c:pt idx="203">
                  <c:v>38853</c:v>
                </c:pt>
                <c:pt idx="204">
                  <c:v>38854</c:v>
                </c:pt>
                <c:pt idx="205">
                  <c:v>38855</c:v>
                </c:pt>
                <c:pt idx="206">
                  <c:v>38856</c:v>
                </c:pt>
                <c:pt idx="207">
                  <c:v>38859</c:v>
                </c:pt>
                <c:pt idx="208">
                  <c:v>38860</c:v>
                </c:pt>
                <c:pt idx="209">
                  <c:v>38861</c:v>
                </c:pt>
                <c:pt idx="210">
                  <c:v>38862</c:v>
                </c:pt>
                <c:pt idx="211">
                  <c:v>38863</c:v>
                </c:pt>
                <c:pt idx="212">
                  <c:v>38866</c:v>
                </c:pt>
                <c:pt idx="213">
                  <c:v>38867</c:v>
                </c:pt>
                <c:pt idx="214">
                  <c:v>38868</c:v>
                </c:pt>
                <c:pt idx="215">
                  <c:v>38869</c:v>
                </c:pt>
                <c:pt idx="216">
                  <c:v>38870</c:v>
                </c:pt>
                <c:pt idx="217">
                  <c:v>38873</c:v>
                </c:pt>
                <c:pt idx="218">
                  <c:v>38874</c:v>
                </c:pt>
                <c:pt idx="219">
                  <c:v>38875</c:v>
                </c:pt>
                <c:pt idx="220">
                  <c:v>38876</c:v>
                </c:pt>
                <c:pt idx="221">
                  <c:v>38877</c:v>
                </c:pt>
                <c:pt idx="222">
                  <c:v>38880</c:v>
                </c:pt>
                <c:pt idx="223">
                  <c:v>38881</c:v>
                </c:pt>
                <c:pt idx="224">
                  <c:v>38882</c:v>
                </c:pt>
                <c:pt idx="225">
                  <c:v>38883</c:v>
                </c:pt>
                <c:pt idx="226">
                  <c:v>38884</c:v>
                </c:pt>
                <c:pt idx="227">
                  <c:v>38887</c:v>
                </c:pt>
                <c:pt idx="228">
                  <c:v>38888</c:v>
                </c:pt>
                <c:pt idx="229">
                  <c:v>38889</c:v>
                </c:pt>
                <c:pt idx="230">
                  <c:v>38890</c:v>
                </c:pt>
                <c:pt idx="231">
                  <c:v>38891</c:v>
                </c:pt>
                <c:pt idx="232">
                  <c:v>38894</c:v>
                </c:pt>
                <c:pt idx="233">
                  <c:v>38895</c:v>
                </c:pt>
                <c:pt idx="234">
                  <c:v>38896</c:v>
                </c:pt>
                <c:pt idx="235">
                  <c:v>38897</c:v>
                </c:pt>
                <c:pt idx="236">
                  <c:v>38898</c:v>
                </c:pt>
                <c:pt idx="237">
                  <c:v>38901</c:v>
                </c:pt>
                <c:pt idx="238">
                  <c:v>38902</c:v>
                </c:pt>
                <c:pt idx="239">
                  <c:v>38903</c:v>
                </c:pt>
                <c:pt idx="240">
                  <c:v>38904</c:v>
                </c:pt>
                <c:pt idx="241">
                  <c:v>38905</c:v>
                </c:pt>
                <c:pt idx="242">
                  <c:v>38908</c:v>
                </c:pt>
                <c:pt idx="243">
                  <c:v>38909</c:v>
                </c:pt>
                <c:pt idx="244">
                  <c:v>38910</c:v>
                </c:pt>
                <c:pt idx="245">
                  <c:v>38911</c:v>
                </c:pt>
                <c:pt idx="246">
                  <c:v>38912</c:v>
                </c:pt>
                <c:pt idx="247">
                  <c:v>38915</c:v>
                </c:pt>
                <c:pt idx="248">
                  <c:v>38916</c:v>
                </c:pt>
                <c:pt idx="249">
                  <c:v>38917</c:v>
                </c:pt>
                <c:pt idx="250">
                  <c:v>38918</c:v>
                </c:pt>
                <c:pt idx="251">
                  <c:v>38919</c:v>
                </c:pt>
                <c:pt idx="252">
                  <c:v>38922</c:v>
                </c:pt>
                <c:pt idx="253">
                  <c:v>38923</c:v>
                </c:pt>
                <c:pt idx="254">
                  <c:v>38924</c:v>
                </c:pt>
                <c:pt idx="255">
                  <c:v>38925</c:v>
                </c:pt>
                <c:pt idx="256">
                  <c:v>38926</c:v>
                </c:pt>
                <c:pt idx="257">
                  <c:v>38929</c:v>
                </c:pt>
                <c:pt idx="258">
                  <c:v>38930</c:v>
                </c:pt>
                <c:pt idx="259">
                  <c:v>38931</c:v>
                </c:pt>
                <c:pt idx="260">
                  <c:v>38932</c:v>
                </c:pt>
                <c:pt idx="261">
                  <c:v>38933</c:v>
                </c:pt>
                <c:pt idx="262">
                  <c:v>38936</c:v>
                </c:pt>
                <c:pt idx="263">
                  <c:v>38937</c:v>
                </c:pt>
                <c:pt idx="264">
                  <c:v>38938</c:v>
                </c:pt>
                <c:pt idx="265">
                  <c:v>38939</c:v>
                </c:pt>
                <c:pt idx="266">
                  <c:v>38940</c:v>
                </c:pt>
                <c:pt idx="267">
                  <c:v>38943</c:v>
                </c:pt>
                <c:pt idx="268">
                  <c:v>38944</c:v>
                </c:pt>
                <c:pt idx="269">
                  <c:v>38945</c:v>
                </c:pt>
                <c:pt idx="270">
                  <c:v>38946</c:v>
                </c:pt>
                <c:pt idx="271">
                  <c:v>38947</c:v>
                </c:pt>
                <c:pt idx="272">
                  <c:v>38950</c:v>
                </c:pt>
                <c:pt idx="273">
                  <c:v>38951</c:v>
                </c:pt>
                <c:pt idx="274">
                  <c:v>38952</c:v>
                </c:pt>
                <c:pt idx="275">
                  <c:v>38953</c:v>
                </c:pt>
                <c:pt idx="276">
                  <c:v>38954</c:v>
                </c:pt>
                <c:pt idx="277">
                  <c:v>38957</c:v>
                </c:pt>
                <c:pt idx="278">
                  <c:v>38958</c:v>
                </c:pt>
                <c:pt idx="279">
                  <c:v>38959</c:v>
                </c:pt>
                <c:pt idx="280">
                  <c:v>38960</c:v>
                </c:pt>
                <c:pt idx="281">
                  <c:v>38961</c:v>
                </c:pt>
                <c:pt idx="282">
                  <c:v>38964</c:v>
                </c:pt>
                <c:pt idx="283">
                  <c:v>38965</c:v>
                </c:pt>
                <c:pt idx="284">
                  <c:v>38966</c:v>
                </c:pt>
                <c:pt idx="285">
                  <c:v>38967</c:v>
                </c:pt>
                <c:pt idx="286">
                  <c:v>38968</c:v>
                </c:pt>
                <c:pt idx="287">
                  <c:v>38971</c:v>
                </c:pt>
                <c:pt idx="288">
                  <c:v>38972</c:v>
                </c:pt>
                <c:pt idx="289">
                  <c:v>38973</c:v>
                </c:pt>
                <c:pt idx="290">
                  <c:v>38974</c:v>
                </c:pt>
                <c:pt idx="291">
                  <c:v>38975</c:v>
                </c:pt>
                <c:pt idx="292">
                  <c:v>38978</c:v>
                </c:pt>
                <c:pt idx="293">
                  <c:v>38979</c:v>
                </c:pt>
                <c:pt idx="294">
                  <c:v>38980</c:v>
                </c:pt>
                <c:pt idx="295">
                  <c:v>38981</c:v>
                </c:pt>
                <c:pt idx="296">
                  <c:v>38982</c:v>
                </c:pt>
                <c:pt idx="297">
                  <c:v>38985</c:v>
                </c:pt>
                <c:pt idx="298">
                  <c:v>38986</c:v>
                </c:pt>
                <c:pt idx="299">
                  <c:v>38987</c:v>
                </c:pt>
                <c:pt idx="300">
                  <c:v>38988</c:v>
                </c:pt>
                <c:pt idx="301">
                  <c:v>38989</c:v>
                </c:pt>
                <c:pt idx="302">
                  <c:v>38999</c:v>
                </c:pt>
                <c:pt idx="303">
                  <c:v>39000</c:v>
                </c:pt>
                <c:pt idx="304">
                  <c:v>39001</c:v>
                </c:pt>
                <c:pt idx="305">
                  <c:v>39002</c:v>
                </c:pt>
                <c:pt idx="306">
                  <c:v>39003</c:v>
                </c:pt>
                <c:pt idx="307">
                  <c:v>39006</c:v>
                </c:pt>
                <c:pt idx="308">
                  <c:v>39007</c:v>
                </c:pt>
                <c:pt idx="309">
                  <c:v>39008</c:v>
                </c:pt>
                <c:pt idx="310">
                  <c:v>39009</c:v>
                </c:pt>
                <c:pt idx="311">
                  <c:v>39010</c:v>
                </c:pt>
                <c:pt idx="312">
                  <c:v>39013</c:v>
                </c:pt>
                <c:pt idx="313">
                  <c:v>39014</c:v>
                </c:pt>
                <c:pt idx="314">
                  <c:v>39015</c:v>
                </c:pt>
                <c:pt idx="315">
                  <c:v>39016</c:v>
                </c:pt>
                <c:pt idx="316">
                  <c:v>39017</c:v>
                </c:pt>
                <c:pt idx="317">
                  <c:v>39020</c:v>
                </c:pt>
                <c:pt idx="318">
                  <c:v>39021</c:v>
                </c:pt>
                <c:pt idx="319">
                  <c:v>39022</c:v>
                </c:pt>
                <c:pt idx="320">
                  <c:v>39023</c:v>
                </c:pt>
                <c:pt idx="321">
                  <c:v>39024</c:v>
                </c:pt>
                <c:pt idx="322">
                  <c:v>39027</c:v>
                </c:pt>
                <c:pt idx="323">
                  <c:v>39028</c:v>
                </c:pt>
                <c:pt idx="324">
                  <c:v>39029</c:v>
                </c:pt>
                <c:pt idx="325">
                  <c:v>39030</c:v>
                </c:pt>
                <c:pt idx="326">
                  <c:v>39031</c:v>
                </c:pt>
                <c:pt idx="327">
                  <c:v>39034</c:v>
                </c:pt>
                <c:pt idx="328">
                  <c:v>39035</c:v>
                </c:pt>
                <c:pt idx="329">
                  <c:v>39036</c:v>
                </c:pt>
                <c:pt idx="330">
                  <c:v>39037</c:v>
                </c:pt>
                <c:pt idx="331">
                  <c:v>39038</c:v>
                </c:pt>
                <c:pt idx="332">
                  <c:v>39041</c:v>
                </c:pt>
                <c:pt idx="333">
                  <c:v>39042</c:v>
                </c:pt>
                <c:pt idx="334">
                  <c:v>39043</c:v>
                </c:pt>
                <c:pt idx="335">
                  <c:v>39044</c:v>
                </c:pt>
                <c:pt idx="336">
                  <c:v>39045</c:v>
                </c:pt>
                <c:pt idx="337">
                  <c:v>39048</c:v>
                </c:pt>
                <c:pt idx="338">
                  <c:v>39049</c:v>
                </c:pt>
                <c:pt idx="339">
                  <c:v>39050</c:v>
                </c:pt>
                <c:pt idx="340">
                  <c:v>39051</c:v>
                </c:pt>
                <c:pt idx="341">
                  <c:v>39052</c:v>
                </c:pt>
                <c:pt idx="342">
                  <c:v>39055</c:v>
                </c:pt>
                <c:pt idx="343">
                  <c:v>39056</c:v>
                </c:pt>
                <c:pt idx="344">
                  <c:v>39057</c:v>
                </c:pt>
                <c:pt idx="345">
                  <c:v>39058</c:v>
                </c:pt>
                <c:pt idx="346">
                  <c:v>39059</c:v>
                </c:pt>
                <c:pt idx="347">
                  <c:v>39062</c:v>
                </c:pt>
                <c:pt idx="348">
                  <c:v>39063</c:v>
                </c:pt>
                <c:pt idx="349">
                  <c:v>39064</c:v>
                </c:pt>
                <c:pt idx="350">
                  <c:v>39065</c:v>
                </c:pt>
                <c:pt idx="351">
                  <c:v>39066</c:v>
                </c:pt>
                <c:pt idx="352">
                  <c:v>39069</c:v>
                </c:pt>
                <c:pt idx="353">
                  <c:v>39070</c:v>
                </c:pt>
                <c:pt idx="354">
                  <c:v>39071</c:v>
                </c:pt>
                <c:pt idx="355">
                  <c:v>39072</c:v>
                </c:pt>
                <c:pt idx="356">
                  <c:v>39073</c:v>
                </c:pt>
                <c:pt idx="357">
                  <c:v>39076</c:v>
                </c:pt>
                <c:pt idx="358">
                  <c:v>39077</c:v>
                </c:pt>
                <c:pt idx="359">
                  <c:v>39078</c:v>
                </c:pt>
                <c:pt idx="360">
                  <c:v>39079</c:v>
                </c:pt>
                <c:pt idx="361">
                  <c:v>39080</c:v>
                </c:pt>
                <c:pt idx="362">
                  <c:v>39086</c:v>
                </c:pt>
                <c:pt idx="363">
                  <c:v>39087</c:v>
                </c:pt>
                <c:pt idx="364">
                  <c:v>39090</c:v>
                </c:pt>
                <c:pt idx="365">
                  <c:v>39091</c:v>
                </c:pt>
                <c:pt idx="366">
                  <c:v>39092</c:v>
                </c:pt>
                <c:pt idx="367">
                  <c:v>39093</c:v>
                </c:pt>
                <c:pt idx="368">
                  <c:v>39094</c:v>
                </c:pt>
                <c:pt idx="369">
                  <c:v>39097</c:v>
                </c:pt>
                <c:pt idx="370">
                  <c:v>39098</c:v>
                </c:pt>
                <c:pt idx="371">
                  <c:v>39099</c:v>
                </c:pt>
                <c:pt idx="372">
                  <c:v>39100</c:v>
                </c:pt>
                <c:pt idx="373">
                  <c:v>39101</c:v>
                </c:pt>
                <c:pt idx="374">
                  <c:v>39104</c:v>
                </c:pt>
                <c:pt idx="375">
                  <c:v>39105</c:v>
                </c:pt>
                <c:pt idx="376">
                  <c:v>39106</c:v>
                </c:pt>
                <c:pt idx="377">
                  <c:v>39107</c:v>
                </c:pt>
                <c:pt idx="378">
                  <c:v>39108</c:v>
                </c:pt>
                <c:pt idx="379">
                  <c:v>39111</c:v>
                </c:pt>
                <c:pt idx="380">
                  <c:v>39112</c:v>
                </c:pt>
                <c:pt idx="381">
                  <c:v>39113</c:v>
                </c:pt>
                <c:pt idx="382">
                  <c:v>39114</c:v>
                </c:pt>
                <c:pt idx="383">
                  <c:v>39115</c:v>
                </c:pt>
                <c:pt idx="384">
                  <c:v>39118</c:v>
                </c:pt>
                <c:pt idx="385">
                  <c:v>39119</c:v>
                </c:pt>
                <c:pt idx="386">
                  <c:v>39120</c:v>
                </c:pt>
                <c:pt idx="387">
                  <c:v>39121</c:v>
                </c:pt>
                <c:pt idx="388">
                  <c:v>39122</c:v>
                </c:pt>
                <c:pt idx="389">
                  <c:v>39125</c:v>
                </c:pt>
                <c:pt idx="390">
                  <c:v>39126</c:v>
                </c:pt>
                <c:pt idx="391">
                  <c:v>39127</c:v>
                </c:pt>
                <c:pt idx="392">
                  <c:v>39128</c:v>
                </c:pt>
                <c:pt idx="393">
                  <c:v>39129</c:v>
                </c:pt>
                <c:pt idx="394">
                  <c:v>39139</c:v>
                </c:pt>
                <c:pt idx="395">
                  <c:v>39140</c:v>
                </c:pt>
                <c:pt idx="396">
                  <c:v>39141</c:v>
                </c:pt>
                <c:pt idx="397">
                  <c:v>39142</c:v>
                </c:pt>
                <c:pt idx="398">
                  <c:v>39143</c:v>
                </c:pt>
                <c:pt idx="399">
                  <c:v>39146</c:v>
                </c:pt>
                <c:pt idx="400">
                  <c:v>39147</c:v>
                </c:pt>
                <c:pt idx="401">
                  <c:v>39148</c:v>
                </c:pt>
                <c:pt idx="402">
                  <c:v>39149</c:v>
                </c:pt>
                <c:pt idx="403">
                  <c:v>39150</c:v>
                </c:pt>
                <c:pt idx="404">
                  <c:v>39153</c:v>
                </c:pt>
                <c:pt idx="405">
                  <c:v>39154</c:v>
                </c:pt>
                <c:pt idx="406">
                  <c:v>39155</c:v>
                </c:pt>
                <c:pt idx="407">
                  <c:v>39156</c:v>
                </c:pt>
                <c:pt idx="408">
                  <c:v>39157</c:v>
                </c:pt>
                <c:pt idx="409">
                  <c:v>39160</c:v>
                </c:pt>
                <c:pt idx="410">
                  <c:v>39161</c:v>
                </c:pt>
                <c:pt idx="411">
                  <c:v>39162</c:v>
                </c:pt>
                <c:pt idx="412">
                  <c:v>39163</c:v>
                </c:pt>
                <c:pt idx="413">
                  <c:v>39164</c:v>
                </c:pt>
                <c:pt idx="414">
                  <c:v>39167</c:v>
                </c:pt>
                <c:pt idx="415">
                  <c:v>39168</c:v>
                </c:pt>
                <c:pt idx="416">
                  <c:v>39169</c:v>
                </c:pt>
                <c:pt idx="417">
                  <c:v>39170</c:v>
                </c:pt>
                <c:pt idx="418">
                  <c:v>39171</c:v>
                </c:pt>
                <c:pt idx="419">
                  <c:v>39174</c:v>
                </c:pt>
                <c:pt idx="420">
                  <c:v>39175</c:v>
                </c:pt>
                <c:pt idx="421">
                  <c:v>39176</c:v>
                </c:pt>
                <c:pt idx="422">
                  <c:v>39177</c:v>
                </c:pt>
                <c:pt idx="423">
                  <c:v>39178</c:v>
                </c:pt>
                <c:pt idx="424">
                  <c:v>39181</c:v>
                </c:pt>
                <c:pt idx="425">
                  <c:v>39182</c:v>
                </c:pt>
                <c:pt idx="426">
                  <c:v>39183</c:v>
                </c:pt>
                <c:pt idx="427">
                  <c:v>39184</c:v>
                </c:pt>
                <c:pt idx="428">
                  <c:v>39185</c:v>
                </c:pt>
                <c:pt idx="429">
                  <c:v>39188</c:v>
                </c:pt>
                <c:pt idx="430">
                  <c:v>39189</c:v>
                </c:pt>
                <c:pt idx="431">
                  <c:v>39190</c:v>
                </c:pt>
                <c:pt idx="432">
                  <c:v>39191</c:v>
                </c:pt>
                <c:pt idx="433">
                  <c:v>39192</c:v>
                </c:pt>
                <c:pt idx="434">
                  <c:v>39195</c:v>
                </c:pt>
                <c:pt idx="435">
                  <c:v>39196</c:v>
                </c:pt>
                <c:pt idx="436">
                  <c:v>39197</c:v>
                </c:pt>
                <c:pt idx="437">
                  <c:v>39198</c:v>
                </c:pt>
                <c:pt idx="438">
                  <c:v>39199</c:v>
                </c:pt>
                <c:pt idx="439">
                  <c:v>39202</c:v>
                </c:pt>
                <c:pt idx="440">
                  <c:v>39210</c:v>
                </c:pt>
                <c:pt idx="441">
                  <c:v>39211</c:v>
                </c:pt>
                <c:pt idx="442">
                  <c:v>39212</c:v>
                </c:pt>
                <c:pt idx="443">
                  <c:v>39213</c:v>
                </c:pt>
                <c:pt idx="444">
                  <c:v>39216</c:v>
                </c:pt>
                <c:pt idx="445">
                  <c:v>39217</c:v>
                </c:pt>
                <c:pt idx="446">
                  <c:v>39218</c:v>
                </c:pt>
                <c:pt idx="447">
                  <c:v>39219</c:v>
                </c:pt>
                <c:pt idx="448">
                  <c:v>39220</c:v>
                </c:pt>
                <c:pt idx="449">
                  <c:v>39223</c:v>
                </c:pt>
                <c:pt idx="450">
                  <c:v>39224</c:v>
                </c:pt>
                <c:pt idx="451">
                  <c:v>39225</c:v>
                </c:pt>
                <c:pt idx="452">
                  <c:v>39226</c:v>
                </c:pt>
                <c:pt idx="453">
                  <c:v>39227</c:v>
                </c:pt>
                <c:pt idx="454">
                  <c:v>39230</c:v>
                </c:pt>
                <c:pt idx="455">
                  <c:v>39231</c:v>
                </c:pt>
                <c:pt idx="456">
                  <c:v>39232</c:v>
                </c:pt>
                <c:pt idx="457">
                  <c:v>39233</c:v>
                </c:pt>
                <c:pt idx="458">
                  <c:v>39234</c:v>
                </c:pt>
                <c:pt idx="459">
                  <c:v>39237</c:v>
                </c:pt>
                <c:pt idx="460">
                  <c:v>39238</c:v>
                </c:pt>
                <c:pt idx="461">
                  <c:v>39239</c:v>
                </c:pt>
                <c:pt idx="462">
                  <c:v>39240</c:v>
                </c:pt>
                <c:pt idx="463">
                  <c:v>39241</c:v>
                </c:pt>
                <c:pt idx="464">
                  <c:v>39244</c:v>
                </c:pt>
                <c:pt idx="465">
                  <c:v>39245</c:v>
                </c:pt>
                <c:pt idx="466">
                  <c:v>39246</c:v>
                </c:pt>
                <c:pt idx="467">
                  <c:v>39247</c:v>
                </c:pt>
                <c:pt idx="468">
                  <c:v>39248</c:v>
                </c:pt>
                <c:pt idx="469">
                  <c:v>39251</c:v>
                </c:pt>
                <c:pt idx="470">
                  <c:v>39252</c:v>
                </c:pt>
                <c:pt idx="471">
                  <c:v>39253</c:v>
                </c:pt>
                <c:pt idx="472">
                  <c:v>39254</c:v>
                </c:pt>
                <c:pt idx="473">
                  <c:v>39255</c:v>
                </c:pt>
                <c:pt idx="474">
                  <c:v>39258</c:v>
                </c:pt>
                <c:pt idx="475">
                  <c:v>39259</c:v>
                </c:pt>
                <c:pt idx="476">
                  <c:v>39260</c:v>
                </c:pt>
                <c:pt idx="477">
                  <c:v>39261</c:v>
                </c:pt>
                <c:pt idx="478">
                  <c:v>39262</c:v>
                </c:pt>
                <c:pt idx="479">
                  <c:v>39265</c:v>
                </c:pt>
                <c:pt idx="480">
                  <c:v>39266</c:v>
                </c:pt>
                <c:pt idx="481">
                  <c:v>39267</c:v>
                </c:pt>
                <c:pt idx="482">
                  <c:v>39268</c:v>
                </c:pt>
                <c:pt idx="483">
                  <c:v>39269</c:v>
                </c:pt>
                <c:pt idx="484">
                  <c:v>39272</c:v>
                </c:pt>
                <c:pt idx="485">
                  <c:v>39273</c:v>
                </c:pt>
                <c:pt idx="486">
                  <c:v>39274</c:v>
                </c:pt>
                <c:pt idx="487">
                  <c:v>39275</c:v>
                </c:pt>
                <c:pt idx="488">
                  <c:v>39276</c:v>
                </c:pt>
                <c:pt idx="489">
                  <c:v>39279</c:v>
                </c:pt>
                <c:pt idx="490">
                  <c:v>39280</c:v>
                </c:pt>
                <c:pt idx="491">
                  <c:v>39281</c:v>
                </c:pt>
                <c:pt idx="492">
                  <c:v>39282</c:v>
                </c:pt>
                <c:pt idx="493">
                  <c:v>39283</c:v>
                </c:pt>
                <c:pt idx="494">
                  <c:v>39286</c:v>
                </c:pt>
                <c:pt idx="495">
                  <c:v>39287</c:v>
                </c:pt>
                <c:pt idx="496">
                  <c:v>39288</c:v>
                </c:pt>
                <c:pt idx="497">
                  <c:v>39289</c:v>
                </c:pt>
                <c:pt idx="498">
                  <c:v>39290</c:v>
                </c:pt>
                <c:pt idx="499">
                  <c:v>39293</c:v>
                </c:pt>
                <c:pt idx="500">
                  <c:v>39294</c:v>
                </c:pt>
                <c:pt idx="501">
                  <c:v>39295</c:v>
                </c:pt>
                <c:pt idx="502">
                  <c:v>39296</c:v>
                </c:pt>
                <c:pt idx="503">
                  <c:v>39297</c:v>
                </c:pt>
                <c:pt idx="504">
                  <c:v>39300</c:v>
                </c:pt>
                <c:pt idx="505">
                  <c:v>39301</c:v>
                </c:pt>
                <c:pt idx="506">
                  <c:v>39302</c:v>
                </c:pt>
                <c:pt idx="507">
                  <c:v>39303</c:v>
                </c:pt>
                <c:pt idx="508">
                  <c:v>39304</c:v>
                </c:pt>
                <c:pt idx="509">
                  <c:v>39307</c:v>
                </c:pt>
                <c:pt idx="510">
                  <c:v>39308</c:v>
                </c:pt>
                <c:pt idx="511">
                  <c:v>39309</c:v>
                </c:pt>
                <c:pt idx="512">
                  <c:v>39310</c:v>
                </c:pt>
                <c:pt idx="513">
                  <c:v>39311</c:v>
                </c:pt>
                <c:pt idx="514">
                  <c:v>39314</c:v>
                </c:pt>
                <c:pt idx="515">
                  <c:v>39315</c:v>
                </c:pt>
                <c:pt idx="516">
                  <c:v>39316</c:v>
                </c:pt>
                <c:pt idx="517">
                  <c:v>39317</c:v>
                </c:pt>
                <c:pt idx="518">
                  <c:v>39318</c:v>
                </c:pt>
                <c:pt idx="519">
                  <c:v>39321</c:v>
                </c:pt>
                <c:pt idx="520">
                  <c:v>39322</c:v>
                </c:pt>
                <c:pt idx="521">
                  <c:v>39323</c:v>
                </c:pt>
                <c:pt idx="522">
                  <c:v>39324</c:v>
                </c:pt>
                <c:pt idx="523">
                  <c:v>39325</c:v>
                </c:pt>
                <c:pt idx="524">
                  <c:v>39328</c:v>
                </c:pt>
                <c:pt idx="525">
                  <c:v>39329</c:v>
                </c:pt>
                <c:pt idx="526">
                  <c:v>39330</c:v>
                </c:pt>
                <c:pt idx="527">
                  <c:v>39331</c:v>
                </c:pt>
                <c:pt idx="528">
                  <c:v>39332</c:v>
                </c:pt>
                <c:pt idx="529">
                  <c:v>39335</c:v>
                </c:pt>
                <c:pt idx="530">
                  <c:v>39336</c:v>
                </c:pt>
                <c:pt idx="531">
                  <c:v>39337</c:v>
                </c:pt>
                <c:pt idx="532">
                  <c:v>39338</c:v>
                </c:pt>
                <c:pt idx="533">
                  <c:v>39339</c:v>
                </c:pt>
                <c:pt idx="534">
                  <c:v>39342</c:v>
                </c:pt>
                <c:pt idx="535">
                  <c:v>39343</c:v>
                </c:pt>
                <c:pt idx="536">
                  <c:v>39344</c:v>
                </c:pt>
                <c:pt idx="537">
                  <c:v>39345</c:v>
                </c:pt>
                <c:pt idx="538">
                  <c:v>39346</c:v>
                </c:pt>
                <c:pt idx="539">
                  <c:v>39349</c:v>
                </c:pt>
                <c:pt idx="540">
                  <c:v>39350</c:v>
                </c:pt>
                <c:pt idx="541">
                  <c:v>39351</c:v>
                </c:pt>
                <c:pt idx="542">
                  <c:v>39352</c:v>
                </c:pt>
                <c:pt idx="543">
                  <c:v>39353</c:v>
                </c:pt>
                <c:pt idx="544">
                  <c:v>39363</c:v>
                </c:pt>
                <c:pt idx="545">
                  <c:v>39364</c:v>
                </c:pt>
                <c:pt idx="546">
                  <c:v>39365</c:v>
                </c:pt>
                <c:pt idx="547">
                  <c:v>39366</c:v>
                </c:pt>
                <c:pt idx="548">
                  <c:v>39367</c:v>
                </c:pt>
                <c:pt idx="549">
                  <c:v>39370</c:v>
                </c:pt>
                <c:pt idx="550">
                  <c:v>39371</c:v>
                </c:pt>
                <c:pt idx="551">
                  <c:v>39372</c:v>
                </c:pt>
                <c:pt idx="552">
                  <c:v>39373</c:v>
                </c:pt>
                <c:pt idx="553">
                  <c:v>39374</c:v>
                </c:pt>
                <c:pt idx="554">
                  <c:v>39377</c:v>
                </c:pt>
                <c:pt idx="555">
                  <c:v>39378</c:v>
                </c:pt>
                <c:pt idx="556">
                  <c:v>39379</c:v>
                </c:pt>
                <c:pt idx="557">
                  <c:v>39380</c:v>
                </c:pt>
                <c:pt idx="558">
                  <c:v>39381</c:v>
                </c:pt>
                <c:pt idx="559">
                  <c:v>39384</c:v>
                </c:pt>
                <c:pt idx="560">
                  <c:v>39385</c:v>
                </c:pt>
                <c:pt idx="561">
                  <c:v>39386</c:v>
                </c:pt>
                <c:pt idx="562">
                  <c:v>39387</c:v>
                </c:pt>
                <c:pt idx="563">
                  <c:v>39388</c:v>
                </c:pt>
                <c:pt idx="564">
                  <c:v>39391</c:v>
                </c:pt>
                <c:pt idx="565">
                  <c:v>39392</c:v>
                </c:pt>
                <c:pt idx="566">
                  <c:v>39393</c:v>
                </c:pt>
                <c:pt idx="567">
                  <c:v>39394</c:v>
                </c:pt>
                <c:pt idx="568">
                  <c:v>39395</c:v>
                </c:pt>
                <c:pt idx="569">
                  <c:v>39398</c:v>
                </c:pt>
                <c:pt idx="570">
                  <c:v>39399</c:v>
                </c:pt>
                <c:pt idx="571">
                  <c:v>39400</c:v>
                </c:pt>
                <c:pt idx="572">
                  <c:v>39401</c:v>
                </c:pt>
                <c:pt idx="573">
                  <c:v>39402</c:v>
                </c:pt>
                <c:pt idx="574">
                  <c:v>39405</c:v>
                </c:pt>
                <c:pt idx="575">
                  <c:v>39406</c:v>
                </c:pt>
                <c:pt idx="576">
                  <c:v>39407</c:v>
                </c:pt>
                <c:pt idx="577">
                  <c:v>39408</c:v>
                </c:pt>
                <c:pt idx="578">
                  <c:v>39409</c:v>
                </c:pt>
                <c:pt idx="579">
                  <c:v>39412</c:v>
                </c:pt>
                <c:pt idx="580">
                  <c:v>39413</c:v>
                </c:pt>
                <c:pt idx="581">
                  <c:v>39414</c:v>
                </c:pt>
                <c:pt idx="582">
                  <c:v>39415</c:v>
                </c:pt>
                <c:pt idx="583">
                  <c:v>39416</c:v>
                </c:pt>
                <c:pt idx="584">
                  <c:v>39419</c:v>
                </c:pt>
                <c:pt idx="585">
                  <c:v>39420</c:v>
                </c:pt>
                <c:pt idx="586">
                  <c:v>39421</c:v>
                </c:pt>
                <c:pt idx="587">
                  <c:v>39422</c:v>
                </c:pt>
                <c:pt idx="588">
                  <c:v>39423</c:v>
                </c:pt>
                <c:pt idx="589">
                  <c:v>39426</c:v>
                </c:pt>
                <c:pt idx="590">
                  <c:v>39427</c:v>
                </c:pt>
                <c:pt idx="591">
                  <c:v>39428</c:v>
                </c:pt>
                <c:pt idx="592">
                  <c:v>39429</c:v>
                </c:pt>
                <c:pt idx="593">
                  <c:v>39430</c:v>
                </c:pt>
                <c:pt idx="594">
                  <c:v>39433</c:v>
                </c:pt>
                <c:pt idx="595">
                  <c:v>39434</c:v>
                </c:pt>
                <c:pt idx="596">
                  <c:v>39435</c:v>
                </c:pt>
                <c:pt idx="597">
                  <c:v>39436</c:v>
                </c:pt>
                <c:pt idx="598">
                  <c:v>39437</c:v>
                </c:pt>
                <c:pt idx="599">
                  <c:v>39440</c:v>
                </c:pt>
                <c:pt idx="600">
                  <c:v>39441</c:v>
                </c:pt>
                <c:pt idx="601">
                  <c:v>39442</c:v>
                </c:pt>
                <c:pt idx="602">
                  <c:v>39443</c:v>
                </c:pt>
                <c:pt idx="603">
                  <c:v>39444</c:v>
                </c:pt>
                <c:pt idx="604">
                  <c:v>39449</c:v>
                </c:pt>
                <c:pt idx="605">
                  <c:v>39450</c:v>
                </c:pt>
                <c:pt idx="606">
                  <c:v>39451</c:v>
                </c:pt>
                <c:pt idx="607">
                  <c:v>39454</c:v>
                </c:pt>
                <c:pt idx="608">
                  <c:v>39455</c:v>
                </c:pt>
                <c:pt idx="609">
                  <c:v>39456</c:v>
                </c:pt>
                <c:pt idx="610">
                  <c:v>39457</c:v>
                </c:pt>
                <c:pt idx="611">
                  <c:v>39458</c:v>
                </c:pt>
                <c:pt idx="612">
                  <c:v>39461</c:v>
                </c:pt>
                <c:pt idx="613">
                  <c:v>39462</c:v>
                </c:pt>
                <c:pt idx="614">
                  <c:v>39463</c:v>
                </c:pt>
                <c:pt idx="615">
                  <c:v>39464</c:v>
                </c:pt>
                <c:pt idx="616">
                  <c:v>39465</c:v>
                </c:pt>
                <c:pt idx="617">
                  <c:v>39468</c:v>
                </c:pt>
                <c:pt idx="618">
                  <c:v>39469</c:v>
                </c:pt>
                <c:pt idx="619">
                  <c:v>39470</c:v>
                </c:pt>
                <c:pt idx="620">
                  <c:v>39471</c:v>
                </c:pt>
                <c:pt idx="621">
                  <c:v>39472</c:v>
                </c:pt>
                <c:pt idx="622">
                  <c:v>39475</c:v>
                </c:pt>
                <c:pt idx="623">
                  <c:v>39476</c:v>
                </c:pt>
                <c:pt idx="624">
                  <c:v>39477</c:v>
                </c:pt>
                <c:pt idx="625">
                  <c:v>39478</c:v>
                </c:pt>
                <c:pt idx="626">
                  <c:v>39479</c:v>
                </c:pt>
                <c:pt idx="627">
                  <c:v>39482</c:v>
                </c:pt>
                <c:pt idx="628">
                  <c:v>39483</c:v>
                </c:pt>
                <c:pt idx="629">
                  <c:v>39491</c:v>
                </c:pt>
                <c:pt idx="630">
                  <c:v>39492</c:v>
                </c:pt>
                <c:pt idx="631">
                  <c:v>39493</c:v>
                </c:pt>
                <c:pt idx="632">
                  <c:v>39496</c:v>
                </c:pt>
                <c:pt idx="633">
                  <c:v>39497</c:v>
                </c:pt>
                <c:pt idx="634">
                  <c:v>39498</c:v>
                </c:pt>
                <c:pt idx="635">
                  <c:v>39499</c:v>
                </c:pt>
                <c:pt idx="636">
                  <c:v>39500</c:v>
                </c:pt>
                <c:pt idx="637">
                  <c:v>39503</c:v>
                </c:pt>
                <c:pt idx="638">
                  <c:v>39504</c:v>
                </c:pt>
                <c:pt idx="639">
                  <c:v>39505</c:v>
                </c:pt>
                <c:pt idx="640">
                  <c:v>39506</c:v>
                </c:pt>
                <c:pt idx="641">
                  <c:v>39507</c:v>
                </c:pt>
                <c:pt idx="642">
                  <c:v>39510</c:v>
                </c:pt>
                <c:pt idx="643">
                  <c:v>39511</c:v>
                </c:pt>
                <c:pt idx="644">
                  <c:v>39512</c:v>
                </c:pt>
                <c:pt idx="645">
                  <c:v>39513</c:v>
                </c:pt>
                <c:pt idx="646">
                  <c:v>39514</c:v>
                </c:pt>
                <c:pt idx="647">
                  <c:v>39517</c:v>
                </c:pt>
                <c:pt idx="648">
                  <c:v>39518</c:v>
                </c:pt>
                <c:pt idx="649">
                  <c:v>39519</c:v>
                </c:pt>
                <c:pt idx="650">
                  <c:v>39520</c:v>
                </c:pt>
                <c:pt idx="651">
                  <c:v>39521</c:v>
                </c:pt>
                <c:pt idx="652">
                  <c:v>39524</c:v>
                </c:pt>
                <c:pt idx="653">
                  <c:v>39525</c:v>
                </c:pt>
                <c:pt idx="654">
                  <c:v>39526</c:v>
                </c:pt>
                <c:pt idx="655">
                  <c:v>39527</c:v>
                </c:pt>
                <c:pt idx="656">
                  <c:v>39528</c:v>
                </c:pt>
                <c:pt idx="657">
                  <c:v>39531</c:v>
                </c:pt>
                <c:pt idx="658">
                  <c:v>39532</c:v>
                </c:pt>
                <c:pt idx="659">
                  <c:v>39533</c:v>
                </c:pt>
                <c:pt idx="660">
                  <c:v>39534</c:v>
                </c:pt>
                <c:pt idx="661">
                  <c:v>39535</c:v>
                </c:pt>
                <c:pt idx="662">
                  <c:v>39538</c:v>
                </c:pt>
                <c:pt idx="663">
                  <c:v>39539</c:v>
                </c:pt>
                <c:pt idx="664">
                  <c:v>39540</c:v>
                </c:pt>
                <c:pt idx="665">
                  <c:v>39541</c:v>
                </c:pt>
                <c:pt idx="666">
                  <c:v>39545</c:v>
                </c:pt>
                <c:pt idx="667">
                  <c:v>39546</c:v>
                </c:pt>
                <c:pt idx="668">
                  <c:v>39547</c:v>
                </c:pt>
                <c:pt idx="669">
                  <c:v>39548</c:v>
                </c:pt>
                <c:pt idx="670">
                  <c:v>39549</c:v>
                </c:pt>
                <c:pt idx="671">
                  <c:v>39552</c:v>
                </c:pt>
                <c:pt idx="672">
                  <c:v>39553</c:v>
                </c:pt>
                <c:pt idx="673">
                  <c:v>39554</c:v>
                </c:pt>
                <c:pt idx="674">
                  <c:v>39555</c:v>
                </c:pt>
                <c:pt idx="675">
                  <c:v>39556</c:v>
                </c:pt>
                <c:pt idx="676">
                  <c:v>39559</c:v>
                </c:pt>
                <c:pt idx="677">
                  <c:v>39560</c:v>
                </c:pt>
                <c:pt idx="678">
                  <c:v>39561</c:v>
                </c:pt>
                <c:pt idx="679">
                  <c:v>39562</c:v>
                </c:pt>
                <c:pt idx="680">
                  <c:v>39563</c:v>
                </c:pt>
                <c:pt idx="681">
                  <c:v>39566</c:v>
                </c:pt>
                <c:pt idx="682">
                  <c:v>39567</c:v>
                </c:pt>
                <c:pt idx="683">
                  <c:v>39568</c:v>
                </c:pt>
                <c:pt idx="684">
                  <c:v>39573</c:v>
                </c:pt>
                <c:pt idx="685">
                  <c:v>39574</c:v>
                </c:pt>
                <c:pt idx="686">
                  <c:v>39575</c:v>
                </c:pt>
                <c:pt idx="687">
                  <c:v>39576</c:v>
                </c:pt>
                <c:pt idx="688">
                  <c:v>39577</c:v>
                </c:pt>
                <c:pt idx="689">
                  <c:v>39580</c:v>
                </c:pt>
                <c:pt idx="690">
                  <c:v>39581</c:v>
                </c:pt>
                <c:pt idx="691">
                  <c:v>39582</c:v>
                </c:pt>
                <c:pt idx="692">
                  <c:v>39583</c:v>
                </c:pt>
                <c:pt idx="693">
                  <c:v>39584</c:v>
                </c:pt>
                <c:pt idx="694">
                  <c:v>39587</c:v>
                </c:pt>
                <c:pt idx="695">
                  <c:v>39588</c:v>
                </c:pt>
                <c:pt idx="696">
                  <c:v>39589</c:v>
                </c:pt>
                <c:pt idx="697">
                  <c:v>39590</c:v>
                </c:pt>
                <c:pt idx="698">
                  <c:v>39591</c:v>
                </c:pt>
                <c:pt idx="699">
                  <c:v>39594</c:v>
                </c:pt>
                <c:pt idx="700">
                  <c:v>39595</c:v>
                </c:pt>
                <c:pt idx="701">
                  <c:v>39596</c:v>
                </c:pt>
                <c:pt idx="702">
                  <c:v>39597</c:v>
                </c:pt>
                <c:pt idx="703">
                  <c:v>39598</c:v>
                </c:pt>
                <c:pt idx="704">
                  <c:v>39601</c:v>
                </c:pt>
                <c:pt idx="705">
                  <c:v>39602</c:v>
                </c:pt>
                <c:pt idx="706">
                  <c:v>39603</c:v>
                </c:pt>
                <c:pt idx="707">
                  <c:v>39604</c:v>
                </c:pt>
                <c:pt idx="708">
                  <c:v>39605</c:v>
                </c:pt>
                <c:pt idx="709">
                  <c:v>39609</c:v>
                </c:pt>
                <c:pt idx="710">
                  <c:v>39610</c:v>
                </c:pt>
                <c:pt idx="711">
                  <c:v>39611</c:v>
                </c:pt>
                <c:pt idx="712">
                  <c:v>39612</c:v>
                </c:pt>
                <c:pt idx="713">
                  <c:v>39615</c:v>
                </c:pt>
                <c:pt idx="714">
                  <c:v>39616</c:v>
                </c:pt>
                <c:pt idx="715">
                  <c:v>39617</c:v>
                </c:pt>
                <c:pt idx="716">
                  <c:v>39618</c:v>
                </c:pt>
                <c:pt idx="717">
                  <c:v>39619</c:v>
                </c:pt>
                <c:pt idx="718">
                  <c:v>39622</c:v>
                </c:pt>
                <c:pt idx="719">
                  <c:v>39623</c:v>
                </c:pt>
                <c:pt idx="720">
                  <c:v>39624</c:v>
                </c:pt>
                <c:pt idx="721">
                  <c:v>39625</c:v>
                </c:pt>
                <c:pt idx="722">
                  <c:v>39626</c:v>
                </c:pt>
                <c:pt idx="723">
                  <c:v>39629</c:v>
                </c:pt>
                <c:pt idx="724">
                  <c:v>39630</c:v>
                </c:pt>
                <c:pt idx="725">
                  <c:v>39631</c:v>
                </c:pt>
                <c:pt idx="726">
                  <c:v>39632</c:v>
                </c:pt>
                <c:pt idx="727">
                  <c:v>39633</c:v>
                </c:pt>
                <c:pt idx="728">
                  <c:v>39636</c:v>
                </c:pt>
                <c:pt idx="729">
                  <c:v>39637</c:v>
                </c:pt>
                <c:pt idx="730">
                  <c:v>39638</c:v>
                </c:pt>
                <c:pt idx="731">
                  <c:v>39639</c:v>
                </c:pt>
                <c:pt idx="732">
                  <c:v>39640</c:v>
                </c:pt>
                <c:pt idx="733">
                  <c:v>39643</c:v>
                </c:pt>
                <c:pt idx="734">
                  <c:v>39644</c:v>
                </c:pt>
                <c:pt idx="735">
                  <c:v>39645</c:v>
                </c:pt>
                <c:pt idx="736">
                  <c:v>39646</c:v>
                </c:pt>
                <c:pt idx="737">
                  <c:v>39647</c:v>
                </c:pt>
                <c:pt idx="738">
                  <c:v>39650</c:v>
                </c:pt>
                <c:pt idx="739">
                  <c:v>39651</c:v>
                </c:pt>
                <c:pt idx="740">
                  <c:v>39652</c:v>
                </c:pt>
                <c:pt idx="741">
                  <c:v>39653</c:v>
                </c:pt>
                <c:pt idx="742">
                  <c:v>39654</c:v>
                </c:pt>
                <c:pt idx="743">
                  <c:v>39657</c:v>
                </c:pt>
                <c:pt idx="744">
                  <c:v>39658</c:v>
                </c:pt>
                <c:pt idx="745">
                  <c:v>39659</c:v>
                </c:pt>
                <c:pt idx="746">
                  <c:v>39660</c:v>
                </c:pt>
                <c:pt idx="747">
                  <c:v>39661</c:v>
                </c:pt>
                <c:pt idx="748">
                  <c:v>39664</c:v>
                </c:pt>
                <c:pt idx="749">
                  <c:v>39665</c:v>
                </c:pt>
                <c:pt idx="750">
                  <c:v>39666</c:v>
                </c:pt>
                <c:pt idx="751">
                  <c:v>39667</c:v>
                </c:pt>
                <c:pt idx="752">
                  <c:v>39668</c:v>
                </c:pt>
                <c:pt idx="753">
                  <c:v>39671</c:v>
                </c:pt>
                <c:pt idx="754">
                  <c:v>39672</c:v>
                </c:pt>
                <c:pt idx="755">
                  <c:v>39673</c:v>
                </c:pt>
                <c:pt idx="756">
                  <c:v>39674</c:v>
                </c:pt>
                <c:pt idx="757">
                  <c:v>39675</c:v>
                </c:pt>
                <c:pt idx="758">
                  <c:v>39678</c:v>
                </c:pt>
                <c:pt idx="759">
                  <c:v>39679</c:v>
                </c:pt>
                <c:pt idx="760">
                  <c:v>39680</c:v>
                </c:pt>
                <c:pt idx="761">
                  <c:v>39681</c:v>
                </c:pt>
                <c:pt idx="762">
                  <c:v>39682</c:v>
                </c:pt>
                <c:pt idx="763">
                  <c:v>39685</c:v>
                </c:pt>
                <c:pt idx="764">
                  <c:v>39686</c:v>
                </c:pt>
                <c:pt idx="765">
                  <c:v>39687</c:v>
                </c:pt>
                <c:pt idx="766">
                  <c:v>39688</c:v>
                </c:pt>
                <c:pt idx="767">
                  <c:v>39689</c:v>
                </c:pt>
                <c:pt idx="768">
                  <c:v>39692</c:v>
                </c:pt>
                <c:pt idx="769">
                  <c:v>39693</c:v>
                </c:pt>
                <c:pt idx="770">
                  <c:v>39694</c:v>
                </c:pt>
                <c:pt idx="771">
                  <c:v>39695</c:v>
                </c:pt>
                <c:pt idx="772">
                  <c:v>39696</c:v>
                </c:pt>
                <c:pt idx="773">
                  <c:v>39699</c:v>
                </c:pt>
                <c:pt idx="774">
                  <c:v>39700</c:v>
                </c:pt>
                <c:pt idx="775">
                  <c:v>39701</c:v>
                </c:pt>
                <c:pt idx="776">
                  <c:v>39702</c:v>
                </c:pt>
                <c:pt idx="777">
                  <c:v>39703</c:v>
                </c:pt>
                <c:pt idx="778">
                  <c:v>39707</c:v>
                </c:pt>
                <c:pt idx="779">
                  <c:v>39708</c:v>
                </c:pt>
                <c:pt idx="780">
                  <c:v>39709</c:v>
                </c:pt>
                <c:pt idx="781">
                  <c:v>39710</c:v>
                </c:pt>
                <c:pt idx="782">
                  <c:v>39713</c:v>
                </c:pt>
                <c:pt idx="783">
                  <c:v>39714</c:v>
                </c:pt>
                <c:pt idx="784">
                  <c:v>39715</c:v>
                </c:pt>
                <c:pt idx="785">
                  <c:v>39716</c:v>
                </c:pt>
                <c:pt idx="786">
                  <c:v>39717</c:v>
                </c:pt>
                <c:pt idx="787">
                  <c:v>39727</c:v>
                </c:pt>
                <c:pt idx="788">
                  <c:v>39728</c:v>
                </c:pt>
                <c:pt idx="789">
                  <c:v>39729</c:v>
                </c:pt>
                <c:pt idx="790">
                  <c:v>39730</c:v>
                </c:pt>
                <c:pt idx="791">
                  <c:v>39731</c:v>
                </c:pt>
                <c:pt idx="792">
                  <c:v>39734</c:v>
                </c:pt>
                <c:pt idx="793">
                  <c:v>39735</c:v>
                </c:pt>
                <c:pt idx="794">
                  <c:v>39736</c:v>
                </c:pt>
                <c:pt idx="795">
                  <c:v>39737</c:v>
                </c:pt>
                <c:pt idx="796">
                  <c:v>39738</c:v>
                </c:pt>
                <c:pt idx="797">
                  <c:v>39741</c:v>
                </c:pt>
                <c:pt idx="798">
                  <c:v>39742</c:v>
                </c:pt>
                <c:pt idx="799">
                  <c:v>39743</c:v>
                </c:pt>
                <c:pt idx="800">
                  <c:v>39744</c:v>
                </c:pt>
                <c:pt idx="801">
                  <c:v>39745</c:v>
                </c:pt>
                <c:pt idx="802">
                  <c:v>39748</c:v>
                </c:pt>
                <c:pt idx="803">
                  <c:v>39749</c:v>
                </c:pt>
                <c:pt idx="804">
                  <c:v>39750</c:v>
                </c:pt>
                <c:pt idx="805">
                  <c:v>39751</c:v>
                </c:pt>
                <c:pt idx="806">
                  <c:v>39752</c:v>
                </c:pt>
                <c:pt idx="807">
                  <c:v>39755</c:v>
                </c:pt>
                <c:pt idx="808">
                  <c:v>39756</c:v>
                </c:pt>
                <c:pt idx="809">
                  <c:v>39757</c:v>
                </c:pt>
                <c:pt idx="810">
                  <c:v>39758</c:v>
                </c:pt>
                <c:pt idx="811">
                  <c:v>39759</c:v>
                </c:pt>
                <c:pt idx="812">
                  <c:v>39762</c:v>
                </c:pt>
                <c:pt idx="813">
                  <c:v>39763</c:v>
                </c:pt>
                <c:pt idx="814">
                  <c:v>39764</c:v>
                </c:pt>
                <c:pt idx="815">
                  <c:v>39765</c:v>
                </c:pt>
                <c:pt idx="816">
                  <c:v>39766</c:v>
                </c:pt>
                <c:pt idx="817">
                  <c:v>39769</c:v>
                </c:pt>
                <c:pt idx="818">
                  <c:v>39770</c:v>
                </c:pt>
                <c:pt idx="819">
                  <c:v>39771</c:v>
                </c:pt>
                <c:pt idx="820">
                  <c:v>39772</c:v>
                </c:pt>
                <c:pt idx="821">
                  <c:v>39773</c:v>
                </c:pt>
                <c:pt idx="822">
                  <c:v>39776</c:v>
                </c:pt>
                <c:pt idx="823">
                  <c:v>39777</c:v>
                </c:pt>
                <c:pt idx="824">
                  <c:v>39778</c:v>
                </c:pt>
                <c:pt idx="825">
                  <c:v>39779</c:v>
                </c:pt>
                <c:pt idx="826">
                  <c:v>39780</c:v>
                </c:pt>
                <c:pt idx="827">
                  <c:v>39783</c:v>
                </c:pt>
                <c:pt idx="828">
                  <c:v>39784</c:v>
                </c:pt>
                <c:pt idx="829">
                  <c:v>39785</c:v>
                </c:pt>
                <c:pt idx="830">
                  <c:v>39786</c:v>
                </c:pt>
                <c:pt idx="831">
                  <c:v>39787</c:v>
                </c:pt>
                <c:pt idx="832">
                  <c:v>39790</c:v>
                </c:pt>
                <c:pt idx="833">
                  <c:v>39791</c:v>
                </c:pt>
                <c:pt idx="834">
                  <c:v>39792</c:v>
                </c:pt>
                <c:pt idx="835">
                  <c:v>39793</c:v>
                </c:pt>
                <c:pt idx="836">
                  <c:v>39794</c:v>
                </c:pt>
                <c:pt idx="837">
                  <c:v>39797</c:v>
                </c:pt>
                <c:pt idx="838">
                  <c:v>39798</c:v>
                </c:pt>
                <c:pt idx="839">
                  <c:v>39799</c:v>
                </c:pt>
                <c:pt idx="840">
                  <c:v>39800</c:v>
                </c:pt>
                <c:pt idx="841">
                  <c:v>39801</c:v>
                </c:pt>
                <c:pt idx="842">
                  <c:v>39804</c:v>
                </c:pt>
                <c:pt idx="843">
                  <c:v>39805</c:v>
                </c:pt>
                <c:pt idx="844">
                  <c:v>39806</c:v>
                </c:pt>
                <c:pt idx="845">
                  <c:v>39807</c:v>
                </c:pt>
                <c:pt idx="846">
                  <c:v>39808</c:v>
                </c:pt>
                <c:pt idx="847">
                  <c:v>39811</c:v>
                </c:pt>
                <c:pt idx="848">
                  <c:v>39812</c:v>
                </c:pt>
                <c:pt idx="849">
                  <c:v>39813</c:v>
                </c:pt>
                <c:pt idx="850">
                  <c:v>39818</c:v>
                </c:pt>
                <c:pt idx="851">
                  <c:v>39819</c:v>
                </c:pt>
                <c:pt idx="852">
                  <c:v>39820</c:v>
                </c:pt>
                <c:pt idx="853">
                  <c:v>39821</c:v>
                </c:pt>
                <c:pt idx="854">
                  <c:v>39822</c:v>
                </c:pt>
                <c:pt idx="855">
                  <c:v>39825</c:v>
                </c:pt>
                <c:pt idx="856">
                  <c:v>39826</c:v>
                </c:pt>
                <c:pt idx="857">
                  <c:v>39827</c:v>
                </c:pt>
                <c:pt idx="858">
                  <c:v>39828</c:v>
                </c:pt>
                <c:pt idx="859">
                  <c:v>39829</c:v>
                </c:pt>
                <c:pt idx="860">
                  <c:v>39832</c:v>
                </c:pt>
                <c:pt idx="861">
                  <c:v>39833</c:v>
                </c:pt>
                <c:pt idx="862">
                  <c:v>39834</c:v>
                </c:pt>
                <c:pt idx="863">
                  <c:v>39835</c:v>
                </c:pt>
                <c:pt idx="864">
                  <c:v>39836</c:v>
                </c:pt>
                <c:pt idx="865">
                  <c:v>39846</c:v>
                </c:pt>
                <c:pt idx="866">
                  <c:v>39847</c:v>
                </c:pt>
                <c:pt idx="867">
                  <c:v>39848</c:v>
                </c:pt>
                <c:pt idx="868">
                  <c:v>39849</c:v>
                </c:pt>
                <c:pt idx="869">
                  <c:v>39850</c:v>
                </c:pt>
                <c:pt idx="870">
                  <c:v>39853</c:v>
                </c:pt>
                <c:pt idx="871">
                  <c:v>39854</c:v>
                </c:pt>
                <c:pt idx="872">
                  <c:v>39855</c:v>
                </c:pt>
                <c:pt idx="873">
                  <c:v>39856</c:v>
                </c:pt>
                <c:pt idx="874">
                  <c:v>39857</c:v>
                </c:pt>
                <c:pt idx="875">
                  <c:v>39860</c:v>
                </c:pt>
                <c:pt idx="876">
                  <c:v>39861</c:v>
                </c:pt>
                <c:pt idx="877">
                  <c:v>39862</c:v>
                </c:pt>
                <c:pt idx="878">
                  <c:v>39863</c:v>
                </c:pt>
                <c:pt idx="879">
                  <c:v>39864</c:v>
                </c:pt>
                <c:pt idx="880">
                  <c:v>39867</c:v>
                </c:pt>
                <c:pt idx="881">
                  <c:v>39868</c:v>
                </c:pt>
                <c:pt idx="882">
                  <c:v>39869</c:v>
                </c:pt>
                <c:pt idx="883">
                  <c:v>39870</c:v>
                </c:pt>
                <c:pt idx="884">
                  <c:v>39871</c:v>
                </c:pt>
                <c:pt idx="885">
                  <c:v>39874</c:v>
                </c:pt>
                <c:pt idx="886">
                  <c:v>39875</c:v>
                </c:pt>
                <c:pt idx="887">
                  <c:v>39876</c:v>
                </c:pt>
                <c:pt idx="888">
                  <c:v>39877</c:v>
                </c:pt>
                <c:pt idx="889">
                  <c:v>39878</c:v>
                </c:pt>
                <c:pt idx="890">
                  <c:v>39881</c:v>
                </c:pt>
                <c:pt idx="891">
                  <c:v>39882</c:v>
                </c:pt>
                <c:pt idx="892">
                  <c:v>39883</c:v>
                </c:pt>
                <c:pt idx="893">
                  <c:v>39884</c:v>
                </c:pt>
                <c:pt idx="894">
                  <c:v>39885</c:v>
                </c:pt>
                <c:pt idx="895">
                  <c:v>39888</c:v>
                </c:pt>
                <c:pt idx="896">
                  <c:v>39889</c:v>
                </c:pt>
                <c:pt idx="897">
                  <c:v>39890</c:v>
                </c:pt>
                <c:pt idx="898">
                  <c:v>39891</c:v>
                </c:pt>
                <c:pt idx="899">
                  <c:v>39892</c:v>
                </c:pt>
                <c:pt idx="900">
                  <c:v>39895</c:v>
                </c:pt>
                <c:pt idx="901">
                  <c:v>39896</c:v>
                </c:pt>
                <c:pt idx="902">
                  <c:v>39897</c:v>
                </c:pt>
                <c:pt idx="903">
                  <c:v>39898</c:v>
                </c:pt>
                <c:pt idx="904">
                  <c:v>39899</c:v>
                </c:pt>
                <c:pt idx="905">
                  <c:v>39902</c:v>
                </c:pt>
                <c:pt idx="906">
                  <c:v>39903</c:v>
                </c:pt>
                <c:pt idx="907">
                  <c:v>39904</c:v>
                </c:pt>
                <c:pt idx="908">
                  <c:v>39905</c:v>
                </c:pt>
                <c:pt idx="909">
                  <c:v>39906</c:v>
                </c:pt>
                <c:pt idx="910">
                  <c:v>39910</c:v>
                </c:pt>
                <c:pt idx="911">
                  <c:v>39911</c:v>
                </c:pt>
                <c:pt idx="912">
                  <c:v>39912</c:v>
                </c:pt>
                <c:pt idx="913">
                  <c:v>39913</c:v>
                </c:pt>
                <c:pt idx="914">
                  <c:v>39916</c:v>
                </c:pt>
                <c:pt idx="915">
                  <c:v>39917</c:v>
                </c:pt>
                <c:pt idx="916">
                  <c:v>39918</c:v>
                </c:pt>
                <c:pt idx="917">
                  <c:v>39919</c:v>
                </c:pt>
                <c:pt idx="918">
                  <c:v>39920</c:v>
                </c:pt>
                <c:pt idx="919">
                  <c:v>39923</c:v>
                </c:pt>
                <c:pt idx="920">
                  <c:v>39924</c:v>
                </c:pt>
                <c:pt idx="921">
                  <c:v>39925</c:v>
                </c:pt>
                <c:pt idx="922">
                  <c:v>39926</c:v>
                </c:pt>
                <c:pt idx="923">
                  <c:v>39927</c:v>
                </c:pt>
                <c:pt idx="924">
                  <c:v>39930</c:v>
                </c:pt>
                <c:pt idx="925">
                  <c:v>39931</c:v>
                </c:pt>
                <c:pt idx="926">
                  <c:v>39932</c:v>
                </c:pt>
                <c:pt idx="927">
                  <c:v>39933</c:v>
                </c:pt>
                <c:pt idx="928">
                  <c:v>39937</c:v>
                </c:pt>
                <c:pt idx="929">
                  <c:v>39938</c:v>
                </c:pt>
                <c:pt idx="930">
                  <c:v>39939</c:v>
                </c:pt>
                <c:pt idx="931">
                  <c:v>39940</c:v>
                </c:pt>
                <c:pt idx="932">
                  <c:v>39941</c:v>
                </c:pt>
                <c:pt idx="933">
                  <c:v>39944</c:v>
                </c:pt>
                <c:pt idx="934">
                  <c:v>39945</c:v>
                </c:pt>
                <c:pt idx="935">
                  <c:v>39946</c:v>
                </c:pt>
                <c:pt idx="936">
                  <c:v>39947</c:v>
                </c:pt>
                <c:pt idx="937">
                  <c:v>39948</c:v>
                </c:pt>
                <c:pt idx="938">
                  <c:v>39951</c:v>
                </c:pt>
                <c:pt idx="939">
                  <c:v>39952</c:v>
                </c:pt>
                <c:pt idx="940">
                  <c:v>39953</c:v>
                </c:pt>
                <c:pt idx="941">
                  <c:v>39954</c:v>
                </c:pt>
                <c:pt idx="942">
                  <c:v>39955</c:v>
                </c:pt>
                <c:pt idx="943">
                  <c:v>39958</c:v>
                </c:pt>
                <c:pt idx="944">
                  <c:v>39959</c:v>
                </c:pt>
                <c:pt idx="945">
                  <c:v>39960</c:v>
                </c:pt>
                <c:pt idx="946">
                  <c:v>39965</c:v>
                </c:pt>
                <c:pt idx="947">
                  <c:v>39966</c:v>
                </c:pt>
                <c:pt idx="948">
                  <c:v>39967</c:v>
                </c:pt>
                <c:pt idx="949">
                  <c:v>39968</c:v>
                </c:pt>
                <c:pt idx="950">
                  <c:v>39969</c:v>
                </c:pt>
                <c:pt idx="951">
                  <c:v>39972</c:v>
                </c:pt>
                <c:pt idx="952">
                  <c:v>39973</c:v>
                </c:pt>
                <c:pt idx="953">
                  <c:v>39974</c:v>
                </c:pt>
                <c:pt idx="954">
                  <c:v>39975</c:v>
                </c:pt>
                <c:pt idx="955">
                  <c:v>39976</c:v>
                </c:pt>
                <c:pt idx="956">
                  <c:v>39979</c:v>
                </c:pt>
                <c:pt idx="957">
                  <c:v>39980</c:v>
                </c:pt>
                <c:pt idx="958">
                  <c:v>39981</c:v>
                </c:pt>
                <c:pt idx="959">
                  <c:v>39982</c:v>
                </c:pt>
                <c:pt idx="960">
                  <c:v>39983</c:v>
                </c:pt>
                <c:pt idx="961">
                  <c:v>39986</c:v>
                </c:pt>
                <c:pt idx="962">
                  <c:v>39987</c:v>
                </c:pt>
                <c:pt idx="963">
                  <c:v>39988</c:v>
                </c:pt>
                <c:pt idx="964">
                  <c:v>39989</c:v>
                </c:pt>
                <c:pt idx="965">
                  <c:v>39990</c:v>
                </c:pt>
                <c:pt idx="966">
                  <c:v>39993</c:v>
                </c:pt>
                <c:pt idx="967">
                  <c:v>39994</c:v>
                </c:pt>
                <c:pt idx="968">
                  <c:v>39995</c:v>
                </c:pt>
                <c:pt idx="969">
                  <c:v>39996</c:v>
                </c:pt>
                <c:pt idx="970">
                  <c:v>39997</c:v>
                </c:pt>
                <c:pt idx="971">
                  <c:v>40000</c:v>
                </c:pt>
                <c:pt idx="972">
                  <c:v>40001</c:v>
                </c:pt>
                <c:pt idx="973">
                  <c:v>40002</c:v>
                </c:pt>
                <c:pt idx="974">
                  <c:v>40003</c:v>
                </c:pt>
                <c:pt idx="975">
                  <c:v>40004</c:v>
                </c:pt>
                <c:pt idx="976">
                  <c:v>40007</c:v>
                </c:pt>
                <c:pt idx="977">
                  <c:v>40008</c:v>
                </c:pt>
                <c:pt idx="978">
                  <c:v>40009</c:v>
                </c:pt>
                <c:pt idx="979">
                  <c:v>40010</c:v>
                </c:pt>
                <c:pt idx="980">
                  <c:v>40011</c:v>
                </c:pt>
                <c:pt idx="981">
                  <c:v>40014</c:v>
                </c:pt>
                <c:pt idx="982">
                  <c:v>40015</c:v>
                </c:pt>
                <c:pt idx="983">
                  <c:v>40016</c:v>
                </c:pt>
                <c:pt idx="984">
                  <c:v>40017</c:v>
                </c:pt>
                <c:pt idx="985">
                  <c:v>40018</c:v>
                </c:pt>
                <c:pt idx="986">
                  <c:v>40021</c:v>
                </c:pt>
                <c:pt idx="987">
                  <c:v>40022</c:v>
                </c:pt>
                <c:pt idx="988">
                  <c:v>40023</c:v>
                </c:pt>
                <c:pt idx="989">
                  <c:v>40024</c:v>
                </c:pt>
                <c:pt idx="990">
                  <c:v>40025</c:v>
                </c:pt>
                <c:pt idx="991">
                  <c:v>40028</c:v>
                </c:pt>
                <c:pt idx="992">
                  <c:v>40029</c:v>
                </c:pt>
                <c:pt idx="993">
                  <c:v>40030</c:v>
                </c:pt>
                <c:pt idx="994">
                  <c:v>40031</c:v>
                </c:pt>
                <c:pt idx="995">
                  <c:v>40032</c:v>
                </c:pt>
                <c:pt idx="996">
                  <c:v>40035</c:v>
                </c:pt>
                <c:pt idx="997">
                  <c:v>40036</c:v>
                </c:pt>
                <c:pt idx="998">
                  <c:v>40037</c:v>
                </c:pt>
                <c:pt idx="999">
                  <c:v>40038</c:v>
                </c:pt>
                <c:pt idx="1000">
                  <c:v>40039</c:v>
                </c:pt>
                <c:pt idx="1001">
                  <c:v>40042</c:v>
                </c:pt>
                <c:pt idx="1002">
                  <c:v>40043</c:v>
                </c:pt>
                <c:pt idx="1003">
                  <c:v>40044</c:v>
                </c:pt>
                <c:pt idx="1004">
                  <c:v>40045</c:v>
                </c:pt>
                <c:pt idx="1005">
                  <c:v>40046</c:v>
                </c:pt>
                <c:pt idx="1006">
                  <c:v>40049</c:v>
                </c:pt>
                <c:pt idx="1007">
                  <c:v>40050</c:v>
                </c:pt>
                <c:pt idx="1008">
                  <c:v>40051</c:v>
                </c:pt>
                <c:pt idx="1009">
                  <c:v>40052</c:v>
                </c:pt>
                <c:pt idx="1010">
                  <c:v>40053</c:v>
                </c:pt>
                <c:pt idx="1011">
                  <c:v>40056</c:v>
                </c:pt>
                <c:pt idx="1012">
                  <c:v>40057</c:v>
                </c:pt>
                <c:pt idx="1013">
                  <c:v>40058</c:v>
                </c:pt>
                <c:pt idx="1014">
                  <c:v>40059</c:v>
                </c:pt>
                <c:pt idx="1015">
                  <c:v>40060</c:v>
                </c:pt>
                <c:pt idx="1016">
                  <c:v>40063</c:v>
                </c:pt>
                <c:pt idx="1017">
                  <c:v>40064</c:v>
                </c:pt>
                <c:pt idx="1018">
                  <c:v>40065</c:v>
                </c:pt>
                <c:pt idx="1019">
                  <c:v>40066</c:v>
                </c:pt>
                <c:pt idx="1020">
                  <c:v>40067</c:v>
                </c:pt>
                <c:pt idx="1021">
                  <c:v>40070</c:v>
                </c:pt>
                <c:pt idx="1022">
                  <c:v>40071</c:v>
                </c:pt>
                <c:pt idx="1023">
                  <c:v>40072</c:v>
                </c:pt>
                <c:pt idx="1024">
                  <c:v>40073</c:v>
                </c:pt>
                <c:pt idx="1025">
                  <c:v>40074</c:v>
                </c:pt>
                <c:pt idx="1026">
                  <c:v>40077</c:v>
                </c:pt>
                <c:pt idx="1027">
                  <c:v>40078</c:v>
                </c:pt>
                <c:pt idx="1028">
                  <c:v>40079</c:v>
                </c:pt>
                <c:pt idx="1029">
                  <c:v>40080</c:v>
                </c:pt>
                <c:pt idx="1030">
                  <c:v>40081</c:v>
                </c:pt>
                <c:pt idx="1031">
                  <c:v>40084</c:v>
                </c:pt>
                <c:pt idx="1032">
                  <c:v>40085</c:v>
                </c:pt>
                <c:pt idx="1033">
                  <c:v>40086</c:v>
                </c:pt>
                <c:pt idx="1034">
                  <c:v>40095</c:v>
                </c:pt>
                <c:pt idx="1035">
                  <c:v>40098</c:v>
                </c:pt>
                <c:pt idx="1036">
                  <c:v>40099</c:v>
                </c:pt>
                <c:pt idx="1037">
                  <c:v>40100</c:v>
                </c:pt>
                <c:pt idx="1038">
                  <c:v>40101</c:v>
                </c:pt>
                <c:pt idx="1039">
                  <c:v>40102</c:v>
                </c:pt>
                <c:pt idx="1040">
                  <c:v>40105</c:v>
                </c:pt>
                <c:pt idx="1041">
                  <c:v>40106</c:v>
                </c:pt>
                <c:pt idx="1042">
                  <c:v>40107</c:v>
                </c:pt>
                <c:pt idx="1043">
                  <c:v>40108</c:v>
                </c:pt>
                <c:pt idx="1044">
                  <c:v>40109</c:v>
                </c:pt>
                <c:pt idx="1045">
                  <c:v>40112</c:v>
                </c:pt>
                <c:pt idx="1046">
                  <c:v>40113</c:v>
                </c:pt>
                <c:pt idx="1047">
                  <c:v>40114</c:v>
                </c:pt>
                <c:pt idx="1048">
                  <c:v>40115</c:v>
                </c:pt>
                <c:pt idx="1049">
                  <c:v>40116</c:v>
                </c:pt>
                <c:pt idx="1050">
                  <c:v>40119</c:v>
                </c:pt>
                <c:pt idx="1051">
                  <c:v>40120</c:v>
                </c:pt>
                <c:pt idx="1052">
                  <c:v>40121</c:v>
                </c:pt>
                <c:pt idx="1053">
                  <c:v>40122</c:v>
                </c:pt>
                <c:pt idx="1054">
                  <c:v>40123</c:v>
                </c:pt>
                <c:pt idx="1055">
                  <c:v>40126</c:v>
                </c:pt>
                <c:pt idx="1056">
                  <c:v>40127</c:v>
                </c:pt>
                <c:pt idx="1057">
                  <c:v>40128</c:v>
                </c:pt>
                <c:pt idx="1058">
                  <c:v>40129</c:v>
                </c:pt>
                <c:pt idx="1059">
                  <c:v>40130</c:v>
                </c:pt>
                <c:pt idx="1060">
                  <c:v>40133</c:v>
                </c:pt>
                <c:pt idx="1061">
                  <c:v>40134</c:v>
                </c:pt>
                <c:pt idx="1062">
                  <c:v>40135</c:v>
                </c:pt>
                <c:pt idx="1063">
                  <c:v>40136</c:v>
                </c:pt>
                <c:pt idx="1064">
                  <c:v>40137</c:v>
                </c:pt>
                <c:pt idx="1065">
                  <c:v>40140</c:v>
                </c:pt>
                <c:pt idx="1066">
                  <c:v>40141</c:v>
                </c:pt>
                <c:pt idx="1067">
                  <c:v>40142</c:v>
                </c:pt>
                <c:pt idx="1068">
                  <c:v>40143</c:v>
                </c:pt>
                <c:pt idx="1069">
                  <c:v>40144</c:v>
                </c:pt>
                <c:pt idx="1070">
                  <c:v>40147</c:v>
                </c:pt>
                <c:pt idx="1071">
                  <c:v>40148</c:v>
                </c:pt>
                <c:pt idx="1072">
                  <c:v>40149</c:v>
                </c:pt>
                <c:pt idx="1073">
                  <c:v>40150</c:v>
                </c:pt>
                <c:pt idx="1074">
                  <c:v>40151</c:v>
                </c:pt>
                <c:pt idx="1075">
                  <c:v>40154</c:v>
                </c:pt>
                <c:pt idx="1076">
                  <c:v>40155</c:v>
                </c:pt>
                <c:pt idx="1077">
                  <c:v>40156</c:v>
                </c:pt>
                <c:pt idx="1078">
                  <c:v>40157</c:v>
                </c:pt>
                <c:pt idx="1079">
                  <c:v>40158</c:v>
                </c:pt>
                <c:pt idx="1080">
                  <c:v>40161</c:v>
                </c:pt>
                <c:pt idx="1081">
                  <c:v>40162</c:v>
                </c:pt>
                <c:pt idx="1082">
                  <c:v>40163</c:v>
                </c:pt>
                <c:pt idx="1083">
                  <c:v>40164</c:v>
                </c:pt>
                <c:pt idx="1084">
                  <c:v>40165</c:v>
                </c:pt>
                <c:pt idx="1085">
                  <c:v>40168</c:v>
                </c:pt>
                <c:pt idx="1086">
                  <c:v>40169</c:v>
                </c:pt>
                <c:pt idx="1087">
                  <c:v>40170</c:v>
                </c:pt>
                <c:pt idx="1088">
                  <c:v>40171</c:v>
                </c:pt>
                <c:pt idx="1089">
                  <c:v>40172</c:v>
                </c:pt>
                <c:pt idx="1090">
                  <c:v>40175</c:v>
                </c:pt>
                <c:pt idx="1091">
                  <c:v>40176</c:v>
                </c:pt>
                <c:pt idx="1092">
                  <c:v>40177</c:v>
                </c:pt>
                <c:pt idx="1093">
                  <c:v>40178</c:v>
                </c:pt>
                <c:pt idx="1094">
                  <c:v>40182</c:v>
                </c:pt>
                <c:pt idx="1095">
                  <c:v>40183</c:v>
                </c:pt>
                <c:pt idx="1096">
                  <c:v>40184</c:v>
                </c:pt>
                <c:pt idx="1097">
                  <c:v>40185</c:v>
                </c:pt>
                <c:pt idx="1098">
                  <c:v>40186</c:v>
                </c:pt>
                <c:pt idx="1099">
                  <c:v>40189</c:v>
                </c:pt>
                <c:pt idx="1100">
                  <c:v>40190</c:v>
                </c:pt>
                <c:pt idx="1101">
                  <c:v>40191</c:v>
                </c:pt>
                <c:pt idx="1102">
                  <c:v>40192</c:v>
                </c:pt>
                <c:pt idx="1103">
                  <c:v>40193</c:v>
                </c:pt>
                <c:pt idx="1104">
                  <c:v>40196</c:v>
                </c:pt>
                <c:pt idx="1105">
                  <c:v>40197</c:v>
                </c:pt>
                <c:pt idx="1106">
                  <c:v>40198</c:v>
                </c:pt>
                <c:pt idx="1107">
                  <c:v>40199</c:v>
                </c:pt>
                <c:pt idx="1108">
                  <c:v>40200</c:v>
                </c:pt>
                <c:pt idx="1109">
                  <c:v>40203</c:v>
                </c:pt>
                <c:pt idx="1110">
                  <c:v>40204</c:v>
                </c:pt>
                <c:pt idx="1111">
                  <c:v>40205</c:v>
                </c:pt>
                <c:pt idx="1112">
                  <c:v>40206</c:v>
                </c:pt>
                <c:pt idx="1113">
                  <c:v>40207</c:v>
                </c:pt>
                <c:pt idx="1114">
                  <c:v>40210</c:v>
                </c:pt>
                <c:pt idx="1115">
                  <c:v>40211</c:v>
                </c:pt>
                <c:pt idx="1116">
                  <c:v>40212</c:v>
                </c:pt>
                <c:pt idx="1117">
                  <c:v>40213</c:v>
                </c:pt>
                <c:pt idx="1118">
                  <c:v>40214</c:v>
                </c:pt>
                <c:pt idx="1119">
                  <c:v>40217</c:v>
                </c:pt>
                <c:pt idx="1120">
                  <c:v>40218</c:v>
                </c:pt>
                <c:pt idx="1121">
                  <c:v>40219</c:v>
                </c:pt>
                <c:pt idx="1122">
                  <c:v>40220</c:v>
                </c:pt>
                <c:pt idx="1123">
                  <c:v>40221</c:v>
                </c:pt>
                <c:pt idx="1124">
                  <c:v>40231</c:v>
                </c:pt>
                <c:pt idx="1125">
                  <c:v>40232</c:v>
                </c:pt>
                <c:pt idx="1126">
                  <c:v>40233</c:v>
                </c:pt>
                <c:pt idx="1127">
                  <c:v>40234</c:v>
                </c:pt>
                <c:pt idx="1128">
                  <c:v>40235</c:v>
                </c:pt>
                <c:pt idx="1129">
                  <c:v>40238</c:v>
                </c:pt>
                <c:pt idx="1130">
                  <c:v>40239</c:v>
                </c:pt>
                <c:pt idx="1131">
                  <c:v>40240</c:v>
                </c:pt>
                <c:pt idx="1132">
                  <c:v>40241</c:v>
                </c:pt>
                <c:pt idx="1133">
                  <c:v>40242</c:v>
                </c:pt>
                <c:pt idx="1134">
                  <c:v>40245</c:v>
                </c:pt>
                <c:pt idx="1135">
                  <c:v>40246</c:v>
                </c:pt>
                <c:pt idx="1136">
                  <c:v>40247</c:v>
                </c:pt>
                <c:pt idx="1137">
                  <c:v>40248</c:v>
                </c:pt>
                <c:pt idx="1138">
                  <c:v>40249</c:v>
                </c:pt>
                <c:pt idx="1139">
                  <c:v>40252</c:v>
                </c:pt>
                <c:pt idx="1140">
                  <c:v>40253</c:v>
                </c:pt>
                <c:pt idx="1141">
                  <c:v>40254</c:v>
                </c:pt>
                <c:pt idx="1142">
                  <c:v>40255</c:v>
                </c:pt>
                <c:pt idx="1143">
                  <c:v>40256</c:v>
                </c:pt>
                <c:pt idx="1144">
                  <c:v>40259</c:v>
                </c:pt>
                <c:pt idx="1145">
                  <c:v>40260</c:v>
                </c:pt>
                <c:pt idx="1146">
                  <c:v>40261</c:v>
                </c:pt>
                <c:pt idx="1147">
                  <c:v>40262</c:v>
                </c:pt>
                <c:pt idx="1148">
                  <c:v>40263</c:v>
                </c:pt>
                <c:pt idx="1149">
                  <c:v>40266</c:v>
                </c:pt>
                <c:pt idx="1150">
                  <c:v>40267</c:v>
                </c:pt>
                <c:pt idx="1151">
                  <c:v>40268</c:v>
                </c:pt>
                <c:pt idx="1152">
                  <c:v>40269</c:v>
                </c:pt>
                <c:pt idx="1153">
                  <c:v>40270</c:v>
                </c:pt>
                <c:pt idx="1154">
                  <c:v>40274</c:v>
                </c:pt>
                <c:pt idx="1155">
                  <c:v>40275</c:v>
                </c:pt>
                <c:pt idx="1156">
                  <c:v>40276</c:v>
                </c:pt>
                <c:pt idx="1157">
                  <c:v>40277</c:v>
                </c:pt>
                <c:pt idx="1158">
                  <c:v>40280</c:v>
                </c:pt>
                <c:pt idx="1159">
                  <c:v>40281</c:v>
                </c:pt>
                <c:pt idx="1160">
                  <c:v>40282</c:v>
                </c:pt>
                <c:pt idx="1161">
                  <c:v>40283</c:v>
                </c:pt>
                <c:pt idx="1162">
                  <c:v>40284</c:v>
                </c:pt>
                <c:pt idx="1163">
                  <c:v>40287</c:v>
                </c:pt>
                <c:pt idx="1164">
                  <c:v>40288</c:v>
                </c:pt>
                <c:pt idx="1165">
                  <c:v>40289</c:v>
                </c:pt>
                <c:pt idx="1166">
                  <c:v>40290</c:v>
                </c:pt>
                <c:pt idx="1167">
                  <c:v>40291</c:v>
                </c:pt>
                <c:pt idx="1168">
                  <c:v>40294</c:v>
                </c:pt>
                <c:pt idx="1169">
                  <c:v>40295</c:v>
                </c:pt>
                <c:pt idx="1170">
                  <c:v>40296</c:v>
                </c:pt>
                <c:pt idx="1171">
                  <c:v>40297</c:v>
                </c:pt>
                <c:pt idx="1172">
                  <c:v>40298</c:v>
                </c:pt>
                <c:pt idx="1173">
                  <c:v>40302</c:v>
                </c:pt>
                <c:pt idx="1174">
                  <c:v>40303</c:v>
                </c:pt>
                <c:pt idx="1175">
                  <c:v>40304</c:v>
                </c:pt>
                <c:pt idx="1176">
                  <c:v>40305</c:v>
                </c:pt>
                <c:pt idx="1177">
                  <c:v>40308</c:v>
                </c:pt>
                <c:pt idx="1178">
                  <c:v>40309</c:v>
                </c:pt>
                <c:pt idx="1179">
                  <c:v>40310</c:v>
                </c:pt>
                <c:pt idx="1180">
                  <c:v>40311</c:v>
                </c:pt>
                <c:pt idx="1181">
                  <c:v>40312</c:v>
                </c:pt>
                <c:pt idx="1182">
                  <c:v>40315</c:v>
                </c:pt>
                <c:pt idx="1183">
                  <c:v>40316</c:v>
                </c:pt>
                <c:pt idx="1184">
                  <c:v>40317</c:v>
                </c:pt>
                <c:pt idx="1185">
                  <c:v>40318</c:v>
                </c:pt>
                <c:pt idx="1186">
                  <c:v>40319</c:v>
                </c:pt>
                <c:pt idx="1187">
                  <c:v>40322</c:v>
                </c:pt>
                <c:pt idx="1188">
                  <c:v>40323</c:v>
                </c:pt>
                <c:pt idx="1189">
                  <c:v>40324</c:v>
                </c:pt>
                <c:pt idx="1190">
                  <c:v>40325</c:v>
                </c:pt>
                <c:pt idx="1191">
                  <c:v>40326</c:v>
                </c:pt>
                <c:pt idx="1192">
                  <c:v>40329</c:v>
                </c:pt>
                <c:pt idx="1193">
                  <c:v>40330</c:v>
                </c:pt>
                <c:pt idx="1194">
                  <c:v>40331</c:v>
                </c:pt>
                <c:pt idx="1195">
                  <c:v>40332</c:v>
                </c:pt>
                <c:pt idx="1196">
                  <c:v>40333</c:v>
                </c:pt>
                <c:pt idx="1197">
                  <c:v>40336</c:v>
                </c:pt>
                <c:pt idx="1198">
                  <c:v>40337</c:v>
                </c:pt>
                <c:pt idx="1199">
                  <c:v>40338</c:v>
                </c:pt>
                <c:pt idx="1200">
                  <c:v>40339</c:v>
                </c:pt>
                <c:pt idx="1201">
                  <c:v>40340</c:v>
                </c:pt>
                <c:pt idx="1202">
                  <c:v>40346</c:v>
                </c:pt>
                <c:pt idx="1203">
                  <c:v>40347</c:v>
                </c:pt>
                <c:pt idx="1204">
                  <c:v>40350</c:v>
                </c:pt>
                <c:pt idx="1205">
                  <c:v>40351</c:v>
                </c:pt>
                <c:pt idx="1206">
                  <c:v>40352</c:v>
                </c:pt>
                <c:pt idx="1207">
                  <c:v>40353</c:v>
                </c:pt>
                <c:pt idx="1208">
                  <c:v>40354</c:v>
                </c:pt>
                <c:pt idx="1209">
                  <c:v>40357</c:v>
                </c:pt>
                <c:pt idx="1210">
                  <c:v>40358</c:v>
                </c:pt>
                <c:pt idx="1211">
                  <c:v>40359</c:v>
                </c:pt>
                <c:pt idx="1212">
                  <c:v>40360</c:v>
                </c:pt>
                <c:pt idx="1213">
                  <c:v>40361</c:v>
                </c:pt>
                <c:pt idx="1214">
                  <c:v>40364</c:v>
                </c:pt>
                <c:pt idx="1215">
                  <c:v>40365</c:v>
                </c:pt>
                <c:pt idx="1216">
                  <c:v>40366</c:v>
                </c:pt>
                <c:pt idx="1217">
                  <c:v>40367</c:v>
                </c:pt>
                <c:pt idx="1218">
                  <c:v>40368</c:v>
                </c:pt>
                <c:pt idx="1219">
                  <c:v>40371</c:v>
                </c:pt>
                <c:pt idx="1220">
                  <c:v>40372</c:v>
                </c:pt>
                <c:pt idx="1221">
                  <c:v>40373</c:v>
                </c:pt>
                <c:pt idx="1222">
                  <c:v>40374</c:v>
                </c:pt>
                <c:pt idx="1223">
                  <c:v>40375</c:v>
                </c:pt>
                <c:pt idx="1224">
                  <c:v>40378</c:v>
                </c:pt>
                <c:pt idx="1225">
                  <c:v>40379</c:v>
                </c:pt>
                <c:pt idx="1226">
                  <c:v>40380</c:v>
                </c:pt>
                <c:pt idx="1227">
                  <c:v>40381</c:v>
                </c:pt>
                <c:pt idx="1228">
                  <c:v>40382</c:v>
                </c:pt>
                <c:pt idx="1229">
                  <c:v>40385</c:v>
                </c:pt>
                <c:pt idx="1230">
                  <c:v>40386</c:v>
                </c:pt>
                <c:pt idx="1231">
                  <c:v>40387</c:v>
                </c:pt>
                <c:pt idx="1232">
                  <c:v>40388</c:v>
                </c:pt>
                <c:pt idx="1233">
                  <c:v>40389</c:v>
                </c:pt>
                <c:pt idx="1234">
                  <c:v>40392</c:v>
                </c:pt>
                <c:pt idx="1235">
                  <c:v>40393</c:v>
                </c:pt>
                <c:pt idx="1236">
                  <c:v>40394</c:v>
                </c:pt>
                <c:pt idx="1237">
                  <c:v>40395</c:v>
                </c:pt>
                <c:pt idx="1238">
                  <c:v>40396</c:v>
                </c:pt>
                <c:pt idx="1239">
                  <c:v>40399</c:v>
                </c:pt>
                <c:pt idx="1240">
                  <c:v>40400</c:v>
                </c:pt>
                <c:pt idx="1241">
                  <c:v>40401</c:v>
                </c:pt>
                <c:pt idx="1242">
                  <c:v>40402</c:v>
                </c:pt>
                <c:pt idx="1243">
                  <c:v>40403</c:v>
                </c:pt>
                <c:pt idx="1244">
                  <c:v>40406</c:v>
                </c:pt>
                <c:pt idx="1245">
                  <c:v>40407</c:v>
                </c:pt>
                <c:pt idx="1246">
                  <c:v>40408</c:v>
                </c:pt>
                <c:pt idx="1247">
                  <c:v>40409</c:v>
                </c:pt>
                <c:pt idx="1248">
                  <c:v>40410</c:v>
                </c:pt>
                <c:pt idx="1249">
                  <c:v>40413</c:v>
                </c:pt>
                <c:pt idx="1250">
                  <c:v>40414</c:v>
                </c:pt>
                <c:pt idx="1251">
                  <c:v>40415</c:v>
                </c:pt>
                <c:pt idx="1252">
                  <c:v>40416</c:v>
                </c:pt>
                <c:pt idx="1253">
                  <c:v>40417</c:v>
                </c:pt>
                <c:pt idx="1254">
                  <c:v>40420</c:v>
                </c:pt>
                <c:pt idx="1255">
                  <c:v>40421</c:v>
                </c:pt>
                <c:pt idx="1256">
                  <c:v>40422</c:v>
                </c:pt>
                <c:pt idx="1257">
                  <c:v>40423</c:v>
                </c:pt>
                <c:pt idx="1258">
                  <c:v>40424</c:v>
                </c:pt>
                <c:pt idx="1259">
                  <c:v>40427</c:v>
                </c:pt>
                <c:pt idx="1260">
                  <c:v>40428</c:v>
                </c:pt>
                <c:pt idx="1261">
                  <c:v>40429</c:v>
                </c:pt>
                <c:pt idx="1262">
                  <c:v>40430</c:v>
                </c:pt>
                <c:pt idx="1263">
                  <c:v>40431</c:v>
                </c:pt>
                <c:pt idx="1264">
                  <c:v>40434</c:v>
                </c:pt>
                <c:pt idx="1265">
                  <c:v>40435</c:v>
                </c:pt>
                <c:pt idx="1266">
                  <c:v>40436</c:v>
                </c:pt>
                <c:pt idx="1267">
                  <c:v>40437</c:v>
                </c:pt>
                <c:pt idx="1268">
                  <c:v>40438</c:v>
                </c:pt>
                <c:pt idx="1269">
                  <c:v>40441</c:v>
                </c:pt>
                <c:pt idx="1270">
                  <c:v>40442</c:v>
                </c:pt>
                <c:pt idx="1271">
                  <c:v>40448</c:v>
                </c:pt>
                <c:pt idx="1272">
                  <c:v>40449</c:v>
                </c:pt>
                <c:pt idx="1273">
                  <c:v>40450</c:v>
                </c:pt>
                <c:pt idx="1274">
                  <c:v>40451</c:v>
                </c:pt>
                <c:pt idx="1275">
                  <c:v>40459</c:v>
                </c:pt>
                <c:pt idx="1276">
                  <c:v>40462</c:v>
                </c:pt>
                <c:pt idx="1277">
                  <c:v>40463</c:v>
                </c:pt>
                <c:pt idx="1278">
                  <c:v>40464</c:v>
                </c:pt>
                <c:pt idx="1279">
                  <c:v>40465</c:v>
                </c:pt>
                <c:pt idx="1280">
                  <c:v>40466</c:v>
                </c:pt>
                <c:pt idx="1281">
                  <c:v>40469</c:v>
                </c:pt>
                <c:pt idx="1282">
                  <c:v>40470</c:v>
                </c:pt>
                <c:pt idx="1283">
                  <c:v>40471</c:v>
                </c:pt>
                <c:pt idx="1284">
                  <c:v>40472</c:v>
                </c:pt>
                <c:pt idx="1285">
                  <c:v>40473</c:v>
                </c:pt>
                <c:pt idx="1286">
                  <c:v>40476</c:v>
                </c:pt>
                <c:pt idx="1287">
                  <c:v>40477</c:v>
                </c:pt>
                <c:pt idx="1288">
                  <c:v>40478</c:v>
                </c:pt>
                <c:pt idx="1289">
                  <c:v>40479</c:v>
                </c:pt>
                <c:pt idx="1290">
                  <c:v>40480</c:v>
                </c:pt>
                <c:pt idx="1291">
                  <c:v>40483</c:v>
                </c:pt>
                <c:pt idx="1292">
                  <c:v>40484</c:v>
                </c:pt>
                <c:pt idx="1293">
                  <c:v>40485</c:v>
                </c:pt>
                <c:pt idx="1294">
                  <c:v>40486</c:v>
                </c:pt>
                <c:pt idx="1295">
                  <c:v>40487</c:v>
                </c:pt>
                <c:pt idx="1296">
                  <c:v>40490</c:v>
                </c:pt>
                <c:pt idx="1297">
                  <c:v>40491</c:v>
                </c:pt>
                <c:pt idx="1298">
                  <c:v>40492</c:v>
                </c:pt>
                <c:pt idx="1299">
                  <c:v>40493</c:v>
                </c:pt>
                <c:pt idx="1300">
                  <c:v>40494</c:v>
                </c:pt>
                <c:pt idx="1301">
                  <c:v>40497</c:v>
                </c:pt>
                <c:pt idx="1302">
                  <c:v>40498</c:v>
                </c:pt>
                <c:pt idx="1303">
                  <c:v>40499</c:v>
                </c:pt>
                <c:pt idx="1304">
                  <c:v>40500</c:v>
                </c:pt>
                <c:pt idx="1305">
                  <c:v>40501</c:v>
                </c:pt>
                <c:pt idx="1306">
                  <c:v>40504</c:v>
                </c:pt>
                <c:pt idx="1307">
                  <c:v>40505</c:v>
                </c:pt>
                <c:pt idx="1308">
                  <c:v>40506</c:v>
                </c:pt>
                <c:pt idx="1309">
                  <c:v>40507</c:v>
                </c:pt>
                <c:pt idx="1310">
                  <c:v>40508</c:v>
                </c:pt>
                <c:pt idx="1311">
                  <c:v>40511</c:v>
                </c:pt>
                <c:pt idx="1312">
                  <c:v>40512</c:v>
                </c:pt>
                <c:pt idx="1313">
                  <c:v>40513</c:v>
                </c:pt>
                <c:pt idx="1314">
                  <c:v>40514</c:v>
                </c:pt>
                <c:pt idx="1315">
                  <c:v>40515</c:v>
                </c:pt>
                <c:pt idx="1316">
                  <c:v>40518</c:v>
                </c:pt>
                <c:pt idx="1317">
                  <c:v>40519</c:v>
                </c:pt>
                <c:pt idx="1318">
                  <c:v>40520</c:v>
                </c:pt>
                <c:pt idx="1319">
                  <c:v>40521</c:v>
                </c:pt>
                <c:pt idx="1320">
                  <c:v>40522</c:v>
                </c:pt>
                <c:pt idx="1321">
                  <c:v>40525</c:v>
                </c:pt>
                <c:pt idx="1322">
                  <c:v>40526</c:v>
                </c:pt>
                <c:pt idx="1323">
                  <c:v>40527</c:v>
                </c:pt>
                <c:pt idx="1324">
                  <c:v>40528</c:v>
                </c:pt>
                <c:pt idx="1325">
                  <c:v>40529</c:v>
                </c:pt>
                <c:pt idx="1326">
                  <c:v>40532</c:v>
                </c:pt>
                <c:pt idx="1327">
                  <c:v>40533</c:v>
                </c:pt>
                <c:pt idx="1328">
                  <c:v>40534</c:v>
                </c:pt>
                <c:pt idx="1329">
                  <c:v>40535</c:v>
                </c:pt>
                <c:pt idx="1330">
                  <c:v>40536</c:v>
                </c:pt>
                <c:pt idx="1331">
                  <c:v>40539</c:v>
                </c:pt>
                <c:pt idx="1332">
                  <c:v>40540</c:v>
                </c:pt>
                <c:pt idx="1333">
                  <c:v>40541</c:v>
                </c:pt>
                <c:pt idx="1334">
                  <c:v>40542</c:v>
                </c:pt>
                <c:pt idx="1335">
                  <c:v>40543</c:v>
                </c:pt>
                <c:pt idx="1336">
                  <c:v>40547</c:v>
                </c:pt>
                <c:pt idx="1337">
                  <c:v>40548</c:v>
                </c:pt>
                <c:pt idx="1338">
                  <c:v>40549</c:v>
                </c:pt>
                <c:pt idx="1339">
                  <c:v>40550</c:v>
                </c:pt>
                <c:pt idx="1340">
                  <c:v>40553</c:v>
                </c:pt>
                <c:pt idx="1341">
                  <c:v>40554</c:v>
                </c:pt>
                <c:pt idx="1342">
                  <c:v>40555</c:v>
                </c:pt>
                <c:pt idx="1343">
                  <c:v>40556</c:v>
                </c:pt>
                <c:pt idx="1344">
                  <c:v>40557</c:v>
                </c:pt>
                <c:pt idx="1345">
                  <c:v>40560</c:v>
                </c:pt>
                <c:pt idx="1346">
                  <c:v>40561</c:v>
                </c:pt>
                <c:pt idx="1347">
                  <c:v>40562</c:v>
                </c:pt>
                <c:pt idx="1348">
                  <c:v>40563</c:v>
                </c:pt>
                <c:pt idx="1349">
                  <c:v>40564</c:v>
                </c:pt>
                <c:pt idx="1350">
                  <c:v>40567</c:v>
                </c:pt>
                <c:pt idx="1351">
                  <c:v>40568</c:v>
                </c:pt>
                <c:pt idx="1352">
                  <c:v>40569</c:v>
                </c:pt>
                <c:pt idx="1353">
                  <c:v>40570</c:v>
                </c:pt>
                <c:pt idx="1354">
                  <c:v>40571</c:v>
                </c:pt>
                <c:pt idx="1355">
                  <c:v>40574</c:v>
                </c:pt>
                <c:pt idx="1356">
                  <c:v>40575</c:v>
                </c:pt>
                <c:pt idx="1357">
                  <c:v>40583</c:v>
                </c:pt>
                <c:pt idx="1358">
                  <c:v>40584</c:v>
                </c:pt>
                <c:pt idx="1359">
                  <c:v>40585</c:v>
                </c:pt>
                <c:pt idx="1360">
                  <c:v>40588</c:v>
                </c:pt>
                <c:pt idx="1361">
                  <c:v>40589</c:v>
                </c:pt>
                <c:pt idx="1362">
                  <c:v>40590</c:v>
                </c:pt>
                <c:pt idx="1363">
                  <c:v>40591</c:v>
                </c:pt>
                <c:pt idx="1364">
                  <c:v>40592</c:v>
                </c:pt>
                <c:pt idx="1365">
                  <c:v>40595</c:v>
                </c:pt>
                <c:pt idx="1366">
                  <c:v>40596</c:v>
                </c:pt>
                <c:pt idx="1367">
                  <c:v>40597</c:v>
                </c:pt>
                <c:pt idx="1368">
                  <c:v>40598</c:v>
                </c:pt>
                <c:pt idx="1369">
                  <c:v>40599</c:v>
                </c:pt>
                <c:pt idx="1370">
                  <c:v>40602</c:v>
                </c:pt>
                <c:pt idx="1371">
                  <c:v>40603</c:v>
                </c:pt>
                <c:pt idx="1372">
                  <c:v>40604</c:v>
                </c:pt>
                <c:pt idx="1373">
                  <c:v>40605</c:v>
                </c:pt>
                <c:pt idx="1374">
                  <c:v>40606</c:v>
                </c:pt>
                <c:pt idx="1375">
                  <c:v>40609</c:v>
                </c:pt>
                <c:pt idx="1376">
                  <c:v>40610</c:v>
                </c:pt>
                <c:pt idx="1377">
                  <c:v>40611</c:v>
                </c:pt>
                <c:pt idx="1378">
                  <c:v>40612</c:v>
                </c:pt>
                <c:pt idx="1379">
                  <c:v>40613</c:v>
                </c:pt>
                <c:pt idx="1380">
                  <c:v>40616</c:v>
                </c:pt>
                <c:pt idx="1381">
                  <c:v>40617</c:v>
                </c:pt>
                <c:pt idx="1382">
                  <c:v>40618</c:v>
                </c:pt>
                <c:pt idx="1383">
                  <c:v>40619</c:v>
                </c:pt>
                <c:pt idx="1384">
                  <c:v>40620</c:v>
                </c:pt>
                <c:pt idx="1385">
                  <c:v>40623</c:v>
                </c:pt>
                <c:pt idx="1386">
                  <c:v>40624</c:v>
                </c:pt>
                <c:pt idx="1387">
                  <c:v>40625</c:v>
                </c:pt>
                <c:pt idx="1388">
                  <c:v>40626</c:v>
                </c:pt>
                <c:pt idx="1389">
                  <c:v>40627</c:v>
                </c:pt>
                <c:pt idx="1390">
                  <c:v>40630</c:v>
                </c:pt>
                <c:pt idx="1391">
                  <c:v>40631</c:v>
                </c:pt>
                <c:pt idx="1392">
                  <c:v>40632</c:v>
                </c:pt>
                <c:pt idx="1393">
                  <c:v>40633</c:v>
                </c:pt>
                <c:pt idx="1394">
                  <c:v>40634</c:v>
                </c:pt>
                <c:pt idx="1395">
                  <c:v>40639</c:v>
                </c:pt>
                <c:pt idx="1396">
                  <c:v>40640</c:v>
                </c:pt>
                <c:pt idx="1397">
                  <c:v>40641</c:v>
                </c:pt>
                <c:pt idx="1398">
                  <c:v>40644</c:v>
                </c:pt>
                <c:pt idx="1399">
                  <c:v>40645</c:v>
                </c:pt>
                <c:pt idx="1400">
                  <c:v>40646</c:v>
                </c:pt>
                <c:pt idx="1401">
                  <c:v>40647</c:v>
                </c:pt>
                <c:pt idx="1402">
                  <c:v>40648</c:v>
                </c:pt>
                <c:pt idx="1403">
                  <c:v>40651</c:v>
                </c:pt>
                <c:pt idx="1404">
                  <c:v>40652</c:v>
                </c:pt>
                <c:pt idx="1405">
                  <c:v>40653</c:v>
                </c:pt>
                <c:pt idx="1406">
                  <c:v>40654</c:v>
                </c:pt>
                <c:pt idx="1407">
                  <c:v>40655</c:v>
                </c:pt>
                <c:pt idx="1408">
                  <c:v>40658</c:v>
                </c:pt>
                <c:pt idx="1409">
                  <c:v>40659</c:v>
                </c:pt>
                <c:pt idx="1410">
                  <c:v>40660</c:v>
                </c:pt>
                <c:pt idx="1411">
                  <c:v>40661</c:v>
                </c:pt>
                <c:pt idx="1412">
                  <c:v>40662</c:v>
                </c:pt>
                <c:pt idx="1413">
                  <c:v>40666</c:v>
                </c:pt>
                <c:pt idx="1414">
                  <c:v>40667</c:v>
                </c:pt>
                <c:pt idx="1415">
                  <c:v>40668</c:v>
                </c:pt>
                <c:pt idx="1416">
                  <c:v>40669</c:v>
                </c:pt>
                <c:pt idx="1417">
                  <c:v>40672</c:v>
                </c:pt>
                <c:pt idx="1418">
                  <c:v>40673</c:v>
                </c:pt>
                <c:pt idx="1419">
                  <c:v>40674</c:v>
                </c:pt>
                <c:pt idx="1420">
                  <c:v>40675</c:v>
                </c:pt>
                <c:pt idx="1421">
                  <c:v>40676</c:v>
                </c:pt>
                <c:pt idx="1422">
                  <c:v>40679</c:v>
                </c:pt>
                <c:pt idx="1423">
                  <c:v>40680</c:v>
                </c:pt>
                <c:pt idx="1424">
                  <c:v>40681</c:v>
                </c:pt>
                <c:pt idx="1425">
                  <c:v>40682</c:v>
                </c:pt>
                <c:pt idx="1426">
                  <c:v>40683</c:v>
                </c:pt>
                <c:pt idx="1427">
                  <c:v>40686</c:v>
                </c:pt>
                <c:pt idx="1428">
                  <c:v>40687</c:v>
                </c:pt>
                <c:pt idx="1429">
                  <c:v>40688</c:v>
                </c:pt>
                <c:pt idx="1430">
                  <c:v>40689</c:v>
                </c:pt>
                <c:pt idx="1431">
                  <c:v>40690</c:v>
                </c:pt>
                <c:pt idx="1432">
                  <c:v>40693</c:v>
                </c:pt>
                <c:pt idx="1433">
                  <c:v>40694</c:v>
                </c:pt>
                <c:pt idx="1434">
                  <c:v>40695</c:v>
                </c:pt>
                <c:pt idx="1435">
                  <c:v>40696</c:v>
                </c:pt>
                <c:pt idx="1436">
                  <c:v>40697</c:v>
                </c:pt>
                <c:pt idx="1437">
                  <c:v>40701</c:v>
                </c:pt>
                <c:pt idx="1438">
                  <c:v>40702</c:v>
                </c:pt>
                <c:pt idx="1439">
                  <c:v>40703</c:v>
                </c:pt>
                <c:pt idx="1440">
                  <c:v>40704</c:v>
                </c:pt>
                <c:pt idx="1441">
                  <c:v>40707</c:v>
                </c:pt>
                <c:pt idx="1442">
                  <c:v>40708</c:v>
                </c:pt>
                <c:pt idx="1443">
                  <c:v>40709</c:v>
                </c:pt>
                <c:pt idx="1444">
                  <c:v>40710</c:v>
                </c:pt>
                <c:pt idx="1445">
                  <c:v>40711</c:v>
                </c:pt>
                <c:pt idx="1446">
                  <c:v>40714</c:v>
                </c:pt>
                <c:pt idx="1447">
                  <c:v>40715</c:v>
                </c:pt>
                <c:pt idx="1448">
                  <c:v>40716</c:v>
                </c:pt>
                <c:pt idx="1449">
                  <c:v>40717</c:v>
                </c:pt>
                <c:pt idx="1450">
                  <c:v>40718</c:v>
                </c:pt>
                <c:pt idx="1451">
                  <c:v>40721</c:v>
                </c:pt>
                <c:pt idx="1452">
                  <c:v>40722</c:v>
                </c:pt>
                <c:pt idx="1453">
                  <c:v>40723</c:v>
                </c:pt>
                <c:pt idx="1454">
                  <c:v>40724</c:v>
                </c:pt>
                <c:pt idx="1455">
                  <c:v>40725</c:v>
                </c:pt>
                <c:pt idx="1456">
                  <c:v>40728</c:v>
                </c:pt>
                <c:pt idx="1457">
                  <c:v>40729</c:v>
                </c:pt>
                <c:pt idx="1458">
                  <c:v>40730</c:v>
                </c:pt>
                <c:pt idx="1459">
                  <c:v>40731</c:v>
                </c:pt>
                <c:pt idx="1460">
                  <c:v>40732</c:v>
                </c:pt>
                <c:pt idx="1461">
                  <c:v>40735</c:v>
                </c:pt>
                <c:pt idx="1462">
                  <c:v>40736</c:v>
                </c:pt>
                <c:pt idx="1463">
                  <c:v>40737</c:v>
                </c:pt>
                <c:pt idx="1464">
                  <c:v>40738</c:v>
                </c:pt>
                <c:pt idx="1465">
                  <c:v>40739</c:v>
                </c:pt>
                <c:pt idx="1466">
                  <c:v>40742</c:v>
                </c:pt>
                <c:pt idx="1467">
                  <c:v>40743</c:v>
                </c:pt>
                <c:pt idx="1468">
                  <c:v>40744</c:v>
                </c:pt>
                <c:pt idx="1469">
                  <c:v>40745</c:v>
                </c:pt>
                <c:pt idx="1470">
                  <c:v>40746</c:v>
                </c:pt>
                <c:pt idx="1471">
                  <c:v>40749</c:v>
                </c:pt>
                <c:pt idx="1472">
                  <c:v>40750</c:v>
                </c:pt>
                <c:pt idx="1473">
                  <c:v>40751</c:v>
                </c:pt>
                <c:pt idx="1474">
                  <c:v>40752</c:v>
                </c:pt>
                <c:pt idx="1475">
                  <c:v>40753</c:v>
                </c:pt>
                <c:pt idx="1476">
                  <c:v>40756</c:v>
                </c:pt>
                <c:pt idx="1477">
                  <c:v>40757</c:v>
                </c:pt>
                <c:pt idx="1478">
                  <c:v>40758</c:v>
                </c:pt>
                <c:pt idx="1479">
                  <c:v>40759</c:v>
                </c:pt>
                <c:pt idx="1480">
                  <c:v>40760</c:v>
                </c:pt>
                <c:pt idx="1481">
                  <c:v>40763</c:v>
                </c:pt>
                <c:pt idx="1482">
                  <c:v>40764</c:v>
                </c:pt>
                <c:pt idx="1483">
                  <c:v>40765</c:v>
                </c:pt>
                <c:pt idx="1484">
                  <c:v>40766</c:v>
                </c:pt>
                <c:pt idx="1485">
                  <c:v>40767</c:v>
                </c:pt>
                <c:pt idx="1486">
                  <c:v>40770</c:v>
                </c:pt>
                <c:pt idx="1487">
                  <c:v>40771</c:v>
                </c:pt>
                <c:pt idx="1488">
                  <c:v>40772</c:v>
                </c:pt>
                <c:pt idx="1489">
                  <c:v>40773</c:v>
                </c:pt>
                <c:pt idx="1490">
                  <c:v>40774</c:v>
                </c:pt>
                <c:pt idx="1491">
                  <c:v>40777</c:v>
                </c:pt>
                <c:pt idx="1492">
                  <c:v>40778</c:v>
                </c:pt>
                <c:pt idx="1493">
                  <c:v>40779</c:v>
                </c:pt>
                <c:pt idx="1494">
                  <c:v>40780</c:v>
                </c:pt>
                <c:pt idx="1495">
                  <c:v>40781</c:v>
                </c:pt>
                <c:pt idx="1496">
                  <c:v>40784</c:v>
                </c:pt>
                <c:pt idx="1497">
                  <c:v>40785</c:v>
                </c:pt>
                <c:pt idx="1498">
                  <c:v>40786</c:v>
                </c:pt>
                <c:pt idx="1499">
                  <c:v>40787</c:v>
                </c:pt>
                <c:pt idx="1500">
                  <c:v>40788</c:v>
                </c:pt>
                <c:pt idx="1501">
                  <c:v>40791</c:v>
                </c:pt>
                <c:pt idx="1502">
                  <c:v>40792</c:v>
                </c:pt>
                <c:pt idx="1503">
                  <c:v>40793</c:v>
                </c:pt>
                <c:pt idx="1504">
                  <c:v>40794</c:v>
                </c:pt>
                <c:pt idx="1505">
                  <c:v>40795</c:v>
                </c:pt>
                <c:pt idx="1506">
                  <c:v>40799</c:v>
                </c:pt>
                <c:pt idx="1507">
                  <c:v>40800</c:v>
                </c:pt>
                <c:pt idx="1508">
                  <c:v>40801</c:v>
                </c:pt>
                <c:pt idx="1509">
                  <c:v>40802</c:v>
                </c:pt>
                <c:pt idx="1510">
                  <c:v>40805</c:v>
                </c:pt>
                <c:pt idx="1511">
                  <c:v>40806</c:v>
                </c:pt>
                <c:pt idx="1512">
                  <c:v>40807</c:v>
                </c:pt>
                <c:pt idx="1513">
                  <c:v>40808</c:v>
                </c:pt>
                <c:pt idx="1514">
                  <c:v>40809</c:v>
                </c:pt>
                <c:pt idx="1515">
                  <c:v>40812</c:v>
                </c:pt>
                <c:pt idx="1516">
                  <c:v>40813</c:v>
                </c:pt>
                <c:pt idx="1517">
                  <c:v>40814</c:v>
                </c:pt>
                <c:pt idx="1518">
                  <c:v>40815</c:v>
                </c:pt>
                <c:pt idx="1519">
                  <c:v>40816</c:v>
                </c:pt>
                <c:pt idx="1520">
                  <c:v>40826</c:v>
                </c:pt>
                <c:pt idx="1521">
                  <c:v>40827</c:v>
                </c:pt>
                <c:pt idx="1522">
                  <c:v>40828</c:v>
                </c:pt>
                <c:pt idx="1523">
                  <c:v>40829</c:v>
                </c:pt>
                <c:pt idx="1524">
                  <c:v>40830</c:v>
                </c:pt>
                <c:pt idx="1525">
                  <c:v>40833</c:v>
                </c:pt>
                <c:pt idx="1526">
                  <c:v>40834</c:v>
                </c:pt>
                <c:pt idx="1527">
                  <c:v>40835</c:v>
                </c:pt>
                <c:pt idx="1528">
                  <c:v>40836</c:v>
                </c:pt>
                <c:pt idx="1529">
                  <c:v>40837</c:v>
                </c:pt>
                <c:pt idx="1530">
                  <c:v>40840</c:v>
                </c:pt>
                <c:pt idx="1531">
                  <c:v>40841</c:v>
                </c:pt>
                <c:pt idx="1532">
                  <c:v>40842</c:v>
                </c:pt>
                <c:pt idx="1533">
                  <c:v>40843</c:v>
                </c:pt>
                <c:pt idx="1534">
                  <c:v>40844</c:v>
                </c:pt>
                <c:pt idx="1535">
                  <c:v>40847</c:v>
                </c:pt>
                <c:pt idx="1536">
                  <c:v>40848</c:v>
                </c:pt>
                <c:pt idx="1537">
                  <c:v>40849</c:v>
                </c:pt>
                <c:pt idx="1538">
                  <c:v>40850</c:v>
                </c:pt>
                <c:pt idx="1539">
                  <c:v>40851</c:v>
                </c:pt>
                <c:pt idx="1540">
                  <c:v>40854</c:v>
                </c:pt>
                <c:pt idx="1541">
                  <c:v>40855</c:v>
                </c:pt>
                <c:pt idx="1542">
                  <c:v>40856</c:v>
                </c:pt>
                <c:pt idx="1543">
                  <c:v>40857</c:v>
                </c:pt>
                <c:pt idx="1544">
                  <c:v>40858</c:v>
                </c:pt>
                <c:pt idx="1545">
                  <c:v>40861</c:v>
                </c:pt>
                <c:pt idx="1546">
                  <c:v>40862</c:v>
                </c:pt>
                <c:pt idx="1547">
                  <c:v>40863</c:v>
                </c:pt>
                <c:pt idx="1548">
                  <c:v>40864</c:v>
                </c:pt>
                <c:pt idx="1549">
                  <c:v>40865</c:v>
                </c:pt>
                <c:pt idx="1550">
                  <c:v>40868</c:v>
                </c:pt>
                <c:pt idx="1551">
                  <c:v>40869</c:v>
                </c:pt>
                <c:pt idx="1552">
                  <c:v>40870</c:v>
                </c:pt>
                <c:pt idx="1553">
                  <c:v>40871</c:v>
                </c:pt>
                <c:pt idx="1554">
                  <c:v>40872</c:v>
                </c:pt>
                <c:pt idx="1555">
                  <c:v>40875</c:v>
                </c:pt>
                <c:pt idx="1556">
                  <c:v>40876</c:v>
                </c:pt>
                <c:pt idx="1557">
                  <c:v>40877</c:v>
                </c:pt>
                <c:pt idx="1558">
                  <c:v>40878</c:v>
                </c:pt>
                <c:pt idx="1559">
                  <c:v>40879</c:v>
                </c:pt>
                <c:pt idx="1560">
                  <c:v>40882</c:v>
                </c:pt>
                <c:pt idx="1561">
                  <c:v>40883</c:v>
                </c:pt>
                <c:pt idx="1562">
                  <c:v>40884</c:v>
                </c:pt>
                <c:pt idx="1563">
                  <c:v>40885</c:v>
                </c:pt>
                <c:pt idx="1564">
                  <c:v>40886</c:v>
                </c:pt>
                <c:pt idx="1565">
                  <c:v>40889</c:v>
                </c:pt>
                <c:pt idx="1566">
                  <c:v>40890</c:v>
                </c:pt>
                <c:pt idx="1567">
                  <c:v>40891</c:v>
                </c:pt>
                <c:pt idx="1568">
                  <c:v>40892</c:v>
                </c:pt>
                <c:pt idx="1569">
                  <c:v>40893</c:v>
                </c:pt>
                <c:pt idx="1570">
                  <c:v>40896</c:v>
                </c:pt>
                <c:pt idx="1571">
                  <c:v>40897</c:v>
                </c:pt>
                <c:pt idx="1572">
                  <c:v>40898</c:v>
                </c:pt>
                <c:pt idx="1573">
                  <c:v>40899</c:v>
                </c:pt>
                <c:pt idx="1574">
                  <c:v>40900</c:v>
                </c:pt>
                <c:pt idx="1575">
                  <c:v>40903</c:v>
                </c:pt>
                <c:pt idx="1576">
                  <c:v>40904</c:v>
                </c:pt>
                <c:pt idx="1577">
                  <c:v>40905</c:v>
                </c:pt>
                <c:pt idx="1578">
                  <c:v>40906</c:v>
                </c:pt>
                <c:pt idx="1579">
                  <c:v>40907</c:v>
                </c:pt>
                <c:pt idx="1580">
                  <c:v>40912</c:v>
                </c:pt>
                <c:pt idx="1581">
                  <c:v>40913</c:v>
                </c:pt>
                <c:pt idx="1582">
                  <c:v>40914</c:v>
                </c:pt>
                <c:pt idx="1583">
                  <c:v>40917</c:v>
                </c:pt>
                <c:pt idx="1584">
                  <c:v>40918</c:v>
                </c:pt>
                <c:pt idx="1585">
                  <c:v>40919</c:v>
                </c:pt>
                <c:pt idx="1586">
                  <c:v>40920</c:v>
                </c:pt>
                <c:pt idx="1587">
                  <c:v>40921</c:v>
                </c:pt>
                <c:pt idx="1588">
                  <c:v>40924</c:v>
                </c:pt>
                <c:pt idx="1589">
                  <c:v>40925</c:v>
                </c:pt>
                <c:pt idx="1590">
                  <c:v>40926</c:v>
                </c:pt>
                <c:pt idx="1591">
                  <c:v>40927</c:v>
                </c:pt>
                <c:pt idx="1592">
                  <c:v>40928</c:v>
                </c:pt>
                <c:pt idx="1593">
                  <c:v>40938</c:v>
                </c:pt>
                <c:pt idx="1594">
                  <c:v>40939</c:v>
                </c:pt>
                <c:pt idx="1595">
                  <c:v>40940</c:v>
                </c:pt>
                <c:pt idx="1596">
                  <c:v>40941</c:v>
                </c:pt>
                <c:pt idx="1597">
                  <c:v>40942</c:v>
                </c:pt>
                <c:pt idx="1598">
                  <c:v>40945</c:v>
                </c:pt>
                <c:pt idx="1599">
                  <c:v>40946</c:v>
                </c:pt>
                <c:pt idx="1600">
                  <c:v>40947</c:v>
                </c:pt>
                <c:pt idx="1601">
                  <c:v>40948</c:v>
                </c:pt>
                <c:pt idx="1602">
                  <c:v>40949</c:v>
                </c:pt>
                <c:pt idx="1603">
                  <c:v>40952</c:v>
                </c:pt>
                <c:pt idx="1604">
                  <c:v>40953</c:v>
                </c:pt>
                <c:pt idx="1605">
                  <c:v>40954</c:v>
                </c:pt>
                <c:pt idx="1606">
                  <c:v>40955</c:v>
                </c:pt>
                <c:pt idx="1607">
                  <c:v>40956</c:v>
                </c:pt>
                <c:pt idx="1608">
                  <c:v>40959</c:v>
                </c:pt>
                <c:pt idx="1609">
                  <c:v>40960</c:v>
                </c:pt>
                <c:pt idx="1610">
                  <c:v>40961</c:v>
                </c:pt>
                <c:pt idx="1611">
                  <c:v>40962</c:v>
                </c:pt>
                <c:pt idx="1612">
                  <c:v>40963</c:v>
                </c:pt>
                <c:pt idx="1613">
                  <c:v>40966</c:v>
                </c:pt>
                <c:pt idx="1614">
                  <c:v>40967</c:v>
                </c:pt>
                <c:pt idx="1615">
                  <c:v>40968</c:v>
                </c:pt>
                <c:pt idx="1616">
                  <c:v>40969</c:v>
                </c:pt>
                <c:pt idx="1617">
                  <c:v>40970</c:v>
                </c:pt>
                <c:pt idx="1618">
                  <c:v>40973</c:v>
                </c:pt>
                <c:pt idx="1619">
                  <c:v>40974</c:v>
                </c:pt>
                <c:pt idx="1620">
                  <c:v>40975</c:v>
                </c:pt>
                <c:pt idx="1621">
                  <c:v>40976</c:v>
                </c:pt>
                <c:pt idx="1622">
                  <c:v>40977</c:v>
                </c:pt>
                <c:pt idx="1623">
                  <c:v>40980</c:v>
                </c:pt>
                <c:pt idx="1624">
                  <c:v>40981</c:v>
                </c:pt>
                <c:pt idx="1625">
                  <c:v>40982</c:v>
                </c:pt>
                <c:pt idx="1626">
                  <c:v>40983</c:v>
                </c:pt>
                <c:pt idx="1627">
                  <c:v>40984</c:v>
                </c:pt>
                <c:pt idx="1628">
                  <c:v>40987</c:v>
                </c:pt>
                <c:pt idx="1629">
                  <c:v>40988</c:v>
                </c:pt>
                <c:pt idx="1630">
                  <c:v>40989</c:v>
                </c:pt>
                <c:pt idx="1631">
                  <c:v>40990</c:v>
                </c:pt>
                <c:pt idx="1632">
                  <c:v>40991</c:v>
                </c:pt>
                <c:pt idx="1633">
                  <c:v>40994</c:v>
                </c:pt>
                <c:pt idx="1634">
                  <c:v>40995</c:v>
                </c:pt>
                <c:pt idx="1635">
                  <c:v>40996</c:v>
                </c:pt>
                <c:pt idx="1636">
                  <c:v>40997</c:v>
                </c:pt>
                <c:pt idx="1637">
                  <c:v>40998</c:v>
                </c:pt>
                <c:pt idx="1638">
                  <c:v>41004</c:v>
                </c:pt>
                <c:pt idx="1639">
                  <c:v>41005</c:v>
                </c:pt>
                <c:pt idx="1640">
                  <c:v>41008</c:v>
                </c:pt>
                <c:pt idx="1641">
                  <c:v>41009</c:v>
                </c:pt>
                <c:pt idx="1642">
                  <c:v>41010</c:v>
                </c:pt>
                <c:pt idx="1643">
                  <c:v>41011</c:v>
                </c:pt>
                <c:pt idx="1644">
                  <c:v>41012</c:v>
                </c:pt>
                <c:pt idx="1645">
                  <c:v>41015</c:v>
                </c:pt>
                <c:pt idx="1646">
                  <c:v>41016</c:v>
                </c:pt>
                <c:pt idx="1647">
                  <c:v>41017</c:v>
                </c:pt>
                <c:pt idx="1648">
                  <c:v>41018</c:v>
                </c:pt>
                <c:pt idx="1649">
                  <c:v>41019</c:v>
                </c:pt>
                <c:pt idx="1650">
                  <c:v>41022</c:v>
                </c:pt>
                <c:pt idx="1651">
                  <c:v>41023</c:v>
                </c:pt>
                <c:pt idx="1652">
                  <c:v>41024</c:v>
                </c:pt>
                <c:pt idx="1653">
                  <c:v>41025</c:v>
                </c:pt>
                <c:pt idx="1654">
                  <c:v>41026</c:v>
                </c:pt>
                <c:pt idx="1655">
                  <c:v>41031</c:v>
                </c:pt>
                <c:pt idx="1656">
                  <c:v>41032</c:v>
                </c:pt>
                <c:pt idx="1657">
                  <c:v>41033</c:v>
                </c:pt>
                <c:pt idx="1658">
                  <c:v>41036</c:v>
                </c:pt>
                <c:pt idx="1659">
                  <c:v>41037</c:v>
                </c:pt>
                <c:pt idx="1660">
                  <c:v>41038</c:v>
                </c:pt>
                <c:pt idx="1661">
                  <c:v>41039</c:v>
                </c:pt>
                <c:pt idx="1662">
                  <c:v>41040</c:v>
                </c:pt>
                <c:pt idx="1663">
                  <c:v>41043</c:v>
                </c:pt>
                <c:pt idx="1664">
                  <c:v>41044</c:v>
                </c:pt>
                <c:pt idx="1665">
                  <c:v>41045</c:v>
                </c:pt>
                <c:pt idx="1666">
                  <c:v>41046</c:v>
                </c:pt>
                <c:pt idx="1667">
                  <c:v>41047</c:v>
                </c:pt>
                <c:pt idx="1668">
                  <c:v>41050</c:v>
                </c:pt>
                <c:pt idx="1669">
                  <c:v>41051</c:v>
                </c:pt>
                <c:pt idx="1670">
                  <c:v>41052</c:v>
                </c:pt>
                <c:pt idx="1671">
                  <c:v>41053</c:v>
                </c:pt>
                <c:pt idx="1672">
                  <c:v>41054</c:v>
                </c:pt>
                <c:pt idx="1673">
                  <c:v>41057</c:v>
                </c:pt>
                <c:pt idx="1674">
                  <c:v>41058</c:v>
                </c:pt>
                <c:pt idx="1675">
                  <c:v>41059</c:v>
                </c:pt>
                <c:pt idx="1676">
                  <c:v>41060</c:v>
                </c:pt>
                <c:pt idx="1677">
                  <c:v>41061</c:v>
                </c:pt>
                <c:pt idx="1678">
                  <c:v>41064</c:v>
                </c:pt>
                <c:pt idx="1679">
                  <c:v>41065</c:v>
                </c:pt>
                <c:pt idx="1680">
                  <c:v>41066</c:v>
                </c:pt>
                <c:pt idx="1681">
                  <c:v>41067</c:v>
                </c:pt>
                <c:pt idx="1682">
                  <c:v>41068</c:v>
                </c:pt>
                <c:pt idx="1683">
                  <c:v>41071</c:v>
                </c:pt>
                <c:pt idx="1684">
                  <c:v>41072</c:v>
                </c:pt>
                <c:pt idx="1685">
                  <c:v>41073</c:v>
                </c:pt>
                <c:pt idx="1686">
                  <c:v>41074</c:v>
                </c:pt>
                <c:pt idx="1687">
                  <c:v>41075</c:v>
                </c:pt>
                <c:pt idx="1688">
                  <c:v>41078</c:v>
                </c:pt>
                <c:pt idx="1689">
                  <c:v>41079</c:v>
                </c:pt>
                <c:pt idx="1690">
                  <c:v>41080</c:v>
                </c:pt>
                <c:pt idx="1691">
                  <c:v>41081</c:v>
                </c:pt>
                <c:pt idx="1692">
                  <c:v>41085</c:v>
                </c:pt>
                <c:pt idx="1693">
                  <c:v>41086</c:v>
                </c:pt>
                <c:pt idx="1694">
                  <c:v>41087</c:v>
                </c:pt>
                <c:pt idx="1695">
                  <c:v>41088</c:v>
                </c:pt>
                <c:pt idx="1696">
                  <c:v>41089</c:v>
                </c:pt>
                <c:pt idx="1697">
                  <c:v>41092</c:v>
                </c:pt>
                <c:pt idx="1698">
                  <c:v>41093</c:v>
                </c:pt>
                <c:pt idx="1699">
                  <c:v>41094</c:v>
                </c:pt>
                <c:pt idx="1700">
                  <c:v>41095</c:v>
                </c:pt>
                <c:pt idx="1701">
                  <c:v>41096</c:v>
                </c:pt>
                <c:pt idx="1702">
                  <c:v>41099</c:v>
                </c:pt>
                <c:pt idx="1703">
                  <c:v>41100</c:v>
                </c:pt>
                <c:pt idx="1704">
                  <c:v>41101</c:v>
                </c:pt>
                <c:pt idx="1705">
                  <c:v>41102</c:v>
                </c:pt>
                <c:pt idx="1706">
                  <c:v>41103</c:v>
                </c:pt>
                <c:pt idx="1707">
                  <c:v>41106</c:v>
                </c:pt>
                <c:pt idx="1708">
                  <c:v>41107</c:v>
                </c:pt>
                <c:pt idx="1709">
                  <c:v>41108</c:v>
                </c:pt>
                <c:pt idx="1710">
                  <c:v>41109</c:v>
                </c:pt>
                <c:pt idx="1711">
                  <c:v>41110</c:v>
                </c:pt>
                <c:pt idx="1712">
                  <c:v>41113</c:v>
                </c:pt>
                <c:pt idx="1713">
                  <c:v>41114</c:v>
                </c:pt>
                <c:pt idx="1714">
                  <c:v>41115</c:v>
                </c:pt>
                <c:pt idx="1715">
                  <c:v>41116</c:v>
                </c:pt>
                <c:pt idx="1716">
                  <c:v>41117</c:v>
                </c:pt>
                <c:pt idx="1717">
                  <c:v>41120</c:v>
                </c:pt>
                <c:pt idx="1718">
                  <c:v>41121</c:v>
                </c:pt>
                <c:pt idx="1719">
                  <c:v>41122</c:v>
                </c:pt>
                <c:pt idx="1720">
                  <c:v>41123</c:v>
                </c:pt>
                <c:pt idx="1721">
                  <c:v>41124</c:v>
                </c:pt>
                <c:pt idx="1722">
                  <c:v>41127</c:v>
                </c:pt>
                <c:pt idx="1723">
                  <c:v>41128</c:v>
                </c:pt>
                <c:pt idx="1724">
                  <c:v>41129</c:v>
                </c:pt>
                <c:pt idx="1725">
                  <c:v>41130</c:v>
                </c:pt>
                <c:pt idx="1726">
                  <c:v>41131</c:v>
                </c:pt>
                <c:pt idx="1727">
                  <c:v>41134</c:v>
                </c:pt>
                <c:pt idx="1728">
                  <c:v>41135</c:v>
                </c:pt>
                <c:pt idx="1729">
                  <c:v>41136</c:v>
                </c:pt>
                <c:pt idx="1730">
                  <c:v>41137</c:v>
                </c:pt>
                <c:pt idx="1731">
                  <c:v>41138</c:v>
                </c:pt>
                <c:pt idx="1732">
                  <c:v>41141</c:v>
                </c:pt>
                <c:pt idx="1733">
                  <c:v>41142</c:v>
                </c:pt>
                <c:pt idx="1734">
                  <c:v>41143</c:v>
                </c:pt>
                <c:pt idx="1735">
                  <c:v>41144</c:v>
                </c:pt>
                <c:pt idx="1736">
                  <c:v>41145</c:v>
                </c:pt>
                <c:pt idx="1737">
                  <c:v>41148</c:v>
                </c:pt>
                <c:pt idx="1738">
                  <c:v>41149</c:v>
                </c:pt>
                <c:pt idx="1739">
                  <c:v>41150</c:v>
                </c:pt>
                <c:pt idx="1740">
                  <c:v>41151</c:v>
                </c:pt>
                <c:pt idx="1741">
                  <c:v>41152</c:v>
                </c:pt>
                <c:pt idx="1742">
                  <c:v>41155</c:v>
                </c:pt>
                <c:pt idx="1743">
                  <c:v>41156</c:v>
                </c:pt>
                <c:pt idx="1744">
                  <c:v>41157</c:v>
                </c:pt>
                <c:pt idx="1745">
                  <c:v>41158</c:v>
                </c:pt>
                <c:pt idx="1746">
                  <c:v>41159</c:v>
                </c:pt>
                <c:pt idx="1747">
                  <c:v>41162</c:v>
                </c:pt>
                <c:pt idx="1748">
                  <c:v>41163</c:v>
                </c:pt>
                <c:pt idx="1749">
                  <c:v>41164</c:v>
                </c:pt>
                <c:pt idx="1750">
                  <c:v>41165</c:v>
                </c:pt>
                <c:pt idx="1751">
                  <c:v>41166</c:v>
                </c:pt>
                <c:pt idx="1752">
                  <c:v>41169</c:v>
                </c:pt>
                <c:pt idx="1753">
                  <c:v>41170</c:v>
                </c:pt>
                <c:pt idx="1754">
                  <c:v>41171</c:v>
                </c:pt>
                <c:pt idx="1755">
                  <c:v>41172</c:v>
                </c:pt>
                <c:pt idx="1756">
                  <c:v>41173</c:v>
                </c:pt>
                <c:pt idx="1757">
                  <c:v>41176</c:v>
                </c:pt>
                <c:pt idx="1758">
                  <c:v>41177</c:v>
                </c:pt>
                <c:pt idx="1759">
                  <c:v>41178</c:v>
                </c:pt>
                <c:pt idx="1760">
                  <c:v>41179</c:v>
                </c:pt>
                <c:pt idx="1761">
                  <c:v>41180</c:v>
                </c:pt>
                <c:pt idx="1762">
                  <c:v>41190</c:v>
                </c:pt>
                <c:pt idx="1763">
                  <c:v>41191</c:v>
                </c:pt>
                <c:pt idx="1764">
                  <c:v>41192</c:v>
                </c:pt>
                <c:pt idx="1765">
                  <c:v>41193</c:v>
                </c:pt>
                <c:pt idx="1766">
                  <c:v>41194</c:v>
                </c:pt>
                <c:pt idx="1767">
                  <c:v>41197</c:v>
                </c:pt>
                <c:pt idx="1768">
                  <c:v>41198</c:v>
                </c:pt>
                <c:pt idx="1769">
                  <c:v>41199</c:v>
                </c:pt>
                <c:pt idx="1770">
                  <c:v>41200</c:v>
                </c:pt>
                <c:pt idx="1771">
                  <c:v>41201</c:v>
                </c:pt>
                <c:pt idx="1772">
                  <c:v>41204</c:v>
                </c:pt>
                <c:pt idx="1773">
                  <c:v>41205</c:v>
                </c:pt>
                <c:pt idx="1774">
                  <c:v>41206</c:v>
                </c:pt>
                <c:pt idx="1775">
                  <c:v>41207</c:v>
                </c:pt>
                <c:pt idx="1776">
                  <c:v>41208</c:v>
                </c:pt>
                <c:pt idx="1777">
                  <c:v>41211</c:v>
                </c:pt>
                <c:pt idx="1778">
                  <c:v>41212</c:v>
                </c:pt>
                <c:pt idx="1779">
                  <c:v>41213</c:v>
                </c:pt>
                <c:pt idx="1780">
                  <c:v>41214</c:v>
                </c:pt>
                <c:pt idx="1781">
                  <c:v>41215</c:v>
                </c:pt>
                <c:pt idx="1782">
                  <c:v>41218</c:v>
                </c:pt>
                <c:pt idx="1783">
                  <c:v>41219</c:v>
                </c:pt>
                <c:pt idx="1784">
                  <c:v>41220</c:v>
                </c:pt>
                <c:pt idx="1785">
                  <c:v>41221</c:v>
                </c:pt>
                <c:pt idx="1786">
                  <c:v>41222</c:v>
                </c:pt>
                <c:pt idx="1787">
                  <c:v>41225</c:v>
                </c:pt>
                <c:pt idx="1788">
                  <c:v>41226</c:v>
                </c:pt>
                <c:pt idx="1789">
                  <c:v>41227</c:v>
                </c:pt>
                <c:pt idx="1790">
                  <c:v>41228</c:v>
                </c:pt>
                <c:pt idx="1791">
                  <c:v>41229</c:v>
                </c:pt>
                <c:pt idx="1792">
                  <c:v>41232</c:v>
                </c:pt>
                <c:pt idx="1793">
                  <c:v>41233</c:v>
                </c:pt>
                <c:pt idx="1794">
                  <c:v>41234</c:v>
                </c:pt>
                <c:pt idx="1795">
                  <c:v>41235</c:v>
                </c:pt>
                <c:pt idx="1796">
                  <c:v>41236</c:v>
                </c:pt>
                <c:pt idx="1797">
                  <c:v>41239</c:v>
                </c:pt>
                <c:pt idx="1798">
                  <c:v>41240</c:v>
                </c:pt>
                <c:pt idx="1799">
                  <c:v>41241</c:v>
                </c:pt>
                <c:pt idx="1800">
                  <c:v>41242</c:v>
                </c:pt>
                <c:pt idx="1801">
                  <c:v>41243</c:v>
                </c:pt>
                <c:pt idx="1802">
                  <c:v>41246</c:v>
                </c:pt>
                <c:pt idx="1803">
                  <c:v>41247</c:v>
                </c:pt>
                <c:pt idx="1804">
                  <c:v>41248</c:v>
                </c:pt>
                <c:pt idx="1805">
                  <c:v>41249</c:v>
                </c:pt>
                <c:pt idx="1806">
                  <c:v>41250</c:v>
                </c:pt>
                <c:pt idx="1807">
                  <c:v>41253</c:v>
                </c:pt>
                <c:pt idx="1808">
                  <c:v>41254</c:v>
                </c:pt>
                <c:pt idx="1809">
                  <c:v>41255</c:v>
                </c:pt>
                <c:pt idx="1810">
                  <c:v>41256</c:v>
                </c:pt>
                <c:pt idx="1811">
                  <c:v>41257</c:v>
                </c:pt>
                <c:pt idx="1812">
                  <c:v>41260</c:v>
                </c:pt>
                <c:pt idx="1813">
                  <c:v>41261</c:v>
                </c:pt>
                <c:pt idx="1814">
                  <c:v>41262</c:v>
                </c:pt>
                <c:pt idx="1815">
                  <c:v>41263</c:v>
                </c:pt>
                <c:pt idx="1816">
                  <c:v>41264</c:v>
                </c:pt>
                <c:pt idx="1817">
                  <c:v>41267</c:v>
                </c:pt>
                <c:pt idx="1818">
                  <c:v>41268</c:v>
                </c:pt>
                <c:pt idx="1819">
                  <c:v>41269</c:v>
                </c:pt>
                <c:pt idx="1820">
                  <c:v>41270</c:v>
                </c:pt>
                <c:pt idx="1821">
                  <c:v>41271</c:v>
                </c:pt>
                <c:pt idx="1822">
                  <c:v>41274</c:v>
                </c:pt>
                <c:pt idx="1823">
                  <c:v>41278</c:v>
                </c:pt>
                <c:pt idx="1824">
                  <c:v>41281</c:v>
                </c:pt>
                <c:pt idx="1825">
                  <c:v>41282</c:v>
                </c:pt>
                <c:pt idx="1826">
                  <c:v>41283</c:v>
                </c:pt>
                <c:pt idx="1827">
                  <c:v>41284</c:v>
                </c:pt>
                <c:pt idx="1828">
                  <c:v>41285</c:v>
                </c:pt>
                <c:pt idx="1829">
                  <c:v>41288</c:v>
                </c:pt>
                <c:pt idx="1830">
                  <c:v>41289</c:v>
                </c:pt>
                <c:pt idx="1831">
                  <c:v>41290</c:v>
                </c:pt>
                <c:pt idx="1832">
                  <c:v>41291</c:v>
                </c:pt>
                <c:pt idx="1833">
                  <c:v>41292</c:v>
                </c:pt>
                <c:pt idx="1834">
                  <c:v>41295</c:v>
                </c:pt>
                <c:pt idx="1835">
                  <c:v>41296</c:v>
                </c:pt>
                <c:pt idx="1836">
                  <c:v>41297</c:v>
                </c:pt>
                <c:pt idx="1837">
                  <c:v>41298</c:v>
                </c:pt>
                <c:pt idx="1838">
                  <c:v>41299</c:v>
                </c:pt>
                <c:pt idx="1839">
                  <c:v>41302</c:v>
                </c:pt>
                <c:pt idx="1840">
                  <c:v>41303</c:v>
                </c:pt>
                <c:pt idx="1841">
                  <c:v>41304</c:v>
                </c:pt>
                <c:pt idx="1842">
                  <c:v>41305</c:v>
                </c:pt>
                <c:pt idx="1843">
                  <c:v>41306</c:v>
                </c:pt>
                <c:pt idx="1844">
                  <c:v>41309</c:v>
                </c:pt>
                <c:pt idx="1845">
                  <c:v>41310</c:v>
                </c:pt>
                <c:pt idx="1846">
                  <c:v>41311</c:v>
                </c:pt>
                <c:pt idx="1847">
                  <c:v>41312</c:v>
                </c:pt>
                <c:pt idx="1848">
                  <c:v>41313</c:v>
                </c:pt>
                <c:pt idx="1849">
                  <c:v>41323</c:v>
                </c:pt>
                <c:pt idx="1850">
                  <c:v>41324</c:v>
                </c:pt>
                <c:pt idx="1851">
                  <c:v>41325</c:v>
                </c:pt>
                <c:pt idx="1852">
                  <c:v>41326</c:v>
                </c:pt>
                <c:pt idx="1853">
                  <c:v>41327</c:v>
                </c:pt>
                <c:pt idx="1854">
                  <c:v>41330</c:v>
                </c:pt>
                <c:pt idx="1855">
                  <c:v>41331</c:v>
                </c:pt>
                <c:pt idx="1856">
                  <c:v>41332</c:v>
                </c:pt>
                <c:pt idx="1857">
                  <c:v>41333</c:v>
                </c:pt>
                <c:pt idx="1858">
                  <c:v>41334</c:v>
                </c:pt>
                <c:pt idx="1859">
                  <c:v>41337</c:v>
                </c:pt>
                <c:pt idx="1860">
                  <c:v>41338</c:v>
                </c:pt>
                <c:pt idx="1861">
                  <c:v>41339</c:v>
                </c:pt>
                <c:pt idx="1862">
                  <c:v>41340</c:v>
                </c:pt>
                <c:pt idx="1863">
                  <c:v>41341</c:v>
                </c:pt>
                <c:pt idx="1864">
                  <c:v>41344</c:v>
                </c:pt>
                <c:pt idx="1865">
                  <c:v>41345</c:v>
                </c:pt>
                <c:pt idx="1866">
                  <c:v>41346</c:v>
                </c:pt>
                <c:pt idx="1867">
                  <c:v>41347</c:v>
                </c:pt>
                <c:pt idx="1868">
                  <c:v>41348</c:v>
                </c:pt>
                <c:pt idx="1869">
                  <c:v>41351</c:v>
                </c:pt>
                <c:pt idx="1870">
                  <c:v>41352</c:v>
                </c:pt>
                <c:pt idx="1871">
                  <c:v>41353</c:v>
                </c:pt>
                <c:pt idx="1872">
                  <c:v>41354</c:v>
                </c:pt>
                <c:pt idx="1873">
                  <c:v>41355</c:v>
                </c:pt>
                <c:pt idx="1874">
                  <c:v>41358</c:v>
                </c:pt>
                <c:pt idx="1875">
                  <c:v>41359</c:v>
                </c:pt>
                <c:pt idx="1876">
                  <c:v>41360</c:v>
                </c:pt>
                <c:pt idx="1877">
                  <c:v>41361</c:v>
                </c:pt>
                <c:pt idx="1878">
                  <c:v>41362</c:v>
                </c:pt>
                <c:pt idx="1879">
                  <c:v>41365</c:v>
                </c:pt>
                <c:pt idx="1880">
                  <c:v>41366</c:v>
                </c:pt>
                <c:pt idx="1881">
                  <c:v>41367</c:v>
                </c:pt>
                <c:pt idx="1882">
                  <c:v>41372</c:v>
                </c:pt>
                <c:pt idx="1883">
                  <c:v>41373</c:v>
                </c:pt>
                <c:pt idx="1884">
                  <c:v>41374</c:v>
                </c:pt>
                <c:pt idx="1885">
                  <c:v>41375</c:v>
                </c:pt>
                <c:pt idx="1886">
                  <c:v>41376</c:v>
                </c:pt>
                <c:pt idx="1887">
                  <c:v>41379</c:v>
                </c:pt>
                <c:pt idx="1888">
                  <c:v>41380</c:v>
                </c:pt>
                <c:pt idx="1889">
                  <c:v>41381</c:v>
                </c:pt>
                <c:pt idx="1890">
                  <c:v>41382</c:v>
                </c:pt>
                <c:pt idx="1891">
                  <c:v>41383</c:v>
                </c:pt>
                <c:pt idx="1892">
                  <c:v>41386</c:v>
                </c:pt>
                <c:pt idx="1893">
                  <c:v>41387</c:v>
                </c:pt>
                <c:pt idx="1894">
                  <c:v>41388</c:v>
                </c:pt>
                <c:pt idx="1895">
                  <c:v>41389</c:v>
                </c:pt>
                <c:pt idx="1896">
                  <c:v>41390</c:v>
                </c:pt>
                <c:pt idx="1897">
                  <c:v>41396</c:v>
                </c:pt>
                <c:pt idx="1898">
                  <c:v>41397</c:v>
                </c:pt>
                <c:pt idx="1899">
                  <c:v>41400</c:v>
                </c:pt>
                <c:pt idx="1900">
                  <c:v>41401</c:v>
                </c:pt>
                <c:pt idx="1901">
                  <c:v>41402</c:v>
                </c:pt>
                <c:pt idx="1902">
                  <c:v>41403</c:v>
                </c:pt>
                <c:pt idx="1903">
                  <c:v>41404</c:v>
                </c:pt>
                <c:pt idx="1904">
                  <c:v>41407</c:v>
                </c:pt>
                <c:pt idx="1905">
                  <c:v>41408</c:v>
                </c:pt>
                <c:pt idx="1906">
                  <c:v>41409</c:v>
                </c:pt>
                <c:pt idx="1907">
                  <c:v>41410</c:v>
                </c:pt>
                <c:pt idx="1908">
                  <c:v>41411</c:v>
                </c:pt>
                <c:pt idx="1909">
                  <c:v>41414</c:v>
                </c:pt>
                <c:pt idx="1910">
                  <c:v>41415</c:v>
                </c:pt>
                <c:pt idx="1911">
                  <c:v>41416</c:v>
                </c:pt>
                <c:pt idx="1912">
                  <c:v>41417</c:v>
                </c:pt>
                <c:pt idx="1913">
                  <c:v>41418</c:v>
                </c:pt>
                <c:pt idx="1914">
                  <c:v>41421</c:v>
                </c:pt>
                <c:pt idx="1915">
                  <c:v>41422</c:v>
                </c:pt>
                <c:pt idx="1916">
                  <c:v>41423</c:v>
                </c:pt>
                <c:pt idx="1917">
                  <c:v>41424</c:v>
                </c:pt>
                <c:pt idx="1918">
                  <c:v>41425</c:v>
                </c:pt>
                <c:pt idx="1919">
                  <c:v>41428</c:v>
                </c:pt>
                <c:pt idx="1920">
                  <c:v>41429</c:v>
                </c:pt>
                <c:pt idx="1921">
                  <c:v>41430</c:v>
                </c:pt>
                <c:pt idx="1922">
                  <c:v>41431</c:v>
                </c:pt>
                <c:pt idx="1923">
                  <c:v>41432</c:v>
                </c:pt>
                <c:pt idx="1924">
                  <c:v>41438</c:v>
                </c:pt>
                <c:pt idx="1925">
                  <c:v>41439</c:v>
                </c:pt>
                <c:pt idx="1926">
                  <c:v>41442</c:v>
                </c:pt>
                <c:pt idx="1927">
                  <c:v>41443</c:v>
                </c:pt>
                <c:pt idx="1928">
                  <c:v>41444</c:v>
                </c:pt>
                <c:pt idx="1929">
                  <c:v>41445</c:v>
                </c:pt>
                <c:pt idx="1930">
                  <c:v>41446</c:v>
                </c:pt>
                <c:pt idx="1931">
                  <c:v>41449</c:v>
                </c:pt>
                <c:pt idx="1932">
                  <c:v>41450</c:v>
                </c:pt>
                <c:pt idx="1933">
                  <c:v>41451</c:v>
                </c:pt>
                <c:pt idx="1934">
                  <c:v>41452</c:v>
                </c:pt>
                <c:pt idx="1935">
                  <c:v>41453</c:v>
                </c:pt>
                <c:pt idx="1936">
                  <c:v>41456</c:v>
                </c:pt>
                <c:pt idx="1937">
                  <c:v>41457</c:v>
                </c:pt>
                <c:pt idx="1938">
                  <c:v>41458</c:v>
                </c:pt>
                <c:pt idx="1939">
                  <c:v>41459</c:v>
                </c:pt>
                <c:pt idx="1940">
                  <c:v>41460</c:v>
                </c:pt>
                <c:pt idx="1941">
                  <c:v>41463</c:v>
                </c:pt>
                <c:pt idx="1942">
                  <c:v>41464</c:v>
                </c:pt>
                <c:pt idx="1943">
                  <c:v>41465</c:v>
                </c:pt>
                <c:pt idx="1944">
                  <c:v>41466</c:v>
                </c:pt>
                <c:pt idx="1945">
                  <c:v>41467</c:v>
                </c:pt>
                <c:pt idx="1946">
                  <c:v>41470</c:v>
                </c:pt>
                <c:pt idx="1947">
                  <c:v>41471</c:v>
                </c:pt>
                <c:pt idx="1948">
                  <c:v>41472</c:v>
                </c:pt>
                <c:pt idx="1949">
                  <c:v>41473</c:v>
                </c:pt>
                <c:pt idx="1950">
                  <c:v>41474</c:v>
                </c:pt>
                <c:pt idx="1951">
                  <c:v>41477</c:v>
                </c:pt>
                <c:pt idx="1952">
                  <c:v>41478</c:v>
                </c:pt>
                <c:pt idx="1953">
                  <c:v>41479</c:v>
                </c:pt>
                <c:pt idx="1954">
                  <c:v>41480</c:v>
                </c:pt>
                <c:pt idx="1955">
                  <c:v>41481</c:v>
                </c:pt>
                <c:pt idx="1956">
                  <c:v>41484</c:v>
                </c:pt>
                <c:pt idx="1957">
                  <c:v>41485</c:v>
                </c:pt>
                <c:pt idx="1958">
                  <c:v>41486</c:v>
                </c:pt>
                <c:pt idx="1959">
                  <c:v>41487</c:v>
                </c:pt>
                <c:pt idx="1960">
                  <c:v>41488</c:v>
                </c:pt>
                <c:pt idx="1961">
                  <c:v>41491</c:v>
                </c:pt>
                <c:pt idx="1962">
                  <c:v>41492</c:v>
                </c:pt>
                <c:pt idx="1963">
                  <c:v>41493</c:v>
                </c:pt>
                <c:pt idx="1964">
                  <c:v>41494</c:v>
                </c:pt>
                <c:pt idx="1965">
                  <c:v>41495</c:v>
                </c:pt>
                <c:pt idx="1966">
                  <c:v>41498</c:v>
                </c:pt>
                <c:pt idx="1967">
                  <c:v>41499</c:v>
                </c:pt>
                <c:pt idx="1968">
                  <c:v>41500</c:v>
                </c:pt>
                <c:pt idx="1969">
                  <c:v>41501</c:v>
                </c:pt>
                <c:pt idx="1970">
                  <c:v>41502</c:v>
                </c:pt>
                <c:pt idx="1971">
                  <c:v>41505</c:v>
                </c:pt>
                <c:pt idx="1972">
                  <c:v>41506</c:v>
                </c:pt>
                <c:pt idx="1973">
                  <c:v>41507</c:v>
                </c:pt>
                <c:pt idx="1974">
                  <c:v>41508</c:v>
                </c:pt>
                <c:pt idx="1975">
                  <c:v>41509</c:v>
                </c:pt>
                <c:pt idx="1976">
                  <c:v>41512</c:v>
                </c:pt>
                <c:pt idx="1977">
                  <c:v>41513</c:v>
                </c:pt>
                <c:pt idx="1978">
                  <c:v>41514</c:v>
                </c:pt>
                <c:pt idx="1979">
                  <c:v>41515</c:v>
                </c:pt>
                <c:pt idx="1980">
                  <c:v>41516</c:v>
                </c:pt>
                <c:pt idx="1981">
                  <c:v>41519</c:v>
                </c:pt>
                <c:pt idx="1982">
                  <c:v>41520</c:v>
                </c:pt>
                <c:pt idx="1983">
                  <c:v>41521</c:v>
                </c:pt>
                <c:pt idx="1984">
                  <c:v>41522</c:v>
                </c:pt>
                <c:pt idx="1985">
                  <c:v>41523</c:v>
                </c:pt>
                <c:pt idx="1986">
                  <c:v>41526</c:v>
                </c:pt>
                <c:pt idx="1987">
                  <c:v>41527</c:v>
                </c:pt>
                <c:pt idx="1988">
                  <c:v>41528</c:v>
                </c:pt>
                <c:pt idx="1989">
                  <c:v>41529</c:v>
                </c:pt>
                <c:pt idx="1990">
                  <c:v>41530</c:v>
                </c:pt>
                <c:pt idx="1991">
                  <c:v>41533</c:v>
                </c:pt>
                <c:pt idx="1992">
                  <c:v>41534</c:v>
                </c:pt>
                <c:pt idx="1993">
                  <c:v>41535</c:v>
                </c:pt>
                <c:pt idx="1994">
                  <c:v>41540</c:v>
                </c:pt>
                <c:pt idx="1995">
                  <c:v>41541</c:v>
                </c:pt>
                <c:pt idx="1996">
                  <c:v>41542</c:v>
                </c:pt>
                <c:pt idx="1997">
                  <c:v>41543</c:v>
                </c:pt>
                <c:pt idx="1998">
                  <c:v>41544</c:v>
                </c:pt>
                <c:pt idx="1999">
                  <c:v>41547</c:v>
                </c:pt>
                <c:pt idx="2000">
                  <c:v>41555</c:v>
                </c:pt>
                <c:pt idx="2001">
                  <c:v>41556</c:v>
                </c:pt>
                <c:pt idx="2002">
                  <c:v>41557</c:v>
                </c:pt>
                <c:pt idx="2003">
                  <c:v>41558</c:v>
                </c:pt>
                <c:pt idx="2004">
                  <c:v>41561</c:v>
                </c:pt>
                <c:pt idx="2005">
                  <c:v>41562</c:v>
                </c:pt>
                <c:pt idx="2006">
                  <c:v>41563</c:v>
                </c:pt>
                <c:pt idx="2007">
                  <c:v>41564</c:v>
                </c:pt>
                <c:pt idx="2008">
                  <c:v>41565</c:v>
                </c:pt>
                <c:pt idx="2009">
                  <c:v>41568</c:v>
                </c:pt>
                <c:pt idx="2010">
                  <c:v>41569</c:v>
                </c:pt>
                <c:pt idx="2011">
                  <c:v>41570</c:v>
                </c:pt>
                <c:pt idx="2012">
                  <c:v>41571</c:v>
                </c:pt>
                <c:pt idx="2013">
                  <c:v>41572</c:v>
                </c:pt>
                <c:pt idx="2014">
                  <c:v>41575</c:v>
                </c:pt>
                <c:pt idx="2015">
                  <c:v>41576</c:v>
                </c:pt>
                <c:pt idx="2016">
                  <c:v>41577</c:v>
                </c:pt>
                <c:pt idx="2017">
                  <c:v>41578</c:v>
                </c:pt>
                <c:pt idx="2018">
                  <c:v>41579</c:v>
                </c:pt>
                <c:pt idx="2019">
                  <c:v>41582</c:v>
                </c:pt>
                <c:pt idx="2020">
                  <c:v>41583</c:v>
                </c:pt>
                <c:pt idx="2021">
                  <c:v>41584</c:v>
                </c:pt>
                <c:pt idx="2022">
                  <c:v>41585</c:v>
                </c:pt>
                <c:pt idx="2023">
                  <c:v>41586</c:v>
                </c:pt>
                <c:pt idx="2024">
                  <c:v>41589</c:v>
                </c:pt>
                <c:pt idx="2025">
                  <c:v>41590</c:v>
                </c:pt>
                <c:pt idx="2026">
                  <c:v>41591</c:v>
                </c:pt>
                <c:pt idx="2027">
                  <c:v>41592</c:v>
                </c:pt>
                <c:pt idx="2028">
                  <c:v>41593</c:v>
                </c:pt>
                <c:pt idx="2029">
                  <c:v>41596</c:v>
                </c:pt>
                <c:pt idx="2030">
                  <c:v>41597</c:v>
                </c:pt>
                <c:pt idx="2031">
                  <c:v>41598</c:v>
                </c:pt>
                <c:pt idx="2032">
                  <c:v>41599</c:v>
                </c:pt>
                <c:pt idx="2033">
                  <c:v>41600</c:v>
                </c:pt>
                <c:pt idx="2034">
                  <c:v>41603</c:v>
                </c:pt>
                <c:pt idx="2035">
                  <c:v>41604</c:v>
                </c:pt>
                <c:pt idx="2036">
                  <c:v>41605</c:v>
                </c:pt>
                <c:pt idx="2037">
                  <c:v>41606</c:v>
                </c:pt>
                <c:pt idx="2038">
                  <c:v>41607</c:v>
                </c:pt>
                <c:pt idx="2039">
                  <c:v>41610</c:v>
                </c:pt>
                <c:pt idx="2040">
                  <c:v>41611</c:v>
                </c:pt>
                <c:pt idx="2041">
                  <c:v>41612</c:v>
                </c:pt>
                <c:pt idx="2042">
                  <c:v>41613</c:v>
                </c:pt>
                <c:pt idx="2043">
                  <c:v>41614</c:v>
                </c:pt>
                <c:pt idx="2044">
                  <c:v>41617</c:v>
                </c:pt>
                <c:pt idx="2045">
                  <c:v>41618</c:v>
                </c:pt>
                <c:pt idx="2046">
                  <c:v>41619</c:v>
                </c:pt>
                <c:pt idx="2047">
                  <c:v>41620</c:v>
                </c:pt>
                <c:pt idx="2048">
                  <c:v>41621</c:v>
                </c:pt>
                <c:pt idx="2049">
                  <c:v>41624</c:v>
                </c:pt>
                <c:pt idx="2050">
                  <c:v>41625</c:v>
                </c:pt>
                <c:pt idx="2051">
                  <c:v>41626</c:v>
                </c:pt>
                <c:pt idx="2052">
                  <c:v>41627</c:v>
                </c:pt>
                <c:pt idx="2053">
                  <c:v>41628</c:v>
                </c:pt>
                <c:pt idx="2054">
                  <c:v>41631</c:v>
                </c:pt>
                <c:pt idx="2055">
                  <c:v>41632</c:v>
                </c:pt>
                <c:pt idx="2056">
                  <c:v>41633</c:v>
                </c:pt>
                <c:pt idx="2057">
                  <c:v>41634</c:v>
                </c:pt>
                <c:pt idx="2058">
                  <c:v>41635</c:v>
                </c:pt>
                <c:pt idx="2059">
                  <c:v>41638</c:v>
                </c:pt>
                <c:pt idx="2060">
                  <c:v>41639</c:v>
                </c:pt>
                <c:pt idx="2061">
                  <c:v>41641</c:v>
                </c:pt>
                <c:pt idx="2062">
                  <c:v>41642</c:v>
                </c:pt>
                <c:pt idx="2063">
                  <c:v>41645</c:v>
                </c:pt>
                <c:pt idx="2064">
                  <c:v>41646</c:v>
                </c:pt>
                <c:pt idx="2065">
                  <c:v>41647</c:v>
                </c:pt>
                <c:pt idx="2066">
                  <c:v>41648</c:v>
                </c:pt>
                <c:pt idx="2067">
                  <c:v>41649</c:v>
                </c:pt>
                <c:pt idx="2068">
                  <c:v>41652</c:v>
                </c:pt>
                <c:pt idx="2069">
                  <c:v>41653</c:v>
                </c:pt>
                <c:pt idx="2070">
                  <c:v>41654</c:v>
                </c:pt>
                <c:pt idx="2071">
                  <c:v>41655</c:v>
                </c:pt>
                <c:pt idx="2072">
                  <c:v>41656</c:v>
                </c:pt>
                <c:pt idx="2073">
                  <c:v>41659</c:v>
                </c:pt>
                <c:pt idx="2074">
                  <c:v>41660</c:v>
                </c:pt>
                <c:pt idx="2075">
                  <c:v>41661</c:v>
                </c:pt>
                <c:pt idx="2076">
                  <c:v>41662</c:v>
                </c:pt>
                <c:pt idx="2077">
                  <c:v>41663</c:v>
                </c:pt>
                <c:pt idx="2078">
                  <c:v>41666</c:v>
                </c:pt>
                <c:pt idx="2079">
                  <c:v>41667</c:v>
                </c:pt>
                <c:pt idx="2080">
                  <c:v>41668</c:v>
                </c:pt>
                <c:pt idx="2081">
                  <c:v>41669</c:v>
                </c:pt>
                <c:pt idx="2082">
                  <c:v>41677</c:v>
                </c:pt>
                <c:pt idx="2083">
                  <c:v>41680</c:v>
                </c:pt>
                <c:pt idx="2084">
                  <c:v>41681</c:v>
                </c:pt>
                <c:pt idx="2085">
                  <c:v>41682</c:v>
                </c:pt>
                <c:pt idx="2086">
                  <c:v>41683</c:v>
                </c:pt>
                <c:pt idx="2087">
                  <c:v>41684</c:v>
                </c:pt>
                <c:pt idx="2088">
                  <c:v>41687</c:v>
                </c:pt>
                <c:pt idx="2089">
                  <c:v>41688</c:v>
                </c:pt>
                <c:pt idx="2090">
                  <c:v>41689</c:v>
                </c:pt>
                <c:pt idx="2091">
                  <c:v>41690</c:v>
                </c:pt>
                <c:pt idx="2092">
                  <c:v>41691</c:v>
                </c:pt>
                <c:pt idx="2093">
                  <c:v>41694</c:v>
                </c:pt>
                <c:pt idx="2094">
                  <c:v>41695</c:v>
                </c:pt>
                <c:pt idx="2095">
                  <c:v>41696</c:v>
                </c:pt>
                <c:pt idx="2096">
                  <c:v>41697</c:v>
                </c:pt>
                <c:pt idx="2097">
                  <c:v>41698</c:v>
                </c:pt>
                <c:pt idx="2098">
                  <c:v>41701</c:v>
                </c:pt>
                <c:pt idx="2099">
                  <c:v>41702</c:v>
                </c:pt>
                <c:pt idx="2100">
                  <c:v>41703</c:v>
                </c:pt>
                <c:pt idx="2101">
                  <c:v>41704</c:v>
                </c:pt>
                <c:pt idx="2102">
                  <c:v>41705</c:v>
                </c:pt>
                <c:pt idx="2103">
                  <c:v>41708</c:v>
                </c:pt>
                <c:pt idx="2104">
                  <c:v>41709</c:v>
                </c:pt>
                <c:pt idx="2105">
                  <c:v>41710</c:v>
                </c:pt>
                <c:pt idx="2106">
                  <c:v>41711</c:v>
                </c:pt>
                <c:pt idx="2107">
                  <c:v>41712</c:v>
                </c:pt>
                <c:pt idx="2108">
                  <c:v>41715</c:v>
                </c:pt>
                <c:pt idx="2109">
                  <c:v>41716</c:v>
                </c:pt>
                <c:pt idx="2110">
                  <c:v>41717</c:v>
                </c:pt>
                <c:pt idx="2111">
                  <c:v>41718</c:v>
                </c:pt>
                <c:pt idx="2112">
                  <c:v>41719</c:v>
                </c:pt>
                <c:pt idx="2113">
                  <c:v>41722</c:v>
                </c:pt>
                <c:pt idx="2114">
                  <c:v>41723</c:v>
                </c:pt>
                <c:pt idx="2115">
                  <c:v>41724</c:v>
                </c:pt>
                <c:pt idx="2116">
                  <c:v>41725</c:v>
                </c:pt>
                <c:pt idx="2117">
                  <c:v>41726</c:v>
                </c:pt>
                <c:pt idx="2118">
                  <c:v>41729</c:v>
                </c:pt>
                <c:pt idx="2119">
                  <c:v>41730</c:v>
                </c:pt>
                <c:pt idx="2120">
                  <c:v>41731</c:v>
                </c:pt>
                <c:pt idx="2121">
                  <c:v>41732</c:v>
                </c:pt>
                <c:pt idx="2122">
                  <c:v>41733</c:v>
                </c:pt>
                <c:pt idx="2123">
                  <c:v>41737</c:v>
                </c:pt>
                <c:pt idx="2124">
                  <c:v>41738</c:v>
                </c:pt>
                <c:pt idx="2125">
                  <c:v>41739</c:v>
                </c:pt>
                <c:pt idx="2126">
                  <c:v>41740</c:v>
                </c:pt>
                <c:pt idx="2127">
                  <c:v>41743</c:v>
                </c:pt>
                <c:pt idx="2128">
                  <c:v>41744</c:v>
                </c:pt>
                <c:pt idx="2129">
                  <c:v>41745</c:v>
                </c:pt>
                <c:pt idx="2130">
                  <c:v>41746</c:v>
                </c:pt>
                <c:pt idx="2131">
                  <c:v>41747</c:v>
                </c:pt>
                <c:pt idx="2132">
                  <c:v>41750</c:v>
                </c:pt>
                <c:pt idx="2133">
                  <c:v>41751</c:v>
                </c:pt>
                <c:pt idx="2134">
                  <c:v>41752</c:v>
                </c:pt>
                <c:pt idx="2135">
                  <c:v>41753</c:v>
                </c:pt>
                <c:pt idx="2136">
                  <c:v>41754</c:v>
                </c:pt>
                <c:pt idx="2137">
                  <c:v>41757</c:v>
                </c:pt>
                <c:pt idx="2138">
                  <c:v>41758</c:v>
                </c:pt>
                <c:pt idx="2139">
                  <c:v>41759</c:v>
                </c:pt>
                <c:pt idx="2140">
                  <c:v>41764</c:v>
                </c:pt>
                <c:pt idx="2141">
                  <c:v>41765</c:v>
                </c:pt>
                <c:pt idx="2142">
                  <c:v>41766</c:v>
                </c:pt>
                <c:pt idx="2143">
                  <c:v>41767</c:v>
                </c:pt>
                <c:pt idx="2144">
                  <c:v>41768</c:v>
                </c:pt>
                <c:pt idx="2145">
                  <c:v>41771</c:v>
                </c:pt>
                <c:pt idx="2146">
                  <c:v>41772</c:v>
                </c:pt>
                <c:pt idx="2147">
                  <c:v>41773</c:v>
                </c:pt>
                <c:pt idx="2148">
                  <c:v>41774</c:v>
                </c:pt>
                <c:pt idx="2149">
                  <c:v>41775</c:v>
                </c:pt>
                <c:pt idx="2150">
                  <c:v>41778</c:v>
                </c:pt>
                <c:pt idx="2151">
                  <c:v>41779</c:v>
                </c:pt>
                <c:pt idx="2152">
                  <c:v>41780</c:v>
                </c:pt>
                <c:pt idx="2153">
                  <c:v>41781</c:v>
                </c:pt>
                <c:pt idx="2154">
                  <c:v>41782</c:v>
                </c:pt>
                <c:pt idx="2155">
                  <c:v>41785</c:v>
                </c:pt>
                <c:pt idx="2156">
                  <c:v>41786</c:v>
                </c:pt>
                <c:pt idx="2157">
                  <c:v>41787</c:v>
                </c:pt>
                <c:pt idx="2158">
                  <c:v>41788</c:v>
                </c:pt>
                <c:pt idx="2159">
                  <c:v>41789</c:v>
                </c:pt>
                <c:pt idx="2160">
                  <c:v>41793</c:v>
                </c:pt>
                <c:pt idx="2161">
                  <c:v>41794</c:v>
                </c:pt>
                <c:pt idx="2162">
                  <c:v>41795</c:v>
                </c:pt>
                <c:pt idx="2163">
                  <c:v>41796</c:v>
                </c:pt>
                <c:pt idx="2164">
                  <c:v>41799</c:v>
                </c:pt>
                <c:pt idx="2165">
                  <c:v>41800</c:v>
                </c:pt>
                <c:pt idx="2166">
                  <c:v>41801</c:v>
                </c:pt>
                <c:pt idx="2167">
                  <c:v>41802</c:v>
                </c:pt>
                <c:pt idx="2168">
                  <c:v>41803</c:v>
                </c:pt>
                <c:pt idx="2169">
                  <c:v>41806</c:v>
                </c:pt>
                <c:pt idx="2170">
                  <c:v>41807</c:v>
                </c:pt>
                <c:pt idx="2171">
                  <c:v>41808</c:v>
                </c:pt>
                <c:pt idx="2172">
                  <c:v>41809</c:v>
                </c:pt>
                <c:pt idx="2173">
                  <c:v>41810</c:v>
                </c:pt>
                <c:pt idx="2174">
                  <c:v>41813</c:v>
                </c:pt>
                <c:pt idx="2175">
                  <c:v>41814</c:v>
                </c:pt>
                <c:pt idx="2176">
                  <c:v>41815</c:v>
                </c:pt>
                <c:pt idx="2177">
                  <c:v>41816</c:v>
                </c:pt>
                <c:pt idx="2178">
                  <c:v>41817</c:v>
                </c:pt>
                <c:pt idx="2179">
                  <c:v>41820</c:v>
                </c:pt>
                <c:pt idx="2180">
                  <c:v>41821</c:v>
                </c:pt>
                <c:pt idx="2181">
                  <c:v>41822</c:v>
                </c:pt>
                <c:pt idx="2182">
                  <c:v>41823</c:v>
                </c:pt>
                <c:pt idx="2183">
                  <c:v>41824</c:v>
                </c:pt>
                <c:pt idx="2184">
                  <c:v>41827</c:v>
                </c:pt>
                <c:pt idx="2185">
                  <c:v>41828</c:v>
                </c:pt>
                <c:pt idx="2186">
                  <c:v>41829</c:v>
                </c:pt>
                <c:pt idx="2187">
                  <c:v>41830</c:v>
                </c:pt>
                <c:pt idx="2188">
                  <c:v>41831</c:v>
                </c:pt>
                <c:pt idx="2189">
                  <c:v>41834</c:v>
                </c:pt>
                <c:pt idx="2190">
                  <c:v>41835</c:v>
                </c:pt>
                <c:pt idx="2191">
                  <c:v>41836</c:v>
                </c:pt>
                <c:pt idx="2192">
                  <c:v>41837</c:v>
                </c:pt>
                <c:pt idx="2193">
                  <c:v>41838</c:v>
                </c:pt>
                <c:pt idx="2194">
                  <c:v>41841</c:v>
                </c:pt>
                <c:pt idx="2195">
                  <c:v>41842</c:v>
                </c:pt>
                <c:pt idx="2196">
                  <c:v>41843</c:v>
                </c:pt>
                <c:pt idx="2197">
                  <c:v>41844</c:v>
                </c:pt>
                <c:pt idx="2198">
                  <c:v>41845</c:v>
                </c:pt>
                <c:pt idx="2199">
                  <c:v>41848</c:v>
                </c:pt>
                <c:pt idx="2200">
                  <c:v>41849</c:v>
                </c:pt>
                <c:pt idx="2201">
                  <c:v>41850</c:v>
                </c:pt>
                <c:pt idx="2202">
                  <c:v>41851</c:v>
                </c:pt>
                <c:pt idx="2203">
                  <c:v>41852</c:v>
                </c:pt>
                <c:pt idx="2204">
                  <c:v>41855</c:v>
                </c:pt>
                <c:pt idx="2205">
                  <c:v>41856</c:v>
                </c:pt>
                <c:pt idx="2206">
                  <c:v>41857</c:v>
                </c:pt>
                <c:pt idx="2207">
                  <c:v>41858</c:v>
                </c:pt>
                <c:pt idx="2208">
                  <c:v>41859</c:v>
                </c:pt>
                <c:pt idx="2209">
                  <c:v>41862</c:v>
                </c:pt>
                <c:pt idx="2210">
                  <c:v>41863</c:v>
                </c:pt>
                <c:pt idx="2211">
                  <c:v>41864</c:v>
                </c:pt>
                <c:pt idx="2212">
                  <c:v>41865</c:v>
                </c:pt>
                <c:pt idx="2213">
                  <c:v>41866</c:v>
                </c:pt>
                <c:pt idx="2214">
                  <c:v>41869</c:v>
                </c:pt>
                <c:pt idx="2215">
                  <c:v>41870</c:v>
                </c:pt>
                <c:pt idx="2216">
                  <c:v>41871</c:v>
                </c:pt>
                <c:pt idx="2217">
                  <c:v>41872</c:v>
                </c:pt>
                <c:pt idx="2218">
                  <c:v>41873</c:v>
                </c:pt>
                <c:pt idx="2219">
                  <c:v>41876</c:v>
                </c:pt>
                <c:pt idx="2220">
                  <c:v>41877</c:v>
                </c:pt>
                <c:pt idx="2221">
                  <c:v>41878</c:v>
                </c:pt>
                <c:pt idx="2222">
                  <c:v>41879</c:v>
                </c:pt>
                <c:pt idx="2223">
                  <c:v>41880</c:v>
                </c:pt>
                <c:pt idx="2224">
                  <c:v>41883</c:v>
                </c:pt>
                <c:pt idx="2225">
                  <c:v>41884</c:v>
                </c:pt>
                <c:pt idx="2226">
                  <c:v>41885</c:v>
                </c:pt>
                <c:pt idx="2227">
                  <c:v>41886</c:v>
                </c:pt>
                <c:pt idx="2228">
                  <c:v>41887</c:v>
                </c:pt>
                <c:pt idx="2229">
                  <c:v>41891</c:v>
                </c:pt>
                <c:pt idx="2230">
                  <c:v>41892</c:v>
                </c:pt>
                <c:pt idx="2231">
                  <c:v>41893</c:v>
                </c:pt>
                <c:pt idx="2232">
                  <c:v>41894</c:v>
                </c:pt>
                <c:pt idx="2233">
                  <c:v>41897</c:v>
                </c:pt>
                <c:pt idx="2234">
                  <c:v>41898</c:v>
                </c:pt>
                <c:pt idx="2235">
                  <c:v>41899</c:v>
                </c:pt>
                <c:pt idx="2236">
                  <c:v>41900</c:v>
                </c:pt>
                <c:pt idx="2237">
                  <c:v>41901</c:v>
                </c:pt>
                <c:pt idx="2238">
                  <c:v>41904</c:v>
                </c:pt>
                <c:pt idx="2239">
                  <c:v>41905</c:v>
                </c:pt>
                <c:pt idx="2240">
                  <c:v>41906</c:v>
                </c:pt>
                <c:pt idx="2241">
                  <c:v>41907</c:v>
                </c:pt>
                <c:pt idx="2242">
                  <c:v>41908</c:v>
                </c:pt>
                <c:pt idx="2243">
                  <c:v>41911</c:v>
                </c:pt>
                <c:pt idx="2244">
                  <c:v>41912</c:v>
                </c:pt>
                <c:pt idx="2245">
                  <c:v>41920</c:v>
                </c:pt>
                <c:pt idx="2246">
                  <c:v>41921</c:v>
                </c:pt>
                <c:pt idx="2247">
                  <c:v>41922</c:v>
                </c:pt>
                <c:pt idx="2248">
                  <c:v>41925</c:v>
                </c:pt>
                <c:pt idx="2249">
                  <c:v>41926</c:v>
                </c:pt>
                <c:pt idx="2250">
                  <c:v>41927</c:v>
                </c:pt>
                <c:pt idx="2251">
                  <c:v>41928</c:v>
                </c:pt>
                <c:pt idx="2252">
                  <c:v>41929</c:v>
                </c:pt>
                <c:pt idx="2253">
                  <c:v>41932</c:v>
                </c:pt>
                <c:pt idx="2254">
                  <c:v>41933</c:v>
                </c:pt>
                <c:pt idx="2255">
                  <c:v>41934</c:v>
                </c:pt>
                <c:pt idx="2256">
                  <c:v>41935</c:v>
                </c:pt>
                <c:pt idx="2257">
                  <c:v>41936</c:v>
                </c:pt>
                <c:pt idx="2258">
                  <c:v>41939</c:v>
                </c:pt>
                <c:pt idx="2259">
                  <c:v>41940</c:v>
                </c:pt>
                <c:pt idx="2260">
                  <c:v>41941</c:v>
                </c:pt>
                <c:pt idx="2261">
                  <c:v>41942</c:v>
                </c:pt>
                <c:pt idx="2262">
                  <c:v>41943</c:v>
                </c:pt>
                <c:pt idx="2263">
                  <c:v>41946</c:v>
                </c:pt>
                <c:pt idx="2264">
                  <c:v>41947</c:v>
                </c:pt>
                <c:pt idx="2265">
                  <c:v>41948</c:v>
                </c:pt>
                <c:pt idx="2266">
                  <c:v>41949</c:v>
                </c:pt>
                <c:pt idx="2267">
                  <c:v>41950</c:v>
                </c:pt>
                <c:pt idx="2268">
                  <c:v>41953</c:v>
                </c:pt>
                <c:pt idx="2269">
                  <c:v>41954</c:v>
                </c:pt>
                <c:pt idx="2270">
                  <c:v>41955</c:v>
                </c:pt>
                <c:pt idx="2271">
                  <c:v>41956</c:v>
                </c:pt>
                <c:pt idx="2272">
                  <c:v>41957</c:v>
                </c:pt>
                <c:pt idx="2273">
                  <c:v>41960</c:v>
                </c:pt>
                <c:pt idx="2274">
                  <c:v>41961</c:v>
                </c:pt>
                <c:pt idx="2275">
                  <c:v>41962</c:v>
                </c:pt>
                <c:pt idx="2276">
                  <c:v>41963</c:v>
                </c:pt>
                <c:pt idx="2277">
                  <c:v>41964</c:v>
                </c:pt>
                <c:pt idx="2278">
                  <c:v>41967</c:v>
                </c:pt>
                <c:pt idx="2279">
                  <c:v>41968</c:v>
                </c:pt>
                <c:pt idx="2280">
                  <c:v>41969</c:v>
                </c:pt>
                <c:pt idx="2281">
                  <c:v>41970</c:v>
                </c:pt>
                <c:pt idx="2282">
                  <c:v>41971</c:v>
                </c:pt>
                <c:pt idx="2283">
                  <c:v>41974</c:v>
                </c:pt>
                <c:pt idx="2284">
                  <c:v>41975</c:v>
                </c:pt>
                <c:pt idx="2285">
                  <c:v>41976</c:v>
                </c:pt>
                <c:pt idx="2286">
                  <c:v>41977</c:v>
                </c:pt>
                <c:pt idx="2287">
                  <c:v>41978</c:v>
                </c:pt>
                <c:pt idx="2288">
                  <c:v>41981</c:v>
                </c:pt>
                <c:pt idx="2289">
                  <c:v>41982</c:v>
                </c:pt>
                <c:pt idx="2290">
                  <c:v>41983</c:v>
                </c:pt>
                <c:pt idx="2291">
                  <c:v>41984</c:v>
                </c:pt>
                <c:pt idx="2292">
                  <c:v>41985</c:v>
                </c:pt>
                <c:pt idx="2293">
                  <c:v>41988</c:v>
                </c:pt>
                <c:pt idx="2294">
                  <c:v>41989</c:v>
                </c:pt>
                <c:pt idx="2295">
                  <c:v>41990</c:v>
                </c:pt>
                <c:pt idx="2296">
                  <c:v>41991</c:v>
                </c:pt>
                <c:pt idx="2297">
                  <c:v>41992</c:v>
                </c:pt>
                <c:pt idx="2298">
                  <c:v>41995</c:v>
                </c:pt>
                <c:pt idx="2299">
                  <c:v>41996</c:v>
                </c:pt>
                <c:pt idx="2300">
                  <c:v>41997</c:v>
                </c:pt>
                <c:pt idx="2301">
                  <c:v>41998</c:v>
                </c:pt>
                <c:pt idx="2302">
                  <c:v>41999</c:v>
                </c:pt>
                <c:pt idx="2303">
                  <c:v>42002</c:v>
                </c:pt>
                <c:pt idx="2304">
                  <c:v>42003</c:v>
                </c:pt>
                <c:pt idx="2305">
                  <c:v>42004</c:v>
                </c:pt>
                <c:pt idx="2306">
                  <c:v>42009</c:v>
                </c:pt>
                <c:pt idx="2307">
                  <c:v>42010</c:v>
                </c:pt>
                <c:pt idx="2308">
                  <c:v>42011</c:v>
                </c:pt>
                <c:pt idx="2309">
                  <c:v>42012</c:v>
                </c:pt>
                <c:pt idx="2310">
                  <c:v>42013</c:v>
                </c:pt>
                <c:pt idx="2311">
                  <c:v>42016</c:v>
                </c:pt>
                <c:pt idx="2312">
                  <c:v>42017</c:v>
                </c:pt>
                <c:pt idx="2313">
                  <c:v>42018</c:v>
                </c:pt>
                <c:pt idx="2314">
                  <c:v>42019</c:v>
                </c:pt>
                <c:pt idx="2315">
                  <c:v>42020</c:v>
                </c:pt>
                <c:pt idx="2316">
                  <c:v>42023</c:v>
                </c:pt>
                <c:pt idx="2317">
                  <c:v>42024</c:v>
                </c:pt>
                <c:pt idx="2318">
                  <c:v>42025</c:v>
                </c:pt>
                <c:pt idx="2319">
                  <c:v>42026</c:v>
                </c:pt>
                <c:pt idx="2320">
                  <c:v>42027</c:v>
                </c:pt>
                <c:pt idx="2321">
                  <c:v>42030</c:v>
                </c:pt>
                <c:pt idx="2322">
                  <c:v>42031</c:v>
                </c:pt>
                <c:pt idx="2323">
                  <c:v>42032</c:v>
                </c:pt>
                <c:pt idx="2324">
                  <c:v>42033</c:v>
                </c:pt>
                <c:pt idx="2325">
                  <c:v>42034</c:v>
                </c:pt>
                <c:pt idx="2326">
                  <c:v>42037</c:v>
                </c:pt>
                <c:pt idx="2327">
                  <c:v>42038</c:v>
                </c:pt>
                <c:pt idx="2328">
                  <c:v>42039</c:v>
                </c:pt>
                <c:pt idx="2329">
                  <c:v>42040</c:v>
                </c:pt>
                <c:pt idx="2330">
                  <c:v>42041</c:v>
                </c:pt>
                <c:pt idx="2331">
                  <c:v>42044</c:v>
                </c:pt>
                <c:pt idx="2332">
                  <c:v>42045</c:v>
                </c:pt>
                <c:pt idx="2333">
                  <c:v>42046</c:v>
                </c:pt>
                <c:pt idx="2334">
                  <c:v>42047</c:v>
                </c:pt>
                <c:pt idx="2335">
                  <c:v>42048</c:v>
                </c:pt>
                <c:pt idx="2336">
                  <c:v>42051</c:v>
                </c:pt>
                <c:pt idx="2337">
                  <c:v>42052</c:v>
                </c:pt>
                <c:pt idx="2338">
                  <c:v>42060</c:v>
                </c:pt>
                <c:pt idx="2339">
                  <c:v>42061</c:v>
                </c:pt>
                <c:pt idx="2340">
                  <c:v>42062</c:v>
                </c:pt>
                <c:pt idx="2341">
                  <c:v>42065</c:v>
                </c:pt>
                <c:pt idx="2342">
                  <c:v>42066</c:v>
                </c:pt>
                <c:pt idx="2343">
                  <c:v>42067</c:v>
                </c:pt>
                <c:pt idx="2344">
                  <c:v>42068</c:v>
                </c:pt>
                <c:pt idx="2345">
                  <c:v>42069</c:v>
                </c:pt>
                <c:pt idx="2346">
                  <c:v>42072</c:v>
                </c:pt>
                <c:pt idx="2347">
                  <c:v>42073</c:v>
                </c:pt>
                <c:pt idx="2348">
                  <c:v>42074</c:v>
                </c:pt>
                <c:pt idx="2349">
                  <c:v>42075</c:v>
                </c:pt>
                <c:pt idx="2350">
                  <c:v>42076</c:v>
                </c:pt>
                <c:pt idx="2351">
                  <c:v>42079</c:v>
                </c:pt>
                <c:pt idx="2352">
                  <c:v>42080</c:v>
                </c:pt>
                <c:pt idx="2353">
                  <c:v>42081</c:v>
                </c:pt>
                <c:pt idx="2354">
                  <c:v>42082</c:v>
                </c:pt>
                <c:pt idx="2355">
                  <c:v>42083</c:v>
                </c:pt>
                <c:pt idx="2356">
                  <c:v>42086</c:v>
                </c:pt>
                <c:pt idx="2357">
                  <c:v>42087</c:v>
                </c:pt>
                <c:pt idx="2358">
                  <c:v>42088</c:v>
                </c:pt>
                <c:pt idx="2359">
                  <c:v>42089</c:v>
                </c:pt>
                <c:pt idx="2360">
                  <c:v>42090</c:v>
                </c:pt>
                <c:pt idx="2361">
                  <c:v>42093</c:v>
                </c:pt>
                <c:pt idx="2362">
                  <c:v>42094</c:v>
                </c:pt>
                <c:pt idx="2363">
                  <c:v>42095</c:v>
                </c:pt>
                <c:pt idx="2364">
                  <c:v>42096</c:v>
                </c:pt>
                <c:pt idx="2365">
                  <c:v>42097</c:v>
                </c:pt>
                <c:pt idx="2366">
                  <c:v>42101</c:v>
                </c:pt>
                <c:pt idx="2367">
                  <c:v>42102</c:v>
                </c:pt>
                <c:pt idx="2368">
                  <c:v>42103</c:v>
                </c:pt>
                <c:pt idx="2369">
                  <c:v>42104</c:v>
                </c:pt>
                <c:pt idx="2370">
                  <c:v>42107</c:v>
                </c:pt>
                <c:pt idx="2371">
                  <c:v>42108</c:v>
                </c:pt>
                <c:pt idx="2372">
                  <c:v>42109</c:v>
                </c:pt>
                <c:pt idx="2373">
                  <c:v>42110</c:v>
                </c:pt>
                <c:pt idx="2374">
                  <c:v>42111</c:v>
                </c:pt>
                <c:pt idx="2375">
                  <c:v>42114</c:v>
                </c:pt>
                <c:pt idx="2376">
                  <c:v>42115</c:v>
                </c:pt>
                <c:pt idx="2377">
                  <c:v>42116</c:v>
                </c:pt>
                <c:pt idx="2378">
                  <c:v>42117</c:v>
                </c:pt>
                <c:pt idx="2379">
                  <c:v>42118</c:v>
                </c:pt>
                <c:pt idx="2380">
                  <c:v>42121</c:v>
                </c:pt>
                <c:pt idx="2381">
                  <c:v>42122</c:v>
                </c:pt>
                <c:pt idx="2382">
                  <c:v>42123</c:v>
                </c:pt>
                <c:pt idx="2383">
                  <c:v>42124</c:v>
                </c:pt>
                <c:pt idx="2384">
                  <c:v>42128</c:v>
                </c:pt>
                <c:pt idx="2385">
                  <c:v>42129</c:v>
                </c:pt>
                <c:pt idx="2386">
                  <c:v>42130</c:v>
                </c:pt>
                <c:pt idx="2387">
                  <c:v>42131</c:v>
                </c:pt>
                <c:pt idx="2388">
                  <c:v>42132</c:v>
                </c:pt>
                <c:pt idx="2389">
                  <c:v>42135</c:v>
                </c:pt>
                <c:pt idx="2390">
                  <c:v>42136</c:v>
                </c:pt>
                <c:pt idx="2391">
                  <c:v>42137</c:v>
                </c:pt>
                <c:pt idx="2392">
                  <c:v>42138</c:v>
                </c:pt>
                <c:pt idx="2393">
                  <c:v>42139</c:v>
                </c:pt>
                <c:pt idx="2394">
                  <c:v>42142</c:v>
                </c:pt>
                <c:pt idx="2395">
                  <c:v>42143</c:v>
                </c:pt>
                <c:pt idx="2396">
                  <c:v>42144</c:v>
                </c:pt>
                <c:pt idx="2397">
                  <c:v>42145</c:v>
                </c:pt>
                <c:pt idx="2398">
                  <c:v>42146</c:v>
                </c:pt>
                <c:pt idx="2399">
                  <c:v>42149</c:v>
                </c:pt>
                <c:pt idx="2400">
                  <c:v>42150</c:v>
                </c:pt>
                <c:pt idx="2401">
                  <c:v>42151</c:v>
                </c:pt>
                <c:pt idx="2402">
                  <c:v>42152</c:v>
                </c:pt>
                <c:pt idx="2403">
                  <c:v>42153</c:v>
                </c:pt>
                <c:pt idx="2404">
                  <c:v>42156</c:v>
                </c:pt>
                <c:pt idx="2405">
                  <c:v>42157</c:v>
                </c:pt>
                <c:pt idx="2406">
                  <c:v>42158</c:v>
                </c:pt>
                <c:pt idx="2407">
                  <c:v>42159</c:v>
                </c:pt>
                <c:pt idx="2408">
                  <c:v>42160</c:v>
                </c:pt>
                <c:pt idx="2409">
                  <c:v>42163</c:v>
                </c:pt>
                <c:pt idx="2410">
                  <c:v>42164</c:v>
                </c:pt>
                <c:pt idx="2411">
                  <c:v>42165</c:v>
                </c:pt>
                <c:pt idx="2412">
                  <c:v>42166</c:v>
                </c:pt>
                <c:pt idx="2413">
                  <c:v>42167</c:v>
                </c:pt>
                <c:pt idx="2414">
                  <c:v>42170</c:v>
                </c:pt>
                <c:pt idx="2415">
                  <c:v>42171</c:v>
                </c:pt>
                <c:pt idx="2416">
                  <c:v>42172</c:v>
                </c:pt>
                <c:pt idx="2417">
                  <c:v>42173</c:v>
                </c:pt>
                <c:pt idx="2418">
                  <c:v>42174</c:v>
                </c:pt>
                <c:pt idx="2419">
                  <c:v>42178</c:v>
                </c:pt>
                <c:pt idx="2420">
                  <c:v>42179</c:v>
                </c:pt>
                <c:pt idx="2421">
                  <c:v>42180</c:v>
                </c:pt>
                <c:pt idx="2422">
                  <c:v>42181</c:v>
                </c:pt>
                <c:pt idx="2423">
                  <c:v>42184</c:v>
                </c:pt>
                <c:pt idx="2424">
                  <c:v>42185</c:v>
                </c:pt>
                <c:pt idx="2425">
                  <c:v>42186</c:v>
                </c:pt>
                <c:pt idx="2426">
                  <c:v>42187</c:v>
                </c:pt>
                <c:pt idx="2427">
                  <c:v>42188</c:v>
                </c:pt>
                <c:pt idx="2428">
                  <c:v>42191</c:v>
                </c:pt>
                <c:pt idx="2429">
                  <c:v>42192</c:v>
                </c:pt>
                <c:pt idx="2430">
                  <c:v>42193</c:v>
                </c:pt>
                <c:pt idx="2431">
                  <c:v>42194</c:v>
                </c:pt>
                <c:pt idx="2432">
                  <c:v>42195</c:v>
                </c:pt>
                <c:pt idx="2433">
                  <c:v>42198</c:v>
                </c:pt>
                <c:pt idx="2434">
                  <c:v>42199</c:v>
                </c:pt>
                <c:pt idx="2435">
                  <c:v>42200</c:v>
                </c:pt>
                <c:pt idx="2436">
                  <c:v>42201</c:v>
                </c:pt>
                <c:pt idx="2437">
                  <c:v>42202</c:v>
                </c:pt>
                <c:pt idx="2438">
                  <c:v>42205</c:v>
                </c:pt>
                <c:pt idx="2439">
                  <c:v>42206</c:v>
                </c:pt>
                <c:pt idx="2440">
                  <c:v>42207</c:v>
                </c:pt>
                <c:pt idx="2441">
                  <c:v>42208</c:v>
                </c:pt>
                <c:pt idx="2442">
                  <c:v>42209</c:v>
                </c:pt>
                <c:pt idx="2443">
                  <c:v>42212</c:v>
                </c:pt>
                <c:pt idx="2444">
                  <c:v>42213</c:v>
                </c:pt>
                <c:pt idx="2445">
                  <c:v>42214</c:v>
                </c:pt>
                <c:pt idx="2446">
                  <c:v>42215</c:v>
                </c:pt>
                <c:pt idx="2447">
                  <c:v>42216</c:v>
                </c:pt>
                <c:pt idx="2448">
                  <c:v>42219</c:v>
                </c:pt>
                <c:pt idx="2449">
                  <c:v>42220</c:v>
                </c:pt>
                <c:pt idx="2450">
                  <c:v>42221</c:v>
                </c:pt>
                <c:pt idx="2451">
                  <c:v>42222</c:v>
                </c:pt>
                <c:pt idx="2452">
                  <c:v>42223</c:v>
                </c:pt>
                <c:pt idx="2453">
                  <c:v>42226</c:v>
                </c:pt>
                <c:pt idx="2454">
                  <c:v>42227</c:v>
                </c:pt>
                <c:pt idx="2455">
                  <c:v>42228</c:v>
                </c:pt>
                <c:pt idx="2456">
                  <c:v>42229</c:v>
                </c:pt>
                <c:pt idx="2457">
                  <c:v>42230</c:v>
                </c:pt>
                <c:pt idx="2458">
                  <c:v>42233</c:v>
                </c:pt>
                <c:pt idx="2459">
                  <c:v>42234</c:v>
                </c:pt>
                <c:pt idx="2460">
                  <c:v>42235</c:v>
                </c:pt>
                <c:pt idx="2461">
                  <c:v>42236</c:v>
                </c:pt>
                <c:pt idx="2462">
                  <c:v>42237</c:v>
                </c:pt>
                <c:pt idx="2463">
                  <c:v>42240</c:v>
                </c:pt>
                <c:pt idx="2464">
                  <c:v>42241</c:v>
                </c:pt>
                <c:pt idx="2465">
                  <c:v>42242</c:v>
                </c:pt>
                <c:pt idx="2466">
                  <c:v>42243</c:v>
                </c:pt>
                <c:pt idx="2467">
                  <c:v>42244</c:v>
                </c:pt>
                <c:pt idx="2468">
                  <c:v>42247</c:v>
                </c:pt>
                <c:pt idx="2469">
                  <c:v>42248</c:v>
                </c:pt>
                <c:pt idx="2470">
                  <c:v>42249</c:v>
                </c:pt>
                <c:pt idx="2471">
                  <c:v>42254</c:v>
                </c:pt>
                <c:pt idx="2472">
                  <c:v>42255</c:v>
                </c:pt>
                <c:pt idx="2473">
                  <c:v>42256</c:v>
                </c:pt>
                <c:pt idx="2474">
                  <c:v>42257</c:v>
                </c:pt>
                <c:pt idx="2475">
                  <c:v>42258</c:v>
                </c:pt>
                <c:pt idx="2476">
                  <c:v>42261</c:v>
                </c:pt>
                <c:pt idx="2477">
                  <c:v>42262</c:v>
                </c:pt>
                <c:pt idx="2478">
                  <c:v>42263</c:v>
                </c:pt>
                <c:pt idx="2479">
                  <c:v>42264</c:v>
                </c:pt>
                <c:pt idx="2480">
                  <c:v>42265</c:v>
                </c:pt>
                <c:pt idx="2481">
                  <c:v>42268</c:v>
                </c:pt>
                <c:pt idx="2482">
                  <c:v>42269</c:v>
                </c:pt>
                <c:pt idx="2483">
                  <c:v>42270</c:v>
                </c:pt>
                <c:pt idx="2484">
                  <c:v>42271</c:v>
                </c:pt>
                <c:pt idx="2485">
                  <c:v>42272</c:v>
                </c:pt>
                <c:pt idx="2486">
                  <c:v>42275</c:v>
                </c:pt>
                <c:pt idx="2487">
                  <c:v>42276</c:v>
                </c:pt>
                <c:pt idx="2488">
                  <c:v>42277</c:v>
                </c:pt>
                <c:pt idx="2489">
                  <c:v>42285</c:v>
                </c:pt>
                <c:pt idx="2490">
                  <c:v>42286</c:v>
                </c:pt>
                <c:pt idx="2491">
                  <c:v>42289</c:v>
                </c:pt>
                <c:pt idx="2492">
                  <c:v>42290</c:v>
                </c:pt>
                <c:pt idx="2493">
                  <c:v>42291</c:v>
                </c:pt>
                <c:pt idx="2494">
                  <c:v>42292</c:v>
                </c:pt>
                <c:pt idx="2495">
                  <c:v>42293</c:v>
                </c:pt>
                <c:pt idx="2496">
                  <c:v>42296</c:v>
                </c:pt>
                <c:pt idx="2497">
                  <c:v>42297</c:v>
                </c:pt>
                <c:pt idx="2498">
                  <c:v>42298</c:v>
                </c:pt>
                <c:pt idx="2499">
                  <c:v>42299</c:v>
                </c:pt>
                <c:pt idx="2500">
                  <c:v>42300</c:v>
                </c:pt>
                <c:pt idx="2501">
                  <c:v>42303</c:v>
                </c:pt>
                <c:pt idx="2502">
                  <c:v>42304</c:v>
                </c:pt>
                <c:pt idx="2503">
                  <c:v>42305</c:v>
                </c:pt>
                <c:pt idx="2504">
                  <c:v>42306</c:v>
                </c:pt>
                <c:pt idx="2505">
                  <c:v>42307</c:v>
                </c:pt>
                <c:pt idx="2506">
                  <c:v>42310</c:v>
                </c:pt>
                <c:pt idx="2507">
                  <c:v>42311</c:v>
                </c:pt>
                <c:pt idx="2508">
                  <c:v>42312</c:v>
                </c:pt>
                <c:pt idx="2509">
                  <c:v>42313</c:v>
                </c:pt>
                <c:pt idx="2510">
                  <c:v>42314</c:v>
                </c:pt>
                <c:pt idx="2511">
                  <c:v>42317</c:v>
                </c:pt>
                <c:pt idx="2512">
                  <c:v>42318</c:v>
                </c:pt>
                <c:pt idx="2513">
                  <c:v>42319</c:v>
                </c:pt>
                <c:pt idx="2514">
                  <c:v>42320</c:v>
                </c:pt>
                <c:pt idx="2515">
                  <c:v>42321</c:v>
                </c:pt>
                <c:pt idx="2516">
                  <c:v>42324</c:v>
                </c:pt>
                <c:pt idx="2517">
                  <c:v>42325</c:v>
                </c:pt>
                <c:pt idx="2518">
                  <c:v>42326</c:v>
                </c:pt>
                <c:pt idx="2519">
                  <c:v>42327</c:v>
                </c:pt>
                <c:pt idx="2520">
                  <c:v>42328</c:v>
                </c:pt>
                <c:pt idx="2521">
                  <c:v>42331</c:v>
                </c:pt>
                <c:pt idx="2522">
                  <c:v>42332</c:v>
                </c:pt>
                <c:pt idx="2523">
                  <c:v>42333</c:v>
                </c:pt>
                <c:pt idx="2524">
                  <c:v>42334</c:v>
                </c:pt>
                <c:pt idx="2525">
                  <c:v>42335</c:v>
                </c:pt>
                <c:pt idx="2526">
                  <c:v>42338</c:v>
                </c:pt>
                <c:pt idx="2527">
                  <c:v>42339</c:v>
                </c:pt>
                <c:pt idx="2528">
                  <c:v>42340</c:v>
                </c:pt>
                <c:pt idx="2529">
                  <c:v>42341</c:v>
                </c:pt>
                <c:pt idx="2530">
                  <c:v>42342</c:v>
                </c:pt>
                <c:pt idx="2531">
                  <c:v>42345</c:v>
                </c:pt>
                <c:pt idx="2532">
                  <c:v>42346</c:v>
                </c:pt>
                <c:pt idx="2533">
                  <c:v>42347</c:v>
                </c:pt>
                <c:pt idx="2534">
                  <c:v>42348</c:v>
                </c:pt>
                <c:pt idx="2535">
                  <c:v>42349</c:v>
                </c:pt>
                <c:pt idx="2536">
                  <c:v>42352</c:v>
                </c:pt>
                <c:pt idx="2537">
                  <c:v>42353</c:v>
                </c:pt>
                <c:pt idx="2538">
                  <c:v>42354</c:v>
                </c:pt>
                <c:pt idx="2539">
                  <c:v>42355</c:v>
                </c:pt>
                <c:pt idx="2540">
                  <c:v>42356</c:v>
                </c:pt>
                <c:pt idx="2541">
                  <c:v>42359</c:v>
                </c:pt>
                <c:pt idx="2542">
                  <c:v>42360</c:v>
                </c:pt>
                <c:pt idx="2543">
                  <c:v>42361</c:v>
                </c:pt>
                <c:pt idx="2544">
                  <c:v>42362</c:v>
                </c:pt>
                <c:pt idx="2545">
                  <c:v>42363</c:v>
                </c:pt>
                <c:pt idx="2546">
                  <c:v>42366</c:v>
                </c:pt>
                <c:pt idx="2547">
                  <c:v>42367</c:v>
                </c:pt>
                <c:pt idx="2548">
                  <c:v>42368</c:v>
                </c:pt>
                <c:pt idx="2549">
                  <c:v>42369</c:v>
                </c:pt>
                <c:pt idx="2550">
                  <c:v>42373</c:v>
                </c:pt>
                <c:pt idx="2551">
                  <c:v>42374</c:v>
                </c:pt>
                <c:pt idx="2552">
                  <c:v>42375</c:v>
                </c:pt>
                <c:pt idx="2553">
                  <c:v>42376</c:v>
                </c:pt>
                <c:pt idx="2554">
                  <c:v>42377</c:v>
                </c:pt>
                <c:pt idx="2555">
                  <c:v>42380</c:v>
                </c:pt>
                <c:pt idx="2556">
                  <c:v>42381</c:v>
                </c:pt>
                <c:pt idx="2557">
                  <c:v>42382</c:v>
                </c:pt>
                <c:pt idx="2558">
                  <c:v>42383</c:v>
                </c:pt>
                <c:pt idx="2559">
                  <c:v>42384</c:v>
                </c:pt>
                <c:pt idx="2560">
                  <c:v>42387</c:v>
                </c:pt>
                <c:pt idx="2561">
                  <c:v>42388</c:v>
                </c:pt>
                <c:pt idx="2562">
                  <c:v>42389</c:v>
                </c:pt>
                <c:pt idx="2563">
                  <c:v>42390</c:v>
                </c:pt>
                <c:pt idx="2564">
                  <c:v>42391</c:v>
                </c:pt>
                <c:pt idx="2565">
                  <c:v>42394</c:v>
                </c:pt>
                <c:pt idx="2566">
                  <c:v>42395</c:v>
                </c:pt>
                <c:pt idx="2567">
                  <c:v>42396</c:v>
                </c:pt>
                <c:pt idx="2568">
                  <c:v>42397</c:v>
                </c:pt>
                <c:pt idx="2569">
                  <c:v>42398</c:v>
                </c:pt>
                <c:pt idx="2570">
                  <c:v>42401</c:v>
                </c:pt>
                <c:pt idx="2571">
                  <c:v>42402</c:v>
                </c:pt>
                <c:pt idx="2572">
                  <c:v>42403</c:v>
                </c:pt>
                <c:pt idx="2573">
                  <c:v>42404</c:v>
                </c:pt>
                <c:pt idx="2574">
                  <c:v>42405</c:v>
                </c:pt>
                <c:pt idx="2575">
                  <c:v>42415</c:v>
                </c:pt>
                <c:pt idx="2576">
                  <c:v>42416</c:v>
                </c:pt>
                <c:pt idx="2577">
                  <c:v>42417</c:v>
                </c:pt>
                <c:pt idx="2578">
                  <c:v>42418</c:v>
                </c:pt>
                <c:pt idx="2579">
                  <c:v>42419</c:v>
                </c:pt>
                <c:pt idx="2580">
                  <c:v>42422</c:v>
                </c:pt>
                <c:pt idx="2581">
                  <c:v>42423</c:v>
                </c:pt>
                <c:pt idx="2582">
                  <c:v>42424</c:v>
                </c:pt>
                <c:pt idx="2583">
                  <c:v>42425</c:v>
                </c:pt>
                <c:pt idx="2584">
                  <c:v>42426</c:v>
                </c:pt>
                <c:pt idx="2585">
                  <c:v>42429</c:v>
                </c:pt>
                <c:pt idx="2586">
                  <c:v>42430</c:v>
                </c:pt>
                <c:pt idx="2587">
                  <c:v>42431</c:v>
                </c:pt>
                <c:pt idx="2588">
                  <c:v>42432</c:v>
                </c:pt>
                <c:pt idx="2589">
                  <c:v>42433</c:v>
                </c:pt>
                <c:pt idx="2590">
                  <c:v>42436</c:v>
                </c:pt>
                <c:pt idx="2591">
                  <c:v>42437</c:v>
                </c:pt>
                <c:pt idx="2592">
                  <c:v>42438</c:v>
                </c:pt>
                <c:pt idx="2593">
                  <c:v>42439</c:v>
                </c:pt>
                <c:pt idx="2594">
                  <c:v>42440</c:v>
                </c:pt>
                <c:pt idx="2595">
                  <c:v>42443</c:v>
                </c:pt>
                <c:pt idx="2596">
                  <c:v>42444</c:v>
                </c:pt>
                <c:pt idx="2597">
                  <c:v>42445</c:v>
                </c:pt>
                <c:pt idx="2598">
                  <c:v>42446</c:v>
                </c:pt>
                <c:pt idx="2599">
                  <c:v>42447</c:v>
                </c:pt>
                <c:pt idx="2600">
                  <c:v>42450</c:v>
                </c:pt>
                <c:pt idx="2601">
                  <c:v>42451</c:v>
                </c:pt>
                <c:pt idx="2602">
                  <c:v>42452</c:v>
                </c:pt>
                <c:pt idx="2603">
                  <c:v>42453</c:v>
                </c:pt>
                <c:pt idx="2604">
                  <c:v>42454</c:v>
                </c:pt>
                <c:pt idx="2605">
                  <c:v>42457</c:v>
                </c:pt>
                <c:pt idx="2606">
                  <c:v>42458</c:v>
                </c:pt>
                <c:pt idx="2607">
                  <c:v>42459</c:v>
                </c:pt>
                <c:pt idx="2608">
                  <c:v>42460</c:v>
                </c:pt>
                <c:pt idx="2609">
                  <c:v>42461</c:v>
                </c:pt>
                <c:pt idx="2610">
                  <c:v>42465</c:v>
                </c:pt>
                <c:pt idx="2611">
                  <c:v>42466</c:v>
                </c:pt>
                <c:pt idx="2612">
                  <c:v>42467</c:v>
                </c:pt>
                <c:pt idx="2613">
                  <c:v>42468</c:v>
                </c:pt>
                <c:pt idx="2614">
                  <c:v>42471</c:v>
                </c:pt>
                <c:pt idx="2615">
                  <c:v>42472</c:v>
                </c:pt>
                <c:pt idx="2616">
                  <c:v>42473</c:v>
                </c:pt>
                <c:pt idx="2617">
                  <c:v>42474</c:v>
                </c:pt>
                <c:pt idx="2618">
                  <c:v>42475</c:v>
                </c:pt>
                <c:pt idx="2619">
                  <c:v>42478</c:v>
                </c:pt>
                <c:pt idx="2620">
                  <c:v>42479</c:v>
                </c:pt>
                <c:pt idx="2621">
                  <c:v>42480</c:v>
                </c:pt>
                <c:pt idx="2622">
                  <c:v>42481</c:v>
                </c:pt>
                <c:pt idx="2623">
                  <c:v>42482</c:v>
                </c:pt>
                <c:pt idx="2624">
                  <c:v>42485</c:v>
                </c:pt>
                <c:pt idx="2625">
                  <c:v>42486</c:v>
                </c:pt>
                <c:pt idx="2626">
                  <c:v>42487</c:v>
                </c:pt>
                <c:pt idx="2627">
                  <c:v>42488</c:v>
                </c:pt>
                <c:pt idx="2628">
                  <c:v>42489</c:v>
                </c:pt>
                <c:pt idx="2629">
                  <c:v>42493</c:v>
                </c:pt>
                <c:pt idx="2630">
                  <c:v>42494</c:v>
                </c:pt>
                <c:pt idx="2631">
                  <c:v>42495</c:v>
                </c:pt>
                <c:pt idx="2632">
                  <c:v>42496</c:v>
                </c:pt>
                <c:pt idx="2633">
                  <c:v>42499</c:v>
                </c:pt>
                <c:pt idx="2634">
                  <c:v>42500</c:v>
                </c:pt>
                <c:pt idx="2635">
                  <c:v>42501</c:v>
                </c:pt>
                <c:pt idx="2636">
                  <c:v>42502</c:v>
                </c:pt>
                <c:pt idx="2637">
                  <c:v>42503</c:v>
                </c:pt>
                <c:pt idx="2638">
                  <c:v>42506</c:v>
                </c:pt>
                <c:pt idx="2639">
                  <c:v>42507</c:v>
                </c:pt>
                <c:pt idx="2640">
                  <c:v>42508</c:v>
                </c:pt>
                <c:pt idx="2641">
                  <c:v>42509</c:v>
                </c:pt>
                <c:pt idx="2642">
                  <c:v>42510</c:v>
                </c:pt>
                <c:pt idx="2643">
                  <c:v>42513</c:v>
                </c:pt>
                <c:pt idx="2644">
                  <c:v>42514</c:v>
                </c:pt>
                <c:pt idx="2645">
                  <c:v>42515</c:v>
                </c:pt>
                <c:pt idx="2646">
                  <c:v>42516</c:v>
                </c:pt>
                <c:pt idx="2647">
                  <c:v>42517</c:v>
                </c:pt>
                <c:pt idx="2648">
                  <c:v>42520</c:v>
                </c:pt>
                <c:pt idx="2649">
                  <c:v>42521</c:v>
                </c:pt>
                <c:pt idx="2650">
                  <c:v>42522</c:v>
                </c:pt>
                <c:pt idx="2651">
                  <c:v>42523</c:v>
                </c:pt>
                <c:pt idx="2652">
                  <c:v>42524</c:v>
                </c:pt>
                <c:pt idx="2653">
                  <c:v>42527</c:v>
                </c:pt>
                <c:pt idx="2654">
                  <c:v>42528</c:v>
                </c:pt>
                <c:pt idx="2655">
                  <c:v>42529</c:v>
                </c:pt>
                <c:pt idx="2656">
                  <c:v>42534</c:v>
                </c:pt>
                <c:pt idx="2657">
                  <c:v>42535</c:v>
                </c:pt>
                <c:pt idx="2658">
                  <c:v>42536</c:v>
                </c:pt>
                <c:pt idx="2659">
                  <c:v>42537</c:v>
                </c:pt>
                <c:pt idx="2660">
                  <c:v>42538</c:v>
                </c:pt>
                <c:pt idx="2661">
                  <c:v>42541</c:v>
                </c:pt>
                <c:pt idx="2662">
                  <c:v>42542</c:v>
                </c:pt>
                <c:pt idx="2663">
                  <c:v>42543</c:v>
                </c:pt>
                <c:pt idx="2664">
                  <c:v>42544</c:v>
                </c:pt>
                <c:pt idx="2665">
                  <c:v>42545</c:v>
                </c:pt>
                <c:pt idx="2666">
                  <c:v>42548</c:v>
                </c:pt>
                <c:pt idx="2667">
                  <c:v>42549</c:v>
                </c:pt>
                <c:pt idx="2668">
                  <c:v>42550</c:v>
                </c:pt>
                <c:pt idx="2669">
                  <c:v>42551</c:v>
                </c:pt>
                <c:pt idx="2670">
                  <c:v>42552</c:v>
                </c:pt>
                <c:pt idx="2671">
                  <c:v>42555</c:v>
                </c:pt>
                <c:pt idx="2672">
                  <c:v>42556</c:v>
                </c:pt>
                <c:pt idx="2673">
                  <c:v>42557</c:v>
                </c:pt>
                <c:pt idx="2674">
                  <c:v>42558</c:v>
                </c:pt>
                <c:pt idx="2675">
                  <c:v>42559</c:v>
                </c:pt>
                <c:pt idx="2676">
                  <c:v>42562</c:v>
                </c:pt>
                <c:pt idx="2677">
                  <c:v>42563</c:v>
                </c:pt>
                <c:pt idx="2678">
                  <c:v>42564</c:v>
                </c:pt>
                <c:pt idx="2679">
                  <c:v>42565</c:v>
                </c:pt>
                <c:pt idx="2680">
                  <c:v>42566</c:v>
                </c:pt>
                <c:pt idx="2681">
                  <c:v>42569</c:v>
                </c:pt>
                <c:pt idx="2682">
                  <c:v>42570</c:v>
                </c:pt>
                <c:pt idx="2683">
                  <c:v>42571</c:v>
                </c:pt>
                <c:pt idx="2684">
                  <c:v>42572</c:v>
                </c:pt>
                <c:pt idx="2685">
                  <c:v>42573</c:v>
                </c:pt>
                <c:pt idx="2686">
                  <c:v>42576</c:v>
                </c:pt>
                <c:pt idx="2687">
                  <c:v>42577</c:v>
                </c:pt>
                <c:pt idx="2688">
                  <c:v>42578</c:v>
                </c:pt>
                <c:pt idx="2689">
                  <c:v>42579</c:v>
                </c:pt>
                <c:pt idx="2690">
                  <c:v>42580</c:v>
                </c:pt>
                <c:pt idx="2691">
                  <c:v>42583</c:v>
                </c:pt>
                <c:pt idx="2692">
                  <c:v>42584</c:v>
                </c:pt>
                <c:pt idx="2693">
                  <c:v>42585</c:v>
                </c:pt>
                <c:pt idx="2694">
                  <c:v>42586</c:v>
                </c:pt>
                <c:pt idx="2695">
                  <c:v>42587</c:v>
                </c:pt>
                <c:pt idx="2696">
                  <c:v>42590</c:v>
                </c:pt>
                <c:pt idx="2697">
                  <c:v>42591</c:v>
                </c:pt>
                <c:pt idx="2698">
                  <c:v>42592</c:v>
                </c:pt>
                <c:pt idx="2699">
                  <c:v>42593</c:v>
                </c:pt>
                <c:pt idx="2700">
                  <c:v>42594</c:v>
                </c:pt>
                <c:pt idx="2701">
                  <c:v>42597</c:v>
                </c:pt>
                <c:pt idx="2702">
                  <c:v>42598</c:v>
                </c:pt>
                <c:pt idx="2703">
                  <c:v>42599</c:v>
                </c:pt>
                <c:pt idx="2704">
                  <c:v>42600</c:v>
                </c:pt>
                <c:pt idx="2705">
                  <c:v>42601</c:v>
                </c:pt>
                <c:pt idx="2706">
                  <c:v>42604</c:v>
                </c:pt>
                <c:pt idx="2707">
                  <c:v>42605</c:v>
                </c:pt>
                <c:pt idx="2708">
                  <c:v>42606</c:v>
                </c:pt>
                <c:pt idx="2709">
                  <c:v>42607</c:v>
                </c:pt>
                <c:pt idx="2710">
                  <c:v>42608</c:v>
                </c:pt>
                <c:pt idx="2711">
                  <c:v>42611</c:v>
                </c:pt>
                <c:pt idx="2712">
                  <c:v>42612</c:v>
                </c:pt>
                <c:pt idx="2713">
                  <c:v>42613</c:v>
                </c:pt>
                <c:pt idx="2714">
                  <c:v>42614</c:v>
                </c:pt>
                <c:pt idx="2715">
                  <c:v>42615</c:v>
                </c:pt>
                <c:pt idx="2716">
                  <c:v>42618</c:v>
                </c:pt>
                <c:pt idx="2717">
                  <c:v>42619</c:v>
                </c:pt>
                <c:pt idx="2718">
                  <c:v>42620</c:v>
                </c:pt>
                <c:pt idx="2719">
                  <c:v>42621</c:v>
                </c:pt>
                <c:pt idx="2720">
                  <c:v>42622</c:v>
                </c:pt>
                <c:pt idx="2721">
                  <c:v>42625</c:v>
                </c:pt>
                <c:pt idx="2722">
                  <c:v>42626</c:v>
                </c:pt>
                <c:pt idx="2723">
                  <c:v>42627</c:v>
                </c:pt>
                <c:pt idx="2724">
                  <c:v>42632</c:v>
                </c:pt>
                <c:pt idx="2725">
                  <c:v>42633</c:v>
                </c:pt>
                <c:pt idx="2726">
                  <c:v>42634</c:v>
                </c:pt>
                <c:pt idx="2727">
                  <c:v>42635</c:v>
                </c:pt>
                <c:pt idx="2728">
                  <c:v>42636</c:v>
                </c:pt>
                <c:pt idx="2729">
                  <c:v>42639</c:v>
                </c:pt>
                <c:pt idx="2730">
                  <c:v>42640</c:v>
                </c:pt>
                <c:pt idx="2731">
                  <c:v>42641</c:v>
                </c:pt>
                <c:pt idx="2732">
                  <c:v>42642</c:v>
                </c:pt>
                <c:pt idx="2733">
                  <c:v>42643</c:v>
                </c:pt>
                <c:pt idx="2734">
                  <c:v>42653</c:v>
                </c:pt>
                <c:pt idx="2735">
                  <c:v>42654</c:v>
                </c:pt>
                <c:pt idx="2736">
                  <c:v>42655</c:v>
                </c:pt>
                <c:pt idx="2737">
                  <c:v>42656</c:v>
                </c:pt>
                <c:pt idx="2738">
                  <c:v>42657</c:v>
                </c:pt>
                <c:pt idx="2739">
                  <c:v>42660</c:v>
                </c:pt>
                <c:pt idx="2740">
                  <c:v>42661</c:v>
                </c:pt>
                <c:pt idx="2741">
                  <c:v>42662</c:v>
                </c:pt>
                <c:pt idx="2742">
                  <c:v>42663</c:v>
                </c:pt>
                <c:pt idx="2743">
                  <c:v>42664</c:v>
                </c:pt>
                <c:pt idx="2744">
                  <c:v>42667</c:v>
                </c:pt>
                <c:pt idx="2745">
                  <c:v>42668</c:v>
                </c:pt>
                <c:pt idx="2746">
                  <c:v>42669</c:v>
                </c:pt>
                <c:pt idx="2747">
                  <c:v>42670</c:v>
                </c:pt>
                <c:pt idx="2748">
                  <c:v>42671</c:v>
                </c:pt>
                <c:pt idx="2749">
                  <c:v>42674</c:v>
                </c:pt>
                <c:pt idx="2750">
                  <c:v>42675</c:v>
                </c:pt>
                <c:pt idx="2751">
                  <c:v>42676</c:v>
                </c:pt>
                <c:pt idx="2752">
                  <c:v>42677</c:v>
                </c:pt>
                <c:pt idx="2753">
                  <c:v>42678</c:v>
                </c:pt>
                <c:pt idx="2754">
                  <c:v>42681</c:v>
                </c:pt>
                <c:pt idx="2755">
                  <c:v>42682</c:v>
                </c:pt>
                <c:pt idx="2756">
                  <c:v>42683</c:v>
                </c:pt>
                <c:pt idx="2757">
                  <c:v>42684</c:v>
                </c:pt>
                <c:pt idx="2758">
                  <c:v>42685</c:v>
                </c:pt>
                <c:pt idx="2759">
                  <c:v>42688</c:v>
                </c:pt>
                <c:pt idx="2760">
                  <c:v>42689</c:v>
                </c:pt>
                <c:pt idx="2761">
                  <c:v>42690</c:v>
                </c:pt>
                <c:pt idx="2762">
                  <c:v>42691</c:v>
                </c:pt>
                <c:pt idx="2763">
                  <c:v>42692</c:v>
                </c:pt>
                <c:pt idx="2764">
                  <c:v>42695</c:v>
                </c:pt>
                <c:pt idx="2765">
                  <c:v>42696</c:v>
                </c:pt>
                <c:pt idx="2766">
                  <c:v>42697</c:v>
                </c:pt>
                <c:pt idx="2767">
                  <c:v>42698</c:v>
                </c:pt>
                <c:pt idx="2768">
                  <c:v>42699</c:v>
                </c:pt>
                <c:pt idx="2769">
                  <c:v>42702</c:v>
                </c:pt>
                <c:pt idx="2770">
                  <c:v>42703</c:v>
                </c:pt>
                <c:pt idx="2771">
                  <c:v>42704</c:v>
                </c:pt>
                <c:pt idx="2772">
                  <c:v>42705</c:v>
                </c:pt>
                <c:pt idx="2773">
                  <c:v>42706</c:v>
                </c:pt>
                <c:pt idx="2774">
                  <c:v>42709</c:v>
                </c:pt>
                <c:pt idx="2775">
                  <c:v>42710</c:v>
                </c:pt>
                <c:pt idx="2776">
                  <c:v>42711</c:v>
                </c:pt>
                <c:pt idx="2777">
                  <c:v>42712</c:v>
                </c:pt>
                <c:pt idx="2778">
                  <c:v>42713</c:v>
                </c:pt>
                <c:pt idx="2779">
                  <c:v>42716</c:v>
                </c:pt>
                <c:pt idx="2780">
                  <c:v>42717</c:v>
                </c:pt>
                <c:pt idx="2781">
                  <c:v>42718</c:v>
                </c:pt>
                <c:pt idx="2782">
                  <c:v>42719</c:v>
                </c:pt>
                <c:pt idx="2783">
                  <c:v>42720</c:v>
                </c:pt>
                <c:pt idx="2784">
                  <c:v>42723</c:v>
                </c:pt>
                <c:pt idx="2785">
                  <c:v>42724</c:v>
                </c:pt>
                <c:pt idx="2786">
                  <c:v>42725</c:v>
                </c:pt>
                <c:pt idx="2787">
                  <c:v>42726</c:v>
                </c:pt>
                <c:pt idx="2788">
                  <c:v>42727</c:v>
                </c:pt>
                <c:pt idx="2789">
                  <c:v>42730</c:v>
                </c:pt>
                <c:pt idx="2790">
                  <c:v>42731</c:v>
                </c:pt>
                <c:pt idx="2791">
                  <c:v>42732</c:v>
                </c:pt>
                <c:pt idx="2792">
                  <c:v>42733</c:v>
                </c:pt>
                <c:pt idx="2793">
                  <c:v>42734</c:v>
                </c:pt>
                <c:pt idx="2794">
                  <c:v>42738</c:v>
                </c:pt>
                <c:pt idx="2795">
                  <c:v>42739</c:v>
                </c:pt>
                <c:pt idx="2796">
                  <c:v>42740</c:v>
                </c:pt>
                <c:pt idx="2797">
                  <c:v>42741</c:v>
                </c:pt>
                <c:pt idx="2798">
                  <c:v>42744</c:v>
                </c:pt>
                <c:pt idx="2799">
                  <c:v>42745</c:v>
                </c:pt>
                <c:pt idx="2800">
                  <c:v>42746</c:v>
                </c:pt>
                <c:pt idx="2801">
                  <c:v>42747</c:v>
                </c:pt>
                <c:pt idx="2802">
                  <c:v>42748</c:v>
                </c:pt>
                <c:pt idx="2803">
                  <c:v>42751</c:v>
                </c:pt>
                <c:pt idx="2804">
                  <c:v>42752</c:v>
                </c:pt>
                <c:pt idx="2805">
                  <c:v>42753</c:v>
                </c:pt>
                <c:pt idx="2806">
                  <c:v>42754</c:v>
                </c:pt>
                <c:pt idx="2807">
                  <c:v>42755</c:v>
                </c:pt>
                <c:pt idx="2808">
                  <c:v>42758</c:v>
                </c:pt>
                <c:pt idx="2809">
                  <c:v>42759</c:v>
                </c:pt>
                <c:pt idx="2810">
                  <c:v>42760</c:v>
                </c:pt>
                <c:pt idx="2811">
                  <c:v>42761</c:v>
                </c:pt>
                <c:pt idx="2812">
                  <c:v>42769</c:v>
                </c:pt>
                <c:pt idx="2813">
                  <c:v>42772</c:v>
                </c:pt>
                <c:pt idx="2814">
                  <c:v>42773</c:v>
                </c:pt>
                <c:pt idx="2815">
                  <c:v>42774</c:v>
                </c:pt>
                <c:pt idx="2816">
                  <c:v>42775</c:v>
                </c:pt>
                <c:pt idx="2817">
                  <c:v>42776</c:v>
                </c:pt>
                <c:pt idx="2818">
                  <c:v>42779</c:v>
                </c:pt>
                <c:pt idx="2819">
                  <c:v>42780</c:v>
                </c:pt>
                <c:pt idx="2820">
                  <c:v>42781</c:v>
                </c:pt>
                <c:pt idx="2821">
                  <c:v>42782</c:v>
                </c:pt>
                <c:pt idx="2822">
                  <c:v>42783</c:v>
                </c:pt>
                <c:pt idx="2823">
                  <c:v>42786</c:v>
                </c:pt>
                <c:pt idx="2824">
                  <c:v>42787</c:v>
                </c:pt>
                <c:pt idx="2825">
                  <c:v>42788</c:v>
                </c:pt>
                <c:pt idx="2826">
                  <c:v>42789</c:v>
                </c:pt>
                <c:pt idx="2827">
                  <c:v>42790</c:v>
                </c:pt>
                <c:pt idx="2828">
                  <c:v>42793</c:v>
                </c:pt>
                <c:pt idx="2829">
                  <c:v>42794</c:v>
                </c:pt>
                <c:pt idx="2830">
                  <c:v>42795</c:v>
                </c:pt>
                <c:pt idx="2831">
                  <c:v>42796</c:v>
                </c:pt>
                <c:pt idx="2832">
                  <c:v>42797</c:v>
                </c:pt>
                <c:pt idx="2833">
                  <c:v>42800</c:v>
                </c:pt>
                <c:pt idx="2834">
                  <c:v>42801</c:v>
                </c:pt>
                <c:pt idx="2835">
                  <c:v>42802</c:v>
                </c:pt>
                <c:pt idx="2836">
                  <c:v>42803</c:v>
                </c:pt>
                <c:pt idx="2837">
                  <c:v>42804</c:v>
                </c:pt>
                <c:pt idx="2838">
                  <c:v>42807</c:v>
                </c:pt>
                <c:pt idx="2839">
                  <c:v>42808</c:v>
                </c:pt>
                <c:pt idx="2840">
                  <c:v>42809</c:v>
                </c:pt>
                <c:pt idx="2841">
                  <c:v>42810</c:v>
                </c:pt>
                <c:pt idx="2842">
                  <c:v>42811</c:v>
                </c:pt>
                <c:pt idx="2843">
                  <c:v>42814</c:v>
                </c:pt>
                <c:pt idx="2844">
                  <c:v>42815</c:v>
                </c:pt>
                <c:pt idx="2845">
                  <c:v>42816</c:v>
                </c:pt>
                <c:pt idx="2846">
                  <c:v>42817</c:v>
                </c:pt>
                <c:pt idx="2847">
                  <c:v>42818</c:v>
                </c:pt>
                <c:pt idx="2848">
                  <c:v>42821</c:v>
                </c:pt>
                <c:pt idx="2849">
                  <c:v>42822</c:v>
                </c:pt>
                <c:pt idx="2850">
                  <c:v>42823</c:v>
                </c:pt>
                <c:pt idx="2851">
                  <c:v>42824</c:v>
                </c:pt>
                <c:pt idx="2852">
                  <c:v>42825</c:v>
                </c:pt>
                <c:pt idx="2853">
                  <c:v>42830</c:v>
                </c:pt>
                <c:pt idx="2854">
                  <c:v>42831</c:v>
                </c:pt>
                <c:pt idx="2855">
                  <c:v>42832</c:v>
                </c:pt>
                <c:pt idx="2856">
                  <c:v>42835</c:v>
                </c:pt>
                <c:pt idx="2857">
                  <c:v>42836</c:v>
                </c:pt>
                <c:pt idx="2858">
                  <c:v>42837</c:v>
                </c:pt>
                <c:pt idx="2859">
                  <c:v>42838</c:v>
                </c:pt>
                <c:pt idx="2860">
                  <c:v>42839</c:v>
                </c:pt>
                <c:pt idx="2861">
                  <c:v>42842</c:v>
                </c:pt>
                <c:pt idx="2862">
                  <c:v>42843</c:v>
                </c:pt>
                <c:pt idx="2863">
                  <c:v>42844</c:v>
                </c:pt>
                <c:pt idx="2864">
                  <c:v>42845</c:v>
                </c:pt>
                <c:pt idx="2865">
                  <c:v>42846</c:v>
                </c:pt>
                <c:pt idx="2866">
                  <c:v>42849</c:v>
                </c:pt>
                <c:pt idx="2867">
                  <c:v>42850</c:v>
                </c:pt>
                <c:pt idx="2868">
                  <c:v>42851</c:v>
                </c:pt>
                <c:pt idx="2869">
                  <c:v>42852</c:v>
                </c:pt>
                <c:pt idx="2870">
                  <c:v>42853</c:v>
                </c:pt>
                <c:pt idx="2871">
                  <c:v>42857</c:v>
                </c:pt>
                <c:pt idx="2872">
                  <c:v>42858</c:v>
                </c:pt>
                <c:pt idx="2873">
                  <c:v>42859</c:v>
                </c:pt>
                <c:pt idx="2874">
                  <c:v>42860</c:v>
                </c:pt>
                <c:pt idx="2875">
                  <c:v>42863</c:v>
                </c:pt>
                <c:pt idx="2876">
                  <c:v>42864</c:v>
                </c:pt>
                <c:pt idx="2877">
                  <c:v>42865</c:v>
                </c:pt>
                <c:pt idx="2878">
                  <c:v>42866</c:v>
                </c:pt>
                <c:pt idx="2879">
                  <c:v>42867</c:v>
                </c:pt>
                <c:pt idx="2880">
                  <c:v>42870</c:v>
                </c:pt>
                <c:pt idx="2881">
                  <c:v>42871</c:v>
                </c:pt>
                <c:pt idx="2882">
                  <c:v>42872</c:v>
                </c:pt>
                <c:pt idx="2883">
                  <c:v>42873</c:v>
                </c:pt>
                <c:pt idx="2884">
                  <c:v>42874</c:v>
                </c:pt>
                <c:pt idx="2885">
                  <c:v>42877</c:v>
                </c:pt>
                <c:pt idx="2886">
                  <c:v>42878</c:v>
                </c:pt>
                <c:pt idx="2887">
                  <c:v>42879</c:v>
                </c:pt>
                <c:pt idx="2888">
                  <c:v>42880</c:v>
                </c:pt>
                <c:pt idx="2889">
                  <c:v>42881</c:v>
                </c:pt>
                <c:pt idx="2890">
                  <c:v>42886</c:v>
                </c:pt>
                <c:pt idx="2891">
                  <c:v>42887</c:v>
                </c:pt>
                <c:pt idx="2892">
                  <c:v>42888</c:v>
                </c:pt>
                <c:pt idx="2893">
                  <c:v>42891</c:v>
                </c:pt>
                <c:pt idx="2894">
                  <c:v>42892</c:v>
                </c:pt>
                <c:pt idx="2895">
                  <c:v>42893</c:v>
                </c:pt>
                <c:pt idx="2896">
                  <c:v>42894</c:v>
                </c:pt>
                <c:pt idx="2897">
                  <c:v>42895</c:v>
                </c:pt>
                <c:pt idx="2898">
                  <c:v>42898</c:v>
                </c:pt>
                <c:pt idx="2899">
                  <c:v>42899</c:v>
                </c:pt>
                <c:pt idx="2900">
                  <c:v>42900</c:v>
                </c:pt>
                <c:pt idx="2901">
                  <c:v>42901</c:v>
                </c:pt>
                <c:pt idx="2902">
                  <c:v>42902</c:v>
                </c:pt>
                <c:pt idx="2903">
                  <c:v>42905</c:v>
                </c:pt>
                <c:pt idx="2904">
                  <c:v>42906</c:v>
                </c:pt>
                <c:pt idx="2905">
                  <c:v>42907</c:v>
                </c:pt>
                <c:pt idx="2906">
                  <c:v>42908</c:v>
                </c:pt>
                <c:pt idx="2907">
                  <c:v>42909</c:v>
                </c:pt>
                <c:pt idx="2908">
                  <c:v>42912</c:v>
                </c:pt>
                <c:pt idx="2909">
                  <c:v>42913</c:v>
                </c:pt>
                <c:pt idx="2910">
                  <c:v>42914</c:v>
                </c:pt>
                <c:pt idx="2911">
                  <c:v>42915</c:v>
                </c:pt>
                <c:pt idx="2912">
                  <c:v>42916</c:v>
                </c:pt>
                <c:pt idx="2913">
                  <c:v>42919</c:v>
                </c:pt>
                <c:pt idx="2914">
                  <c:v>42920</c:v>
                </c:pt>
                <c:pt idx="2915">
                  <c:v>42921</c:v>
                </c:pt>
                <c:pt idx="2916">
                  <c:v>42922</c:v>
                </c:pt>
                <c:pt idx="2917">
                  <c:v>42923</c:v>
                </c:pt>
                <c:pt idx="2918">
                  <c:v>42926</c:v>
                </c:pt>
                <c:pt idx="2919">
                  <c:v>42927</c:v>
                </c:pt>
                <c:pt idx="2920">
                  <c:v>42928</c:v>
                </c:pt>
                <c:pt idx="2921">
                  <c:v>42929</c:v>
                </c:pt>
                <c:pt idx="2922">
                  <c:v>42930</c:v>
                </c:pt>
                <c:pt idx="2923">
                  <c:v>42933</c:v>
                </c:pt>
                <c:pt idx="2924">
                  <c:v>42934</c:v>
                </c:pt>
                <c:pt idx="2925">
                  <c:v>42935</c:v>
                </c:pt>
                <c:pt idx="2926">
                  <c:v>42936</c:v>
                </c:pt>
                <c:pt idx="2927">
                  <c:v>42937</c:v>
                </c:pt>
                <c:pt idx="2928">
                  <c:v>42940</c:v>
                </c:pt>
                <c:pt idx="2929">
                  <c:v>42941</c:v>
                </c:pt>
                <c:pt idx="2930">
                  <c:v>42942</c:v>
                </c:pt>
                <c:pt idx="2931">
                  <c:v>42943</c:v>
                </c:pt>
                <c:pt idx="2932">
                  <c:v>42944</c:v>
                </c:pt>
                <c:pt idx="2933">
                  <c:v>42947</c:v>
                </c:pt>
                <c:pt idx="2934">
                  <c:v>42948</c:v>
                </c:pt>
                <c:pt idx="2935">
                  <c:v>42949</c:v>
                </c:pt>
                <c:pt idx="2936">
                  <c:v>42950</c:v>
                </c:pt>
                <c:pt idx="2937">
                  <c:v>42951</c:v>
                </c:pt>
                <c:pt idx="2938">
                  <c:v>42954</c:v>
                </c:pt>
                <c:pt idx="2939">
                  <c:v>42955</c:v>
                </c:pt>
                <c:pt idx="2940">
                  <c:v>42956</c:v>
                </c:pt>
                <c:pt idx="2941">
                  <c:v>42957</c:v>
                </c:pt>
                <c:pt idx="2942">
                  <c:v>42958</c:v>
                </c:pt>
                <c:pt idx="2943">
                  <c:v>42961</c:v>
                </c:pt>
                <c:pt idx="2944">
                  <c:v>42962</c:v>
                </c:pt>
                <c:pt idx="2945">
                  <c:v>42963</c:v>
                </c:pt>
                <c:pt idx="2946">
                  <c:v>42964</c:v>
                </c:pt>
                <c:pt idx="2947">
                  <c:v>42965</c:v>
                </c:pt>
                <c:pt idx="2948">
                  <c:v>42968</c:v>
                </c:pt>
                <c:pt idx="2949">
                  <c:v>42969</c:v>
                </c:pt>
                <c:pt idx="2950">
                  <c:v>42970</c:v>
                </c:pt>
                <c:pt idx="2951">
                  <c:v>42971</c:v>
                </c:pt>
                <c:pt idx="2952">
                  <c:v>42972</c:v>
                </c:pt>
                <c:pt idx="2953">
                  <c:v>42975</c:v>
                </c:pt>
                <c:pt idx="2954">
                  <c:v>42976</c:v>
                </c:pt>
                <c:pt idx="2955">
                  <c:v>42977</c:v>
                </c:pt>
                <c:pt idx="2956">
                  <c:v>42978</c:v>
                </c:pt>
                <c:pt idx="2957">
                  <c:v>42979</c:v>
                </c:pt>
                <c:pt idx="2958">
                  <c:v>42982</c:v>
                </c:pt>
                <c:pt idx="2959">
                  <c:v>42983</c:v>
                </c:pt>
                <c:pt idx="2960">
                  <c:v>42984</c:v>
                </c:pt>
                <c:pt idx="2961">
                  <c:v>42985</c:v>
                </c:pt>
                <c:pt idx="2962">
                  <c:v>42986</c:v>
                </c:pt>
                <c:pt idx="2963">
                  <c:v>42989</c:v>
                </c:pt>
                <c:pt idx="2964">
                  <c:v>42990</c:v>
                </c:pt>
                <c:pt idx="2965">
                  <c:v>42991</c:v>
                </c:pt>
                <c:pt idx="2966">
                  <c:v>42992</c:v>
                </c:pt>
                <c:pt idx="2967">
                  <c:v>42993</c:v>
                </c:pt>
                <c:pt idx="2968">
                  <c:v>42996</c:v>
                </c:pt>
                <c:pt idx="2969">
                  <c:v>42997</c:v>
                </c:pt>
                <c:pt idx="2970">
                  <c:v>42998</c:v>
                </c:pt>
                <c:pt idx="2971">
                  <c:v>42999</c:v>
                </c:pt>
                <c:pt idx="2972">
                  <c:v>43000</c:v>
                </c:pt>
                <c:pt idx="2973">
                  <c:v>43003</c:v>
                </c:pt>
                <c:pt idx="2974">
                  <c:v>43004</c:v>
                </c:pt>
                <c:pt idx="2975">
                  <c:v>43005</c:v>
                </c:pt>
                <c:pt idx="2976">
                  <c:v>43006</c:v>
                </c:pt>
                <c:pt idx="2977">
                  <c:v>43007</c:v>
                </c:pt>
                <c:pt idx="2978">
                  <c:v>43017</c:v>
                </c:pt>
                <c:pt idx="2979">
                  <c:v>43018</c:v>
                </c:pt>
                <c:pt idx="2980">
                  <c:v>43019</c:v>
                </c:pt>
                <c:pt idx="2981">
                  <c:v>43020</c:v>
                </c:pt>
                <c:pt idx="2982">
                  <c:v>43021</c:v>
                </c:pt>
                <c:pt idx="2983">
                  <c:v>43024</c:v>
                </c:pt>
                <c:pt idx="2984">
                  <c:v>43025</c:v>
                </c:pt>
                <c:pt idx="2985">
                  <c:v>43026</c:v>
                </c:pt>
                <c:pt idx="2986">
                  <c:v>43027</c:v>
                </c:pt>
                <c:pt idx="2987">
                  <c:v>43028</c:v>
                </c:pt>
                <c:pt idx="2988">
                  <c:v>43031</c:v>
                </c:pt>
                <c:pt idx="2989">
                  <c:v>43032</c:v>
                </c:pt>
                <c:pt idx="2990">
                  <c:v>43033</c:v>
                </c:pt>
                <c:pt idx="2991">
                  <c:v>43034</c:v>
                </c:pt>
                <c:pt idx="2992">
                  <c:v>43035</c:v>
                </c:pt>
                <c:pt idx="2993">
                  <c:v>43038</c:v>
                </c:pt>
                <c:pt idx="2994">
                  <c:v>43039</c:v>
                </c:pt>
                <c:pt idx="2995">
                  <c:v>43040</c:v>
                </c:pt>
                <c:pt idx="2996">
                  <c:v>43041</c:v>
                </c:pt>
                <c:pt idx="2997">
                  <c:v>43042</c:v>
                </c:pt>
                <c:pt idx="2998">
                  <c:v>43045</c:v>
                </c:pt>
                <c:pt idx="2999">
                  <c:v>43046</c:v>
                </c:pt>
                <c:pt idx="3000">
                  <c:v>43047</c:v>
                </c:pt>
                <c:pt idx="3001">
                  <c:v>43048</c:v>
                </c:pt>
                <c:pt idx="3002">
                  <c:v>43049</c:v>
                </c:pt>
                <c:pt idx="3003">
                  <c:v>43052</c:v>
                </c:pt>
                <c:pt idx="3004">
                  <c:v>43053</c:v>
                </c:pt>
                <c:pt idx="3005">
                  <c:v>43054</c:v>
                </c:pt>
                <c:pt idx="3006">
                  <c:v>43055</c:v>
                </c:pt>
                <c:pt idx="3007">
                  <c:v>43056</c:v>
                </c:pt>
                <c:pt idx="3008">
                  <c:v>43059</c:v>
                </c:pt>
                <c:pt idx="3009">
                  <c:v>43060</c:v>
                </c:pt>
                <c:pt idx="3010">
                  <c:v>43061</c:v>
                </c:pt>
                <c:pt idx="3011">
                  <c:v>43062</c:v>
                </c:pt>
                <c:pt idx="3012">
                  <c:v>43063</c:v>
                </c:pt>
                <c:pt idx="3013">
                  <c:v>43066</c:v>
                </c:pt>
                <c:pt idx="3014">
                  <c:v>43067</c:v>
                </c:pt>
                <c:pt idx="3015">
                  <c:v>43068</c:v>
                </c:pt>
                <c:pt idx="3016">
                  <c:v>43069</c:v>
                </c:pt>
                <c:pt idx="3017">
                  <c:v>43070</c:v>
                </c:pt>
                <c:pt idx="3018">
                  <c:v>43073</c:v>
                </c:pt>
                <c:pt idx="3019">
                  <c:v>43074</c:v>
                </c:pt>
                <c:pt idx="3020">
                  <c:v>43075</c:v>
                </c:pt>
                <c:pt idx="3021">
                  <c:v>43076</c:v>
                </c:pt>
                <c:pt idx="3022">
                  <c:v>43077</c:v>
                </c:pt>
                <c:pt idx="3023">
                  <c:v>43080</c:v>
                </c:pt>
                <c:pt idx="3024">
                  <c:v>43081</c:v>
                </c:pt>
                <c:pt idx="3025">
                  <c:v>43082</c:v>
                </c:pt>
                <c:pt idx="3026">
                  <c:v>43083</c:v>
                </c:pt>
                <c:pt idx="3027">
                  <c:v>43084</c:v>
                </c:pt>
                <c:pt idx="3028">
                  <c:v>43087</c:v>
                </c:pt>
                <c:pt idx="3029">
                  <c:v>43088</c:v>
                </c:pt>
                <c:pt idx="3030">
                  <c:v>43089</c:v>
                </c:pt>
                <c:pt idx="3031">
                  <c:v>43090</c:v>
                </c:pt>
                <c:pt idx="3032">
                  <c:v>43091</c:v>
                </c:pt>
                <c:pt idx="3033">
                  <c:v>43094</c:v>
                </c:pt>
                <c:pt idx="3034">
                  <c:v>43095</c:v>
                </c:pt>
                <c:pt idx="3035">
                  <c:v>43096</c:v>
                </c:pt>
                <c:pt idx="3036">
                  <c:v>43097</c:v>
                </c:pt>
                <c:pt idx="3037">
                  <c:v>43098</c:v>
                </c:pt>
                <c:pt idx="3038">
                  <c:v>43102</c:v>
                </c:pt>
                <c:pt idx="3039">
                  <c:v>43103</c:v>
                </c:pt>
                <c:pt idx="3040">
                  <c:v>43104</c:v>
                </c:pt>
                <c:pt idx="3041">
                  <c:v>43105</c:v>
                </c:pt>
                <c:pt idx="3042">
                  <c:v>43108</c:v>
                </c:pt>
                <c:pt idx="3043">
                  <c:v>43109</c:v>
                </c:pt>
                <c:pt idx="3044">
                  <c:v>43110</c:v>
                </c:pt>
                <c:pt idx="3045">
                  <c:v>43111</c:v>
                </c:pt>
                <c:pt idx="3046">
                  <c:v>43112</c:v>
                </c:pt>
                <c:pt idx="3047">
                  <c:v>43115</c:v>
                </c:pt>
                <c:pt idx="3048">
                  <c:v>43116</c:v>
                </c:pt>
                <c:pt idx="3049">
                  <c:v>43117</c:v>
                </c:pt>
                <c:pt idx="3050">
                  <c:v>43118</c:v>
                </c:pt>
                <c:pt idx="3051">
                  <c:v>43119</c:v>
                </c:pt>
                <c:pt idx="3052">
                  <c:v>43122</c:v>
                </c:pt>
                <c:pt idx="3053">
                  <c:v>43123</c:v>
                </c:pt>
                <c:pt idx="3054">
                  <c:v>43124</c:v>
                </c:pt>
                <c:pt idx="3055">
                  <c:v>43125</c:v>
                </c:pt>
                <c:pt idx="3056">
                  <c:v>43126</c:v>
                </c:pt>
                <c:pt idx="3057">
                  <c:v>43129</c:v>
                </c:pt>
                <c:pt idx="3058">
                  <c:v>43130</c:v>
                </c:pt>
                <c:pt idx="3059">
                  <c:v>43131</c:v>
                </c:pt>
                <c:pt idx="3060">
                  <c:v>43132</c:v>
                </c:pt>
                <c:pt idx="3061">
                  <c:v>43133</c:v>
                </c:pt>
                <c:pt idx="3062">
                  <c:v>43136</c:v>
                </c:pt>
                <c:pt idx="3063">
                  <c:v>43137</c:v>
                </c:pt>
                <c:pt idx="3064">
                  <c:v>43138</c:v>
                </c:pt>
                <c:pt idx="3065">
                  <c:v>43139</c:v>
                </c:pt>
                <c:pt idx="3066">
                  <c:v>43140</c:v>
                </c:pt>
                <c:pt idx="3067">
                  <c:v>43143</c:v>
                </c:pt>
                <c:pt idx="3068">
                  <c:v>43144</c:v>
                </c:pt>
                <c:pt idx="3069">
                  <c:v>43145</c:v>
                </c:pt>
                <c:pt idx="3070">
                  <c:v>43153</c:v>
                </c:pt>
                <c:pt idx="3071">
                  <c:v>43154</c:v>
                </c:pt>
                <c:pt idx="3072">
                  <c:v>43157</c:v>
                </c:pt>
                <c:pt idx="3073">
                  <c:v>43158</c:v>
                </c:pt>
                <c:pt idx="3074">
                  <c:v>43159</c:v>
                </c:pt>
                <c:pt idx="3075">
                  <c:v>43160</c:v>
                </c:pt>
                <c:pt idx="3076">
                  <c:v>43161</c:v>
                </c:pt>
                <c:pt idx="3077">
                  <c:v>43164</c:v>
                </c:pt>
                <c:pt idx="3078">
                  <c:v>43165</c:v>
                </c:pt>
                <c:pt idx="3079">
                  <c:v>43166</c:v>
                </c:pt>
                <c:pt idx="3080">
                  <c:v>43167</c:v>
                </c:pt>
                <c:pt idx="3081">
                  <c:v>43168</c:v>
                </c:pt>
                <c:pt idx="3082">
                  <c:v>43171</c:v>
                </c:pt>
                <c:pt idx="3083">
                  <c:v>43172</c:v>
                </c:pt>
                <c:pt idx="3084">
                  <c:v>43173</c:v>
                </c:pt>
                <c:pt idx="3085">
                  <c:v>43174</c:v>
                </c:pt>
                <c:pt idx="3086">
                  <c:v>43175</c:v>
                </c:pt>
                <c:pt idx="3087">
                  <c:v>43178</c:v>
                </c:pt>
                <c:pt idx="3088">
                  <c:v>43179</c:v>
                </c:pt>
                <c:pt idx="3089">
                  <c:v>43180</c:v>
                </c:pt>
                <c:pt idx="3090">
                  <c:v>43181</c:v>
                </c:pt>
                <c:pt idx="3091">
                  <c:v>43182</c:v>
                </c:pt>
                <c:pt idx="3092">
                  <c:v>43185</c:v>
                </c:pt>
                <c:pt idx="3093">
                  <c:v>43186</c:v>
                </c:pt>
                <c:pt idx="3094">
                  <c:v>43187</c:v>
                </c:pt>
                <c:pt idx="3095">
                  <c:v>43188</c:v>
                </c:pt>
                <c:pt idx="3096">
                  <c:v>43189</c:v>
                </c:pt>
                <c:pt idx="3097">
                  <c:v>43192</c:v>
                </c:pt>
                <c:pt idx="3098">
                  <c:v>43193</c:v>
                </c:pt>
                <c:pt idx="3099">
                  <c:v>43194</c:v>
                </c:pt>
                <c:pt idx="3100">
                  <c:v>43199</c:v>
                </c:pt>
                <c:pt idx="3101">
                  <c:v>43200</c:v>
                </c:pt>
                <c:pt idx="3102">
                  <c:v>43201</c:v>
                </c:pt>
                <c:pt idx="3103">
                  <c:v>43202</c:v>
                </c:pt>
                <c:pt idx="3104">
                  <c:v>43203</c:v>
                </c:pt>
                <c:pt idx="3105">
                  <c:v>43206</c:v>
                </c:pt>
                <c:pt idx="3106">
                  <c:v>43207</c:v>
                </c:pt>
                <c:pt idx="3107">
                  <c:v>43208</c:v>
                </c:pt>
                <c:pt idx="3108">
                  <c:v>43209</c:v>
                </c:pt>
                <c:pt idx="3109">
                  <c:v>43210</c:v>
                </c:pt>
                <c:pt idx="3110">
                  <c:v>43213</c:v>
                </c:pt>
                <c:pt idx="3111">
                  <c:v>43214</c:v>
                </c:pt>
                <c:pt idx="3112">
                  <c:v>43215</c:v>
                </c:pt>
                <c:pt idx="3113">
                  <c:v>43216</c:v>
                </c:pt>
                <c:pt idx="3114">
                  <c:v>43217</c:v>
                </c:pt>
                <c:pt idx="3115">
                  <c:v>43222</c:v>
                </c:pt>
                <c:pt idx="3116">
                  <c:v>43223</c:v>
                </c:pt>
                <c:pt idx="3117">
                  <c:v>43224</c:v>
                </c:pt>
                <c:pt idx="3118">
                  <c:v>43227</c:v>
                </c:pt>
                <c:pt idx="3119">
                  <c:v>43228</c:v>
                </c:pt>
                <c:pt idx="3120">
                  <c:v>43229</c:v>
                </c:pt>
                <c:pt idx="3121">
                  <c:v>43230</c:v>
                </c:pt>
                <c:pt idx="3122">
                  <c:v>43231</c:v>
                </c:pt>
                <c:pt idx="3123">
                  <c:v>43234</c:v>
                </c:pt>
                <c:pt idx="3124">
                  <c:v>43235</c:v>
                </c:pt>
                <c:pt idx="3125">
                  <c:v>43236</c:v>
                </c:pt>
                <c:pt idx="3126">
                  <c:v>43237</c:v>
                </c:pt>
                <c:pt idx="3127">
                  <c:v>43238</c:v>
                </c:pt>
                <c:pt idx="3128">
                  <c:v>43241</c:v>
                </c:pt>
                <c:pt idx="3129">
                  <c:v>43242</c:v>
                </c:pt>
                <c:pt idx="3130">
                  <c:v>43243</c:v>
                </c:pt>
                <c:pt idx="3131">
                  <c:v>43244</c:v>
                </c:pt>
                <c:pt idx="3132">
                  <c:v>43245</c:v>
                </c:pt>
                <c:pt idx="3133">
                  <c:v>43248</c:v>
                </c:pt>
                <c:pt idx="3134">
                  <c:v>43249</c:v>
                </c:pt>
                <c:pt idx="3135">
                  <c:v>43250</c:v>
                </c:pt>
                <c:pt idx="3136">
                  <c:v>43251</c:v>
                </c:pt>
                <c:pt idx="3137">
                  <c:v>43252</c:v>
                </c:pt>
                <c:pt idx="3138">
                  <c:v>43255</c:v>
                </c:pt>
                <c:pt idx="3139">
                  <c:v>43256</c:v>
                </c:pt>
                <c:pt idx="3140">
                  <c:v>43257</c:v>
                </c:pt>
                <c:pt idx="3141">
                  <c:v>43258</c:v>
                </c:pt>
                <c:pt idx="3142">
                  <c:v>43259</c:v>
                </c:pt>
                <c:pt idx="3143">
                  <c:v>43262</c:v>
                </c:pt>
                <c:pt idx="3144">
                  <c:v>43263</c:v>
                </c:pt>
                <c:pt idx="3145">
                  <c:v>43264</c:v>
                </c:pt>
                <c:pt idx="3146">
                  <c:v>43265</c:v>
                </c:pt>
                <c:pt idx="3147">
                  <c:v>43266</c:v>
                </c:pt>
                <c:pt idx="3148">
                  <c:v>43270</c:v>
                </c:pt>
                <c:pt idx="3149">
                  <c:v>43271</c:v>
                </c:pt>
                <c:pt idx="3150">
                  <c:v>43272</c:v>
                </c:pt>
                <c:pt idx="3151">
                  <c:v>43273</c:v>
                </c:pt>
                <c:pt idx="3152">
                  <c:v>43276</c:v>
                </c:pt>
                <c:pt idx="3153">
                  <c:v>43277</c:v>
                </c:pt>
                <c:pt idx="3154">
                  <c:v>43278</c:v>
                </c:pt>
                <c:pt idx="3155">
                  <c:v>43279</c:v>
                </c:pt>
                <c:pt idx="3156">
                  <c:v>43280</c:v>
                </c:pt>
                <c:pt idx="3157">
                  <c:v>43283</c:v>
                </c:pt>
                <c:pt idx="3158">
                  <c:v>43284</c:v>
                </c:pt>
                <c:pt idx="3159">
                  <c:v>43285</c:v>
                </c:pt>
                <c:pt idx="3160">
                  <c:v>43286</c:v>
                </c:pt>
                <c:pt idx="3161">
                  <c:v>43287</c:v>
                </c:pt>
                <c:pt idx="3162">
                  <c:v>43290</c:v>
                </c:pt>
                <c:pt idx="3163">
                  <c:v>43291</c:v>
                </c:pt>
                <c:pt idx="3164">
                  <c:v>43292</c:v>
                </c:pt>
                <c:pt idx="3165">
                  <c:v>43293</c:v>
                </c:pt>
                <c:pt idx="3166">
                  <c:v>43294</c:v>
                </c:pt>
                <c:pt idx="3167">
                  <c:v>43297</c:v>
                </c:pt>
                <c:pt idx="3168">
                  <c:v>43298</c:v>
                </c:pt>
                <c:pt idx="3169">
                  <c:v>43299</c:v>
                </c:pt>
                <c:pt idx="3170">
                  <c:v>43300</c:v>
                </c:pt>
                <c:pt idx="3171">
                  <c:v>43301</c:v>
                </c:pt>
                <c:pt idx="3172">
                  <c:v>43304</c:v>
                </c:pt>
                <c:pt idx="3173">
                  <c:v>43305</c:v>
                </c:pt>
                <c:pt idx="3174">
                  <c:v>43306</c:v>
                </c:pt>
                <c:pt idx="3175">
                  <c:v>43307</c:v>
                </c:pt>
                <c:pt idx="3176">
                  <c:v>43308</c:v>
                </c:pt>
                <c:pt idx="3177">
                  <c:v>43311</c:v>
                </c:pt>
                <c:pt idx="3178">
                  <c:v>43312</c:v>
                </c:pt>
                <c:pt idx="3179">
                  <c:v>43313</c:v>
                </c:pt>
                <c:pt idx="3180">
                  <c:v>43314</c:v>
                </c:pt>
                <c:pt idx="3181">
                  <c:v>43315</c:v>
                </c:pt>
                <c:pt idx="3182">
                  <c:v>43318</c:v>
                </c:pt>
                <c:pt idx="3183">
                  <c:v>43319</c:v>
                </c:pt>
                <c:pt idx="3184">
                  <c:v>43320</c:v>
                </c:pt>
                <c:pt idx="3185">
                  <c:v>43321</c:v>
                </c:pt>
                <c:pt idx="3186">
                  <c:v>43322</c:v>
                </c:pt>
                <c:pt idx="3187">
                  <c:v>43325</c:v>
                </c:pt>
                <c:pt idx="3188">
                  <c:v>43326</c:v>
                </c:pt>
                <c:pt idx="3189">
                  <c:v>43327</c:v>
                </c:pt>
                <c:pt idx="3190">
                  <c:v>43328</c:v>
                </c:pt>
                <c:pt idx="3191">
                  <c:v>43329</c:v>
                </c:pt>
                <c:pt idx="3192">
                  <c:v>43332</c:v>
                </c:pt>
                <c:pt idx="3193">
                  <c:v>43333</c:v>
                </c:pt>
                <c:pt idx="3194">
                  <c:v>43334</c:v>
                </c:pt>
                <c:pt idx="3195">
                  <c:v>43335</c:v>
                </c:pt>
                <c:pt idx="3196">
                  <c:v>43336</c:v>
                </c:pt>
                <c:pt idx="3197">
                  <c:v>43339</c:v>
                </c:pt>
                <c:pt idx="3198">
                  <c:v>43340</c:v>
                </c:pt>
                <c:pt idx="3199">
                  <c:v>43341</c:v>
                </c:pt>
                <c:pt idx="3200">
                  <c:v>43342</c:v>
                </c:pt>
                <c:pt idx="3201">
                  <c:v>43343</c:v>
                </c:pt>
                <c:pt idx="3202">
                  <c:v>43346</c:v>
                </c:pt>
                <c:pt idx="3203">
                  <c:v>43347</c:v>
                </c:pt>
                <c:pt idx="3204">
                  <c:v>43348</c:v>
                </c:pt>
                <c:pt idx="3205">
                  <c:v>43349</c:v>
                </c:pt>
                <c:pt idx="3206">
                  <c:v>43350</c:v>
                </c:pt>
                <c:pt idx="3207">
                  <c:v>43353</c:v>
                </c:pt>
                <c:pt idx="3208">
                  <c:v>43354</c:v>
                </c:pt>
                <c:pt idx="3209">
                  <c:v>43355</c:v>
                </c:pt>
                <c:pt idx="3210">
                  <c:v>43356</c:v>
                </c:pt>
                <c:pt idx="3211">
                  <c:v>43357</c:v>
                </c:pt>
                <c:pt idx="3212">
                  <c:v>43360</c:v>
                </c:pt>
                <c:pt idx="3213">
                  <c:v>43361</c:v>
                </c:pt>
                <c:pt idx="3214">
                  <c:v>43362</c:v>
                </c:pt>
                <c:pt idx="3215">
                  <c:v>43363</c:v>
                </c:pt>
                <c:pt idx="3216">
                  <c:v>43364</c:v>
                </c:pt>
                <c:pt idx="3217">
                  <c:v>43368</c:v>
                </c:pt>
                <c:pt idx="3218">
                  <c:v>43369</c:v>
                </c:pt>
                <c:pt idx="3219">
                  <c:v>43370</c:v>
                </c:pt>
                <c:pt idx="3220">
                  <c:v>43371</c:v>
                </c:pt>
                <c:pt idx="3221">
                  <c:v>43381</c:v>
                </c:pt>
                <c:pt idx="3222">
                  <c:v>43382</c:v>
                </c:pt>
                <c:pt idx="3223">
                  <c:v>43383</c:v>
                </c:pt>
                <c:pt idx="3224">
                  <c:v>43384</c:v>
                </c:pt>
                <c:pt idx="3225">
                  <c:v>43385</c:v>
                </c:pt>
                <c:pt idx="3226">
                  <c:v>43388</c:v>
                </c:pt>
                <c:pt idx="3227">
                  <c:v>43389</c:v>
                </c:pt>
                <c:pt idx="3228">
                  <c:v>43390</c:v>
                </c:pt>
                <c:pt idx="3229">
                  <c:v>43391</c:v>
                </c:pt>
                <c:pt idx="3230">
                  <c:v>43392</c:v>
                </c:pt>
                <c:pt idx="3231">
                  <c:v>43395</c:v>
                </c:pt>
                <c:pt idx="3232">
                  <c:v>43396</c:v>
                </c:pt>
                <c:pt idx="3233">
                  <c:v>43397</c:v>
                </c:pt>
                <c:pt idx="3234">
                  <c:v>43398</c:v>
                </c:pt>
                <c:pt idx="3235">
                  <c:v>43399</c:v>
                </c:pt>
                <c:pt idx="3236">
                  <c:v>43402</c:v>
                </c:pt>
                <c:pt idx="3237">
                  <c:v>43403</c:v>
                </c:pt>
                <c:pt idx="3238">
                  <c:v>43404</c:v>
                </c:pt>
                <c:pt idx="3239">
                  <c:v>43405</c:v>
                </c:pt>
                <c:pt idx="3240">
                  <c:v>43406</c:v>
                </c:pt>
                <c:pt idx="3241">
                  <c:v>43409</c:v>
                </c:pt>
                <c:pt idx="3242">
                  <c:v>43410</c:v>
                </c:pt>
                <c:pt idx="3243">
                  <c:v>43411</c:v>
                </c:pt>
                <c:pt idx="3244">
                  <c:v>43412</c:v>
                </c:pt>
                <c:pt idx="3245">
                  <c:v>43413</c:v>
                </c:pt>
                <c:pt idx="3246">
                  <c:v>43416</c:v>
                </c:pt>
                <c:pt idx="3247">
                  <c:v>43417</c:v>
                </c:pt>
                <c:pt idx="3248">
                  <c:v>43418</c:v>
                </c:pt>
                <c:pt idx="3249">
                  <c:v>43419</c:v>
                </c:pt>
                <c:pt idx="3250">
                  <c:v>43420</c:v>
                </c:pt>
                <c:pt idx="3251">
                  <c:v>43423</c:v>
                </c:pt>
                <c:pt idx="3252">
                  <c:v>43424</c:v>
                </c:pt>
                <c:pt idx="3253">
                  <c:v>43425</c:v>
                </c:pt>
                <c:pt idx="3254">
                  <c:v>43426</c:v>
                </c:pt>
                <c:pt idx="3255">
                  <c:v>43427</c:v>
                </c:pt>
                <c:pt idx="3256">
                  <c:v>43430</c:v>
                </c:pt>
                <c:pt idx="3257">
                  <c:v>43431</c:v>
                </c:pt>
                <c:pt idx="3258">
                  <c:v>43432</c:v>
                </c:pt>
                <c:pt idx="3259">
                  <c:v>43433</c:v>
                </c:pt>
                <c:pt idx="3260">
                  <c:v>43434</c:v>
                </c:pt>
                <c:pt idx="3261">
                  <c:v>43437</c:v>
                </c:pt>
                <c:pt idx="3262">
                  <c:v>43438</c:v>
                </c:pt>
                <c:pt idx="3263">
                  <c:v>43439</c:v>
                </c:pt>
                <c:pt idx="3264">
                  <c:v>43440</c:v>
                </c:pt>
                <c:pt idx="3265">
                  <c:v>43441</c:v>
                </c:pt>
                <c:pt idx="3266">
                  <c:v>43444</c:v>
                </c:pt>
                <c:pt idx="3267">
                  <c:v>43445</c:v>
                </c:pt>
                <c:pt idx="3268">
                  <c:v>43446</c:v>
                </c:pt>
                <c:pt idx="3269">
                  <c:v>43447</c:v>
                </c:pt>
                <c:pt idx="3270">
                  <c:v>43448</c:v>
                </c:pt>
                <c:pt idx="3271">
                  <c:v>43451</c:v>
                </c:pt>
                <c:pt idx="3272">
                  <c:v>43452</c:v>
                </c:pt>
                <c:pt idx="3273">
                  <c:v>43453</c:v>
                </c:pt>
                <c:pt idx="3274">
                  <c:v>43454</c:v>
                </c:pt>
                <c:pt idx="3275">
                  <c:v>43455</c:v>
                </c:pt>
                <c:pt idx="3276">
                  <c:v>43458</c:v>
                </c:pt>
                <c:pt idx="3277">
                  <c:v>43459</c:v>
                </c:pt>
                <c:pt idx="3278">
                  <c:v>43460</c:v>
                </c:pt>
                <c:pt idx="3279">
                  <c:v>43461</c:v>
                </c:pt>
                <c:pt idx="3280">
                  <c:v>43462</c:v>
                </c:pt>
                <c:pt idx="3281">
                  <c:v>43467</c:v>
                </c:pt>
                <c:pt idx="3282">
                  <c:v>43468</c:v>
                </c:pt>
                <c:pt idx="3283">
                  <c:v>43469</c:v>
                </c:pt>
                <c:pt idx="3284">
                  <c:v>43472</c:v>
                </c:pt>
                <c:pt idx="3285">
                  <c:v>43473</c:v>
                </c:pt>
                <c:pt idx="3286">
                  <c:v>43474</c:v>
                </c:pt>
                <c:pt idx="3287">
                  <c:v>43475</c:v>
                </c:pt>
                <c:pt idx="3288">
                  <c:v>43476</c:v>
                </c:pt>
                <c:pt idx="3289">
                  <c:v>43479</c:v>
                </c:pt>
                <c:pt idx="3290">
                  <c:v>43480</c:v>
                </c:pt>
                <c:pt idx="3291">
                  <c:v>43481</c:v>
                </c:pt>
                <c:pt idx="3292">
                  <c:v>43482</c:v>
                </c:pt>
                <c:pt idx="3293">
                  <c:v>43483</c:v>
                </c:pt>
                <c:pt idx="3294">
                  <c:v>43486</c:v>
                </c:pt>
                <c:pt idx="3295">
                  <c:v>43487</c:v>
                </c:pt>
                <c:pt idx="3296">
                  <c:v>43488</c:v>
                </c:pt>
                <c:pt idx="3297">
                  <c:v>43489</c:v>
                </c:pt>
                <c:pt idx="3298">
                  <c:v>43490</c:v>
                </c:pt>
                <c:pt idx="3299">
                  <c:v>43493</c:v>
                </c:pt>
                <c:pt idx="3300">
                  <c:v>43494</c:v>
                </c:pt>
                <c:pt idx="3301">
                  <c:v>43495</c:v>
                </c:pt>
                <c:pt idx="3302">
                  <c:v>43496</c:v>
                </c:pt>
                <c:pt idx="3303">
                  <c:v>43497</c:v>
                </c:pt>
                <c:pt idx="3304">
                  <c:v>43507</c:v>
                </c:pt>
                <c:pt idx="3305">
                  <c:v>43508</c:v>
                </c:pt>
                <c:pt idx="3306">
                  <c:v>43509</c:v>
                </c:pt>
                <c:pt idx="3307">
                  <c:v>43510</c:v>
                </c:pt>
                <c:pt idx="3308">
                  <c:v>43511</c:v>
                </c:pt>
                <c:pt idx="3309">
                  <c:v>43514</c:v>
                </c:pt>
                <c:pt idx="3310">
                  <c:v>43515</c:v>
                </c:pt>
                <c:pt idx="3311">
                  <c:v>43516</c:v>
                </c:pt>
                <c:pt idx="3312">
                  <c:v>43517</c:v>
                </c:pt>
                <c:pt idx="3313">
                  <c:v>43518</c:v>
                </c:pt>
                <c:pt idx="3314">
                  <c:v>43521</c:v>
                </c:pt>
                <c:pt idx="3315">
                  <c:v>43522</c:v>
                </c:pt>
                <c:pt idx="3316">
                  <c:v>43523</c:v>
                </c:pt>
                <c:pt idx="3317">
                  <c:v>43524</c:v>
                </c:pt>
                <c:pt idx="3318">
                  <c:v>43525</c:v>
                </c:pt>
                <c:pt idx="3319">
                  <c:v>43528</c:v>
                </c:pt>
                <c:pt idx="3320">
                  <c:v>43529</c:v>
                </c:pt>
                <c:pt idx="3321">
                  <c:v>43530</c:v>
                </c:pt>
                <c:pt idx="3322">
                  <c:v>43531</c:v>
                </c:pt>
                <c:pt idx="3323">
                  <c:v>43532</c:v>
                </c:pt>
                <c:pt idx="3324">
                  <c:v>43535</c:v>
                </c:pt>
                <c:pt idx="3325">
                  <c:v>43536</c:v>
                </c:pt>
                <c:pt idx="3326">
                  <c:v>43537</c:v>
                </c:pt>
                <c:pt idx="3327">
                  <c:v>43538</c:v>
                </c:pt>
                <c:pt idx="3328">
                  <c:v>43539</c:v>
                </c:pt>
                <c:pt idx="3329">
                  <c:v>43542</c:v>
                </c:pt>
                <c:pt idx="3330">
                  <c:v>43543</c:v>
                </c:pt>
                <c:pt idx="3331">
                  <c:v>43544</c:v>
                </c:pt>
                <c:pt idx="3332">
                  <c:v>43545</c:v>
                </c:pt>
                <c:pt idx="3333">
                  <c:v>43546</c:v>
                </c:pt>
                <c:pt idx="3334">
                  <c:v>43549</c:v>
                </c:pt>
                <c:pt idx="3335">
                  <c:v>43550</c:v>
                </c:pt>
                <c:pt idx="3336">
                  <c:v>43551</c:v>
                </c:pt>
                <c:pt idx="3337">
                  <c:v>43552</c:v>
                </c:pt>
                <c:pt idx="3338">
                  <c:v>43553</c:v>
                </c:pt>
                <c:pt idx="3339">
                  <c:v>43556</c:v>
                </c:pt>
                <c:pt idx="3340">
                  <c:v>43557</c:v>
                </c:pt>
                <c:pt idx="3341">
                  <c:v>43558</c:v>
                </c:pt>
                <c:pt idx="3342">
                  <c:v>43559</c:v>
                </c:pt>
                <c:pt idx="3343">
                  <c:v>43563</c:v>
                </c:pt>
                <c:pt idx="3344">
                  <c:v>43564</c:v>
                </c:pt>
                <c:pt idx="3345">
                  <c:v>43565</c:v>
                </c:pt>
                <c:pt idx="3346">
                  <c:v>43566</c:v>
                </c:pt>
                <c:pt idx="3347">
                  <c:v>43567</c:v>
                </c:pt>
                <c:pt idx="3348">
                  <c:v>43570</c:v>
                </c:pt>
                <c:pt idx="3349">
                  <c:v>43571</c:v>
                </c:pt>
                <c:pt idx="3350">
                  <c:v>43572</c:v>
                </c:pt>
                <c:pt idx="3351">
                  <c:v>43573</c:v>
                </c:pt>
                <c:pt idx="3352">
                  <c:v>43574</c:v>
                </c:pt>
                <c:pt idx="3353">
                  <c:v>43577</c:v>
                </c:pt>
                <c:pt idx="3354">
                  <c:v>43578</c:v>
                </c:pt>
                <c:pt idx="3355">
                  <c:v>43579</c:v>
                </c:pt>
                <c:pt idx="3356">
                  <c:v>43580</c:v>
                </c:pt>
                <c:pt idx="3357">
                  <c:v>43581</c:v>
                </c:pt>
                <c:pt idx="3358">
                  <c:v>43584</c:v>
                </c:pt>
                <c:pt idx="3359">
                  <c:v>43585</c:v>
                </c:pt>
                <c:pt idx="3360">
                  <c:v>43591</c:v>
                </c:pt>
                <c:pt idx="3361">
                  <c:v>43592</c:v>
                </c:pt>
                <c:pt idx="3362">
                  <c:v>43593</c:v>
                </c:pt>
                <c:pt idx="3363">
                  <c:v>43594</c:v>
                </c:pt>
                <c:pt idx="3364">
                  <c:v>43595</c:v>
                </c:pt>
                <c:pt idx="3365">
                  <c:v>43598</c:v>
                </c:pt>
                <c:pt idx="3366">
                  <c:v>43599</c:v>
                </c:pt>
                <c:pt idx="3367">
                  <c:v>43600</c:v>
                </c:pt>
                <c:pt idx="3368">
                  <c:v>43601</c:v>
                </c:pt>
                <c:pt idx="3369">
                  <c:v>43602</c:v>
                </c:pt>
                <c:pt idx="3370">
                  <c:v>43605</c:v>
                </c:pt>
                <c:pt idx="3371">
                  <c:v>43606</c:v>
                </c:pt>
                <c:pt idx="3372">
                  <c:v>43607</c:v>
                </c:pt>
                <c:pt idx="3373">
                  <c:v>43608</c:v>
                </c:pt>
                <c:pt idx="3374">
                  <c:v>43609</c:v>
                </c:pt>
                <c:pt idx="3375">
                  <c:v>43612</c:v>
                </c:pt>
                <c:pt idx="3376">
                  <c:v>43613</c:v>
                </c:pt>
                <c:pt idx="3377">
                  <c:v>43614</c:v>
                </c:pt>
                <c:pt idx="3378">
                  <c:v>43615</c:v>
                </c:pt>
                <c:pt idx="3379">
                  <c:v>43616</c:v>
                </c:pt>
                <c:pt idx="3380">
                  <c:v>43619</c:v>
                </c:pt>
                <c:pt idx="3381">
                  <c:v>43620</c:v>
                </c:pt>
                <c:pt idx="3382">
                  <c:v>43621</c:v>
                </c:pt>
                <c:pt idx="3383">
                  <c:v>43622</c:v>
                </c:pt>
                <c:pt idx="3384">
                  <c:v>43626</c:v>
                </c:pt>
                <c:pt idx="3385">
                  <c:v>43627</c:v>
                </c:pt>
                <c:pt idx="3386">
                  <c:v>43628</c:v>
                </c:pt>
                <c:pt idx="3387">
                  <c:v>43629</c:v>
                </c:pt>
                <c:pt idx="3388">
                  <c:v>43630</c:v>
                </c:pt>
                <c:pt idx="3389">
                  <c:v>43633</c:v>
                </c:pt>
                <c:pt idx="3390">
                  <c:v>43634</c:v>
                </c:pt>
                <c:pt idx="3391">
                  <c:v>43635</c:v>
                </c:pt>
                <c:pt idx="3392">
                  <c:v>43636</c:v>
                </c:pt>
                <c:pt idx="3393">
                  <c:v>43637</c:v>
                </c:pt>
                <c:pt idx="3394">
                  <c:v>43640</c:v>
                </c:pt>
                <c:pt idx="3395">
                  <c:v>43641</c:v>
                </c:pt>
                <c:pt idx="3396">
                  <c:v>43642</c:v>
                </c:pt>
                <c:pt idx="3397">
                  <c:v>43643</c:v>
                </c:pt>
                <c:pt idx="3398">
                  <c:v>43644</c:v>
                </c:pt>
                <c:pt idx="3399">
                  <c:v>43647</c:v>
                </c:pt>
                <c:pt idx="3400">
                  <c:v>43648</c:v>
                </c:pt>
                <c:pt idx="3401">
                  <c:v>43649</c:v>
                </c:pt>
                <c:pt idx="3402">
                  <c:v>43650</c:v>
                </c:pt>
                <c:pt idx="3403">
                  <c:v>43651</c:v>
                </c:pt>
                <c:pt idx="3404">
                  <c:v>43654</c:v>
                </c:pt>
                <c:pt idx="3405">
                  <c:v>43655</c:v>
                </c:pt>
                <c:pt idx="3406">
                  <c:v>43656</c:v>
                </c:pt>
                <c:pt idx="3407">
                  <c:v>43657</c:v>
                </c:pt>
                <c:pt idx="3408">
                  <c:v>43658</c:v>
                </c:pt>
                <c:pt idx="3409">
                  <c:v>43661</c:v>
                </c:pt>
                <c:pt idx="3410">
                  <c:v>43662</c:v>
                </c:pt>
                <c:pt idx="3411">
                  <c:v>43663</c:v>
                </c:pt>
                <c:pt idx="3412">
                  <c:v>43664</c:v>
                </c:pt>
                <c:pt idx="3413">
                  <c:v>43665</c:v>
                </c:pt>
                <c:pt idx="3414">
                  <c:v>43668</c:v>
                </c:pt>
                <c:pt idx="3415">
                  <c:v>43669</c:v>
                </c:pt>
                <c:pt idx="3416">
                  <c:v>43670</c:v>
                </c:pt>
                <c:pt idx="3417">
                  <c:v>43671</c:v>
                </c:pt>
                <c:pt idx="3418">
                  <c:v>43672</c:v>
                </c:pt>
                <c:pt idx="3419">
                  <c:v>43675</c:v>
                </c:pt>
                <c:pt idx="3420">
                  <c:v>43676</c:v>
                </c:pt>
                <c:pt idx="3421">
                  <c:v>43677</c:v>
                </c:pt>
                <c:pt idx="3422">
                  <c:v>43678</c:v>
                </c:pt>
                <c:pt idx="3423">
                  <c:v>43679</c:v>
                </c:pt>
                <c:pt idx="3424">
                  <c:v>43682</c:v>
                </c:pt>
                <c:pt idx="3425">
                  <c:v>43683</c:v>
                </c:pt>
                <c:pt idx="3426">
                  <c:v>43684</c:v>
                </c:pt>
                <c:pt idx="3427">
                  <c:v>43685</c:v>
                </c:pt>
                <c:pt idx="3428">
                  <c:v>43686</c:v>
                </c:pt>
                <c:pt idx="3429">
                  <c:v>43689</c:v>
                </c:pt>
                <c:pt idx="3430">
                  <c:v>43690</c:v>
                </c:pt>
                <c:pt idx="3431">
                  <c:v>43691</c:v>
                </c:pt>
                <c:pt idx="3432">
                  <c:v>43692</c:v>
                </c:pt>
                <c:pt idx="3433">
                  <c:v>43693</c:v>
                </c:pt>
                <c:pt idx="3434">
                  <c:v>43696</c:v>
                </c:pt>
                <c:pt idx="3435">
                  <c:v>43697</c:v>
                </c:pt>
                <c:pt idx="3436">
                  <c:v>43698</c:v>
                </c:pt>
                <c:pt idx="3437">
                  <c:v>43699</c:v>
                </c:pt>
                <c:pt idx="3438">
                  <c:v>43700</c:v>
                </c:pt>
                <c:pt idx="3439">
                  <c:v>43703</c:v>
                </c:pt>
                <c:pt idx="3440">
                  <c:v>43704</c:v>
                </c:pt>
                <c:pt idx="3441">
                  <c:v>43705</c:v>
                </c:pt>
                <c:pt idx="3442">
                  <c:v>43706</c:v>
                </c:pt>
                <c:pt idx="3443">
                  <c:v>43707</c:v>
                </c:pt>
                <c:pt idx="3444">
                  <c:v>43710</c:v>
                </c:pt>
                <c:pt idx="3445">
                  <c:v>43711</c:v>
                </c:pt>
                <c:pt idx="3446">
                  <c:v>43712</c:v>
                </c:pt>
                <c:pt idx="3447">
                  <c:v>43713</c:v>
                </c:pt>
                <c:pt idx="3448">
                  <c:v>43714</c:v>
                </c:pt>
                <c:pt idx="3449">
                  <c:v>43717</c:v>
                </c:pt>
                <c:pt idx="3450">
                  <c:v>43718</c:v>
                </c:pt>
                <c:pt idx="3451">
                  <c:v>43719</c:v>
                </c:pt>
                <c:pt idx="3452">
                  <c:v>43720</c:v>
                </c:pt>
                <c:pt idx="3453">
                  <c:v>43724</c:v>
                </c:pt>
                <c:pt idx="3454">
                  <c:v>43725</c:v>
                </c:pt>
                <c:pt idx="3455">
                  <c:v>43726</c:v>
                </c:pt>
                <c:pt idx="3456">
                  <c:v>43727</c:v>
                </c:pt>
                <c:pt idx="3457">
                  <c:v>43728</c:v>
                </c:pt>
                <c:pt idx="3458">
                  <c:v>43731</c:v>
                </c:pt>
                <c:pt idx="3459">
                  <c:v>43732</c:v>
                </c:pt>
                <c:pt idx="3460">
                  <c:v>43733</c:v>
                </c:pt>
                <c:pt idx="3461">
                  <c:v>43734</c:v>
                </c:pt>
                <c:pt idx="3462">
                  <c:v>43735</c:v>
                </c:pt>
                <c:pt idx="3463">
                  <c:v>43738</c:v>
                </c:pt>
                <c:pt idx="3464">
                  <c:v>43746</c:v>
                </c:pt>
                <c:pt idx="3465">
                  <c:v>43747</c:v>
                </c:pt>
                <c:pt idx="3466">
                  <c:v>43748</c:v>
                </c:pt>
                <c:pt idx="3467">
                  <c:v>43749</c:v>
                </c:pt>
                <c:pt idx="3468">
                  <c:v>43752</c:v>
                </c:pt>
                <c:pt idx="3469">
                  <c:v>43753</c:v>
                </c:pt>
                <c:pt idx="3470">
                  <c:v>43754</c:v>
                </c:pt>
                <c:pt idx="3471">
                  <c:v>43755</c:v>
                </c:pt>
                <c:pt idx="3472">
                  <c:v>43756</c:v>
                </c:pt>
                <c:pt idx="3473">
                  <c:v>43759</c:v>
                </c:pt>
                <c:pt idx="3474">
                  <c:v>43760</c:v>
                </c:pt>
                <c:pt idx="3475">
                  <c:v>43761</c:v>
                </c:pt>
                <c:pt idx="3476">
                  <c:v>43762</c:v>
                </c:pt>
                <c:pt idx="3477">
                  <c:v>43763</c:v>
                </c:pt>
                <c:pt idx="3478">
                  <c:v>43766</c:v>
                </c:pt>
                <c:pt idx="3479">
                  <c:v>43767</c:v>
                </c:pt>
                <c:pt idx="3480">
                  <c:v>43768</c:v>
                </c:pt>
                <c:pt idx="3481">
                  <c:v>43769</c:v>
                </c:pt>
                <c:pt idx="3482">
                  <c:v>43770</c:v>
                </c:pt>
                <c:pt idx="3483">
                  <c:v>43773</c:v>
                </c:pt>
                <c:pt idx="3484">
                  <c:v>43774</c:v>
                </c:pt>
                <c:pt idx="3485">
                  <c:v>43775</c:v>
                </c:pt>
                <c:pt idx="3486">
                  <c:v>43776</c:v>
                </c:pt>
                <c:pt idx="3487">
                  <c:v>43777</c:v>
                </c:pt>
                <c:pt idx="3488">
                  <c:v>43780</c:v>
                </c:pt>
                <c:pt idx="3489">
                  <c:v>43781</c:v>
                </c:pt>
                <c:pt idx="3490">
                  <c:v>43782</c:v>
                </c:pt>
                <c:pt idx="3491">
                  <c:v>43783</c:v>
                </c:pt>
                <c:pt idx="3492">
                  <c:v>43784</c:v>
                </c:pt>
                <c:pt idx="3493">
                  <c:v>43787</c:v>
                </c:pt>
                <c:pt idx="3494">
                  <c:v>43788</c:v>
                </c:pt>
                <c:pt idx="3495">
                  <c:v>43789</c:v>
                </c:pt>
                <c:pt idx="3496">
                  <c:v>43790</c:v>
                </c:pt>
                <c:pt idx="3497">
                  <c:v>43791</c:v>
                </c:pt>
                <c:pt idx="3498">
                  <c:v>43794</c:v>
                </c:pt>
                <c:pt idx="3499">
                  <c:v>43795</c:v>
                </c:pt>
                <c:pt idx="3500">
                  <c:v>43796</c:v>
                </c:pt>
                <c:pt idx="3501">
                  <c:v>43797</c:v>
                </c:pt>
                <c:pt idx="3502">
                  <c:v>43798</c:v>
                </c:pt>
                <c:pt idx="3503">
                  <c:v>43801</c:v>
                </c:pt>
                <c:pt idx="3504">
                  <c:v>43802</c:v>
                </c:pt>
                <c:pt idx="3505">
                  <c:v>43803</c:v>
                </c:pt>
                <c:pt idx="3506">
                  <c:v>43804</c:v>
                </c:pt>
                <c:pt idx="3507">
                  <c:v>43805</c:v>
                </c:pt>
                <c:pt idx="3508">
                  <c:v>43808</c:v>
                </c:pt>
                <c:pt idx="3509">
                  <c:v>43809</c:v>
                </c:pt>
                <c:pt idx="3510">
                  <c:v>43810</c:v>
                </c:pt>
                <c:pt idx="3511">
                  <c:v>43811</c:v>
                </c:pt>
                <c:pt idx="3512">
                  <c:v>43812</c:v>
                </c:pt>
                <c:pt idx="3513">
                  <c:v>43815</c:v>
                </c:pt>
                <c:pt idx="3514">
                  <c:v>43816</c:v>
                </c:pt>
                <c:pt idx="3515">
                  <c:v>43817</c:v>
                </c:pt>
                <c:pt idx="3516">
                  <c:v>43818</c:v>
                </c:pt>
                <c:pt idx="3517">
                  <c:v>43819</c:v>
                </c:pt>
                <c:pt idx="3518">
                  <c:v>43822</c:v>
                </c:pt>
                <c:pt idx="3519">
                  <c:v>43823</c:v>
                </c:pt>
                <c:pt idx="3520">
                  <c:v>43824</c:v>
                </c:pt>
                <c:pt idx="3521">
                  <c:v>43825</c:v>
                </c:pt>
                <c:pt idx="3522">
                  <c:v>43826</c:v>
                </c:pt>
                <c:pt idx="3523">
                  <c:v>43829</c:v>
                </c:pt>
                <c:pt idx="3524">
                  <c:v>43830</c:v>
                </c:pt>
                <c:pt idx="3525">
                  <c:v>43832</c:v>
                </c:pt>
                <c:pt idx="3526">
                  <c:v>43833</c:v>
                </c:pt>
                <c:pt idx="3527">
                  <c:v>43836</c:v>
                </c:pt>
                <c:pt idx="3528">
                  <c:v>43837</c:v>
                </c:pt>
                <c:pt idx="3529">
                  <c:v>43838</c:v>
                </c:pt>
                <c:pt idx="3530">
                  <c:v>43839</c:v>
                </c:pt>
                <c:pt idx="3531">
                  <c:v>43840</c:v>
                </c:pt>
                <c:pt idx="3532">
                  <c:v>43843</c:v>
                </c:pt>
                <c:pt idx="3533">
                  <c:v>43844</c:v>
                </c:pt>
                <c:pt idx="3534">
                  <c:v>43845</c:v>
                </c:pt>
                <c:pt idx="3535">
                  <c:v>43846</c:v>
                </c:pt>
                <c:pt idx="3536">
                  <c:v>43847</c:v>
                </c:pt>
                <c:pt idx="3537">
                  <c:v>43850</c:v>
                </c:pt>
                <c:pt idx="3538">
                  <c:v>43851</c:v>
                </c:pt>
                <c:pt idx="3539">
                  <c:v>43852</c:v>
                </c:pt>
                <c:pt idx="3540">
                  <c:v>43853</c:v>
                </c:pt>
                <c:pt idx="3541">
                  <c:v>43864</c:v>
                </c:pt>
                <c:pt idx="3542">
                  <c:v>43865</c:v>
                </c:pt>
                <c:pt idx="3543">
                  <c:v>43866</c:v>
                </c:pt>
                <c:pt idx="3544">
                  <c:v>43867</c:v>
                </c:pt>
                <c:pt idx="3545">
                  <c:v>43868</c:v>
                </c:pt>
                <c:pt idx="3546">
                  <c:v>43871</c:v>
                </c:pt>
                <c:pt idx="3547">
                  <c:v>43872</c:v>
                </c:pt>
                <c:pt idx="3548">
                  <c:v>43873</c:v>
                </c:pt>
                <c:pt idx="3549">
                  <c:v>43874</c:v>
                </c:pt>
                <c:pt idx="3550">
                  <c:v>43875</c:v>
                </c:pt>
                <c:pt idx="3551">
                  <c:v>43878</c:v>
                </c:pt>
                <c:pt idx="3552">
                  <c:v>43879</c:v>
                </c:pt>
                <c:pt idx="3553">
                  <c:v>43880</c:v>
                </c:pt>
                <c:pt idx="3554">
                  <c:v>43881</c:v>
                </c:pt>
                <c:pt idx="3555">
                  <c:v>43882</c:v>
                </c:pt>
                <c:pt idx="3556">
                  <c:v>43885</c:v>
                </c:pt>
                <c:pt idx="3557">
                  <c:v>43886</c:v>
                </c:pt>
                <c:pt idx="3558">
                  <c:v>43887</c:v>
                </c:pt>
                <c:pt idx="3559">
                  <c:v>43888</c:v>
                </c:pt>
                <c:pt idx="3560">
                  <c:v>43889</c:v>
                </c:pt>
                <c:pt idx="3561">
                  <c:v>43892</c:v>
                </c:pt>
                <c:pt idx="3562">
                  <c:v>43893</c:v>
                </c:pt>
                <c:pt idx="3563">
                  <c:v>43894</c:v>
                </c:pt>
                <c:pt idx="3564">
                  <c:v>43895</c:v>
                </c:pt>
                <c:pt idx="3565">
                  <c:v>43896</c:v>
                </c:pt>
                <c:pt idx="3566">
                  <c:v>43899</c:v>
                </c:pt>
                <c:pt idx="3567">
                  <c:v>43900</c:v>
                </c:pt>
                <c:pt idx="3568">
                  <c:v>43901</c:v>
                </c:pt>
                <c:pt idx="3569">
                  <c:v>43902</c:v>
                </c:pt>
                <c:pt idx="3570">
                  <c:v>43903</c:v>
                </c:pt>
                <c:pt idx="3571">
                  <c:v>43906</c:v>
                </c:pt>
                <c:pt idx="3572">
                  <c:v>43907</c:v>
                </c:pt>
                <c:pt idx="3573">
                  <c:v>43908</c:v>
                </c:pt>
                <c:pt idx="3574">
                  <c:v>43909</c:v>
                </c:pt>
                <c:pt idx="3575">
                  <c:v>43910</c:v>
                </c:pt>
                <c:pt idx="3576">
                  <c:v>43913</c:v>
                </c:pt>
                <c:pt idx="3577">
                  <c:v>43914</c:v>
                </c:pt>
                <c:pt idx="3578">
                  <c:v>43915</c:v>
                </c:pt>
                <c:pt idx="3579">
                  <c:v>43916</c:v>
                </c:pt>
                <c:pt idx="3580">
                  <c:v>43917</c:v>
                </c:pt>
                <c:pt idx="3581">
                  <c:v>43920</c:v>
                </c:pt>
                <c:pt idx="3582">
                  <c:v>43921</c:v>
                </c:pt>
                <c:pt idx="3583">
                  <c:v>43922</c:v>
                </c:pt>
                <c:pt idx="3584">
                  <c:v>43923</c:v>
                </c:pt>
                <c:pt idx="3585">
                  <c:v>43924</c:v>
                </c:pt>
                <c:pt idx="3586">
                  <c:v>43928</c:v>
                </c:pt>
                <c:pt idx="3587">
                  <c:v>43929</c:v>
                </c:pt>
                <c:pt idx="3588">
                  <c:v>43930</c:v>
                </c:pt>
                <c:pt idx="3589">
                  <c:v>43931</c:v>
                </c:pt>
                <c:pt idx="3590">
                  <c:v>43934</c:v>
                </c:pt>
                <c:pt idx="3591">
                  <c:v>43935</c:v>
                </c:pt>
                <c:pt idx="3592">
                  <c:v>43936</c:v>
                </c:pt>
                <c:pt idx="3593">
                  <c:v>43937</c:v>
                </c:pt>
                <c:pt idx="3594">
                  <c:v>43938</c:v>
                </c:pt>
                <c:pt idx="3595">
                  <c:v>43941</c:v>
                </c:pt>
                <c:pt idx="3596">
                  <c:v>43942</c:v>
                </c:pt>
                <c:pt idx="3597">
                  <c:v>43943</c:v>
                </c:pt>
                <c:pt idx="3598">
                  <c:v>43944</c:v>
                </c:pt>
                <c:pt idx="3599">
                  <c:v>43945</c:v>
                </c:pt>
                <c:pt idx="3600">
                  <c:v>43948</c:v>
                </c:pt>
                <c:pt idx="3601">
                  <c:v>43949</c:v>
                </c:pt>
                <c:pt idx="3602">
                  <c:v>43950</c:v>
                </c:pt>
                <c:pt idx="3603">
                  <c:v>43951</c:v>
                </c:pt>
                <c:pt idx="3604">
                  <c:v>43957</c:v>
                </c:pt>
                <c:pt idx="3605">
                  <c:v>43958</c:v>
                </c:pt>
                <c:pt idx="3606">
                  <c:v>43959</c:v>
                </c:pt>
                <c:pt idx="3607">
                  <c:v>43962</c:v>
                </c:pt>
                <c:pt idx="3608">
                  <c:v>43963</c:v>
                </c:pt>
                <c:pt idx="3609">
                  <c:v>43964</c:v>
                </c:pt>
                <c:pt idx="3610">
                  <c:v>43965</c:v>
                </c:pt>
                <c:pt idx="3611">
                  <c:v>43966</c:v>
                </c:pt>
                <c:pt idx="3612">
                  <c:v>43969</c:v>
                </c:pt>
                <c:pt idx="3613">
                  <c:v>43970</c:v>
                </c:pt>
                <c:pt idx="3614">
                  <c:v>43971</c:v>
                </c:pt>
                <c:pt idx="3615">
                  <c:v>43972</c:v>
                </c:pt>
                <c:pt idx="3616">
                  <c:v>43973</c:v>
                </c:pt>
                <c:pt idx="3617">
                  <c:v>43976</c:v>
                </c:pt>
                <c:pt idx="3618">
                  <c:v>43977</c:v>
                </c:pt>
                <c:pt idx="3619">
                  <c:v>43978</c:v>
                </c:pt>
                <c:pt idx="3620">
                  <c:v>43979</c:v>
                </c:pt>
                <c:pt idx="3621">
                  <c:v>43980</c:v>
                </c:pt>
                <c:pt idx="3622">
                  <c:v>43983</c:v>
                </c:pt>
                <c:pt idx="3623">
                  <c:v>43984</c:v>
                </c:pt>
                <c:pt idx="3624">
                  <c:v>43985</c:v>
                </c:pt>
                <c:pt idx="3625">
                  <c:v>43986</c:v>
                </c:pt>
                <c:pt idx="3626">
                  <c:v>43987</c:v>
                </c:pt>
                <c:pt idx="3627">
                  <c:v>43990</c:v>
                </c:pt>
                <c:pt idx="3628">
                  <c:v>43991</c:v>
                </c:pt>
                <c:pt idx="3629">
                  <c:v>43992</c:v>
                </c:pt>
                <c:pt idx="3630">
                  <c:v>43993</c:v>
                </c:pt>
                <c:pt idx="3631">
                  <c:v>43994</c:v>
                </c:pt>
                <c:pt idx="3632">
                  <c:v>43997</c:v>
                </c:pt>
                <c:pt idx="3633">
                  <c:v>43998</c:v>
                </c:pt>
                <c:pt idx="3634">
                  <c:v>43999</c:v>
                </c:pt>
                <c:pt idx="3635">
                  <c:v>44000</c:v>
                </c:pt>
                <c:pt idx="3636">
                  <c:v>44001</c:v>
                </c:pt>
                <c:pt idx="3637">
                  <c:v>44004</c:v>
                </c:pt>
                <c:pt idx="3638">
                  <c:v>44005</c:v>
                </c:pt>
                <c:pt idx="3639">
                  <c:v>44006</c:v>
                </c:pt>
                <c:pt idx="3640">
                  <c:v>44011</c:v>
                </c:pt>
                <c:pt idx="3641">
                  <c:v>44012</c:v>
                </c:pt>
                <c:pt idx="3642">
                  <c:v>44013</c:v>
                </c:pt>
                <c:pt idx="3643">
                  <c:v>44014</c:v>
                </c:pt>
                <c:pt idx="3644">
                  <c:v>44015</c:v>
                </c:pt>
                <c:pt idx="3645">
                  <c:v>44018</c:v>
                </c:pt>
                <c:pt idx="3646">
                  <c:v>44019</c:v>
                </c:pt>
                <c:pt idx="3647">
                  <c:v>44020</c:v>
                </c:pt>
                <c:pt idx="3648">
                  <c:v>44021</c:v>
                </c:pt>
                <c:pt idx="3649">
                  <c:v>44022</c:v>
                </c:pt>
                <c:pt idx="3650">
                  <c:v>44025</c:v>
                </c:pt>
                <c:pt idx="3651">
                  <c:v>44026</c:v>
                </c:pt>
                <c:pt idx="3652">
                  <c:v>44027</c:v>
                </c:pt>
                <c:pt idx="3653">
                  <c:v>44028</c:v>
                </c:pt>
                <c:pt idx="3654">
                  <c:v>44029</c:v>
                </c:pt>
                <c:pt idx="3655">
                  <c:v>44032</c:v>
                </c:pt>
                <c:pt idx="3656">
                  <c:v>44033</c:v>
                </c:pt>
                <c:pt idx="3657">
                  <c:v>44034</c:v>
                </c:pt>
                <c:pt idx="3658">
                  <c:v>44035</c:v>
                </c:pt>
                <c:pt idx="3659">
                  <c:v>44036</c:v>
                </c:pt>
                <c:pt idx="3660">
                  <c:v>44039</c:v>
                </c:pt>
                <c:pt idx="3661">
                  <c:v>44040</c:v>
                </c:pt>
                <c:pt idx="3662">
                  <c:v>44041</c:v>
                </c:pt>
                <c:pt idx="3663">
                  <c:v>44042</c:v>
                </c:pt>
                <c:pt idx="3664">
                  <c:v>44043</c:v>
                </c:pt>
                <c:pt idx="3665">
                  <c:v>44046</c:v>
                </c:pt>
                <c:pt idx="3666">
                  <c:v>44047</c:v>
                </c:pt>
                <c:pt idx="3667">
                  <c:v>44048</c:v>
                </c:pt>
                <c:pt idx="3668">
                  <c:v>44049</c:v>
                </c:pt>
                <c:pt idx="3669">
                  <c:v>44050</c:v>
                </c:pt>
                <c:pt idx="3670">
                  <c:v>44053</c:v>
                </c:pt>
                <c:pt idx="3671">
                  <c:v>44054</c:v>
                </c:pt>
                <c:pt idx="3672">
                  <c:v>44055</c:v>
                </c:pt>
                <c:pt idx="3673">
                  <c:v>44056</c:v>
                </c:pt>
                <c:pt idx="3674">
                  <c:v>44057</c:v>
                </c:pt>
                <c:pt idx="3675">
                  <c:v>44060</c:v>
                </c:pt>
                <c:pt idx="3676">
                  <c:v>44061</c:v>
                </c:pt>
                <c:pt idx="3677">
                  <c:v>44062</c:v>
                </c:pt>
                <c:pt idx="3678">
                  <c:v>44063</c:v>
                </c:pt>
                <c:pt idx="3679">
                  <c:v>44064</c:v>
                </c:pt>
                <c:pt idx="3680">
                  <c:v>44067</c:v>
                </c:pt>
                <c:pt idx="3681">
                  <c:v>44068</c:v>
                </c:pt>
                <c:pt idx="3682">
                  <c:v>44069</c:v>
                </c:pt>
                <c:pt idx="3683">
                  <c:v>44070</c:v>
                </c:pt>
                <c:pt idx="3684">
                  <c:v>44071</c:v>
                </c:pt>
                <c:pt idx="3685">
                  <c:v>44074</c:v>
                </c:pt>
                <c:pt idx="3686">
                  <c:v>44075</c:v>
                </c:pt>
                <c:pt idx="3687">
                  <c:v>44076</c:v>
                </c:pt>
                <c:pt idx="3688">
                  <c:v>44077</c:v>
                </c:pt>
                <c:pt idx="3689">
                  <c:v>44078</c:v>
                </c:pt>
                <c:pt idx="3690">
                  <c:v>44081</c:v>
                </c:pt>
                <c:pt idx="3691">
                  <c:v>44082</c:v>
                </c:pt>
                <c:pt idx="3692">
                  <c:v>44083</c:v>
                </c:pt>
                <c:pt idx="3693">
                  <c:v>44084</c:v>
                </c:pt>
                <c:pt idx="3694">
                  <c:v>44085</c:v>
                </c:pt>
                <c:pt idx="3695">
                  <c:v>44088</c:v>
                </c:pt>
                <c:pt idx="3696">
                  <c:v>44089</c:v>
                </c:pt>
                <c:pt idx="3697">
                  <c:v>44090</c:v>
                </c:pt>
                <c:pt idx="3698">
                  <c:v>44091</c:v>
                </c:pt>
                <c:pt idx="3699">
                  <c:v>44092</c:v>
                </c:pt>
                <c:pt idx="3700">
                  <c:v>44095</c:v>
                </c:pt>
                <c:pt idx="3701">
                  <c:v>44096</c:v>
                </c:pt>
                <c:pt idx="3702">
                  <c:v>44097</c:v>
                </c:pt>
                <c:pt idx="3703">
                  <c:v>44098</c:v>
                </c:pt>
                <c:pt idx="3704">
                  <c:v>44099</c:v>
                </c:pt>
                <c:pt idx="3705">
                  <c:v>44102</c:v>
                </c:pt>
                <c:pt idx="3706">
                  <c:v>44103</c:v>
                </c:pt>
                <c:pt idx="3707">
                  <c:v>44104</c:v>
                </c:pt>
                <c:pt idx="3708">
                  <c:v>44113</c:v>
                </c:pt>
                <c:pt idx="3709">
                  <c:v>44116</c:v>
                </c:pt>
                <c:pt idx="3710">
                  <c:v>44117</c:v>
                </c:pt>
                <c:pt idx="3711">
                  <c:v>44118</c:v>
                </c:pt>
                <c:pt idx="3712">
                  <c:v>44119</c:v>
                </c:pt>
                <c:pt idx="3713">
                  <c:v>44120</c:v>
                </c:pt>
                <c:pt idx="3714">
                  <c:v>44123</c:v>
                </c:pt>
                <c:pt idx="3715">
                  <c:v>44124</c:v>
                </c:pt>
                <c:pt idx="3716">
                  <c:v>44125</c:v>
                </c:pt>
                <c:pt idx="3717">
                  <c:v>44126</c:v>
                </c:pt>
                <c:pt idx="3718">
                  <c:v>44127</c:v>
                </c:pt>
                <c:pt idx="3719">
                  <c:v>44130</c:v>
                </c:pt>
                <c:pt idx="3720">
                  <c:v>44131</c:v>
                </c:pt>
                <c:pt idx="3721">
                  <c:v>44132</c:v>
                </c:pt>
                <c:pt idx="3722">
                  <c:v>44133</c:v>
                </c:pt>
                <c:pt idx="3723">
                  <c:v>44134</c:v>
                </c:pt>
                <c:pt idx="3724">
                  <c:v>44137</c:v>
                </c:pt>
                <c:pt idx="3725">
                  <c:v>44138</c:v>
                </c:pt>
                <c:pt idx="3726">
                  <c:v>44139</c:v>
                </c:pt>
                <c:pt idx="3727">
                  <c:v>44140</c:v>
                </c:pt>
                <c:pt idx="3728">
                  <c:v>44141</c:v>
                </c:pt>
                <c:pt idx="3729">
                  <c:v>44144</c:v>
                </c:pt>
                <c:pt idx="3730">
                  <c:v>44145</c:v>
                </c:pt>
                <c:pt idx="3731">
                  <c:v>44146</c:v>
                </c:pt>
                <c:pt idx="3732">
                  <c:v>44147</c:v>
                </c:pt>
                <c:pt idx="3733">
                  <c:v>44148</c:v>
                </c:pt>
                <c:pt idx="3734">
                  <c:v>44151</c:v>
                </c:pt>
                <c:pt idx="3735">
                  <c:v>44152</c:v>
                </c:pt>
                <c:pt idx="3736">
                  <c:v>44153</c:v>
                </c:pt>
                <c:pt idx="3737">
                  <c:v>44154</c:v>
                </c:pt>
                <c:pt idx="3738">
                  <c:v>44155</c:v>
                </c:pt>
                <c:pt idx="3739">
                  <c:v>44158</c:v>
                </c:pt>
                <c:pt idx="3740">
                  <c:v>44159</c:v>
                </c:pt>
                <c:pt idx="3741">
                  <c:v>44160</c:v>
                </c:pt>
                <c:pt idx="3742">
                  <c:v>44161</c:v>
                </c:pt>
              </c:numCache>
            </c:numRef>
          </c:xVal>
          <c:yVal>
            <c:numRef>
              <c:f>'PB ROE'!$B$3:$B$3745</c:f>
              <c:numCache>
                <c:formatCode>#,##0.0</c:formatCode>
                <c:ptCount val="3743"/>
                <c:pt idx="0">
                  <c:v>2.5974508914289678</c:v>
                </c:pt>
                <c:pt idx="1">
                  <c:v>2.3833111245518803</c:v>
                </c:pt>
                <c:pt idx="2">
                  <c:v>2.4080742819375534</c:v>
                </c:pt>
                <c:pt idx="3">
                  <c:v>2.2235343066515552</c:v>
                </c:pt>
                <c:pt idx="4">
                  <c:v>2.1699314283707909</c:v>
                </c:pt>
                <c:pt idx="5">
                  <c:v>2.1686485231166039</c:v>
                </c:pt>
                <c:pt idx="6">
                  <c:v>2.2430549975442982</c:v>
                </c:pt>
                <c:pt idx="7">
                  <c:v>2.1895986869108985</c:v>
                </c:pt>
                <c:pt idx="8">
                  <c:v>2.2404105401815855</c:v>
                </c:pt>
                <c:pt idx="9">
                  <c:v>2.2651265861637238</c:v>
                </c:pt>
                <c:pt idx="10">
                  <c:v>2.3418547439236863</c:v>
                </c:pt>
                <c:pt idx="11">
                  <c:v>2.3117507800083006</c:v>
                </c:pt>
                <c:pt idx="12">
                  <c:v>2.232514448542362</c:v>
                </c:pt>
                <c:pt idx="13">
                  <c:v>2.1793153798513449</c:v>
                </c:pt>
                <c:pt idx="14">
                  <c:v>2.2039657629272824</c:v>
                </c:pt>
                <c:pt idx="15">
                  <c:v>2.2026734326268924</c:v>
                </c:pt>
                <c:pt idx="16">
                  <c:v>2.1988055190982956</c:v>
                </c:pt>
                <c:pt idx="17">
                  <c:v>2.2492255663887901</c:v>
                </c:pt>
                <c:pt idx="18">
                  <c:v>2.2737486050098394</c:v>
                </c:pt>
                <c:pt idx="19">
                  <c:v>2.2207741208299234</c:v>
                </c:pt>
                <c:pt idx="20">
                  <c:v>2.2452851328258809</c:v>
                </c:pt>
                <c:pt idx="21">
                  <c:v>2.2155957404936641</c:v>
                </c:pt>
                <c:pt idx="22">
                  <c:v>2.2400526482056482</c:v>
                </c:pt>
                <c:pt idx="23">
                  <c:v>2.2644810749290878</c:v>
                </c:pt>
                <c:pt idx="24">
                  <c:v>2.3145988352216</c:v>
                </c:pt>
                <c:pt idx="25">
                  <c:v>2.6473891830082299</c:v>
                </c:pt>
                <c:pt idx="26">
                  <c:v>2.6427781310092953</c:v>
                </c:pt>
                <c:pt idx="27">
                  <c:v>2.6156015287991368</c:v>
                </c:pt>
                <c:pt idx="28">
                  <c:v>2.7165978545257849</c:v>
                </c:pt>
                <c:pt idx="29">
                  <c:v>2.6637965418362008</c:v>
                </c:pt>
                <c:pt idx="30">
                  <c:v>2.6622535819803637</c:v>
                </c:pt>
                <c:pt idx="31">
                  <c:v>2.6576354086147833</c:v>
                </c:pt>
                <c:pt idx="32">
                  <c:v>2.6816389949143273</c:v>
                </c:pt>
                <c:pt idx="33">
                  <c:v>2.6035161804176656</c:v>
                </c:pt>
                <c:pt idx="34">
                  <c:v>2.602013359861814</c:v>
                </c:pt>
                <c:pt idx="35">
                  <c:v>2.651502709973379</c:v>
                </c:pt>
                <c:pt idx="36">
                  <c:v>2.545117046130287</c:v>
                </c:pt>
                <c:pt idx="37">
                  <c:v>2.5945252062602151</c:v>
                </c:pt>
                <c:pt idx="38">
                  <c:v>2.4913451858708289</c:v>
                </c:pt>
                <c:pt idx="39">
                  <c:v>2.6169492732383102</c:v>
                </c:pt>
                <c:pt idx="40">
                  <c:v>2.5900529660913794</c:v>
                </c:pt>
                <c:pt idx="41">
                  <c:v>2.5348981541076312</c:v>
                </c:pt>
                <c:pt idx="42">
                  <c:v>2.558779457372971</c:v>
                </c:pt>
                <c:pt idx="43">
                  <c:v>2.5573134608453434</c:v>
                </c:pt>
                <c:pt idx="44">
                  <c:v>2.5558491431769164</c:v>
                </c:pt>
                <c:pt idx="45">
                  <c:v>2.5543865014853968</c:v>
                </c:pt>
                <c:pt idx="46">
                  <c:v>2.5752562134842627</c:v>
                </c:pt>
                <c:pt idx="47">
                  <c:v>2.5737858314993769</c:v>
                </c:pt>
                <c:pt idx="48">
                  <c:v>2.5975359229995099</c:v>
                </c:pt>
                <c:pt idx="49">
                  <c:v>2.8228942263603209</c:v>
                </c:pt>
                <c:pt idx="50">
                  <c:v>2.8716653007353146</c:v>
                </c:pt>
                <c:pt idx="51">
                  <c:v>2.86676323032684</c:v>
                </c:pt>
                <c:pt idx="52">
                  <c:v>2.8148674339915138</c:v>
                </c:pt>
                <c:pt idx="53">
                  <c:v>2.8635044706734245</c:v>
                </c:pt>
                <c:pt idx="54">
                  <c:v>2.9622946348182677</c:v>
                </c:pt>
                <c:pt idx="55">
                  <c:v>2.9857028091868227</c:v>
                </c:pt>
                <c:pt idx="56">
                  <c:v>3.0056735713807203</c:v>
                </c:pt>
                <c:pt idx="57">
                  <c:v>2.9288717690501929</c:v>
                </c:pt>
                <c:pt idx="58">
                  <c:v>3.0523082874133638</c:v>
                </c:pt>
                <c:pt idx="59">
                  <c:v>3.0255765372486181</c:v>
                </c:pt>
                <c:pt idx="60">
                  <c:v>3.2987625213847895</c:v>
                </c:pt>
                <c:pt idx="61">
                  <c:v>3.9263163763811106</c:v>
                </c:pt>
                <c:pt idx="62">
                  <c:v>3.9241098615165839</c:v>
                </c:pt>
                <c:pt idx="63">
                  <c:v>4.0211945803684088</c:v>
                </c:pt>
                <c:pt idx="64">
                  <c:v>3.6964299700565983</c:v>
                </c:pt>
                <c:pt idx="65">
                  <c:v>3.5703844606561983</c:v>
                </c:pt>
                <c:pt idx="66">
                  <c:v>3.8366646525832433</c:v>
                </c:pt>
                <c:pt idx="67">
                  <c:v>3.9829498839048676</c:v>
                </c:pt>
                <c:pt idx="68">
                  <c:v>3.9065466243866775</c:v>
                </c:pt>
                <c:pt idx="69">
                  <c:v>3.9290734214395613</c:v>
                </c:pt>
                <c:pt idx="70">
                  <c:v>3.9268776967221619</c:v>
                </c:pt>
                <c:pt idx="71">
                  <c:v>3.9696172380186101</c:v>
                </c:pt>
                <c:pt idx="72">
                  <c:v>3.7456234667592154</c:v>
                </c:pt>
                <c:pt idx="73">
                  <c:v>3.7927931476834433</c:v>
                </c:pt>
                <c:pt idx="74">
                  <c:v>3.7168362365816869</c:v>
                </c:pt>
                <c:pt idx="75">
                  <c:v>3.6409638902442114</c:v>
                </c:pt>
                <c:pt idx="76">
                  <c:v>3.7085739375719426</c:v>
                </c:pt>
                <c:pt idx="77">
                  <c:v>3.7556070011651195</c:v>
                </c:pt>
                <c:pt idx="78">
                  <c:v>3.7535221973502066</c:v>
                </c:pt>
                <c:pt idx="79">
                  <c:v>3.8004781344148357</c:v>
                </c:pt>
                <c:pt idx="80">
                  <c:v>3.7493595258882428</c:v>
                </c:pt>
                <c:pt idx="81">
                  <c:v>3.6697380407048756</c:v>
                </c:pt>
                <c:pt idx="82">
                  <c:v>3.6432562824001979</c:v>
                </c:pt>
                <c:pt idx="83">
                  <c:v>3.7878688564025977</c:v>
                </c:pt>
                <c:pt idx="84">
                  <c:v>3.8101997978790552</c:v>
                </c:pt>
                <c:pt idx="85">
                  <c:v>3.7348626032528522</c:v>
                </c:pt>
                <c:pt idx="86">
                  <c:v>3.7530543804489667</c:v>
                </c:pt>
                <c:pt idx="87">
                  <c:v>3.7266288693065408</c:v>
                </c:pt>
                <c:pt idx="88">
                  <c:v>3.7002324704501399</c:v>
                </c:pt>
                <c:pt idx="89">
                  <c:v>3.819846531922316</c:v>
                </c:pt>
                <c:pt idx="90">
                  <c:v>3.9636458082128265</c:v>
                </c:pt>
                <c:pt idx="91">
                  <c:v>3.957113832996038</c:v>
                </c:pt>
                <c:pt idx="92">
                  <c:v>3.809360628559221</c:v>
                </c:pt>
                <c:pt idx="93">
                  <c:v>3.831520482122404</c:v>
                </c:pt>
                <c:pt idx="94">
                  <c:v>3.902129690622961</c:v>
                </c:pt>
                <c:pt idx="95">
                  <c:v>3.9484379488647932</c:v>
                </c:pt>
                <c:pt idx="96">
                  <c:v>4.3530802020440467</c:v>
                </c:pt>
                <c:pt idx="97">
                  <c:v>4.3023583093705762</c:v>
                </c:pt>
                <c:pt idx="98">
                  <c:v>4.3241638885164351</c:v>
                </c:pt>
                <c:pt idx="99">
                  <c:v>4.2252249296198183</c:v>
                </c:pt>
                <c:pt idx="100">
                  <c:v>4.1263940169019451</c:v>
                </c:pt>
                <c:pt idx="101">
                  <c:v>4.3605606904400487</c:v>
                </c:pt>
                <c:pt idx="102">
                  <c:v>4.2618714280853389</c:v>
                </c:pt>
                <c:pt idx="103">
                  <c:v>4.3076811942039033</c:v>
                </c:pt>
                <c:pt idx="104">
                  <c:v>4.3534410971778943</c:v>
                </c:pt>
                <c:pt idx="105">
                  <c:v>4.3270339852876658</c:v>
                </c:pt>
                <c:pt idx="106">
                  <c:v>4.2959845646561945</c:v>
                </c:pt>
                <c:pt idx="107">
                  <c:v>4.2936528569642718</c:v>
                </c:pt>
                <c:pt idx="108">
                  <c:v>4.4591408061484765</c:v>
                </c:pt>
                <c:pt idx="109">
                  <c:v>4.312957903999175</c:v>
                </c:pt>
                <c:pt idx="110">
                  <c:v>4.3345686825642504</c:v>
                </c:pt>
                <c:pt idx="111">
                  <c:v>4.3036246177864808</c:v>
                </c:pt>
                <c:pt idx="112">
                  <c:v>4.301297604485967</c:v>
                </c:pt>
                <c:pt idx="113">
                  <c:v>4.2750899223807801</c:v>
                </c:pt>
                <c:pt idx="114">
                  <c:v>4.177299699190355</c:v>
                </c:pt>
                <c:pt idx="115">
                  <c:v>4.2943316390069031</c:v>
                </c:pt>
                <c:pt idx="116">
                  <c:v>4.2873881998539396</c:v>
                </c:pt>
                <c:pt idx="117">
                  <c:v>4.2850787071109773</c:v>
                </c:pt>
                <c:pt idx="118">
                  <c:v>4.3303580533780508</c:v>
                </c:pt>
                <c:pt idx="119">
                  <c:v>4.3993690439898288</c:v>
                </c:pt>
                <c:pt idx="120">
                  <c:v>4.4683058060833361</c:v>
                </c:pt>
                <c:pt idx="121">
                  <c:v>4.7552065039326754</c:v>
                </c:pt>
                <c:pt idx="122">
                  <c:v>4.854927809021012</c:v>
                </c:pt>
                <c:pt idx="123">
                  <c:v>4.8956461086195295</c:v>
                </c:pt>
                <c:pt idx="124">
                  <c:v>4.9583965793022555</c:v>
                </c:pt>
                <c:pt idx="125">
                  <c:v>4.9407149294304515</c:v>
                </c:pt>
                <c:pt idx="126">
                  <c:v>5.2666351419555886</c:v>
                </c:pt>
                <c:pt idx="127">
                  <c:v>5.4761606705663981</c:v>
                </c:pt>
                <c:pt idx="128">
                  <c:v>5.7410497564641867</c:v>
                </c:pt>
                <c:pt idx="129">
                  <c:v>5.9621521388911276</c:v>
                </c:pt>
                <c:pt idx="130">
                  <c:v>6.1095619701316348</c:v>
                </c:pt>
                <c:pt idx="131">
                  <c:v>6.088379554899304</c:v>
                </c:pt>
                <c:pt idx="132">
                  <c:v>6.0673435149476482</c:v>
                </c:pt>
                <c:pt idx="133">
                  <c:v>5.8800362188694031</c:v>
                </c:pt>
                <c:pt idx="134">
                  <c:v>5.4904891532273234</c:v>
                </c:pt>
                <c:pt idx="135">
                  <c:v>5.417122638296064</c:v>
                </c:pt>
                <c:pt idx="136">
                  <c:v>5.5187590200838494</c:v>
                </c:pt>
                <c:pt idx="137">
                  <c:v>5.3033410624486343</c:v>
                </c:pt>
                <c:pt idx="138">
                  <c:v>5.2756992828984943</c:v>
                </c:pt>
                <c:pt idx="139">
                  <c:v>5.1545176651524933</c:v>
                </c:pt>
                <c:pt idx="140">
                  <c:v>4.982218679835988</c:v>
                </c:pt>
                <c:pt idx="141">
                  <c:v>5.1214149982235515</c:v>
                </c:pt>
                <c:pt idx="142">
                  <c:v>4.8675990558768945</c:v>
                </c:pt>
                <c:pt idx="143">
                  <c:v>4.4946391241935428</c:v>
                </c:pt>
                <c:pt idx="144">
                  <c:v>4.6840908617105717</c:v>
                </c:pt>
                <c:pt idx="145">
                  <c:v>4.7200880208222564</c:v>
                </c:pt>
                <c:pt idx="146">
                  <c:v>4.7052648400852579</c:v>
                </c:pt>
                <c:pt idx="147">
                  <c:v>4.8117147879552329</c:v>
                </c:pt>
                <c:pt idx="148">
                  <c:v>5.0965907813723508</c:v>
                </c:pt>
                <c:pt idx="149">
                  <c:v>5.1804568215162661</c:v>
                </c:pt>
                <c:pt idx="150">
                  <c:v>5.2638058500303675</c:v>
                </c:pt>
                <c:pt idx="151">
                  <c:v>5.198124782161603</c:v>
                </c:pt>
                <c:pt idx="152">
                  <c:v>4.9544276871763309</c:v>
                </c:pt>
                <c:pt idx="153">
                  <c:v>4.8317974837285469</c:v>
                </c:pt>
                <c:pt idx="154">
                  <c:v>4.8756827486205339</c:v>
                </c:pt>
                <c:pt idx="155">
                  <c:v>4.8609715283442334</c:v>
                </c:pt>
                <c:pt idx="156">
                  <c:v>4.7494218399499015</c:v>
                </c:pt>
                <c:pt idx="157">
                  <c:v>4.6108836607440029</c:v>
                </c:pt>
                <c:pt idx="158">
                  <c:v>4.5492909018040484</c:v>
                </c:pt>
                <c:pt idx="159">
                  <c:v>4.0106096831876288</c:v>
                </c:pt>
                <c:pt idx="160">
                  <c:v>4.2367802786364113</c:v>
                </c:pt>
                <c:pt idx="161">
                  <c:v>4.1768340684318117</c:v>
                </c:pt>
                <c:pt idx="162">
                  <c:v>4.1872889582747987</c:v>
                </c:pt>
                <c:pt idx="163">
                  <c:v>4.0812738783365772</c:v>
                </c:pt>
                <c:pt idx="164">
                  <c:v>4.2565243603976413</c:v>
                </c:pt>
                <c:pt idx="165">
                  <c:v>4.3841205703938364</c:v>
                </c:pt>
                <c:pt idx="166">
                  <c:v>4.3714652876707332</c:v>
                </c:pt>
                <c:pt idx="167">
                  <c:v>4.3339340475094357</c:v>
                </c:pt>
                <c:pt idx="168">
                  <c:v>4.2296182143616905</c:v>
                </c:pt>
                <c:pt idx="169">
                  <c:v>4.171739342162029</c:v>
                </c:pt>
                <c:pt idx="170">
                  <c:v>3.9770492985767931</c:v>
                </c:pt>
                <c:pt idx="171">
                  <c:v>4.1481319230592186</c:v>
                </c:pt>
                <c:pt idx="172">
                  <c:v>4.2488181255888309</c:v>
                </c:pt>
                <c:pt idx="173">
                  <c:v>4.2369308632609846</c:v>
                </c:pt>
                <c:pt idx="174">
                  <c:v>4.0902659972904916</c:v>
                </c:pt>
                <c:pt idx="175">
                  <c:v>4.0788860065259422</c:v>
                </c:pt>
                <c:pt idx="176">
                  <c:v>3.9334734764872796</c:v>
                </c:pt>
                <c:pt idx="177">
                  <c:v>4.2556402338827359</c:v>
                </c:pt>
                <c:pt idx="178">
                  <c:v>4.1997546417108946</c:v>
                </c:pt>
                <c:pt idx="179">
                  <c:v>4.188261882053065</c:v>
                </c:pt>
                <c:pt idx="180">
                  <c:v>4.4406317577261518</c:v>
                </c:pt>
                <c:pt idx="181">
                  <c:v>4.2970050069562706</c:v>
                </c:pt>
                <c:pt idx="182">
                  <c:v>4.6971233323693617</c:v>
                </c:pt>
                <c:pt idx="183">
                  <c:v>5.5085981275502007</c:v>
                </c:pt>
                <c:pt idx="184">
                  <c:v>5.9263902405375575</c:v>
                </c:pt>
                <c:pt idx="185">
                  <c:v>5.737950000736368</c:v>
                </c:pt>
                <c:pt idx="186">
                  <c:v>5.7226253489601522</c:v>
                </c:pt>
                <c:pt idx="187">
                  <c:v>5.6771386302283444</c:v>
                </c:pt>
                <c:pt idx="188">
                  <c:v>5.9601438494311729</c:v>
                </c:pt>
                <c:pt idx="189">
                  <c:v>5.9444355377545381</c:v>
                </c:pt>
                <c:pt idx="190">
                  <c:v>5.8441125258127151</c:v>
                </c:pt>
                <c:pt idx="191">
                  <c:v>5.6598403267505137</c:v>
                </c:pt>
                <c:pt idx="192">
                  <c:v>5.1965918502160067</c:v>
                </c:pt>
                <c:pt idx="193">
                  <c:v>5.0159120632336718</c:v>
                </c:pt>
                <c:pt idx="194">
                  <c:v>5.2113872937581922</c:v>
                </c:pt>
                <c:pt idx="195">
                  <c:v>5.4890204032984951</c:v>
                </c:pt>
                <c:pt idx="196">
                  <c:v>5.3089832373732779</c:v>
                </c:pt>
                <c:pt idx="197">
                  <c:v>5.2566052136207393</c:v>
                </c:pt>
                <c:pt idx="198">
                  <c:v>5.364447392334486</c:v>
                </c:pt>
                <c:pt idx="199">
                  <c:v>5.3108170829739487</c:v>
                </c:pt>
                <c:pt idx="200">
                  <c:v>5.377853681805969</c:v>
                </c:pt>
                <c:pt idx="201">
                  <c:v>5.3244565937079873</c:v>
                </c:pt>
                <c:pt idx="202">
                  <c:v>5.1658458024415141</c:v>
                </c:pt>
                <c:pt idx="203">
                  <c:v>5.0342168759263695</c:v>
                </c:pt>
                <c:pt idx="204">
                  <c:v>5.061402939963501</c:v>
                </c:pt>
                <c:pt idx="205">
                  <c:v>4.8517835116016297</c:v>
                </c:pt>
                <c:pt idx="206">
                  <c:v>4.8399333066427745</c:v>
                </c:pt>
                <c:pt idx="207">
                  <c:v>4.4531620608902198</c:v>
                </c:pt>
                <c:pt idx="208">
                  <c:v>4.4034223603978546</c:v>
                </c:pt>
                <c:pt idx="209">
                  <c:v>4.4705456307389433</c:v>
                </c:pt>
                <c:pt idx="210">
                  <c:v>4.4210035486098622</c:v>
                </c:pt>
                <c:pt idx="211">
                  <c:v>4.5264498272822209</c:v>
                </c:pt>
                <c:pt idx="212">
                  <c:v>4.5324846925286835</c:v>
                </c:pt>
                <c:pt idx="213">
                  <c:v>4.4833844748253728</c:v>
                </c:pt>
                <c:pt idx="214">
                  <c:v>4.4727458736672192</c:v>
                </c:pt>
                <c:pt idx="215">
                  <c:v>4.4621576415582176</c:v>
                </c:pt>
                <c:pt idx="216">
                  <c:v>4.6418595678541035</c:v>
                </c:pt>
                <c:pt idx="217">
                  <c:v>4.83588520092521</c:v>
                </c:pt>
                <c:pt idx="218">
                  <c:v>4.711495345370615</c:v>
                </c:pt>
                <c:pt idx="219">
                  <c:v>4.662894142726576</c:v>
                </c:pt>
                <c:pt idx="220">
                  <c:v>4.5019700431979777</c:v>
                </c:pt>
                <c:pt idx="221">
                  <c:v>4.566369222372793</c:v>
                </c:pt>
                <c:pt idx="222">
                  <c:v>4.5719328509162711</c:v>
                </c:pt>
                <c:pt idx="223">
                  <c:v>4.4872395281698694</c:v>
                </c:pt>
                <c:pt idx="224">
                  <c:v>4.4399346745542321</c:v>
                </c:pt>
                <c:pt idx="225">
                  <c:v>4.5774199905209505</c:v>
                </c:pt>
                <c:pt idx="226">
                  <c:v>4.6037858359790436</c:v>
                </c:pt>
                <c:pt idx="227">
                  <c:v>4.3313761004127942</c:v>
                </c:pt>
                <c:pt idx="228">
                  <c:v>4.3591426834287441</c:v>
                </c:pt>
                <c:pt idx="229">
                  <c:v>4.349289868631498</c:v>
                </c:pt>
                <c:pt idx="230">
                  <c:v>4.4143001397578727</c:v>
                </c:pt>
                <c:pt idx="231">
                  <c:v>4.4043675550626826</c:v>
                </c:pt>
                <c:pt idx="232">
                  <c:v>4.4860608425830026</c:v>
                </c:pt>
                <c:pt idx="233">
                  <c:v>4.4020724190757559</c:v>
                </c:pt>
                <c:pt idx="234">
                  <c:v>4.2077280680932141</c:v>
                </c:pt>
                <c:pt idx="235">
                  <c:v>4.3456982111011255</c:v>
                </c:pt>
                <c:pt idx="236">
                  <c:v>4.4095643514795348</c:v>
                </c:pt>
                <c:pt idx="237">
                  <c:v>4.3804535845358883</c:v>
                </c:pt>
                <c:pt idx="238">
                  <c:v>4.3344115951632292</c:v>
                </c:pt>
                <c:pt idx="239">
                  <c:v>4.2885713558076013</c:v>
                </c:pt>
                <c:pt idx="240">
                  <c:v>4.2791959154694155</c:v>
                </c:pt>
                <c:pt idx="241">
                  <c:v>4.2698613778625578</c:v>
                </c:pt>
                <c:pt idx="242">
                  <c:v>4.2421005221051624</c:v>
                </c:pt>
                <c:pt idx="243">
                  <c:v>4.2687992098682432</c:v>
                </c:pt>
                <c:pt idx="244">
                  <c:v>4.2595878189516627</c:v>
                </c:pt>
                <c:pt idx="245">
                  <c:v>4.1789805312397208</c:v>
                </c:pt>
                <c:pt idx="246">
                  <c:v>4.1700017045354949</c:v>
                </c:pt>
                <c:pt idx="247">
                  <c:v>4.2849463606732678</c:v>
                </c:pt>
                <c:pt idx="248">
                  <c:v>4.2051436253194439</c:v>
                </c:pt>
                <c:pt idx="249">
                  <c:v>4.2314668394524233</c:v>
                </c:pt>
                <c:pt idx="250">
                  <c:v>4.1521161049107356</c:v>
                </c:pt>
                <c:pt idx="251">
                  <c:v>4.1082142412482705</c:v>
                </c:pt>
                <c:pt idx="252">
                  <c:v>4.0473995059873742</c:v>
                </c:pt>
                <c:pt idx="253">
                  <c:v>3.9971224037828916</c:v>
                </c:pt>
                <c:pt idx="254">
                  <c:v>4.0026482557698566</c:v>
                </c:pt>
                <c:pt idx="255">
                  <c:v>4.119103284658288</c:v>
                </c:pt>
                <c:pt idx="256">
                  <c:v>4.1381917598968094</c:v>
                </c:pt>
                <c:pt idx="257">
                  <c:v>4.0849500490808035</c:v>
                </c:pt>
                <c:pt idx="258">
                  <c:v>4.0490488717738353</c:v>
                </c:pt>
                <c:pt idx="259">
                  <c:v>4.08178219437018</c:v>
                </c:pt>
                <c:pt idx="260">
                  <c:v>4.0186973816934479</c:v>
                </c:pt>
                <c:pt idx="261">
                  <c:v>3.9831538253897936</c:v>
                </c:pt>
                <c:pt idx="262">
                  <c:v>3.9994105465445191</c:v>
                </c:pt>
                <c:pt idx="263">
                  <c:v>3.9777258962181312</c:v>
                </c:pt>
                <c:pt idx="264">
                  <c:v>3.9291252009013307</c:v>
                </c:pt>
                <c:pt idx="265">
                  <c:v>3.9480955424925042</c:v>
                </c:pt>
                <c:pt idx="266">
                  <c:v>3.953541571445371</c:v>
                </c:pt>
                <c:pt idx="267">
                  <c:v>3.902917238015577</c:v>
                </c:pt>
                <c:pt idx="268">
                  <c:v>3.8683924445719193</c:v>
                </c:pt>
                <c:pt idx="269">
                  <c:v>3.8473187078564886</c:v>
                </c:pt>
                <c:pt idx="270">
                  <c:v>3.8396152287919758</c:v>
                </c:pt>
                <c:pt idx="271">
                  <c:v>3.8452018541432706</c:v>
                </c:pt>
                <c:pt idx="272">
                  <c:v>3.8091073546188614</c:v>
                </c:pt>
                <c:pt idx="273">
                  <c:v>3.998868580983137</c:v>
                </c:pt>
                <c:pt idx="274">
                  <c:v>3.9647004113767119</c:v>
                </c:pt>
                <c:pt idx="275">
                  <c:v>4.1665072109972874</c:v>
                </c:pt>
                <c:pt idx="276">
                  <c:v>4.2367545672484219</c:v>
                </c:pt>
                <c:pt idx="277">
                  <c:v>4.2248528347995284</c:v>
                </c:pt>
                <c:pt idx="278">
                  <c:v>4.2036177809188384</c:v>
                </c:pt>
                <c:pt idx="279">
                  <c:v>4.2083632273484124</c:v>
                </c:pt>
                <c:pt idx="280">
                  <c:v>4.445714799994823</c:v>
                </c:pt>
                <c:pt idx="281">
                  <c:v>4.398377312465005</c:v>
                </c:pt>
                <c:pt idx="282">
                  <c:v>4.3087574186377022</c:v>
                </c:pt>
                <c:pt idx="283">
                  <c:v>4.3516419792417986</c:v>
                </c:pt>
                <c:pt idx="284">
                  <c:v>4.3049412718847231</c:v>
                </c:pt>
                <c:pt idx="285">
                  <c:v>4.3349185990741734</c:v>
                </c:pt>
                <c:pt idx="286">
                  <c:v>4.4284074885715112</c:v>
                </c:pt>
                <c:pt idx="287">
                  <c:v>4.442040096930274</c:v>
                </c:pt>
                <c:pt idx="288">
                  <c:v>4.3558037208586979</c:v>
                </c:pt>
                <c:pt idx="289">
                  <c:v>4.3863466554501214</c:v>
                </c:pt>
                <c:pt idx="290">
                  <c:v>4.2876283393188928</c:v>
                </c:pt>
                <c:pt idx="291">
                  <c:v>4.176393551108502</c:v>
                </c:pt>
                <c:pt idx="292">
                  <c:v>4.2938077289700667</c:v>
                </c:pt>
                <c:pt idx="293">
                  <c:v>4.2601565953754736</c:v>
                </c:pt>
                <c:pt idx="294">
                  <c:v>4.2777087509948561</c:v>
                </c:pt>
                <c:pt idx="295">
                  <c:v>4.2314682885637112</c:v>
                </c:pt>
                <c:pt idx="296">
                  <c:v>4.1726789678809775</c:v>
                </c:pt>
                <c:pt idx="297">
                  <c:v>4.0229226543475436</c:v>
                </c:pt>
                <c:pt idx="298">
                  <c:v>3.8386833996262157</c:v>
                </c:pt>
                <c:pt idx="299">
                  <c:v>3.8945997452087822</c:v>
                </c:pt>
                <c:pt idx="300">
                  <c:v>3.824503502449121</c:v>
                </c:pt>
                <c:pt idx="301">
                  <c:v>3.8174527662892093</c:v>
                </c:pt>
                <c:pt idx="302">
                  <c:v>3.7236891657349074</c:v>
                </c:pt>
                <c:pt idx="303">
                  <c:v>3.7169607353462841</c:v>
                </c:pt>
                <c:pt idx="304">
                  <c:v>3.6979709588472702</c:v>
                </c:pt>
                <c:pt idx="305">
                  <c:v>3.7281035556271154</c:v>
                </c:pt>
                <c:pt idx="306">
                  <c:v>3.8315765974462579</c:v>
                </c:pt>
                <c:pt idx="307">
                  <c:v>3.8475566746188252</c:v>
                </c:pt>
                <c:pt idx="308">
                  <c:v>3.9743862108542141</c:v>
                </c:pt>
                <c:pt idx="309">
                  <c:v>4.3434126886234754</c:v>
                </c:pt>
                <c:pt idx="310">
                  <c:v>4.6626834356417381</c:v>
                </c:pt>
                <c:pt idx="311">
                  <c:v>4.8236590403607433</c:v>
                </c:pt>
                <c:pt idx="312">
                  <c:v>4.6057057165331639</c:v>
                </c:pt>
                <c:pt idx="313">
                  <c:v>4.645605472969474</c:v>
                </c:pt>
                <c:pt idx="314">
                  <c:v>4.7692460546432835</c:v>
                </c:pt>
                <c:pt idx="315">
                  <c:v>4.6053647027197036</c:v>
                </c:pt>
                <c:pt idx="316">
                  <c:v>4.597291151227636</c:v>
                </c:pt>
                <c:pt idx="317">
                  <c:v>4.5732394507168523</c:v>
                </c:pt>
                <c:pt idx="318">
                  <c:v>4.6957145605620063</c:v>
                </c:pt>
                <c:pt idx="319">
                  <c:v>4.7940894695963143</c:v>
                </c:pt>
                <c:pt idx="320">
                  <c:v>5.2938916113931951</c:v>
                </c:pt>
                <c:pt idx="321">
                  <c:v>5.2729272688592674</c:v>
                </c:pt>
                <c:pt idx="322">
                  <c:v>5.0461736422743177</c:v>
                </c:pt>
                <c:pt idx="323">
                  <c:v>5.1312155143615472</c:v>
                </c:pt>
                <c:pt idx="324">
                  <c:v>4.970370578621198</c:v>
                </c:pt>
                <c:pt idx="325">
                  <c:v>5.172000294709191</c:v>
                </c:pt>
                <c:pt idx="326">
                  <c:v>5.0582558799829318</c:v>
                </c:pt>
                <c:pt idx="327">
                  <c:v>5.0440186852467983</c:v>
                </c:pt>
                <c:pt idx="328">
                  <c:v>5.1975069858319118</c:v>
                </c:pt>
                <c:pt idx="329">
                  <c:v>5.1077963723342794</c:v>
                </c:pt>
                <c:pt idx="330">
                  <c:v>5.0529992268771604</c:v>
                </c:pt>
                <c:pt idx="331">
                  <c:v>5.0444554730546907</c:v>
                </c:pt>
                <c:pt idx="332">
                  <c:v>5.0189966889420674</c:v>
                </c:pt>
                <c:pt idx="333">
                  <c:v>5.0334467406050889</c:v>
                </c:pt>
                <c:pt idx="334">
                  <c:v>5.2419963497604867</c:v>
                </c:pt>
                <c:pt idx="335">
                  <c:v>5.5296572851813943</c:v>
                </c:pt>
                <c:pt idx="336">
                  <c:v>5.5659461631426854</c:v>
                </c:pt>
                <c:pt idx="337">
                  <c:v>5.4928803176117462</c:v>
                </c:pt>
                <c:pt idx="338">
                  <c:v>5.2802413076011616</c:v>
                </c:pt>
                <c:pt idx="339">
                  <c:v>5.4746746746054518</c:v>
                </c:pt>
                <c:pt idx="340">
                  <c:v>5.4994249743324835</c:v>
                </c:pt>
                <c:pt idx="341">
                  <c:v>5.4115865162941432</c:v>
                </c:pt>
                <c:pt idx="342">
                  <c:v>5.4184889860141556</c:v>
                </c:pt>
                <c:pt idx="343">
                  <c:v>5.5660738235574403</c:v>
                </c:pt>
                <c:pt idx="344">
                  <c:v>5.6350652981635463</c:v>
                </c:pt>
                <c:pt idx="345">
                  <c:v>5.6815505085896172</c:v>
                </c:pt>
                <c:pt idx="346">
                  <c:v>5.7167618075800313</c:v>
                </c:pt>
                <c:pt idx="347">
                  <c:v>5.6556908093209701</c:v>
                </c:pt>
                <c:pt idx="348">
                  <c:v>5.6354659068293831</c:v>
                </c:pt>
                <c:pt idx="349">
                  <c:v>5.6263385543134872</c:v>
                </c:pt>
                <c:pt idx="350">
                  <c:v>5.7383968921897406</c:v>
                </c:pt>
                <c:pt idx="351">
                  <c:v>5.6081722603331121</c:v>
                </c:pt>
                <c:pt idx="352">
                  <c:v>5.5373680558310499</c:v>
                </c:pt>
                <c:pt idx="353">
                  <c:v>5.4083014238293954</c:v>
                </c:pt>
                <c:pt idx="354">
                  <c:v>5.4323652808761107</c:v>
                </c:pt>
                <c:pt idx="355">
                  <c:v>5.4236794184651069</c:v>
                </c:pt>
                <c:pt idx="356">
                  <c:v>5.3280329937603872</c:v>
                </c:pt>
                <c:pt idx="357">
                  <c:v>5.3026382757551946</c:v>
                </c:pt>
                <c:pt idx="358">
                  <c:v>5.2942270788600458</c:v>
                </c:pt>
                <c:pt idx="359">
                  <c:v>5.2642676564238267</c:v>
                </c:pt>
                <c:pt idx="360">
                  <c:v>5.2559437314025468</c:v>
                </c:pt>
                <c:pt idx="361">
                  <c:v>5.2691528348743306</c:v>
                </c:pt>
                <c:pt idx="362">
                  <c:v>5.1756076252222423</c:v>
                </c:pt>
                <c:pt idx="363">
                  <c:v>4.9791135373272128</c:v>
                </c:pt>
                <c:pt idx="364">
                  <c:v>4.9010726689202473</c:v>
                </c:pt>
                <c:pt idx="365">
                  <c:v>4.8826543142699164</c:v>
                </c:pt>
                <c:pt idx="366">
                  <c:v>4.8157520079258207</c:v>
                </c:pt>
                <c:pt idx="367">
                  <c:v>4.7114376067158581</c:v>
                </c:pt>
                <c:pt idx="368">
                  <c:v>4.6666026360409338</c:v>
                </c:pt>
                <c:pt idx="369">
                  <c:v>4.5650246467630087</c:v>
                </c:pt>
                <c:pt idx="370">
                  <c:v>4.5970237035560455</c:v>
                </c:pt>
                <c:pt idx="371">
                  <c:v>4.5461173466298792</c:v>
                </c:pt>
                <c:pt idx="372">
                  <c:v>4.8949775504783632</c:v>
                </c:pt>
                <c:pt idx="373">
                  <c:v>5.1926932839278566</c:v>
                </c:pt>
                <c:pt idx="374">
                  <c:v>5.0573305817669203</c:v>
                </c:pt>
                <c:pt idx="375">
                  <c:v>4.9877414495765215</c:v>
                </c:pt>
                <c:pt idx="376">
                  <c:v>4.7215353514148344</c:v>
                </c:pt>
                <c:pt idx="377">
                  <c:v>4.6900782150637772</c:v>
                </c:pt>
                <c:pt idx="378">
                  <c:v>4.6084145580231031</c:v>
                </c:pt>
                <c:pt idx="379">
                  <c:v>4.486922830380804</c:v>
                </c:pt>
                <c:pt idx="380">
                  <c:v>4.4177446411351324</c:v>
                </c:pt>
                <c:pt idx="381">
                  <c:v>4.7067448784614001</c:v>
                </c:pt>
                <c:pt idx="382">
                  <c:v>4.6610660025212205</c:v>
                </c:pt>
                <c:pt idx="383">
                  <c:v>4.5921526478165262</c:v>
                </c:pt>
                <c:pt idx="384">
                  <c:v>4.4932286312025003</c:v>
                </c:pt>
                <c:pt idx="385">
                  <c:v>4.4432060958095789</c:v>
                </c:pt>
                <c:pt idx="386">
                  <c:v>4.3632198734000669</c:v>
                </c:pt>
                <c:pt idx="387">
                  <c:v>4.2158326875940766</c:v>
                </c:pt>
                <c:pt idx="388">
                  <c:v>4.1917209855783852</c:v>
                </c:pt>
                <c:pt idx="389">
                  <c:v>4.1141125865035697</c:v>
                </c:pt>
                <c:pt idx="390">
                  <c:v>4.076755461366381</c:v>
                </c:pt>
                <c:pt idx="391">
                  <c:v>4.0836932710023932</c:v>
                </c:pt>
                <c:pt idx="392">
                  <c:v>4.0905313163213242</c:v>
                </c:pt>
                <c:pt idx="393">
                  <c:v>4.0253897736052551</c:v>
                </c:pt>
                <c:pt idx="394">
                  <c:v>3.8242731457988848</c:v>
                </c:pt>
                <c:pt idx="395">
                  <c:v>3.7989609128635244</c:v>
                </c:pt>
                <c:pt idx="396">
                  <c:v>3.5753509437075457</c:v>
                </c:pt>
                <c:pt idx="397">
                  <c:v>3.5519954579676809</c:v>
                </c:pt>
                <c:pt idx="398">
                  <c:v>3.4635923262792314</c:v>
                </c:pt>
                <c:pt idx="399">
                  <c:v>3.2051362456717363</c:v>
                </c:pt>
                <c:pt idx="400">
                  <c:v>3.3759530320556848</c:v>
                </c:pt>
                <c:pt idx="401">
                  <c:v>3.2281381788321446</c:v>
                </c:pt>
                <c:pt idx="402">
                  <c:v>3.302325044854439</c:v>
                </c:pt>
                <c:pt idx="403">
                  <c:v>3.2818244038758984</c:v>
                </c:pt>
                <c:pt idx="404">
                  <c:v>3.2402321700670185</c:v>
                </c:pt>
                <c:pt idx="405">
                  <c:v>3.1718073542459138</c:v>
                </c:pt>
                <c:pt idx="406">
                  <c:v>3.055703290066738</c:v>
                </c:pt>
                <c:pt idx="407">
                  <c:v>3.1278141153292611</c:v>
                </c:pt>
                <c:pt idx="408">
                  <c:v>3.1930761453526588</c:v>
                </c:pt>
                <c:pt idx="409">
                  <c:v>3.2547990170108512</c:v>
                </c:pt>
                <c:pt idx="410">
                  <c:v>3.2124789630769399</c:v>
                </c:pt>
                <c:pt idx="411">
                  <c:v>3.1706479209106933</c:v>
                </c:pt>
                <c:pt idx="412">
                  <c:v>3.3491002426531042</c:v>
                </c:pt>
                <c:pt idx="413">
                  <c:v>3.2667079963789596</c:v>
                </c:pt>
                <c:pt idx="414">
                  <c:v>3.3926166407362874</c:v>
                </c:pt>
                <c:pt idx="415">
                  <c:v>3.3174444913954377</c:v>
                </c:pt>
                <c:pt idx="416">
                  <c:v>3.382896301993541</c:v>
                </c:pt>
                <c:pt idx="417">
                  <c:v>3.3086080774960211</c:v>
                </c:pt>
                <c:pt idx="418">
                  <c:v>3.2351358305540003</c:v>
                </c:pt>
                <c:pt idx="419">
                  <c:v>3.2044600126394136</c:v>
                </c:pt>
                <c:pt idx="420">
                  <c:v>3.2142958716262284</c:v>
                </c:pt>
                <c:pt idx="421">
                  <c:v>3.2132618850549957</c:v>
                </c:pt>
                <c:pt idx="422">
                  <c:v>3.1961776989617134</c:v>
                </c:pt>
                <c:pt idx="423">
                  <c:v>3.1792742176028721</c:v>
                </c:pt>
                <c:pt idx="424">
                  <c:v>3.1296197791642202</c:v>
                </c:pt>
                <c:pt idx="425">
                  <c:v>3.0508300569379867</c:v>
                </c:pt>
                <c:pt idx="426">
                  <c:v>3.1181225153178631</c:v>
                </c:pt>
                <c:pt idx="427">
                  <c:v>3.1331088018014395</c:v>
                </c:pt>
                <c:pt idx="428">
                  <c:v>3.0811832618232957</c:v>
                </c:pt>
                <c:pt idx="429">
                  <c:v>3.1662588165505716</c:v>
                </c:pt>
                <c:pt idx="430">
                  <c:v>3.200760592432391</c:v>
                </c:pt>
                <c:pt idx="431">
                  <c:v>3.1648126021776242</c:v>
                </c:pt>
                <c:pt idx="432">
                  <c:v>3.1491517247209604</c:v>
                </c:pt>
                <c:pt idx="433">
                  <c:v>3.3121438480666834</c:v>
                </c:pt>
                <c:pt idx="434">
                  <c:v>3.4251703737374628</c:v>
                </c:pt>
                <c:pt idx="435">
                  <c:v>3.4086303680375099</c:v>
                </c:pt>
                <c:pt idx="436">
                  <c:v>3.3632143922667637</c:v>
                </c:pt>
                <c:pt idx="437">
                  <c:v>3.3712089857580181</c:v>
                </c:pt>
                <c:pt idx="438">
                  <c:v>3.3551620276487739</c:v>
                </c:pt>
                <c:pt idx="439">
                  <c:v>3.279571209374367</c:v>
                </c:pt>
                <c:pt idx="440">
                  <c:v>3.2565455940493706</c:v>
                </c:pt>
                <c:pt idx="441">
                  <c:v>3.1602682044396047</c:v>
                </c:pt>
                <c:pt idx="442">
                  <c:v>3.2002672467372659</c:v>
                </c:pt>
                <c:pt idx="443">
                  <c:v>3.1455429986289398</c:v>
                </c:pt>
                <c:pt idx="444">
                  <c:v>3.1305929269823265</c:v>
                </c:pt>
                <c:pt idx="445">
                  <c:v>3.0727190502328305</c:v>
                </c:pt>
                <c:pt idx="446">
                  <c:v>3.1472170740550887</c:v>
                </c:pt>
                <c:pt idx="447">
                  <c:v>3.5186661555197229</c:v>
                </c:pt>
                <c:pt idx="448">
                  <c:v>3.4380766960194222</c:v>
                </c:pt>
                <c:pt idx="449">
                  <c:v>3.6908295703737255</c:v>
                </c:pt>
                <c:pt idx="450">
                  <c:v>3.940698323980222</c:v>
                </c:pt>
                <c:pt idx="451">
                  <c:v>4.0647587933373908</c:v>
                </c:pt>
                <c:pt idx="452">
                  <c:v>4.0476139882638211</c:v>
                </c:pt>
                <c:pt idx="453">
                  <c:v>3.9840898639959716</c:v>
                </c:pt>
                <c:pt idx="454">
                  <c:v>4.1751423595613462</c:v>
                </c:pt>
                <c:pt idx="455">
                  <c:v>3.8762182275236086</c:v>
                </c:pt>
                <c:pt idx="456">
                  <c:v>3.851898531262484</c:v>
                </c:pt>
                <c:pt idx="457">
                  <c:v>3.8819841162478856</c:v>
                </c:pt>
                <c:pt idx="458">
                  <c:v>3.9699617032697931</c:v>
                </c:pt>
                <c:pt idx="459">
                  <c:v>3.8727246806086497</c:v>
                </c:pt>
                <c:pt idx="460">
                  <c:v>3.7836289508995136</c:v>
                </c:pt>
                <c:pt idx="461">
                  <c:v>3.8295443265822122</c:v>
                </c:pt>
                <c:pt idx="462">
                  <c:v>3.7940250536777689</c:v>
                </c:pt>
                <c:pt idx="463">
                  <c:v>3.7184139275611661</c:v>
                </c:pt>
                <c:pt idx="464">
                  <c:v>3.6667025192523113</c:v>
                </c:pt>
                <c:pt idx="465">
                  <c:v>3.6205897387683881</c:v>
                </c:pt>
                <c:pt idx="466">
                  <c:v>3.6302595045992949</c:v>
                </c:pt>
                <c:pt idx="467">
                  <c:v>3.7897074933034611</c:v>
                </c:pt>
                <c:pt idx="468">
                  <c:v>3.8418609759812079</c:v>
                </c:pt>
                <c:pt idx="469">
                  <c:v>4.0774831432577514</c:v>
                </c:pt>
                <c:pt idx="470">
                  <c:v>4.0619843546601953</c:v>
                </c:pt>
                <c:pt idx="471">
                  <c:v>4.2470061371912786</c:v>
                </c:pt>
                <c:pt idx="472">
                  <c:v>4.3077721593166132</c:v>
                </c:pt>
                <c:pt idx="473">
                  <c:v>4.3680814382749311</c:v>
                </c:pt>
                <c:pt idx="474">
                  <c:v>4.1605255507178756</c:v>
                </c:pt>
                <c:pt idx="475">
                  <c:v>3.9717795656146757</c:v>
                </c:pt>
                <c:pt idx="476">
                  <c:v>3.9421105294069707</c:v>
                </c:pt>
                <c:pt idx="477">
                  <c:v>3.9201407652012534</c:v>
                </c:pt>
                <c:pt idx="478">
                  <c:v>3.95796221804977</c:v>
                </c:pt>
                <c:pt idx="479">
                  <c:v>3.9149539774873547</c:v>
                </c:pt>
                <c:pt idx="480">
                  <c:v>4.0330562047313334</c:v>
                </c:pt>
                <c:pt idx="481">
                  <c:v>4.4430997929417018</c:v>
                </c:pt>
                <c:pt idx="482">
                  <c:v>4.9158467558204579</c:v>
                </c:pt>
                <c:pt idx="483">
                  <c:v>4.6148629004378705</c:v>
                </c:pt>
                <c:pt idx="484">
                  <c:v>4.5371946755385117</c:v>
                </c:pt>
                <c:pt idx="485">
                  <c:v>4.3420940680552729</c:v>
                </c:pt>
                <c:pt idx="486">
                  <c:v>4.2626027952039118</c:v>
                </c:pt>
                <c:pt idx="487">
                  <c:v>4.190782322524492</c:v>
                </c:pt>
                <c:pt idx="488">
                  <c:v>4.1903651582801897</c:v>
                </c:pt>
                <c:pt idx="489">
                  <c:v>4.3856060746629391</c:v>
                </c:pt>
                <c:pt idx="490">
                  <c:v>4.6013041034822413</c:v>
                </c:pt>
                <c:pt idx="491">
                  <c:v>4.4322344576894528</c:v>
                </c:pt>
                <c:pt idx="492">
                  <c:v>4.4657277220559557</c:v>
                </c:pt>
                <c:pt idx="493">
                  <c:v>4.4989932061589029</c:v>
                </c:pt>
                <c:pt idx="494">
                  <c:v>4.4535616781191072</c:v>
                </c:pt>
                <c:pt idx="495">
                  <c:v>4.6161658932686453</c:v>
                </c:pt>
                <c:pt idx="496">
                  <c:v>4.6007315469018675</c:v>
                </c:pt>
                <c:pt idx="497">
                  <c:v>4.646448293127392</c:v>
                </c:pt>
                <c:pt idx="498">
                  <c:v>4.4687613225643075</c:v>
                </c:pt>
                <c:pt idx="499">
                  <c:v>4.351040885247154</c:v>
                </c:pt>
                <c:pt idx="500">
                  <c:v>4.376810911911349</c:v>
                </c:pt>
                <c:pt idx="501">
                  <c:v>4.2162077926863191</c:v>
                </c:pt>
                <c:pt idx="502">
                  <c:v>4.1428213456793577</c:v>
                </c:pt>
                <c:pt idx="503">
                  <c:v>4.2747282691099304</c:v>
                </c:pt>
                <c:pt idx="504">
                  <c:v>4.257306906927421</c:v>
                </c:pt>
                <c:pt idx="505">
                  <c:v>4.1013059835184507</c:v>
                </c:pt>
                <c:pt idx="506">
                  <c:v>4.2571404286605619</c:v>
                </c:pt>
                <c:pt idx="507">
                  <c:v>4.1627560672125901</c:v>
                </c:pt>
                <c:pt idx="508">
                  <c:v>3.961539239220119</c:v>
                </c:pt>
                <c:pt idx="509">
                  <c:v>3.9574318254811338</c:v>
                </c:pt>
                <c:pt idx="510">
                  <c:v>3.891986937136795</c:v>
                </c:pt>
                <c:pt idx="511">
                  <c:v>3.8005126233310942</c:v>
                </c:pt>
                <c:pt idx="512">
                  <c:v>3.3274459811712123</c:v>
                </c:pt>
                <c:pt idx="513">
                  <c:v>3.0379518497656721</c:v>
                </c:pt>
                <c:pt idx="514">
                  <c:v>3.4166619304128623</c:v>
                </c:pt>
                <c:pt idx="515">
                  <c:v>3.6397509796197149</c:v>
                </c:pt>
                <c:pt idx="516">
                  <c:v>3.6221549670041551</c:v>
                </c:pt>
                <c:pt idx="517">
                  <c:v>3.7723251136200293</c:v>
                </c:pt>
                <c:pt idx="518">
                  <c:v>3.7415755344129615</c:v>
                </c:pt>
                <c:pt idx="519">
                  <c:v>3.8097066175680339</c:v>
                </c:pt>
                <c:pt idx="520">
                  <c:v>3.5251492689021946</c:v>
                </c:pt>
                <c:pt idx="521">
                  <c:v>3.4766019336250285</c:v>
                </c:pt>
                <c:pt idx="522">
                  <c:v>3.5041088767922317</c:v>
                </c:pt>
                <c:pt idx="523">
                  <c:v>3.4747978168415687</c:v>
                </c:pt>
                <c:pt idx="524">
                  <c:v>3.4565334706394117</c:v>
                </c:pt>
                <c:pt idx="525">
                  <c:v>3.4277070546321209</c:v>
                </c:pt>
                <c:pt idx="526">
                  <c:v>3.4424681845236118</c:v>
                </c:pt>
                <c:pt idx="527">
                  <c:v>3.3952978788078076</c:v>
                </c:pt>
                <c:pt idx="528">
                  <c:v>3.3545690384759435</c:v>
                </c:pt>
                <c:pt idx="529">
                  <c:v>3.2093426015005186</c:v>
                </c:pt>
                <c:pt idx="530">
                  <c:v>3.1818097507230338</c:v>
                </c:pt>
                <c:pt idx="531">
                  <c:v>3.1205573601827643</c:v>
                </c:pt>
                <c:pt idx="532">
                  <c:v>3.0565992990147026</c:v>
                </c:pt>
                <c:pt idx="533">
                  <c:v>3.2795062406153779</c:v>
                </c:pt>
                <c:pt idx="534">
                  <c:v>3.1670265007678595</c:v>
                </c:pt>
                <c:pt idx="535">
                  <c:v>3.0435716054807287</c:v>
                </c:pt>
                <c:pt idx="536">
                  <c:v>3.0289902908898521</c:v>
                </c:pt>
                <c:pt idx="537">
                  <c:v>3.0684280869404561</c:v>
                </c:pt>
                <c:pt idx="538">
                  <c:v>3.0538588315508974</c:v>
                </c:pt>
                <c:pt idx="539">
                  <c:v>2.9810043440116543</c:v>
                </c:pt>
                <c:pt idx="540">
                  <c:v>2.9786586720632</c:v>
                </c:pt>
                <c:pt idx="541">
                  <c:v>2.9704322418565625</c:v>
                </c:pt>
                <c:pt idx="542">
                  <c:v>2.9740060906347034</c:v>
                </c:pt>
                <c:pt idx="543">
                  <c:v>2.9423922722841143</c:v>
                </c:pt>
                <c:pt idx="544">
                  <c:v>2.8808503082615395</c:v>
                </c:pt>
                <c:pt idx="545">
                  <c:v>2.8447225356525614</c:v>
                </c:pt>
                <c:pt idx="546">
                  <c:v>3.3705442669562222</c:v>
                </c:pt>
                <c:pt idx="547">
                  <c:v>3.5936358541109974</c:v>
                </c:pt>
                <c:pt idx="548">
                  <c:v>3.4656006765897325</c:v>
                </c:pt>
                <c:pt idx="549">
                  <c:v>3.3823198239513323</c:v>
                </c:pt>
                <c:pt idx="550">
                  <c:v>3.2617633070737884</c:v>
                </c:pt>
                <c:pt idx="551">
                  <c:v>3.3145257679449291</c:v>
                </c:pt>
                <c:pt idx="552">
                  <c:v>3.300339950080434</c:v>
                </c:pt>
                <c:pt idx="553">
                  <c:v>3.2917695082121066</c:v>
                </c:pt>
                <c:pt idx="554">
                  <c:v>3.1343505362938546</c:v>
                </c:pt>
                <c:pt idx="555">
                  <c:v>3.1756573690089391</c:v>
                </c:pt>
                <c:pt idx="556">
                  <c:v>3.1893990805394323</c:v>
                </c:pt>
                <c:pt idx="557">
                  <c:v>3.0721102233672961</c:v>
                </c:pt>
                <c:pt idx="558">
                  <c:v>3.1731301220382444</c:v>
                </c:pt>
                <c:pt idx="559">
                  <c:v>3.2462613194827732</c:v>
                </c:pt>
                <c:pt idx="560">
                  <c:v>4.0408470401855308</c:v>
                </c:pt>
                <c:pt idx="561">
                  <c:v>4.3262532577982551</c:v>
                </c:pt>
                <c:pt idx="562">
                  <c:v>4.0955957441788966</c:v>
                </c:pt>
                <c:pt idx="563">
                  <c:v>4.010471125775088</c:v>
                </c:pt>
                <c:pt idx="564">
                  <c:v>3.8213265489775168</c:v>
                </c:pt>
                <c:pt idx="565">
                  <c:v>3.8859655589891471</c:v>
                </c:pt>
                <c:pt idx="566">
                  <c:v>3.8552243148420891</c:v>
                </c:pt>
                <c:pt idx="567">
                  <c:v>3.9089243210626372</c:v>
                </c:pt>
                <c:pt idx="568">
                  <c:v>3.9098086583018814</c:v>
                </c:pt>
                <c:pt idx="569">
                  <c:v>3.8863528241616971</c:v>
                </c:pt>
                <c:pt idx="570">
                  <c:v>3.9549337593697618</c:v>
                </c:pt>
                <c:pt idx="571">
                  <c:v>3.9453130155405365</c:v>
                </c:pt>
                <c:pt idx="572">
                  <c:v>3.852881302414918</c:v>
                </c:pt>
                <c:pt idx="573">
                  <c:v>3.7660631769388151</c:v>
                </c:pt>
                <c:pt idx="574">
                  <c:v>3.7696824678812448</c:v>
                </c:pt>
                <c:pt idx="575">
                  <c:v>3.7350616682204967</c:v>
                </c:pt>
                <c:pt idx="576">
                  <c:v>3.6087293585159426</c:v>
                </c:pt>
                <c:pt idx="577">
                  <c:v>3.3862499476394037</c:v>
                </c:pt>
                <c:pt idx="578">
                  <c:v>3.3019893065208894</c:v>
                </c:pt>
                <c:pt idx="579">
                  <c:v>3.2785755916192549</c:v>
                </c:pt>
                <c:pt idx="580">
                  <c:v>3.1198825734327977</c:v>
                </c:pt>
                <c:pt idx="581">
                  <c:v>3.2129477406004519</c:v>
                </c:pt>
                <c:pt idx="582">
                  <c:v>3.3556605541099338</c:v>
                </c:pt>
                <c:pt idx="583">
                  <c:v>3.3528001312771423</c:v>
                </c:pt>
                <c:pt idx="584">
                  <c:v>3.2252138537286905</c:v>
                </c:pt>
                <c:pt idx="585">
                  <c:v>3.2177322169036127</c:v>
                </c:pt>
                <c:pt idx="586">
                  <c:v>3.2004074099053064</c:v>
                </c:pt>
                <c:pt idx="587">
                  <c:v>3.1535976317930996</c:v>
                </c:pt>
                <c:pt idx="588">
                  <c:v>3.1954941319367687</c:v>
                </c:pt>
                <c:pt idx="589">
                  <c:v>3.154031708593084</c:v>
                </c:pt>
                <c:pt idx="590">
                  <c:v>3.0250506753821234</c:v>
                </c:pt>
                <c:pt idx="591">
                  <c:v>3.0473221954006977</c:v>
                </c:pt>
                <c:pt idx="592">
                  <c:v>2.9822083536225934</c:v>
                </c:pt>
                <c:pt idx="593">
                  <c:v>2.9173897564839009</c:v>
                </c:pt>
                <c:pt idx="594">
                  <c:v>2.6958528370514867</c:v>
                </c:pt>
                <c:pt idx="595">
                  <c:v>2.6466440783608367</c:v>
                </c:pt>
                <c:pt idx="596">
                  <c:v>2.7268211579465467</c:v>
                </c:pt>
                <c:pt idx="597">
                  <c:v>2.7970931776898689</c:v>
                </c:pt>
                <c:pt idx="598">
                  <c:v>2.9242020709363783</c:v>
                </c:pt>
                <c:pt idx="599">
                  <c:v>2.9047542376974786</c:v>
                </c:pt>
                <c:pt idx="600">
                  <c:v>2.8983289841993929</c:v>
                </c:pt>
                <c:pt idx="601">
                  <c:v>2.8919320930078167</c:v>
                </c:pt>
                <c:pt idx="602">
                  <c:v>2.8620653036407915</c:v>
                </c:pt>
                <c:pt idx="603">
                  <c:v>2.8135726218228316</c:v>
                </c:pt>
                <c:pt idx="604">
                  <c:v>2.8964480801977319</c:v>
                </c:pt>
                <c:pt idx="605">
                  <c:v>2.8644774107694819</c:v>
                </c:pt>
                <c:pt idx="606">
                  <c:v>2.8325984494641951</c:v>
                </c:pt>
                <c:pt idx="607">
                  <c:v>2.8481142644100328</c:v>
                </c:pt>
                <c:pt idx="608">
                  <c:v>2.9867154816384307</c:v>
                </c:pt>
                <c:pt idx="609">
                  <c:v>3.1708766855751147</c:v>
                </c:pt>
                <c:pt idx="610">
                  <c:v>3.1847234000288944</c:v>
                </c:pt>
                <c:pt idx="611">
                  <c:v>3.2764319695771675</c:v>
                </c:pt>
                <c:pt idx="612">
                  <c:v>3.308163440789464</c:v>
                </c:pt>
                <c:pt idx="613">
                  <c:v>3.1440134453938882</c:v>
                </c:pt>
                <c:pt idx="614">
                  <c:v>3.0212773976777445</c:v>
                </c:pt>
                <c:pt idx="615">
                  <c:v>3.0033923048405642</c:v>
                </c:pt>
                <c:pt idx="616">
                  <c:v>2.9447216127274101</c:v>
                </c:pt>
                <c:pt idx="617">
                  <c:v>2.9097614420256894</c:v>
                </c:pt>
                <c:pt idx="618">
                  <c:v>2.549249411655564</c:v>
                </c:pt>
                <c:pt idx="619">
                  <c:v>2.6448143512739208</c:v>
                </c:pt>
                <c:pt idx="620">
                  <c:v>2.6591242503777002</c:v>
                </c:pt>
                <c:pt idx="621">
                  <c:v>2.8306527899419818</c:v>
                </c:pt>
                <c:pt idx="622">
                  <c:v>2.7696599486771216</c:v>
                </c:pt>
                <c:pt idx="623">
                  <c:v>2.8775304318273709</c:v>
                </c:pt>
                <c:pt idx="624">
                  <c:v>2.6727600363438988</c:v>
                </c:pt>
                <c:pt idx="625">
                  <c:v>2.6646136580017403</c:v>
                </c:pt>
                <c:pt idx="626">
                  <c:v>2.674288671674419</c:v>
                </c:pt>
                <c:pt idx="627">
                  <c:v>2.8228020966332732</c:v>
                </c:pt>
                <c:pt idx="628">
                  <c:v>2.8233564667460165</c:v>
                </c:pt>
                <c:pt idx="629">
                  <c:v>2.6307586825020004</c:v>
                </c:pt>
                <c:pt idx="630">
                  <c:v>2.6883942822632947</c:v>
                </c:pt>
                <c:pt idx="631">
                  <c:v>2.806990378407495</c:v>
                </c:pt>
                <c:pt idx="632">
                  <c:v>2.8478186007733628</c:v>
                </c:pt>
                <c:pt idx="633">
                  <c:v>2.7788574331802698</c:v>
                </c:pt>
                <c:pt idx="634">
                  <c:v>2.7274261108040254</c:v>
                </c:pt>
                <c:pt idx="635">
                  <c:v>2.6588115691095937</c:v>
                </c:pt>
                <c:pt idx="636">
                  <c:v>2.698493651170188</c:v>
                </c:pt>
                <c:pt idx="637">
                  <c:v>2.6747669542252646</c:v>
                </c:pt>
                <c:pt idx="638">
                  <c:v>2.7873408785460296</c:v>
                </c:pt>
                <c:pt idx="639">
                  <c:v>2.873840739471214</c:v>
                </c:pt>
                <c:pt idx="640">
                  <c:v>2.8657302783539764</c:v>
                </c:pt>
                <c:pt idx="641">
                  <c:v>3.0461514267137719</c:v>
                </c:pt>
                <c:pt idx="642">
                  <c:v>3.0041958797827628</c:v>
                </c:pt>
                <c:pt idx="643">
                  <c:v>2.9405648772947526</c:v>
                </c:pt>
                <c:pt idx="644">
                  <c:v>2.8600774459563234</c:v>
                </c:pt>
                <c:pt idx="645">
                  <c:v>2.8265571195965404</c:v>
                </c:pt>
                <c:pt idx="646">
                  <c:v>2.8483082985744126</c:v>
                </c:pt>
                <c:pt idx="647">
                  <c:v>2.8667098066283634</c:v>
                </c:pt>
                <c:pt idx="648">
                  <c:v>2.8460680693368938</c:v>
                </c:pt>
                <c:pt idx="649">
                  <c:v>2.8803030331229409</c:v>
                </c:pt>
                <c:pt idx="650">
                  <c:v>2.7754648147250851</c:v>
                </c:pt>
                <c:pt idx="651">
                  <c:v>2.5657463488613823</c:v>
                </c:pt>
                <c:pt idx="652">
                  <c:v>2.4091113165027451</c:v>
                </c:pt>
                <c:pt idx="653">
                  <c:v>2.20932424407897</c:v>
                </c:pt>
                <c:pt idx="654">
                  <c:v>2.3401883110625672</c:v>
                </c:pt>
                <c:pt idx="655">
                  <c:v>2.2369977109968762</c:v>
                </c:pt>
                <c:pt idx="656">
                  <c:v>2.2341083788114942</c:v>
                </c:pt>
                <c:pt idx="657">
                  <c:v>2.2254849921389099</c:v>
                </c:pt>
                <c:pt idx="658">
                  <c:v>2.3179991513529412</c:v>
                </c:pt>
                <c:pt idx="659">
                  <c:v>2.4889618409807146</c:v>
                </c:pt>
                <c:pt idx="660">
                  <c:v>2.4857717908376391</c:v>
                </c:pt>
                <c:pt idx="661">
                  <c:v>2.4784591422309354</c:v>
                </c:pt>
                <c:pt idx="662">
                  <c:v>2.6212316245226823</c:v>
                </c:pt>
                <c:pt idx="663">
                  <c:v>2.6343323306828585</c:v>
                </c:pt>
                <c:pt idx="664">
                  <c:v>2.5488918150835258</c:v>
                </c:pt>
                <c:pt idx="665">
                  <c:v>2.6604338934284941</c:v>
                </c:pt>
                <c:pt idx="666">
                  <c:v>2.6510627822098995</c:v>
                </c:pt>
                <c:pt idx="667">
                  <c:v>2.5866152893949907</c:v>
                </c:pt>
                <c:pt idx="668">
                  <c:v>2.5833544110679214</c:v>
                </c:pt>
                <c:pt idx="669">
                  <c:v>2.6004175059624677</c:v>
                </c:pt>
                <c:pt idx="670">
                  <c:v>2.5890313865818624</c:v>
                </c:pt>
                <c:pt idx="671">
                  <c:v>2.4256748731174684</c:v>
                </c:pt>
                <c:pt idx="672">
                  <c:v>2.4832058413824458</c:v>
                </c:pt>
                <c:pt idx="673">
                  <c:v>2.4801027128765232</c:v>
                </c:pt>
                <c:pt idx="674">
                  <c:v>2.4488137509463592</c:v>
                </c:pt>
                <c:pt idx="675">
                  <c:v>2.5262139015491312</c:v>
                </c:pt>
                <c:pt idx="676">
                  <c:v>2.5208097352814658</c:v>
                </c:pt>
                <c:pt idx="677">
                  <c:v>2.5937338982611529</c:v>
                </c:pt>
                <c:pt idx="678">
                  <c:v>2.5945184730517297</c:v>
                </c:pt>
                <c:pt idx="679">
                  <c:v>2.5354095423767218</c:v>
                </c:pt>
                <c:pt idx="680">
                  <c:v>2.5203129047942787</c:v>
                </c:pt>
                <c:pt idx="681">
                  <c:v>2.4752460328344532</c:v>
                </c:pt>
                <c:pt idx="682">
                  <c:v>2.5356938497543666</c:v>
                </c:pt>
                <c:pt idx="683">
                  <c:v>2.5722130972974133</c:v>
                </c:pt>
                <c:pt idx="684">
                  <c:v>2.5131833165715705</c:v>
                </c:pt>
                <c:pt idx="685">
                  <c:v>2.5061849491443904</c:v>
                </c:pt>
                <c:pt idx="686">
                  <c:v>2.4206123164368467</c:v>
                </c:pt>
                <c:pt idx="687">
                  <c:v>2.4255179165519389</c:v>
                </c:pt>
                <c:pt idx="688">
                  <c:v>2.426491579976338</c:v>
                </c:pt>
                <c:pt idx="689">
                  <c:v>2.4176810731305296</c:v>
                </c:pt>
                <c:pt idx="690">
                  <c:v>2.4108573746790283</c:v>
                </c:pt>
                <c:pt idx="691">
                  <c:v>2.46639181123837</c:v>
                </c:pt>
                <c:pt idx="692">
                  <c:v>2.3972593517261789</c:v>
                </c:pt>
                <c:pt idx="693">
                  <c:v>2.3516152349784929</c:v>
                </c:pt>
                <c:pt idx="694">
                  <c:v>2.3896240047186401</c:v>
                </c:pt>
                <c:pt idx="695">
                  <c:v>2.3635495470725512</c:v>
                </c:pt>
                <c:pt idx="696">
                  <c:v>2.4302662876494296</c:v>
                </c:pt>
                <c:pt idx="697">
                  <c:v>2.3733329662375584</c:v>
                </c:pt>
                <c:pt idx="698">
                  <c:v>2.3319535239399798</c:v>
                </c:pt>
                <c:pt idx="699">
                  <c:v>2.2391318236407955</c:v>
                </c:pt>
                <c:pt idx="700">
                  <c:v>2.1482388391302378</c:v>
                </c:pt>
                <c:pt idx="701">
                  <c:v>2.0422353502768744</c:v>
                </c:pt>
                <c:pt idx="702">
                  <c:v>2.0474675048171505</c:v>
                </c:pt>
                <c:pt idx="703">
                  <c:v>2.1062023884209187</c:v>
                </c:pt>
                <c:pt idx="704">
                  <c:v>2.2282494974503302</c:v>
                </c:pt>
                <c:pt idx="705">
                  <c:v>2.2066001316469164</c:v>
                </c:pt>
                <c:pt idx="706">
                  <c:v>2.1615428822580083</c:v>
                </c:pt>
                <c:pt idx="707">
                  <c:v>2.1320130611521408</c:v>
                </c:pt>
                <c:pt idx="708">
                  <c:v>2.1102542798152584</c:v>
                </c:pt>
                <c:pt idx="709">
                  <c:v>1.985399815215255</c:v>
                </c:pt>
                <c:pt idx="710">
                  <c:v>1.9447976189231577</c:v>
                </c:pt>
                <c:pt idx="711">
                  <c:v>1.9100259655491001</c:v>
                </c:pt>
                <c:pt idx="712">
                  <c:v>1.8333217208148591</c:v>
                </c:pt>
                <c:pt idx="713">
                  <c:v>1.8117110580012172</c:v>
                </c:pt>
                <c:pt idx="714">
                  <c:v>1.8400234683340404</c:v>
                </c:pt>
                <c:pt idx="715">
                  <c:v>1.8530810926743646</c:v>
                </c:pt>
                <c:pt idx="716">
                  <c:v>1.7902504298929152</c:v>
                </c:pt>
                <c:pt idx="717">
                  <c:v>1.7048338838297252</c:v>
                </c:pt>
                <c:pt idx="718">
                  <c:v>1.5101716785504686</c:v>
                </c:pt>
                <c:pt idx="719">
                  <c:v>1.3877595601254031</c:v>
                </c:pt>
                <c:pt idx="720">
                  <c:v>1.4916339141079558</c:v>
                </c:pt>
                <c:pt idx="721">
                  <c:v>1.5576455246209082</c:v>
                </c:pt>
                <c:pt idx="722">
                  <c:v>1.5558596978635673</c:v>
                </c:pt>
                <c:pt idx="723">
                  <c:v>1.5055838996165802</c:v>
                </c:pt>
                <c:pt idx="724">
                  <c:v>1.5038656409231559</c:v>
                </c:pt>
                <c:pt idx="725">
                  <c:v>1.5021512997096091</c:v>
                </c:pt>
                <c:pt idx="726">
                  <c:v>1.5004408625939272</c:v>
                </c:pt>
                <c:pt idx="727">
                  <c:v>1.4838215369887582</c:v>
                </c:pt>
                <c:pt idx="728">
                  <c:v>1.411896512550745</c:v>
                </c:pt>
                <c:pt idx="729">
                  <c:v>1.3731848420683745</c:v>
                </c:pt>
                <c:pt idx="730">
                  <c:v>1.5199163893478473</c:v>
                </c:pt>
                <c:pt idx="731">
                  <c:v>1.5552286631245982</c:v>
                </c:pt>
                <c:pt idx="732">
                  <c:v>1.5608712689377771</c:v>
                </c:pt>
                <c:pt idx="733">
                  <c:v>1.5187426432979467</c:v>
                </c:pt>
                <c:pt idx="734">
                  <c:v>1.4949438587857571</c:v>
                </c:pt>
                <c:pt idx="735">
                  <c:v>1.4859104658962252</c:v>
                </c:pt>
                <c:pt idx="736">
                  <c:v>1.4181153391383445</c:v>
                </c:pt>
                <c:pt idx="737">
                  <c:v>1.4679043594116694</c:v>
                </c:pt>
                <c:pt idx="738">
                  <c:v>1.4191010211890869</c:v>
                </c:pt>
                <c:pt idx="739">
                  <c:v>1.454053372586692</c:v>
                </c:pt>
                <c:pt idx="740">
                  <c:v>1.4597332340571498</c:v>
                </c:pt>
                <c:pt idx="741">
                  <c:v>1.4435288140590059</c:v>
                </c:pt>
                <c:pt idx="742">
                  <c:v>1.441925296808559</c:v>
                </c:pt>
                <c:pt idx="743">
                  <c:v>1.4734273632780017</c:v>
                </c:pt>
                <c:pt idx="744">
                  <c:v>1.4500471666297763</c:v>
                </c:pt>
                <c:pt idx="745">
                  <c:v>1.4194763994649897</c:v>
                </c:pt>
                <c:pt idx="746">
                  <c:v>1.4106758052624386</c:v>
                </c:pt>
                <c:pt idx="747">
                  <c:v>1.3946683512672489</c:v>
                </c:pt>
                <c:pt idx="748">
                  <c:v>1.397274131899048</c:v>
                </c:pt>
                <c:pt idx="749">
                  <c:v>1.3453789536229881</c:v>
                </c:pt>
                <c:pt idx="750">
                  <c:v>1.3439041237764457</c:v>
                </c:pt>
                <c:pt idx="751">
                  <c:v>1.3208961732117257</c:v>
                </c:pt>
                <c:pt idx="752">
                  <c:v>1.2477420370631402</c:v>
                </c:pt>
                <c:pt idx="753">
                  <c:v>1.3008408268852631</c:v>
                </c:pt>
                <c:pt idx="754">
                  <c:v>1.228027207887276</c:v>
                </c:pt>
                <c:pt idx="755">
                  <c:v>1.2124274205791632</c:v>
                </c:pt>
                <c:pt idx="756">
                  <c:v>1.2111098891399059</c:v>
                </c:pt>
                <c:pt idx="757">
                  <c:v>1.2097952180859224</c:v>
                </c:pt>
                <c:pt idx="758">
                  <c:v>1.120748160902465</c:v>
                </c:pt>
                <c:pt idx="759">
                  <c:v>1.0982798093858612</c:v>
                </c:pt>
                <c:pt idx="760">
                  <c:v>1.2386545750483715</c:v>
                </c:pt>
                <c:pt idx="761">
                  <c:v>1.2726706675684847</c:v>
                </c:pt>
                <c:pt idx="762">
                  <c:v>1.2712995899393664</c:v>
                </c:pt>
                <c:pt idx="763">
                  <c:v>1.2460839579897052</c:v>
                </c:pt>
                <c:pt idx="764">
                  <c:v>1.2799096355896062</c:v>
                </c:pt>
                <c:pt idx="765">
                  <c:v>1.2644882771884884</c:v>
                </c:pt>
                <c:pt idx="766">
                  <c:v>1.2561173483136674</c:v>
                </c:pt>
                <c:pt idx="767">
                  <c:v>1.2828138804053371</c:v>
                </c:pt>
                <c:pt idx="768">
                  <c:v>1.2577495621774351</c:v>
                </c:pt>
                <c:pt idx="769">
                  <c:v>1.2284901971215281</c:v>
                </c:pt>
                <c:pt idx="770">
                  <c:v>1.1714025344974301</c:v>
                </c:pt>
                <c:pt idx="771">
                  <c:v>1.0308534634483364</c:v>
                </c:pt>
                <c:pt idx="772">
                  <c:v>1.0297594023062671</c:v>
                </c:pt>
                <c:pt idx="773">
                  <c:v>1.040362609854772</c:v>
                </c:pt>
                <c:pt idx="774">
                  <c:v>1.0392631241113761</c:v>
                </c:pt>
                <c:pt idx="775">
                  <c:v>1.0381659598521806</c:v>
                </c:pt>
                <c:pt idx="776">
                  <c:v>1.037071109732471</c:v>
                </c:pt>
                <c:pt idx="777">
                  <c:v>1.0566981377672542</c:v>
                </c:pt>
                <c:pt idx="778">
                  <c:v>1.0178762321010864</c:v>
                </c:pt>
                <c:pt idx="779">
                  <c:v>1.0030688598915967</c:v>
                </c:pt>
                <c:pt idx="780">
                  <c:v>0.97878151570533145</c:v>
                </c:pt>
                <c:pt idx="781">
                  <c:v>0.94962100944420436</c:v>
                </c:pt>
                <c:pt idx="782">
                  <c:v>0.96768774100692367</c:v>
                </c:pt>
                <c:pt idx="783">
                  <c:v>0.92465040682767985</c:v>
                </c:pt>
                <c:pt idx="784">
                  <c:v>0.89569789902295138</c:v>
                </c:pt>
                <c:pt idx="785">
                  <c:v>0.88078630435962335</c:v>
                </c:pt>
                <c:pt idx="786">
                  <c:v>0.87987189196347715</c:v>
                </c:pt>
                <c:pt idx="787">
                  <c:v>0.77407210708167118</c:v>
                </c:pt>
                <c:pt idx="788">
                  <c:v>0.77327755667527642</c:v>
                </c:pt>
                <c:pt idx="789">
                  <c:v>0.73799871449896604</c:v>
                </c:pt>
                <c:pt idx="790">
                  <c:v>0.70968226735526907</c:v>
                </c:pt>
                <c:pt idx="791">
                  <c:v>0.6883068413008151</c:v>
                </c:pt>
                <c:pt idx="792">
                  <c:v>0.67247626121094106</c:v>
                </c:pt>
                <c:pt idx="793">
                  <c:v>0.7334860030831174</c:v>
                </c:pt>
                <c:pt idx="794">
                  <c:v>0.664258941376488</c:v>
                </c:pt>
                <c:pt idx="795">
                  <c:v>0.6225369576381512</c:v>
                </c:pt>
                <c:pt idx="796">
                  <c:v>0.58773386992621268</c:v>
                </c:pt>
                <c:pt idx="797">
                  <c:v>0.59276120190240678</c:v>
                </c:pt>
                <c:pt idx="798">
                  <c:v>0.59896783134556775</c:v>
                </c:pt>
                <c:pt idx="799">
                  <c:v>0.52356704775470009</c:v>
                </c:pt>
                <c:pt idx="800">
                  <c:v>0.5094529024184592</c:v>
                </c:pt>
                <c:pt idx="801">
                  <c:v>0.49536723522423576</c:v>
                </c:pt>
                <c:pt idx="802">
                  <c:v>0.42621873613224459</c:v>
                </c:pt>
                <c:pt idx="803">
                  <c:v>0.40551473629250762</c:v>
                </c:pt>
                <c:pt idx="804">
                  <c:v>0.42536306985236566</c:v>
                </c:pt>
                <c:pt idx="805">
                  <c:v>0.49913178983853806</c:v>
                </c:pt>
                <c:pt idx="806">
                  <c:v>0.55927617591139822</c:v>
                </c:pt>
                <c:pt idx="807">
                  <c:v>0.55760040281551126</c:v>
                </c:pt>
                <c:pt idx="808">
                  <c:v>0.5369099192132909</c:v>
                </c:pt>
                <c:pt idx="809">
                  <c:v>0.5631934728977761</c:v>
                </c:pt>
                <c:pt idx="810">
                  <c:v>0.54923663430512237</c:v>
                </c:pt>
                <c:pt idx="811">
                  <c:v>0.58214697612814914</c:v>
                </c:pt>
                <c:pt idx="812">
                  <c:v>0.65380056260312436</c:v>
                </c:pt>
                <c:pt idx="813">
                  <c:v>0.68647685856809826</c:v>
                </c:pt>
                <c:pt idx="814">
                  <c:v>0.63918974534011164</c:v>
                </c:pt>
                <c:pt idx="815">
                  <c:v>0.60529944079608911</c:v>
                </c:pt>
                <c:pt idx="816">
                  <c:v>0.61799159450855501</c:v>
                </c:pt>
                <c:pt idx="817">
                  <c:v>0.60291455660881188</c:v>
                </c:pt>
                <c:pt idx="818">
                  <c:v>0.58246452393248471</c:v>
                </c:pt>
                <c:pt idx="819">
                  <c:v>0.56866710690574884</c:v>
                </c:pt>
                <c:pt idx="820">
                  <c:v>0.54829087658166986</c:v>
                </c:pt>
                <c:pt idx="821">
                  <c:v>0.57415066009141291</c:v>
                </c:pt>
                <c:pt idx="822">
                  <c:v>0.54614539964164432</c:v>
                </c:pt>
                <c:pt idx="823">
                  <c:v>0.54561165137670153</c:v>
                </c:pt>
                <c:pt idx="824">
                  <c:v>0.56478059398565061</c:v>
                </c:pt>
                <c:pt idx="825">
                  <c:v>0.58391214204512953</c:v>
                </c:pt>
                <c:pt idx="826">
                  <c:v>0.61611523976030447</c:v>
                </c:pt>
                <c:pt idx="827">
                  <c:v>0.67313719387231241</c:v>
                </c:pt>
                <c:pt idx="828">
                  <c:v>0.69207071331495584</c:v>
                </c:pt>
                <c:pt idx="829">
                  <c:v>0.74358070101082963</c:v>
                </c:pt>
                <c:pt idx="830">
                  <c:v>0.72331137902934639</c:v>
                </c:pt>
                <c:pt idx="831">
                  <c:v>0.74865137579168983</c:v>
                </c:pt>
                <c:pt idx="832">
                  <c:v>0.75297510508636412</c:v>
                </c:pt>
                <c:pt idx="833">
                  <c:v>0.81061331316598884</c:v>
                </c:pt>
                <c:pt idx="834">
                  <c:v>0.80983254589760301</c:v>
                </c:pt>
                <c:pt idx="835">
                  <c:v>0.78963600247287136</c:v>
                </c:pt>
                <c:pt idx="836">
                  <c:v>0.74361347362182662</c:v>
                </c:pt>
                <c:pt idx="837">
                  <c:v>0.77371311554931255</c:v>
                </c:pt>
                <c:pt idx="838">
                  <c:v>0.76008930229354477</c:v>
                </c:pt>
                <c:pt idx="839">
                  <c:v>0.78510318996307227</c:v>
                </c:pt>
                <c:pt idx="840">
                  <c:v>0.82935662362866458</c:v>
                </c:pt>
                <c:pt idx="841">
                  <c:v>0.82856466832750342</c:v>
                </c:pt>
                <c:pt idx="842">
                  <c:v>0.77496077533411423</c:v>
                </c:pt>
                <c:pt idx="843">
                  <c:v>0.79981774649701376</c:v>
                </c:pt>
                <c:pt idx="844">
                  <c:v>0.80545008818368125</c:v>
                </c:pt>
                <c:pt idx="845">
                  <c:v>0.80468534285652937</c:v>
                </c:pt>
                <c:pt idx="846">
                  <c:v>0.80392204834717729</c:v>
                </c:pt>
                <c:pt idx="847">
                  <c:v>0.85890088773998752</c:v>
                </c:pt>
                <c:pt idx="848">
                  <c:v>0.84537681268551035</c:v>
                </c:pt>
                <c:pt idx="849">
                  <c:v>0.85727913669577349</c:v>
                </c:pt>
                <c:pt idx="850">
                  <c:v>0.86910786774686999</c:v>
                </c:pt>
                <c:pt idx="851">
                  <c:v>0.86254795112641047</c:v>
                </c:pt>
                <c:pt idx="852">
                  <c:v>0.81160658423199494</c:v>
                </c:pt>
                <c:pt idx="853">
                  <c:v>0.79238616587925759</c:v>
                </c:pt>
                <c:pt idx="854">
                  <c:v>0.81120038516297621</c:v>
                </c:pt>
                <c:pt idx="855">
                  <c:v>0.76626260664676737</c:v>
                </c:pt>
                <c:pt idx="856">
                  <c:v>0.75973988024145001</c:v>
                </c:pt>
                <c:pt idx="857">
                  <c:v>0.8038570808081642</c:v>
                </c:pt>
                <c:pt idx="858">
                  <c:v>0.78467221687394328</c:v>
                </c:pt>
                <c:pt idx="859">
                  <c:v>0.77814977988638423</c:v>
                </c:pt>
                <c:pt idx="860">
                  <c:v>0.75228032304023273</c:v>
                </c:pt>
                <c:pt idx="861">
                  <c:v>0.76473279785036496</c:v>
                </c:pt>
                <c:pt idx="862">
                  <c:v>0.76454200113974358</c:v>
                </c:pt>
                <c:pt idx="863">
                  <c:v>0.73908348805349233</c:v>
                </c:pt>
                <c:pt idx="864">
                  <c:v>0.71363767215503271</c:v>
                </c:pt>
                <c:pt idx="865">
                  <c:v>0.75596017633856838</c:v>
                </c:pt>
                <c:pt idx="866">
                  <c:v>0.74947407662456711</c:v>
                </c:pt>
                <c:pt idx="867">
                  <c:v>0.76817734458430176</c:v>
                </c:pt>
                <c:pt idx="868">
                  <c:v>0.78057634409483767</c:v>
                </c:pt>
                <c:pt idx="869">
                  <c:v>0.78667577503763453</c:v>
                </c:pt>
                <c:pt idx="870">
                  <c:v>0.78608973898608836</c:v>
                </c:pt>
                <c:pt idx="871">
                  <c:v>0.80475605772090242</c:v>
                </c:pt>
                <c:pt idx="872">
                  <c:v>0.77941393685596649</c:v>
                </c:pt>
                <c:pt idx="873">
                  <c:v>0.7792205388191924</c:v>
                </c:pt>
                <c:pt idx="874">
                  <c:v>0.8167221030289854</c:v>
                </c:pt>
                <c:pt idx="875">
                  <c:v>0.84122596238191982</c:v>
                </c:pt>
                <c:pt idx="876">
                  <c:v>0.85984623508729541</c:v>
                </c:pt>
                <c:pt idx="877">
                  <c:v>0.8345344168880412</c:v>
                </c:pt>
                <c:pt idx="878">
                  <c:v>0.8280545601054633</c:v>
                </c:pt>
                <c:pt idx="879">
                  <c:v>0.81530632556034344</c:v>
                </c:pt>
                <c:pt idx="880">
                  <c:v>0.82096799653510821</c:v>
                </c:pt>
                <c:pt idx="881">
                  <c:v>0.82703027319877975</c:v>
                </c:pt>
                <c:pt idx="882">
                  <c:v>0.79550656377352946</c:v>
                </c:pt>
                <c:pt idx="883">
                  <c:v>0.76399844431337205</c:v>
                </c:pt>
                <c:pt idx="884">
                  <c:v>0.75128810590379869</c:v>
                </c:pt>
                <c:pt idx="885">
                  <c:v>0.70068257966600656</c:v>
                </c:pt>
                <c:pt idx="886">
                  <c:v>0.68800043447075387</c:v>
                </c:pt>
                <c:pt idx="887">
                  <c:v>0.73785460300682393</c:v>
                </c:pt>
                <c:pt idx="888">
                  <c:v>0.73767246627265692</c:v>
                </c:pt>
                <c:pt idx="889">
                  <c:v>0.72499058181832721</c:v>
                </c:pt>
                <c:pt idx="890">
                  <c:v>0.73694481764486497</c:v>
                </c:pt>
                <c:pt idx="891">
                  <c:v>0.73676312973292912</c:v>
                </c:pt>
                <c:pt idx="892">
                  <c:v>0.75530818048938786</c:v>
                </c:pt>
                <c:pt idx="893">
                  <c:v>0.73015934438179131</c:v>
                </c:pt>
                <c:pt idx="894">
                  <c:v>0.74245774382889296</c:v>
                </c:pt>
                <c:pt idx="895">
                  <c:v>0.76684754526001797</c:v>
                </c:pt>
                <c:pt idx="896">
                  <c:v>0.74795981539922407</c:v>
                </c:pt>
                <c:pt idx="897">
                  <c:v>0.76647016918718547</c:v>
                </c:pt>
                <c:pt idx="898">
                  <c:v>0.80989114351263591</c:v>
                </c:pt>
                <c:pt idx="899">
                  <c:v>0.8034635626166633</c:v>
                </c:pt>
                <c:pt idx="900">
                  <c:v>0.8588854680833542</c:v>
                </c:pt>
                <c:pt idx="901">
                  <c:v>0.8462298878596719</c:v>
                </c:pt>
                <c:pt idx="902">
                  <c:v>0.84602202528175718</c:v>
                </c:pt>
                <c:pt idx="903">
                  <c:v>0.85203348733012985</c:v>
                </c:pt>
                <c:pt idx="904">
                  <c:v>0.87669508449749656</c:v>
                </c:pt>
                <c:pt idx="905">
                  <c:v>0.83255800339818498</c:v>
                </c:pt>
                <c:pt idx="906">
                  <c:v>0.8323538000511701</c:v>
                </c:pt>
                <c:pt idx="907">
                  <c:v>0.83214969685040696</c:v>
                </c:pt>
                <c:pt idx="908">
                  <c:v>0.87540554339430043</c:v>
                </c:pt>
                <c:pt idx="909">
                  <c:v>0.93105424320122798</c:v>
                </c:pt>
                <c:pt idx="910">
                  <c:v>1.0231565980492787</c:v>
                </c:pt>
                <c:pt idx="911">
                  <c:v>0.94851296396596319</c:v>
                </c:pt>
                <c:pt idx="912">
                  <c:v>1.0536453694525671</c:v>
                </c:pt>
                <c:pt idx="913">
                  <c:v>1.0533875718231587</c:v>
                </c:pt>
                <c:pt idx="914">
                  <c:v>1.0526149352904159</c:v>
                </c:pt>
                <c:pt idx="915">
                  <c:v>1.0647383197262177</c:v>
                </c:pt>
                <c:pt idx="916">
                  <c:v>1.1139887367959922</c:v>
                </c:pt>
                <c:pt idx="917">
                  <c:v>1.0951546314650644</c:v>
                </c:pt>
                <c:pt idx="918">
                  <c:v>1.1258161509543514</c:v>
                </c:pt>
                <c:pt idx="919">
                  <c:v>1.0755416114583116</c:v>
                </c:pt>
                <c:pt idx="920">
                  <c:v>1.04438033626515</c:v>
                </c:pt>
                <c:pt idx="921">
                  <c:v>1.0379472958759173</c:v>
                </c:pt>
                <c:pt idx="922">
                  <c:v>1.037694144335759</c:v>
                </c:pt>
                <c:pt idx="923">
                  <c:v>1.1362450320843795</c:v>
                </c:pt>
                <c:pt idx="924">
                  <c:v>1.1107315412424044</c:v>
                </c:pt>
                <c:pt idx="925">
                  <c:v>1.1536455610451353</c:v>
                </c:pt>
                <c:pt idx="926">
                  <c:v>1.1657000525628327</c:v>
                </c:pt>
                <c:pt idx="927">
                  <c:v>1.1654162271615072</c:v>
                </c:pt>
                <c:pt idx="928">
                  <c:v>1.2443652162905698</c:v>
                </c:pt>
                <c:pt idx="929">
                  <c:v>1.1947927996713192</c:v>
                </c:pt>
                <c:pt idx="930">
                  <c:v>1.2376029141122882</c:v>
                </c:pt>
                <c:pt idx="931">
                  <c:v>1.2249906308356642</c:v>
                </c:pt>
                <c:pt idx="932">
                  <c:v>1.2370014210147635</c:v>
                </c:pt>
                <c:pt idx="933">
                  <c:v>1.1377042348877515</c:v>
                </c:pt>
                <c:pt idx="934">
                  <c:v>1.1743175907487429</c:v>
                </c:pt>
                <c:pt idx="935">
                  <c:v>1.1986196388216055</c:v>
                </c:pt>
                <c:pt idx="936">
                  <c:v>1.1860382378766336</c:v>
                </c:pt>
                <c:pt idx="937">
                  <c:v>1.2226132215560648</c:v>
                </c:pt>
                <c:pt idx="938">
                  <c:v>1.2769779228576881</c:v>
                </c:pt>
                <c:pt idx="939">
                  <c:v>1.3564602123783249</c:v>
                </c:pt>
                <c:pt idx="940">
                  <c:v>1.4113586174054324</c:v>
                </c:pt>
                <c:pt idx="941">
                  <c:v>1.5275789783778677</c:v>
                </c:pt>
                <c:pt idx="942">
                  <c:v>1.5104265066404328</c:v>
                </c:pt>
                <c:pt idx="943">
                  <c:v>1.5528085419988189</c:v>
                </c:pt>
                <c:pt idx="944">
                  <c:v>1.5338036474445942</c:v>
                </c:pt>
                <c:pt idx="945">
                  <c:v>1.5520573228441177</c:v>
                </c:pt>
                <c:pt idx="946">
                  <c:v>1.8478174816982031</c:v>
                </c:pt>
                <c:pt idx="947">
                  <c:v>1.7047888221822802</c:v>
                </c:pt>
                <c:pt idx="948">
                  <c:v>1.6733884716849556</c:v>
                </c:pt>
                <c:pt idx="949">
                  <c:v>1.7473393423861958</c:v>
                </c:pt>
                <c:pt idx="950">
                  <c:v>1.7840860552970736</c:v>
                </c:pt>
                <c:pt idx="951">
                  <c:v>1.7951756640262819</c:v>
                </c:pt>
                <c:pt idx="952">
                  <c:v>1.7514214116866063</c:v>
                </c:pt>
                <c:pt idx="953">
                  <c:v>1.7819355708298952</c:v>
                </c:pt>
                <c:pt idx="954">
                  <c:v>1.7629487407321804</c:v>
                </c:pt>
                <c:pt idx="955">
                  <c:v>1.9294998969311234</c:v>
                </c:pt>
                <c:pt idx="956">
                  <c:v>1.8724876739850169</c:v>
                </c:pt>
                <c:pt idx="957">
                  <c:v>1.9091069557222753</c:v>
                </c:pt>
                <c:pt idx="958">
                  <c:v>1.8345252620688746</c:v>
                </c:pt>
                <c:pt idx="959">
                  <c:v>1.7476287255803602</c:v>
                </c:pt>
                <c:pt idx="960">
                  <c:v>1.7719038538178209</c:v>
                </c:pt>
                <c:pt idx="961">
                  <c:v>1.7274400683539066</c:v>
                </c:pt>
                <c:pt idx="962">
                  <c:v>1.6468416281267626</c:v>
                </c:pt>
                <c:pt idx="963">
                  <c:v>1.7081105951498106</c:v>
                </c:pt>
                <c:pt idx="964">
                  <c:v>1.7508551788194915</c:v>
                </c:pt>
                <c:pt idx="965">
                  <c:v>1.7257807047681548</c:v>
                </c:pt>
                <c:pt idx="966">
                  <c:v>1.730697337917712</c:v>
                </c:pt>
                <c:pt idx="967">
                  <c:v>1.6502334749458967</c:v>
                </c:pt>
                <c:pt idx="968">
                  <c:v>1.6498376503234402</c:v>
                </c:pt>
                <c:pt idx="969">
                  <c:v>1.6802151874719757</c:v>
                </c:pt>
                <c:pt idx="970">
                  <c:v>1.6675060469947998</c:v>
                </c:pt>
                <c:pt idx="971">
                  <c:v>1.7032000002379888</c:v>
                </c:pt>
                <c:pt idx="972">
                  <c:v>1.7396756406577221</c:v>
                </c:pt>
                <c:pt idx="973">
                  <c:v>1.7208216866868233</c:v>
                </c:pt>
                <c:pt idx="974">
                  <c:v>1.8187188482351098</c:v>
                </c:pt>
                <c:pt idx="975">
                  <c:v>1.8735691989367658</c:v>
                </c:pt>
                <c:pt idx="976">
                  <c:v>1.9765784049330097</c:v>
                </c:pt>
                <c:pt idx="977">
                  <c:v>1.957694853639576</c:v>
                </c:pt>
                <c:pt idx="978">
                  <c:v>1.9204138087084981</c:v>
                </c:pt>
                <c:pt idx="979">
                  <c:v>1.9015527070792078</c:v>
                </c:pt>
                <c:pt idx="980">
                  <c:v>1.9685566731794866</c:v>
                </c:pt>
                <c:pt idx="981">
                  <c:v>1.9855311142059424</c:v>
                </c:pt>
                <c:pt idx="982">
                  <c:v>1.9973105780499092</c:v>
                </c:pt>
                <c:pt idx="983">
                  <c:v>2.0825875078895733</c:v>
                </c:pt>
                <c:pt idx="984">
                  <c:v>2.2719282735129607</c:v>
                </c:pt>
                <c:pt idx="985">
                  <c:v>2.4305670315528087</c:v>
                </c:pt>
                <c:pt idx="986">
                  <c:v>2.447182756167622</c:v>
                </c:pt>
                <c:pt idx="987">
                  <c:v>2.5505800334037403</c:v>
                </c:pt>
                <c:pt idx="988">
                  <c:v>2.3114857121289298</c:v>
                </c:pt>
                <c:pt idx="989">
                  <c:v>2.3781845440586298</c:v>
                </c:pt>
                <c:pt idx="990">
                  <c:v>2.4876365109896494</c:v>
                </c:pt>
                <c:pt idx="991">
                  <c:v>2.5073242435582053</c:v>
                </c:pt>
                <c:pt idx="992">
                  <c:v>2.4036232209459998</c:v>
                </c:pt>
                <c:pt idx="993">
                  <c:v>2.3772814990317679</c:v>
                </c:pt>
                <c:pt idx="994">
                  <c:v>2.3831571316774127</c:v>
                </c:pt>
                <c:pt idx="995">
                  <c:v>2.2924384622225369</c:v>
                </c:pt>
                <c:pt idx="996">
                  <c:v>2.1942818838385976</c:v>
                </c:pt>
                <c:pt idx="997">
                  <c:v>2.1229942155928478</c:v>
                </c:pt>
                <c:pt idx="998">
                  <c:v>2.0646039805581964</c:v>
                </c:pt>
                <c:pt idx="999">
                  <c:v>2.1412769540973744</c:v>
                </c:pt>
                <c:pt idx="1000">
                  <c:v>2.1986273256339484</c:v>
                </c:pt>
                <c:pt idx="1001">
                  <c:v>2.126397110578675</c:v>
                </c:pt>
                <c:pt idx="1002">
                  <c:v>2.2928814433106637</c:v>
                </c:pt>
                <c:pt idx="1003">
                  <c:v>2.2217056030187949</c:v>
                </c:pt>
                <c:pt idx="1004">
                  <c:v>2.2725357608796073</c:v>
                </c:pt>
                <c:pt idx="1005">
                  <c:v>2.3361779719068574</c:v>
                </c:pt>
                <c:pt idx="1006">
                  <c:v>2.2960373294685454</c:v>
                </c:pt>
                <c:pt idx="1007">
                  <c:v>2.2377858292120818</c:v>
                </c:pt>
                <c:pt idx="1008">
                  <c:v>2.1987933315160193</c:v>
                </c:pt>
                <c:pt idx="1009">
                  <c:v>2.1213655311396891</c:v>
                </c:pt>
                <c:pt idx="1010">
                  <c:v>2.0824190236431619</c:v>
                </c:pt>
                <c:pt idx="1011">
                  <c:v>2.0233160757850679</c:v>
                </c:pt>
                <c:pt idx="1012">
                  <c:v>2.048443417846959</c:v>
                </c:pt>
                <c:pt idx="1013">
                  <c:v>1.9519612963203612</c:v>
                </c:pt>
                <c:pt idx="1014">
                  <c:v>2.0346788740816382</c:v>
                </c:pt>
                <c:pt idx="1015">
                  <c:v>2.1493416302223856</c:v>
                </c:pt>
                <c:pt idx="1016">
                  <c:v>2.2373123226304155</c:v>
                </c:pt>
                <c:pt idx="1017">
                  <c:v>2.2048303552765751</c:v>
                </c:pt>
                <c:pt idx="1018">
                  <c:v>2.1723637128488709</c:v>
                </c:pt>
                <c:pt idx="1019">
                  <c:v>2.1526879808298571</c:v>
                </c:pt>
                <c:pt idx="1020">
                  <c:v>2.1713392793928592</c:v>
                </c:pt>
                <c:pt idx="1021">
                  <c:v>2.1889497728347389</c:v>
                </c:pt>
                <c:pt idx="1022">
                  <c:v>2.192302901632035</c:v>
                </c:pt>
                <c:pt idx="1023">
                  <c:v>2.1402151429570933</c:v>
                </c:pt>
                <c:pt idx="1024">
                  <c:v>2.0817069995791795</c:v>
                </c:pt>
                <c:pt idx="1025">
                  <c:v>2.1263207406849323</c:v>
                </c:pt>
                <c:pt idx="1026">
                  <c:v>2.0861871031985109</c:v>
                </c:pt>
                <c:pt idx="1027">
                  <c:v>2.0792591435651411</c:v>
                </c:pt>
                <c:pt idx="1028">
                  <c:v>2.0723344417697467</c:v>
                </c:pt>
                <c:pt idx="1029">
                  <c:v>1.9882012947479832</c:v>
                </c:pt>
                <c:pt idx="1030">
                  <c:v>2.0327636174739987</c:v>
                </c:pt>
                <c:pt idx="1031">
                  <c:v>1.9799053431185021</c:v>
                </c:pt>
                <c:pt idx="1032">
                  <c:v>1.9344531950759352</c:v>
                </c:pt>
                <c:pt idx="1033">
                  <c:v>1.9468496014402898</c:v>
                </c:pt>
                <c:pt idx="1034">
                  <c:v>1.9235102067550736</c:v>
                </c:pt>
                <c:pt idx="1035">
                  <c:v>1.9477882523602494</c:v>
                </c:pt>
                <c:pt idx="1036">
                  <c:v>1.9409267282955152</c:v>
                </c:pt>
                <c:pt idx="1037">
                  <c:v>2.100577616263684</c:v>
                </c:pt>
                <c:pt idx="1038">
                  <c:v>2.0424619466310925</c:v>
                </c:pt>
                <c:pt idx="1039">
                  <c:v>2.0035770727205793</c:v>
                </c:pt>
                <c:pt idx="1040">
                  <c:v>2.0341559864491168</c:v>
                </c:pt>
                <c:pt idx="1041">
                  <c:v>2.0784472846554349</c:v>
                </c:pt>
                <c:pt idx="1042">
                  <c:v>2.2314112773256047</c:v>
                </c:pt>
                <c:pt idx="1043">
                  <c:v>2.1861445273314182</c:v>
                </c:pt>
                <c:pt idx="1044">
                  <c:v>2.153680400759296</c:v>
                </c:pt>
                <c:pt idx="1045">
                  <c:v>2.1521729610737959</c:v>
                </c:pt>
                <c:pt idx="1046">
                  <c:v>2.0942079276042143</c:v>
                </c:pt>
                <c:pt idx="1047">
                  <c:v>2.0681863859912863</c:v>
                </c:pt>
                <c:pt idx="1048">
                  <c:v>2.0166497659441576</c:v>
                </c:pt>
                <c:pt idx="1049">
                  <c:v>2.0225600111518771</c:v>
                </c:pt>
                <c:pt idx="1050">
                  <c:v>1.9956432278622358</c:v>
                </c:pt>
                <c:pt idx="1051">
                  <c:v>1.9888041152389893</c:v>
                </c:pt>
                <c:pt idx="1052">
                  <c:v>2.0138326275344731</c:v>
                </c:pt>
                <c:pt idx="1053">
                  <c:v>2.0707065113523031</c:v>
                </c:pt>
                <c:pt idx="1054">
                  <c:v>2.019265251567703</c:v>
                </c:pt>
                <c:pt idx="1055">
                  <c:v>2.0624148408071585</c:v>
                </c:pt>
                <c:pt idx="1056">
                  <c:v>2.0110233488909492</c:v>
                </c:pt>
                <c:pt idx="1057">
                  <c:v>2.0232809349452543</c:v>
                </c:pt>
                <c:pt idx="1058">
                  <c:v>2.0864211445051213</c:v>
                </c:pt>
                <c:pt idx="1059">
                  <c:v>2.2004085119035803</c:v>
                </c:pt>
                <c:pt idx="1060">
                  <c:v>2.3196233938790232</c:v>
                </c:pt>
                <c:pt idx="1061">
                  <c:v>2.185658155179746</c:v>
                </c:pt>
                <c:pt idx="1062">
                  <c:v>2.1597422044949641</c:v>
                </c:pt>
                <c:pt idx="1063">
                  <c:v>2.0893833153310375</c:v>
                </c:pt>
                <c:pt idx="1064">
                  <c:v>2.0952478996683053</c:v>
                </c:pt>
                <c:pt idx="1065">
                  <c:v>2.1572390857827251</c:v>
                </c:pt>
                <c:pt idx="1066">
                  <c:v>2.2265160132564636</c:v>
                </c:pt>
                <c:pt idx="1067">
                  <c:v>2.2957608391175239</c:v>
                </c:pt>
                <c:pt idx="1068">
                  <c:v>2.1684208211806677</c:v>
                </c:pt>
                <c:pt idx="1069">
                  <c:v>2.0157840091598827</c:v>
                </c:pt>
                <c:pt idx="1070">
                  <c:v>2.1030681114180205</c:v>
                </c:pt>
                <c:pt idx="1071">
                  <c:v>2.1849115264747416</c:v>
                </c:pt>
                <c:pt idx="1072">
                  <c:v>2.273048690205429</c:v>
                </c:pt>
                <c:pt idx="1073">
                  <c:v>2.2851833161267612</c:v>
                </c:pt>
                <c:pt idx="1074">
                  <c:v>2.2593402261523221</c:v>
                </c:pt>
                <c:pt idx="1075">
                  <c:v>2.2261526901044477</c:v>
                </c:pt>
                <c:pt idx="1076">
                  <c:v>2.2698983162588302</c:v>
                </c:pt>
                <c:pt idx="1077">
                  <c:v>2.2188030920987014</c:v>
                </c:pt>
                <c:pt idx="1078">
                  <c:v>2.1487717120948324</c:v>
                </c:pt>
                <c:pt idx="1079">
                  <c:v>2.1482757008284654</c:v>
                </c:pt>
                <c:pt idx="1080">
                  <c:v>2.1531031254503028</c:v>
                </c:pt>
                <c:pt idx="1081">
                  <c:v>2.1084181681086829</c:v>
                </c:pt>
                <c:pt idx="1082">
                  <c:v>2.0574426429184487</c:v>
                </c:pt>
                <c:pt idx="1083">
                  <c:v>2.0443489325945534</c:v>
                </c:pt>
                <c:pt idx="1084">
                  <c:v>2.075419110910051</c:v>
                </c:pt>
                <c:pt idx="1085">
                  <c:v>1.9920344017588401</c:v>
                </c:pt>
                <c:pt idx="1086">
                  <c:v>2.0293904647099219</c:v>
                </c:pt>
                <c:pt idx="1087">
                  <c:v>2.0352243088819923</c:v>
                </c:pt>
                <c:pt idx="1088">
                  <c:v>2.0599541295426405</c:v>
                </c:pt>
                <c:pt idx="1089">
                  <c:v>2.0594801522106763</c:v>
                </c:pt>
                <c:pt idx="1090">
                  <c:v>2.0391782479347733</c:v>
                </c:pt>
                <c:pt idx="1091">
                  <c:v>2.12680186742717</c:v>
                </c:pt>
                <c:pt idx="1092">
                  <c:v>2.0948587359817989</c:v>
                </c:pt>
                <c:pt idx="1093">
                  <c:v>2.0755091271329023</c:v>
                </c:pt>
                <c:pt idx="1094">
                  <c:v>2.0987786765088052</c:v>
                </c:pt>
                <c:pt idx="1095">
                  <c:v>2.0816939672300463</c:v>
                </c:pt>
                <c:pt idx="1096">
                  <c:v>2.0895600151797291</c:v>
                </c:pt>
                <c:pt idx="1097">
                  <c:v>2.0539544841724831</c:v>
                </c:pt>
                <c:pt idx="1098">
                  <c:v>2.0185046627223171</c:v>
                </c:pt>
                <c:pt idx="1099">
                  <c:v>1.980744492611324</c:v>
                </c:pt>
                <c:pt idx="1100">
                  <c:v>1.9825890112865139</c:v>
                </c:pt>
                <c:pt idx="1101">
                  <c:v>1.8986787677190202</c:v>
                </c:pt>
                <c:pt idx="1102">
                  <c:v>1.9618079576675691</c:v>
                </c:pt>
                <c:pt idx="1103">
                  <c:v>1.8844022810139753</c:v>
                </c:pt>
                <c:pt idx="1104">
                  <c:v>1.8844240117094964</c:v>
                </c:pt>
                <c:pt idx="1105">
                  <c:v>1.8924929311336376</c:v>
                </c:pt>
                <c:pt idx="1106">
                  <c:v>1.894494045380102</c:v>
                </c:pt>
                <c:pt idx="1107">
                  <c:v>1.8121983547016349</c:v>
                </c:pt>
                <c:pt idx="1108">
                  <c:v>1.7482753252817105</c:v>
                </c:pt>
                <c:pt idx="1109">
                  <c:v>1.6775198363290029</c:v>
                </c:pt>
                <c:pt idx="1110">
                  <c:v>1.6739906870275691</c:v>
                </c:pt>
                <c:pt idx="1111">
                  <c:v>1.6645316000151946</c:v>
                </c:pt>
                <c:pt idx="1112">
                  <c:v>1.6432475429090552</c:v>
                </c:pt>
                <c:pt idx="1113">
                  <c:v>1.6042927798363527</c:v>
                </c:pt>
                <c:pt idx="1114">
                  <c:v>1.5766447027384158</c:v>
                </c:pt>
                <c:pt idx="1115">
                  <c:v>1.5851175227551066</c:v>
                </c:pt>
                <c:pt idx="1116">
                  <c:v>1.6111312601597971</c:v>
                </c:pt>
                <c:pt idx="1117">
                  <c:v>1.5551856977777718</c:v>
                </c:pt>
                <c:pt idx="1118">
                  <c:v>1.5344777782296533</c:v>
                </c:pt>
                <c:pt idx="1119">
                  <c:v>1.4844602294073985</c:v>
                </c:pt>
                <c:pt idx="1120">
                  <c:v>1.4467056513733405</c:v>
                </c:pt>
                <c:pt idx="1121">
                  <c:v>1.5592556092702106</c:v>
                </c:pt>
                <c:pt idx="1122">
                  <c:v>1.5503188188950348</c:v>
                </c:pt>
                <c:pt idx="1123">
                  <c:v>1.5184120886244015</c:v>
                </c:pt>
                <c:pt idx="1124">
                  <c:v>1.3754435873522632</c:v>
                </c:pt>
                <c:pt idx="1125">
                  <c:v>1.4570988802171405</c:v>
                </c:pt>
                <c:pt idx="1126">
                  <c:v>1.4373655898224451</c:v>
                </c:pt>
                <c:pt idx="1127">
                  <c:v>1.4849535806397069</c:v>
                </c:pt>
                <c:pt idx="1128">
                  <c:v>1.5770938513011121</c:v>
                </c:pt>
                <c:pt idx="1129">
                  <c:v>1.5956026284069516</c:v>
                </c:pt>
                <c:pt idx="1130">
                  <c:v>1.6035734290178147</c:v>
                </c:pt>
                <c:pt idx="1131">
                  <c:v>1.6115130530517607</c:v>
                </c:pt>
                <c:pt idx="1132">
                  <c:v>1.5752053913776474</c:v>
                </c:pt>
                <c:pt idx="1133">
                  <c:v>1.6438483086695264</c:v>
                </c:pt>
                <c:pt idx="1134">
                  <c:v>1.705592052742678</c:v>
                </c:pt>
                <c:pt idx="1135">
                  <c:v>1.7460840993678433</c:v>
                </c:pt>
                <c:pt idx="1136">
                  <c:v>1.7208632125623755</c:v>
                </c:pt>
                <c:pt idx="1137">
                  <c:v>1.6902869153845934</c:v>
                </c:pt>
                <c:pt idx="1138">
                  <c:v>1.654386084681422</c:v>
                </c:pt>
                <c:pt idx="1139">
                  <c:v>1.67195664477785</c:v>
                </c:pt>
                <c:pt idx="1140">
                  <c:v>1.6471657384092764</c:v>
                </c:pt>
                <c:pt idx="1141">
                  <c:v>1.6602010559705676</c:v>
                </c:pt>
                <c:pt idx="1142">
                  <c:v>1.6839468849034731</c:v>
                </c:pt>
                <c:pt idx="1143">
                  <c:v>1.6592742766921804</c:v>
                </c:pt>
                <c:pt idx="1144">
                  <c:v>1.6338697184897093</c:v>
                </c:pt>
                <c:pt idx="1145">
                  <c:v>1.6521122548176488</c:v>
                </c:pt>
                <c:pt idx="1146">
                  <c:v>1.6383699552069384</c:v>
                </c:pt>
                <c:pt idx="1147">
                  <c:v>1.5928227345953494</c:v>
                </c:pt>
                <c:pt idx="1148">
                  <c:v>1.5686438869941439</c:v>
                </c:pt>
                <c:pt idx="1149">
                  <c:v>1.5809654779821793</c:v>
                </c:pt>
                <c:pt idx="1150">
                  <c:v>1.5727686005402253</c:v>
                </c:pt>
                <c:pt idx="1151">
                  <c:v>1.5908538328832256</c:v>
                </c:pt>
                <c:pt idx="1152">
                  <c:v>1.566947117627594</c:v>
                </c:pt>
                <c:pt idx="1153">
                  <c:v>1.5640525071484379</c:v>
                </c:pt>
                <c:pt idx="1154">
                  <c:v>1.5525802246763074</c:v>
                </c:pt>
                <c:pt idx="1155">
                  <c:v>1.5808368319307466</c:v>
                </c:pt>
                <c:pt idx="1156">
                  <c:v>1.5520805663720025</c:v>
                </c:pt>
                <c:pt idx="1157">
                  <c:v>1.5234291870218466</c:v>
                </c:pt>
                <c:pt idx="1158">
                  <c:v>1.5254117918524375</c:v>
                </c:pt>
                <c:pt idx="1159">
                  <c:v>1.4970161900591354</c:v>
                </c:pt>
                <c:pt idx="1160">
                  <c:v>1.4584882180616345</c:v>
                </c:pt>
                <c:pt idx="1161">
                  <c:v>1.4200992527528016</c:v>
                </c:pt>
                <c:pt idx="1162">
                  <c:v>1.4022448316556446</c:v>
                </c:pt>
                <c:pt idx="1163">
                  <c:v>1.37442367606292</c:v>
                </c:pt>
                <c:pt idx="1164">
                  <c:v>1.3314655659818848</c:v>
                </c:pt>
                <c:pt idx="1165">
                  <c:v>1.3139286452071843</c:v>
                </c:pt>
                <c:pt idx="1166">
                  <c:v>1.3519444655137542</c:v>
                </c:pt>
                <c:pt idx="1167">
                  <c:v>1.3596114895726685</c:v>
                </c:pt>
                <c:pt idx="1168">
                  <c:v>1.3624143135027975</c:v>
                </c:pt>
                <c:pt idx="1169">
                  <c:v>1.3200083809122833</c:v>
                </c:pt>
                <c:pt idx="1170">
                  <c:v>1.3376465628471395</c:v>
                </c:pt>
                <c:pt idx="1171">
                  <c:v>1.3452578022480186</c:v>
                </c:pt>
                <c:pt idx="1172">
                  <c:v>1.3528423042411517</c:v>
                </c:pt>
                <c:pt idx="1173">
                  <c:v>1.3285869037452853</c:v>
                </c:pt>
                <c:pt idx="1174">
                  <c:v>1.2572482394256137</c:v>
                </c:pt>
                <c:pt idx="1175">
                  <c:v>1.2452193536539446</c:v>
                </c:pt>
                <c:pt idx="1176">
                  <c:v>1.2479720379606387</c:v>
                </c:pt>
                <c:pt idx="1177">
                  <c:v>1.2855000710029305</c:v>
                </c:pt>
                <c:pt idx="1178">
                  <c:v>1.3174408354659166</c:v>
                </c:pt>
                <c:pt idx="1179">
                  <c:v>1.3103035757635535</c:v>
                </c:pt>
                <c:pt idx="1180">
                  <c:v>1.3372293951386407</c:v>
                </c:pt>
                <c:pt idx="1181">
                  <c:v>1.3349369991450275</c:v>
                </c:pt>
                <c:pt idx="1182">
                  <c:v>1.2749824586834613</c:v>
                </c:pt>
                <c:pt idx="1183">
                  <c:v>1.3017391950314903</c:v>
                </c:pt>
                <c:pt idx="1184">
                  <c:v>1.2706482355481172</c:v>
                </c:pt>
                <c:pt idx="1185">
                  <c:v>1.2252481049085728</c:v>
                </c:pt>
                <c:pt idx="1186">
                  <c:v>1.2231725833593341</c:v>
                </c:pt>
                <c:pt idx="1187">
                  <c:v>1.2408505053190271</c:v>
                </c:pt>
                <c:pt idx="1188">
                  <c:v>1.1911179813048203</c:v>
                </c:pt>
                <c:pt idx="1189">
                  <c:v>1.1653348764527922</c:v>
                </c:pt>
                <c:pt idx="1190">
                  <c:v>1.1823746779691018</c:v>
                </c:pt>
                <c:pt idx="1191">
                  <c:v>1.2040979696996308</c:v>
                </c:pt>
                <c:pt idx="1192">
                  <c:v>1.1980808157099401</c:v>
                </c:pt>
                <c:pt idx="1193">
                  <c:v>1.1395803242801663</c:v>
                </c:pt>
                <c:pt idx="1194">
                  <c:v>1.1423895707510647</c:v>
                </c:pt>
                <c:pt idx="1195">
                  <c:v>1.1639631032311542</c:v>
                </c:pt>
                <c:pt idx="1196">
                  <c:v>1.1596607177251939</c:v>
                </c:pt>
                <c:pt idx="1197">
                  <c:v>1.1208278013896575</c:v>
                </c:pt>
                <c:pt idx="1198">
                  <c:v>1.1189853426144281</c:v>
                </c:pt>
                <c:pt idx="1199">
                  <c:v>1.0794392627366001</c:v>
                </c:pt>
                <c:pt idx="1200">
                  <c:v>1.0917886107760257</c:v>
                </c:pt>
                <c:pt idx="1201">
                  <c:v>1.0993992699342148</c:v>
                </c:pt>
                <c:pt idx="1202">
                  <c:v>1.0747560805890182</c:v>
                </c:pt>
                <c:pt idx="1203">
                  <c:v>1.1101787226951907</c:v>
                </c:pt>
                <c:pt idx="1204">
                  <c:v>1.1510451234636772</c:v>
                </c:pt>
                <c:pt idx="1205">
                  <c:v>1.1999632329592658</c:v>
                </c:pt>
                <c:pt idx="1206">
                  <c:v>1.1842146389111698</c:v>
                </c:pt>
                <c:pt idx="1207">
                  <c:v>1.1731169528717806</c:v>
                </c:pt>
                <c:pt idx="1208">
                  <c:v>1.1712409641780188</c:v>
                </c:pt>
                <c:pt idx="1209">
                  <c:v>1.1702199979041557</c:v>
                </c:pt>
                <c:pt idx="1210">
                  <c:v>1.1135936359684353</c:v>
                </c:pt>
                <c:pt idx="1211">
                  <c:v>1.0890436204726686</c:v>
                </c:pt>
                <c:pt idx="1212">
                  <c:v>1.0873186286691279</c:v>
                </c:pt>
                <c:pt idx="1213">
                  <c:v>1.0810568372102896</c:v>
                </c:pt>
                <c:pt idx="1214">
                  <c:v>1.0759521560817138</c:v>
                </c:pt>
                <c:pt idx="1215">
                  <c:v>1.0742612917489618</c:v>
                </c:pt>
                <c:pt idx="1216">
                  <c:v>1.1266551822286199</c:v>
                </c:pt>
                <c:pt idx="1217">
                  <c:v>1.2733756896847095</c:v>
                </c:pt>
                <c:pt idx="1218">
                  <c:v>1.2983391003116211</c:v>
                </c:pt>
                <c:pt idx="1219">
                  <c:v>1.2565029120966522</c:v>
                </c:pt>
                <c:pt idx="1220">
                  <c:v>1.2322268465231525</c:v>
                </c:pt>
                <c:pt idx="1221">
                  <c:v>1.2436874216118876</c:v>
                </c:pt>
                <c:pt idx="1222">
                  <c:v>1.2284079575349776</c:v>
                </c:pt>
                <c:pt idx="1223">
                  <c:v>1.2353951104743113</c:v>
                </c:pt>
                <c:pt idx="1224">
                  <c:v>1.2031474103156934</c:v>
                </c:pt>
                <c:pt idx="1225">
                  <c:v>1.2454627052115061</c:v>
                </c:pt>
                <c:pt idx="1226">
                  <c:v>1.305287080189824</c:v>
                </c:pt>
                <c:pt idx="1227">
                  <c:v>1.3913460004236826</c:v>
                </c:pt>
                <c:pt idx="1228">
                  <c:v>1.389216386921851</c:v>
                </c:pt>
                <c:pt idx="1229">
                  <c:v>1.3741141635047318</c:v>
                </c:pt>
                <c:pt idx="1230">
                  <c:v>1.4506747654134204</c:v>
                </c:pt>
                <c:pt idx="1231">
                  <c:v>1.448471206469875</c:v>
                </c:pt>
                <c:pt idx="1232">
                  <c:v>1.4244930918006851</c:v>
                </c:pt>
                <c:pt idx="1233">
                  <c:v>1.4745316673997291</c:v>
                </c:pt>
                <c:pt idx="1234">
                  <c:v>1.4895128198307477</c:v>
                </c:pt>
                <c:pt idx="1235">
                  <c:v>1.4613299327976603</c:v>
                </c:pt>
                <c:pt idx="1236">
                  <c:v>1.4764013953951043</c:v>
                </c:pt>
                <c:pt idx="1237">
                  <c:v>1.4397018074958694</c:v>
                </c:pt>
                <c:pt idx="1238">
                  <c:v>1.4805846617160008</c:v>
                </c:pt>
                <c:pt idx="1239">
                  <c:v>1.5639384906097347</c:v>
                </c:pt>
                <c:pt idx="1240">
                  <c:v>1.5359386045691064</c:v>
                </c:pt>
                <c:pt idx="1241">
                  <c:v>1.5421981465044832</c:v>
                </c:pt>
                <c:pt idx="1242">
                  <c:v>1.5484390957217558</c:v>
                </c:pt>
                <c:pt idx="1243">
                  <c:v>1.6355891216871523</c:v>
                </c:pt>
                <c:pt idx="1244">
                  <c:v>1.6537877596702308</c:v>
                </c:pt>
                <c:pt idx="1245">
                  <c:v>1.5793678290278217</c:v>
                </c:pt>
                <c:pt idx="1246">
                  <c:v>1.61932291938116</c:v>
                </c:pt>
                <c:pt idx="1247">
                  <c:v>1.6676041173706826</c:v>
                </c:pt>
                <c:pt idx="1248">
                  <c:v>1.6567253825720669</c:v>
                </c:pt>
                <c:pt idx="1249">
                  <c:v>1.6788423156624608</c:v>
                </c:pt>
                <c:pt idx="1250">
                  <c:v>1.63448282451314</c:v>
                </c:pt>
                <c:pt idx="1251">
                  <c:v>1.6321013512428162</c:v>
                </c:pt>
                <c:pt idx="1252">
                  <c:v>1.6171904475233581</c:v>
                </c:pt>
                <c:pt idx="1253">
                  <c:v>1.585632005293959</c:v>
                </c:pt>
                <c:pt idx="1254">
                  <c:v>1.6161427190834743</c:v>
                </c:pt>
                <c:pt idx="1255">
                  <c:v>1.6760374895236227</c:v>
                </c:pt>
                <c:pt idx="1256">
                  <c:v>1.7233316141956947</c:v>
                </c:pt>
                <c:pt idx="1257">
                  <c:v>1.7291229325219912</c:v>
                </c:pt>
                <c:pt idx="1258">
                  <c:v>1.7142440503809255</c:v>
                </c:pt>
                <c:pt idx="1259">
                  <c:v>1.7315575282657167</c:v>
                </c:pt>
                <c:pt idx="1260">
                  <c:v>1.7126531861499061</c:v>
                </c:pt>
                <c:pt idx="1261">
                  <c:v>1.6897016132780747</c:v>
                </c:pt>
                <c:pt idx="1262">
                  <c:v>1.777390475205382</c:v>
                </c:pt>
                <c:pt idx="1263">
                  <c:v>1.795307472391132</c:v>
                </c:pt>
                <c:pt idx="1264">
                  <c:v>1.8161764809976302</c:v>
                </c:pt>
                <c:pt idx="1265">
                  <c:v>1.838003480826111</c:v>
                </c:pt>
                <c:pt idx="1266">
                  <c:v>1.8232230898813417</c:v>
                </c:pt>
                <c:pt idx="1267">
                  <c:v>1.8493530523258659</c:v>
                </c:pt>
                <c:pt idx="1268">
                  <c:v>1.8835989010798506</c:v>
                </c:pt>
                <c:pt idx="1269">
                  <c:v>1.859355954978904</c:v>
                </c:pt>
                <c:pt idx="1270">
                  <c:v>1.840462103406646</c:v>
                </c:pt>
                <c:pt idx="1271">
                  <c:v>1.8977920892091156</c:v>
                </c:pt>
                <c:pt idx="1272">
                  <c:v>1.8830607341337664</c:v>
                </c:pt>
                <c:pt idx="1273">
                  <c:v>1.8844768637513498</c:v>
                </c:pt>
                <c:pt idx="1274">
                  <c:v>1.8818679869364887</c:v>
                </c:pt>
                <c:pt idx="1275">
                  <c:v>2.2708891678547971</c:v>
                </c:pt>
                <c:pt idx="1276">
                  <c:v>2.3328930017210587</c:v>
                </c:pt>
                <c:pt idx="1277">
                  <c:v>2.4681542522342679</c:v>
                </c:pt>
                <c:pt idx="1278">
                  <c:v>2.4055477926452999</c:v>
                </c:pt>
                <c:pt idx="1279">
                  <c:v>2.3273328546235099</c:v>
                </c:pt>
                <c:pt idx="1280">
                  <c:v>2.2690264835011629</c:v>
                </c:pt>
                <c:pt idx="1281">
                  <c:v>2.2284453069121257</c:v>
                </c:pt>
                <c:pt idx="1282">
                  <c:v>2.3233899814677166</c:v>
                </c:pt>
                <c:pt idx="1283">
                  <c:v>2.3515621228717913</c:v>
                </c:pt>
                <c:pt idx="1284">
                  <c:v>2.4382707421772278</c:v>
                </c:pt>
                <c:pt idx="1285">
                  <c:v>2.3647547218614022</c:v>
                </c:pt>
                <c:pt idx="1286">
                  <c:v>2.3552619420275058</c:v>
                </c:pt>
                <c:pt idx="1287">
                  <c:v>2.3559959729582518</c:v>
                </c:pt>
                <c:pt idx="1288">
                  <c:v>2.3489756498459031</c:v>
                </c:pt>
                <c:pt idx="1289">
                  <c:v>2.2568113469578859</c:v>
                </c:pt>
                <c:pt idx="1290">
                  <c:v>2.280868757100297</c:v>
                </c:pt>
                <c:pt idx="1291">
                  <c:v>2.3103027297633365</c:v>
                </c:pt>
                <c:pt idx="1292">
                  <c:v>2.2880170397705428</c:v>
                </c:pt>
                <c:pt idx="1293">
                  <c:v>2.3041935057969911</c:v>
                </c:pt>
                <c:pt idx="1294">
                  <c:v>2.339503510526483</c:v>
                </c:pt>
                <c:pt idx="1295">
                  <c:v>2.386210972414696</c:v>
                </c:pt>
                <c:pt idx="1296">
                  <c:v>2.3958837132876867</c:v>
                </c:pt>
                <c:pt idx="1297">
                  <c:v>2.3393995236591389</c:v>
                </c:pt>
                <c:pt idx="1298">
                  <c:v>2.557030926997065</c:v>
                </c:pt>
                <c:pt idx="1299">
                  <c:v>2.5498853572277178</c:v>
                </c:pt>
                <c:pt idx="1300">
                  <c:v>2.4820358704640477</c:v>
                </c:pt>
                <c:pt idx="1301">
                  <c:v>2.4080787766811627</c:v>
                </c:pt>
                <c:pt idx="1302">
                  <c:v>2.3747452515527803</c:v>
                </c:pt>
                <c:pt idx="1303">
                  <c:v>2.2321529398016939</c:v>
                </c:pt>
                <c:pt idx="1304">
                  <c:v>2.4363692639604237</c:v>
                </c:pt>
                <c:pt idx="1305">
                  <c:v>2.4595400567321972</c:v>
                </c:pt>
                <c:pt idx="1306">
                  <c:v>2.4500233411468209</c:v>
                </c:pt>
                <c:pt idx="1307">
                  <c:v>2.4244191221520182</c:v>
                </c:pt>
                <c:pt idx="1308">
                  <c:v>2.4026173547048302</c:v>
                </c:pt>
                <c:pt idx="1309">
                  <c:v>2.4443117615705359</c:v>
                </c:pt>
                <c:pt idx="1310">
                  <c:v>2.4188134334788822</c:v>
                </c:pt>
                <c:pt idx="1311">
                  <c:v>2.4466649778901677</c:v>
                </c:pt>
                <c:pt idx="1312">
                  <c:v>2.3767984040921029</c:v>
                </c:pt>
                <c:pt idx="1313">
                  <c:v>2.4589422641187166</c:v>
                </c:pt>
                <c:pt idx="1314">
                  <c:v>2.5667665047660546</c:v>
                </c:pt>
                <c:pt idx="1315">
                  <c:v>2.6853979214980588</c:v>
                </c:pt>
                <c:pt idx="1316">
                  <c:v>2.6531129758445537</c:v>
                </c:pt>
                <c:pt idx="1317">
                  <c:v>2.6901822545240677</c:v>
                </c:pt>
                <c:pt idx="1318">
                  <c:v>2.7014645678295306</c:v>
                </c:pt>
                <c:pt idx="1319">
                  <c:v>2.6980550596900046</c:v>
                </c:pt>
                <c:pt idx="1320">
                  <c:v>2.658041998220892</c:v>
                </c:pt>
                <c:pt idx="1321">
                  <c:v>2.604259371427772</c:v>
                </c:pt>
                <c:pt idx="1322">
                  <c:v>2.5754932240687931</c:v>
                </c:pt>
                <c:pt idx="1323">
                  <c:v>2.5104162973880482</c:v>
                </c:pt>
                <c:pt idx="1324">
                  <c:v>2.5690491152918224</c:v>
                </c:pt>
                <c:pt idx="1325">
                  <c:v>2.5985018716084829</c:v>
                </c:pt>
                <c:pt idx="1326">
                  <c:v>2.56348843745777</c:v>
                </c:pt>
                <c:pt idx="1327">
                  <c:v>2.6036350696749309</c:v>
                </c:pt>
                <c:pt idx="1328">
                  <c:v>2.6833552632044873</c:v>
                </c:pt>
                <c:pt idx="1329">
                  <c:v>2.6151880388470516</c:v>
                </c:pt>
                <c:pt idx="1330">
                  <c:v>2.6191441955886448</c:v>
                </c:pt>
                <c:pt idx="1331">
                  <c:v>2.6094476435203124</c:v>
                </c:pt>
                <c:pt idx="1332">
                  <c:v>2.5382116192724129</c:v>
                </c:pt>
                <c:pt idx="1333">
                  <c:v>2.5815695776027425</c:v>
                </c:pt>
                <c:pt idx="1334">
                  <c:v>2.6033938083772235</c:v>
                </c:pt>
                <c:pt idx="1335">
                  <c:v>2.6180308398477568</c:v>
                </c:pt>
                <c:pt idx="1336">
                  <c:v>2.8029842309489976</c:v>
                </c:pt>
                <c:pt idx="1337">
                  <c:v>2.7933054902154622</c:v>
                </c:pt>
                <c:pt idx="1338">
                  <c:v>2.8120129036188963</c:v>
                </c:pt>
                <c:pt idx="1339">
                  <c:v>2.7208595771224693</c:v>
                </c:pt>
                <c:pt idx="1340">
                  <c:v>2.6639177477043008</c:v>
                </c:pt>
                <c:pt idx="1341">
                  <c:v>2.8273803185097277</c:v>
                </c:pt>
                <c:pt idx="1342">
                  <c:v>2.8001083064526879</c:v>
                </c:pt>
                <c:pt idx="1343">
                  <c:v>2.8151664823816245</c:v>
                </c:pt>
                <c:pt idx="1344">
                  <c:v>2.9780432847422214</c:v>
                </c:pt>
                <c:pt idx="1345">
                  <c:v>2.9523566810493316</c:v>
                </c:pt>
                <c:pt idx="1346">
                  <c:v>2.9040758029488103</c:v>
                </c:pt>
                <c:pt idx="1347">
                  <c:v>2.9715196456434501</c:v>
                </c:pt>
                <c:pt idx="1348">
                  <c:v>2.9058041976366189</c:v>
                </c:pt>
                <c:pt idx="1349">
                  <c:v>2.9381461808092308</c:v>
                </c:pt>
                <c:pt idx="1350">
                  <c:v>2.8499411230137794</c:v>
                </c:pt>
                <c:pt idx="1351">
                  <c:v>2.7358404895972961</c:v>
                </c:pt>
                <c:pt idx="1352">
                  <c:v>2.7438159268907558</c:v>
                </c:pt>
                <c:pt idx="1353">
                  <c:v>2.8143964236784123</c:v>
                </c:pt>
                <c:pt idx="1354">
                  <c:v>2.7110635517098967</c:v>
                </c:pt>
                <c:pt idx="1355">
                  <c:v>2.6621558161658223</c:v>
                </c:pt>
                <c:pt idx="1356">
                  <c:v>2.5697206298624513</c:v>
                </c:pt>
                <c:pt idx="1357">
                  <c:v>2.5617035833969961</c:v>
                </c:pt>
                <c:pt idx="1358">
                  <c:v>2.4220026017895089</c:v>
                </c:pt>
                <c:pt idx="1359">
                  <c:v>2.4129817844190278</c:v>
                </c:pt>
                <c:pt idx="1360">
                  <c:v>2.5503321383826871</c:v>
                </c:pt>
                <c:pt idx="1361">
                  <c:v>2.4967665314823613</c:v>
                </c:pt>
                <c:pt idx="1362">
                  <c:v>2.46379904955498</c:v>
                </c:pt>
                <c:pt idx="1363">
                  <c:v>2.4889308611277792</c:v>
                </c:pt>
                <c:pt idx="1364">
                  <c:v>2.4492063394752455</c:v>
                </c:pt>
                <c:pt idx="1365">
                  <c:v>2.3984958056254633</c:v>
                </c:pt>
                <c:pt idx="1366">
                  <c:v>2.2740130167709829</c:v>
                </c:pt>
                <c:pt idx="1367">
                  <c:v>2.2448411137097426</c:v>
                </c:pt>
                <c:pt idx="1368">
                  <c:v>2.1580371692048987</c:v>
                </c:pt>
                <c:pt idx="1369">
                  <c:v>2.3188673171555321</c:v>
                </c:pt>
                <c:pt idx="1370">
                  <c:v>2.4209666722999805</c:v>
                </c:pt>
                <c:pt idx="1371">
                  <c:v>2.4830328196911511</c:v>
                </c:pt>
                <c:pt idx="1372">
                  <c:v>2.4234788320635343</c:v>
                </c:pt>
                <c:pt idx="1373">
                  <c:v>2.4382210828021691</c:v>
                </c:pt>
                <c:pt idx="1374">
                  <c:v>2.5607590004308141</c:v>
                </c:pt>
                <c:pt idx="1375">
                  <c:v>2.5305392107625981</c:v>
                </c:pt>
                <c:pt idx="1376">
                  <c:v>2.5551970967374293</c:v>
                </c:pt>
                <c:pt idx="1377">
                  <c:v>2.5965858867730351</c:v>
                </c:pt>
                <c:pt idx="1378">
                  <c:v>2.6278471821177765</c:v>
                </c:pt>
                <c:pt idx="1379">
                  <c:v>2.5585861330718784</c:v>
                </c:pt>
                <c:pt idx="1380">
                  <c:v>2.5519368600231349</c:v>
                </c:pt>
                <c:pt idx="1381">
                  <c:v>2.4729692785970823</c:v>
                </c:pt>
                <c:pt idx="1382">
                  <c:v>2.4841685443020327</c:v>
                </c:pt>
                <c:pt idx="1383">
                  <c:v>2.3987328292968995</c:v>
                </c:pt>
                <c:pt idx="1384">
                  <c:v>2.3300881103183197</c:v>
                </c:pt>
                <c:pt idx="1385">
                  <c:v>2.4402726157904673</c:v>
                </c:pt>
                <c:pt idx="1386">
                  <c:v>2.3651938970184752</c:v>
                </c:pt>
                <c:pt idx="1387">
                  <c:v>2.4228198926412023</c:v>
                </c:pt>
                <c:pt idx="1388">
                  <c:v>2.3942467468262087</c:v>
                </c:pt>
                <c:pt idx="1389">
                  <c:v>2.3624139348235245</c:v>
                </c:pt>
                <c:pt idx="1390">
                  <c:v>2.3893501147328924</c:v>
                </c:pt>
                <c:pt idx="1391">
                  <c:v>2.3708199189386625</c:v>
                </c:pt>
                <c:pt idx="1392">
                  <c:v>2.3687942273833125</c:v>
                </c:pt>
                <c:pt idx="1393">
                  <c:v>2.3371461976110854</c:v>
                </c:pt>
                <c:pt idx="1394">
                  <c:v>2.4568437397838467</c:v>
                </c:pt>
                <c:pt idx="1395">
                  <c:v>2.5643094655616867</c:v>
                </c:pt>
                <c:pt idx="1396">
                  <c:v>2.5944791939545859</c:v>
                </c:pt>
                <c:pt idx="1397">
                  <c:v>2.5412501982111149</c:v>
                </c:pt>
                <c:pt idx="1398">
                  <c:v>2.5653421610091924</c:v>
                </c:pt>
                <c:pt idx="1399">
                  <c:v>2.515708152061944</c:v>
                </c:pt>
                <c:pt idx="1400">
                  <c:v>2.557622607291576</c:v>
                </c:pt>
                <c:pt idx="1401">
                  <c:v>2.5960816214373637</c:v>
                </c:pt>
                <c:pt idx="1402">
                  <c:v>2.5871296378096438</c:v>
                </c:pt>
                <c:pt idx="1403">
                  <c:v>2.5165106044688095</c:v>
                </c:pt>
                <c:pt idx="1404">
                  <c:v>2.4672094901369088</c:v>
                </c:pt>
                <c:pt idx="1405">
                  <c:v>2.4920800041386881</c:v>
                </c:pt>
                <c:pt idx="1406">
                  <c:v>2.5909355317114358</c:v>
                </c:pt>
                <c:pt idx="1407">
                  <c:v>2.5887644335375581</c:v>
                </c:pt>
                <c:pt idx="1408">
                  <c:v>2.5822729157711763</c:v>
                </c:pt>
                <c:pt idx="1409">
                  <c:v>2.5432575007634566</c:v>
                </c:pt>
                <c:pt idx="1410">
                  <c:v>2.5511792594765965</c:v>
                </c:pt>
                <c:pt idx="1411">
                  <c:v>2.5289808929920081</c:v>
                </c:pt>
                <c:pt idx="1412">
                  <c:v>2.5369013463556502</c:v>
                </c:pt>
                <c:pt idx="1413">
                  <c:v>2.5384697061826418</c:v>
                </c:pt>
                <c:pt idx="1414">
                  <c:v>2.579635046254606</c:v>
                </c:pt>
                <c:pt idx="1415">
                  <c:v>2.5907999201443719</c:v>
                </c:pt>
                <c:pt idx="1416">
                  <c:v>2.5354853468484446</c:v>
                </c:pt>
                <c:pt idx="1417">
                  <c:v>2.5822379498813253</c:v>
                </c:pt>
                <c:pt idx="1418">
                  <c:v>2.5801062922822324</c:v>
                </c:pt>
                <c:pt idx="1419">
                  <c:v>2.7235892405922217</c:v>
                </c:pt>
                <c:pt idx="1420">
                  <c:v>2.7048115245528606</c:v>
                </c:pt>
                <c:pt idx="1421">
                  <c:v>2.6431141296214449</c:v>
                </c:pt>
                <c:pt idx="1422">
                  <c:v>2.5838686439317673</c:v>
                </c:pt>
                <c:pt idx="1423">
                  <c:v>2.6377296733818461</c:v>
                </c:pt>
                <c:pt idx="1424">
                  <c:v>2.6980830512156282</c:v>
                </c:pt>
                <c:pt idx="1425">
                  <c:v>2.7155980824026384</c:v>
                </c:pt>
                <c:pt idx="1426">
                  <c:v>2.6838100739982527</c:v>
                </c:pt>
                <c:pt idx="1427">
                  <c:v>2.6739572175551265</c:v>
                </c:pt>
                <c:pt idx="1428">
                  <c:v>2.5866449765319053</c:v>
                </c:pt>
                <c:pt idx="1429">
                  <c:v>2.6499670840741314</c:v>
                </c:pt>
                <c:pt idx="1430">
                  <c:v>2.7131860086806214</c:v>
                </c:pt>
                <c:pt idx="1431">
                  <c:v>2.7240421999527022</c:v>
                </c:pt>
                <c:pt idx="1432">
                  <c:v>2.7532466979089478</c:v>
                </c:pt>
                <c:pt idx="1433">
                  <c:v>2.7282231473114367</c:v>
                </c:pt>
                <c:pt idx="1434">
                  <c:v>2.6670349489694645</c:v>
                </c:pt>
                <c:pt idx="1435">
                  <c:v>2.6681481154366091</c:v>
                </c:pt>
                <c:pt idx="1436">
                  <c:v>2.679072933722753</c:v>
                </c:pt>
                <c:pt idx="1437">
                  <c:v>2.6541234393220772</c:v>
                </c:pt>
                <c:pt idx="1438">
                  <c:v>2.5151491272822057</c:v>
                </c:pt>
                <c:pt idx="1439">
                  <c:v>2.3601220154197287</c:v>
                </c:pt>
                <c:pt idx="1440">
                  <c:v>2.3777386533399594</c:v>
                </c:pt>
                <c:pt idx="1441">
                  <c:v>2.3428069260323872</c:v>
                </c:pt>
                <c:pt idx="1442">
                  <c:v>2.3474117932031233</c:v>
                </c:pt>
                <c:pt idx="1443">
                  <c:v>2.3746870524837651</c:v>
                </c:pt>
                <c:pt idx="1444">
                  <c:v>2.3501252212573518</c:v>
                </c:pt>
                <c:pt idx="1445">
                  <c:v>2.3773546464847604</c:v>
                </c:pt>
                <c:pt idx="1446">
                  <c:v>2.3071248570893976</c:v>
                </c:pt>
                <c:pt idx="1447">
                  <c:v>2.3826642945539085</c:v>
                </c:pt>
                <c:pt idx="1448">
                  <c:v>2.4162024480856457</c:v>
                </c:pt>
                <c:pt idx="1449">
                  <c:v>2.4818775405261948</c:v>
                </c:pt>
                <c:pt idx="1450">
                  <c:v>2.5152833374948638</c:v>
                </c:pt>
                <c:pt idx="1451">
                  <c:v>2.5285444749985073</c:v>
                </c:pt>
                <c:pt idx="1452">
                  <c:v>2.5201257579279104</c:v>
                </c:pt>
                <c:pt idx="1453">
                  <c:v>2.5309427392457282</c:v>
                </c:pt>
                <c:pt idx="1454">
                  <c:v>2.5225354602686574</c:v>
                </c:pt>
                <c:pt idx="1455">
                  <c:v>2.5205387971147126</c:v>
                </c:pt>
                <c:pt idx="1456">
                  <c:v>2.5783892436900087</c:v>
                </c:pt>
                <c:pt idx="1457">
                  <c:v>2.6273717388007607</c:v>
                </c:pt>
                <c:pt idx="1458">
                  <c:v>2.6093700723992632</c:v>
                </c:pt>
                <c:pt idx="1459">
                  <c:v>2.5850297007954919</c:v>
                </c:pt>
                <c:pt idx="1460">
                  <c:v>2.5988999867804154</c:v>
                </c:pt>
                <c:pt idx="1461">
                  <c:v>2.5451741198751843</c:v>
                </c:pt>
                <c:pt idx="1462">
                  <c:v>2.479756055772111</c:v>
                </c:pt>
                <c:pt idx="1463">
                  <c:v>2.5190029652586041</c:v>
                </c:pt>
                <c:pt idx="1464">
                  <c:v>2.5708526762116004</c:v>
                </c:pt>
                <c:pt idx="1465">
                  <c:v>2.5245497249969588</c:v>
                </c:pt>
                <c:pt idx="1466">
                  <c:v>2.4965412616968767</c:v>
                </c:pt>
                <c:pt idx="1467">
                  <c:v>2.4535945658613132</c:v>
                </c:pt>
                <c:pt idx="1468">
                  <c:v>2.4264711561374708</c:v>
                </c:pt>
                <c:pt idx="1469">
                  <c:v>2.3867947920939661</c:v>
                </c:pt>
                <c:pt idx="1470">
                  <c:v>2.4698880238169885</c:v>
                </c:pt>
                <c:pt idx="1471">
                  <c:v>2.4107690121271323</c:v>
                </c:pt>
                <c:pt idx="1472">
                  <c:v>2.4465368714721212</c:v>
                </c:pt>
                <c:pt idx="1473">
                  <c:v>2.4415052597027951</c:v>
                </c:pt>
                <c:pt idx="1474">
                  <c:v>2.442744895060287</c:v>
                </c:pt>
                <c:pt idx="1475">
                  <c:v>2.4439826105497229</c:v>
                </c:pt>
                <c:pt idx="1476">
                  <c:v>2.5101252078759093</c:v>
                </c:pt>
                <c:pt idx="1477">
                  <c:v>2.4925892685850601</c:v>
                </c:pt>
                <c:pt idx="1478">
                  <c:v>2.4096185593547612</c:v>
                </c:pt>
                <c:pt idx="1479">
                  <c:v>2.4015316031524403</c:v>
                </c:pt>
                <c:pt idx="1480">
                  <c:v>2.2969718371162497</c:v>
                </c:pt>
                <c:pt idx="1481">
                  <c:v>2.2295716752159129</c:v>
                </c:pt>
                <c:pt idx="1482">
                  <c:v>2.1751109799809045</c:v>
                </c:pt>
                <c:pt idx="1483">
                  <c:v>2.1424372700654679</c:v>
                </c:pt>
                <c:pt idx="1484">
                  <c:v>2.0819306588770847</c:v>
                </c:pt>
                <c:pt idx="1485">
                  <c:v>2.0865272442198743</c:v>
                </c:pt>
                <c:pt idx="1486">
                  <c:v>2.1867567470982139</c:v>
                </c:pt>
                <c:pt idx="1487">
                  <c:v>2.1820003904708281</c:v>
                </c:pt>
                <c:pt idx="1488">
                  <c:v>2.1741673680305933</c:v>
                </c:pt>
                <c:pt idx="1489">
                  <c:v>2.1478568498231976</c:v>
                </c:pt>
                <c:pt idx="1490">
                  <c:v>1.9861005019225755</c:v>
                </c:pt>
                <c:pt idx="1491">
                  <c:v>1.7757331842501387</c:v>
                </c:pt>
                <c:pt idx="1492">
                  <c:v>1.8020130480629069</c:v>
                </c:pt>
                <c:pt idx="1493">
                  <c:v>1.766902242275141</c:v>
                </c:pt>
                <c:pt idx="1494">
                  <c:v>1.7379751239432626</c:v>
                </c:pt>
                <c:pt idx="1495">
                  <c:v>1.7580980733953631</c:v>
                </c:pt>
                <c:pt idx="1496">
                  <c:v>1.7938367942871358</c:v>
                </c:pt>
                <c:pt idx="1497">
                  <c:v>1.8199639707898625</c:v>
                </c:pt>
                <c:pt idx="1498">
                  <c:v>1.8918215680984594</c:v>
                </c:pt>
                <c:pt idx="1499">
                  <c:v>1.9391785488407483</c:v>
                </c:pt>
                <c:pt idx="1500">
                  <c:v>1.9072492945514399</c:v>
                </c:pt>
                <c:pt idx="1501">
                  <c:v>1.8117497504974207</c:v>
                </c:pt>
                <c:pt idx="1502">
                  <c:v>1.7162234450006795</c:v>
                </c:pt>
                <c:pt idx="1503">
                  <c:v>1.7604636161167999</c:v>
                </c:pt>
                <c:pt idx="1504">
                  <c:v>1.719713267308324</c:v>
                </c:pt>
                <c:pt idx="1505">
                  <c:v>1.7275157111721202</c:v>
                </c:pt>
                <c:pt idx="1506">
                  <c:v>1.6135689023774504</c:v>
                </c:pt>
                <c:pt idx="1507">
                  <c:v>1.5731109952526769</c:v>
                </c:pt>
                <c:pt idx="1508">
                  <c:v>1.6262452306206281</c:v>
                </c:pt>
                <c:pt idx="1509">
                  <c:v>1.6310617580055955</c:v>
                </c:pt>
                <c:pt idx="1510">
                  <c:v>1.4890435395865831</c:v>
                </c:pt>
                <c:pt idx="1511">
                  <c:v>1.4788074873760324</c:v>
                </c:pt>
                <c:pt idx="1512">
                  <c:v>1.5081138299527415</c:v>
                </c:pt>
                <c:pt idx="1513">
                  <c:v>1.3641938949463106</c:v>
                </c:pt>
                <c:pt idx="1514">
                  <c:v>1.3783616065707425</c:v>
                </c:pt>
                <c:pt idx="1515">
                  <c:v>1.2480690886935315</c:v>
                </c:pt>
                <c:pt idx="1516">
                  <c:v>1.2986054226670145</c:v>
                </c:pt>
                <c:pt idx="1517">
                  <c:v>1.352091833456488</c:v>
                </c:pt>
                <c:pt idx="1518">
                  <c:v>1.3510927820044025</c:v>
                </c:pt>
                <c:pt idx="1519">
                  <c:v>1.2564644421304181</c:v>
                </c:pt>
                <c:pt idx="1520">
                  <c:v>1.4811157420070022</c:v>
                </c:pt>
                <c:pt idx="1521">
                  <c:v>1.6208436375176849</c:v>
                </c:pt>
                <c:pt idx="1522">
                  <c:v>1.6765400091609952</c:v>
                </c:pt>
                <c:pt idx="1523">
                  <c:v>1.7740377638898668</c:v>
                </c:pt>
                <c:pt idx="1524">
                  <c:v>1.6441951428761119</c:v>
                </c:pt>
                <c:pt idx="1525">
                  <c:v>1.7420171326782075</c:v>
                </c:pt>
                <c:pt idx="1526">
                  <c:v>1.5917111626482048</c:v>
                </c:pt>
                <c:pt idx="1527">
                  <c:v>1.5339595045632461</c:v>
                </c:pt>
                <c:pt idx="1528">
                  <c:v>1.5239142059924264</c:v>
                </c:pt>
                <c:pt idx="1529">
                  <c:v>1.5941877483682259</c:v>
                </c:pt>
                <c:pt idx="1530">
                  <c:v>1.7183316125544543</c:v>
                </c:pt>
                <c:pt idx="1531">
                  <c:v>1.7052234569996705</c:v>
                </c:pt>
                <c:pt idx="1532">
                  <c:v>1.8403071739534722</c:v>
                </c:pt>
                <c:pt idx="1533">
                  <c:v>1.9337369399825859</c:v>
                </c:pt>
                <c:pt idx="1534">
                  <c:v>1.8406038155882574</c:v>
                </c:pt>
                <c:pt idx="1535">
                  <c:v>1.8041376458078775</c:v>
                </c:pt>
                <c:pt idx="1536">
                  <c:v>1.7821818859960963</c:v>
                </c:pt>
                <c:pt idx="1537">
                  <c:v>1.8428159306581771</c:v>
                </c:pt>
                <c:pt idx="1538">
                  <c:v>1.8473813761903932</c:v>
                </c:pt>
                <c:pt idx="1539">
                  <c:v>1.9019926889672918</c:v>
                </c:pt>
                <c:pt idx="1540">
                  <c:v>1.8567638281820271</c:v>
                </c:pt>
                <c:pt idx="1541">
                  <c:v>1.8554312629631098</c:v>
                </c:pt>
                <c:pt idx="1542">
                  <c:v>1.8658354230690766</c:v>
                </c:pt>
                <c:pt idx="1543">
                  <c:v>1.7237814163262666</c:v>
                </c:pt>
                <c:pt idx="1544">
                  <c:v>1.7928549866958365</c:v>
                </c:pt>
                <c:pt idx="1545">
                  <c:v>1.7247005715226169</c:v>
                </c:pt>
                <c:pt idx="1546">
                  <c:v>1.6942576344168727</c:v>
                </c:pt>
                <c:pt idx="1547">
                  <c:v>1.6842914901666608</c:v>
                </c:pt>
                <c:pt idx="1548">
                  <c:v>1.6772565270208886</c:v>
                </c:pt>
                <c:pt idx="1549">
                  <c:v>1.5915295775713674</c:v>
                </c:pt>
                <c:pt idx="1550">
                  <c:v>1.4456097160523846</c:v>
                </c:pt>
                <c:pt idx="1551">
                  <c:v>1.4910882246987067</c:v>
                </c:pt>
                <c:pt idx="1552">
                  <c:v>1.4232250542622218</c:v>
                </c:pt>
                <c:pt idx="1553">
                  <c:v>1.4541425082039896</c:v>
                </c:pt>
                <c:pt idx="1554">
                  <c:v>1.3922026118244151</c:v>
                </c:pt>
                <c:pt idx="1555">
                  <c:v>1.4297672733903128</c:v>
                </c:pt>
                <c:pt idx="1556">
                  <c:v>1.4923852181950625</c:v>
                </c:pt>
                <c:pt idx="1557">
                  <c:v>1.5028915128051799</c:v>
                </c:pt>
                <c:pt idx="1558">
                  <c:v>1.6462372023131528</c:v>
                </c:pt>
                <c:pt idx="1559">
                  <c:v>1.6652784181783296</c:v>
                </c:pt>
                <c:pt idx="1560">
                  <c:v>1.6704011606194598</c:v>
                </c:pt>
                <c:pt idx="1561">
                  <c:v>1.6289342990995324</c:v>
                </c:pt>
                <c:pt idx="1562">
                  <c:v>1.6565486025043308</c:v>
                </c:pt>
                <c:pt idx="1563">
                  <c:v>1.641015125969999</c:v>
                </c:pt>
                <c:pt idx="1564">
                  <c:v>1.5709370897860584</c:v>
                </c:pt>
                <c:pt idx="1565">
                  <c:v>1.5790988706991413</c:v>
                </c:pt>
                <c:pt idx="1566">
                  <c:v>1.514988170799662</c:v>
                </c:pt>
                <c:pt idx="1567">
                  <c:v>1.4681383845613165</c:v>
                </c:pt>
                <c:pt idx="1568">
                  <c:v>1.4213541052947847</c:v>
                </c:pt>
                <c:pt idx="1569">
                  <c:v>1.5032393200432206</c:v>
                </c:pt>
                <c:pt idx="1570">
                  <c:v>1.4630206928977361</c:v>
                </c:pt>
                <c:pt idx="1571">
                  <c:v>1.4591515277204405</c:v>
                </c:pt>
                <c:pt idx="1572">
                  <c:v>1.5093982533661088</c:v>
                </c:pt>
                <c:pt idx="1573">
                  <c:v>1.5197319058909542</c:v>
                </c:pt>
                <c:pt idx="1574">
                  <c:v>1.5584908031072948</c:v>
                </c:pt>
                <c:pt idx="1575">
                  <c:v>1.5552470459004306</c:v>
                </c:pt>
                <c:pt idx="1576">
                  <c:v>1.5541687920303446</c:v>
                </c:pt>
                <c:pt idx="1577">
                  <c:v>1.5474238131370086</c:v>
                </c:pt>
                <c:pt idx="1578">
                  <c:v>1.5463524686474717</c:v>
                </c:pt>
                <c:pt idx="1579">
                  <c:v>1.5594335462232716</c:v>
                </c:pt>
                <c:pt idx="1580">
                  <c:v>1.5491238253404598</c:v>
                </c:pt>
                <c:pt idx="1581">
                  <c:v>1.5511117131811489</c:v>
                </c:pt>
                <c:pt idx="1582">
                  <c:v>1.5108171357669717</c:v>
                </c:pt>
                <c:pt idx="1583">
                  <c:v>1.5309003978230047</c:v>
                </c:pt>
                <c:pt idx="1584">
                  <c:v>1.5750824325867729</c:v>
                </c:pt>
                <c:pt idx="1585">
                  <c:v>1.6107837209222868</c:v>
                </c:pt>
                <c:pt idx="1586">
                  <c:v>1.5930637026914745</c:v>
                </c:pt>
                <c:pt idx="1587">
                  <c:v>1.5809789103472818</c:v>
                </c:pt>
                <c:pt idx="1588">
                  <c:v>1.5644274243694716</c:v>
                </c:pt>
                <c:pt idx="1589">
                  <c:v>1.6252392784154794</c:v>
                </c:pt>
                <c:pt idx="1590">
                  <c:v>1.6383753324736494</c:v>
                </c:pt>
                <c:pt idx="1591">
                  <c:v>1.6682922649761358</c:v>
                </c:pt>
                <c:pt idx="1592">
                  <c:v>1.6785937135500362</c:v>
                </c:pt>
                <c:pt idx="1593">
                  <c:v>1.6780429505118881</c:v>
                </c:pt>
                <c:pt idx="1594">
                  <c:v>1.7105299851919624</c:v>
                </c:pt>
                <c:pt idx="1595">
                  <c:v>1.7040643377068574</c:v>
                </c:pt>
                <c:pt idx="1596">
                  <c:v>1.7754008786587239</c:v>
                </c:pt>
                <c:pt idx="1597">
                  <c:v>1.8605466163302324</c:v>
                </c:pt>
                <c:pt idx="1598">
                  <c:v>1.8298730451909737</c:v>
                </c:pt>
                <c:pt idx="1599">
                  <c:v>1.7984252329603778</c:v>
                </c:pt>
                <c:pt idx="1600">
                  <c:v>1.8279420073844128</c:v>
                </c:pt>
                <c:pt idx="1601">
                  <c:v>1.8380506100582377</c:v>
                </c:pt>
                <c:pt idx="1602">
                  <c:v>1.8426151776076278</c:v>
                </c:pt>
                <c:pt idx="1603">
                  <c:v>1.8258945181710733</c:v>
                </c:pt>
                <c:pt idx="1604">
                  <c:v>1.7835211100584454</c:v>
                </c:pt>
                <c:pt idx="1605">
                  <c:v>1.8405312726350227</c:v>
                </c:pt>
                <c:pt idx="1606">
                  <c:v>1.8092265714164693</c:v>
                </c:pt>
                <c:pt idx="1607">
                  <c:v>1.8827024711199059</c:v>
                </c:pt>
                <c:pt idx="1608">
                  <c:v>1.9320325185967206</c:v>
                </c:pt>
                <c:pt idx="1609">
                  <c:v>1.9145155961545473</c:v>
                </c:pt>
                <c:pt idx="1610">
                  <c:v>1.8832705233398308</c:v>
                </c:pt>
                <c:pt idx="1611">
                  <c:v>1.8822846326228981</c:v>
                </c:pt>
                <c:pt idx="1612">
                  <c:v>1.8648212354291416</c:v>
                </c:pt>
                <c:pt idx="1613">
                  <c:v>1.8454459449789979</c:v>
                </c:pt>
                <c:pt idx="1614">
                  <c:v>1.8910740572051481</c:v>
                </c:pt>
                <c:pt idx="1615">
                  <c:v>1.9421330600177644</c:v>
                </c:pt>
                <c:pt idx="1616">
                  <c:v>1.8836256784728898</c:v>
                </c:pt>
                <c:pt idx="1617">
                  <c:v>2.0057817479309747</c:v>
                </c:pt>
                <c:pt idx="1618">
                  <c:v>2.0190424750523492</c:v>
                </c:pt>
                <c:pt idx="1619">
                  <c:v>1.9497244436350831</c:v>
                </c:pt>
                <c:pt idx="1620">
                  <c:v>1.9841913899787529</c:v>
                </c:pt>
                <c:pt idx="1621">
                  <c:v>2.0459011946318273</c:v>
                </c:pt>
                <c:pt idx="1622">
                  <c:v>2.0748294764228934</c:v>
                </c:pt>
                <c:pt idx="1623">
                  <c:v>2.0498237042002594</c:v>
                </c:pt>
                <c:pt idx="1624">
                  <c:v>2.0351571993127888</c:v>
                </c:pt>
                <c:pt idx="1625">
                  <c:v>2.0177865023077524</c:v>
                </c:pt>
                <c:pt idx="1626">
                  <c:v>2.0031517753304433</c:v>
                </c:pt>
                <c:pt idx="1627">
                  <c:v>1.996681918546849</c:v>
                </c:pt>
                <c:pt idx="1628">
                  <c:v>1.9881619178486338</c:v>
                </c:pt>
                <c:pt idx="1629">
                  <c:v>1.9844241307352637</c:v>
                </c:pt>
                <c:pt idx="1630">
                  <c:v>1.9264989521243225</c:v>
                </c:pt>
                <c:pt idx="1631">
                  <c:v>1.9444621525820998</c:v>
                </c:pt>
                <c:pt idx="1632">
                  <c:v>1.9705271309617918</c:v>
                </c:pt>
                <c:pt idx="1633">
                  <c:v>1.970185997933517</c:v>
                </c:pt>
                <c:pt idx="1634">
                  <c:v>2.0258972450775721</c:v>
                </c:pt>
                <c:pt idx="1635">
                  <c:v>1.9708590964414108</c:v>
                </c:pt>
                <c:pt idx="1636">
                  <c:v>1.9293696311550348</c:v>
                </c:pt>
                <c:pt idx="1637">
                  <c:v>1.9499545509628879</c:v>
                </c:pt>
                <c:pt idx="1638">
                  <c:v>1.9681602121236645</c:v>
                </c:pt>
                <c:pt idx="1639">
                  <c:v>1.9671525643410057</c:v>
                </c:pt>
                <c:pt idx="1640">
                  <c:v>1.9641358021784825</c:v>
                </c:pt>
                <c:pt idx="1641">
                  <c:v>1.901449152151766</c:v>
                </c:pt>
                <c:pt idx="1642">
                  <c:v>1.9085196598051846</c:v>
                </c:pt>
                <c:pt idx="1643">
                  <c:v>1.9262994977622065</c:v>
                </c:pt>
                <c:pt idx="1644">
                  <c:v>1.9520945058092609</c:v>
                </c:pt>
                <c:pt idx="1645">
                  <c:v>1.959806223693632</c:v>
                </c:pt>
                <c:pt idx="1646">
                  <c:v>1.9588084719971397</c:v>
                </c:pt>
                <c:pt idx="1647">
                  <c:v>1.9604826930565709</c:v>
                </c:pt>
                <c:pt idx="1648">
                  <c:v>1.9808424036205932</c:v>
                </c:pt>
                <c:pt idx="1649">
                  <c:v>1.9691625125992642</c:v>
                </c:pt>
                <c:pt idx="1650">
                  <c:v>1.9315297990156723</c:v>
                </c:pt>
                <c:pt idx="1651">
                  <c:v>1.9225614525556025</c:v>
                </c:pt>
                <c:pt idx="1652">
                  <c:v>1.9136022007559499</c:v>
                </c:pt>
                <c:pt idx="1653">
                  <c:v>1.9126324153892722</c:v>
                </c:pt>
                <c:pt idx="1654">
                  <c:v>1.9010284880618029</c:v>
                </c:pt>
                <c:pt idx="1655">
                  <c:v>1.9307028618116695</c:v>
                </c:pt>
                <c:pt idx="1656">
                  <c:v>1.8793640920691832</c:v>
                </c:pt>
                <c:pt idx="1657">
                  <c:v>1.88901305259696</c:v>
                </c:pt>
                <c:pt idx="1658">
                  <c:v>1.8438308983598384</c:v>
                </c:pt>
                <c:pt idx="1659">
                  <c:v>1.8693426098834909</c:v>
                </c:pt>
                <c:pt idx="1660">
                  <c:v>1.8076189467060713</c:v>
                </c:pt>
                <c:pt idx="1661">
                  <c:v>1.7829368347136982</c:v>
                </c:pt>
                <c:pt idx="1662">
                  <c:v>1.8031605606035799</c:v>
                </c:pt>
                <c:pt idx="1663">
                  <c:v>1.7925356513370658</c:v>
                </c:pt>
                <c:pt idx="1664">
                  <c:v>1.7784620912260634</c:v>
                </c:pt>
                <c:pt idx="1665">
                  <c:v>1.6590651807370518</c:v>
                </c:pt>
                <c:pt idx="1666">
                  <c:v>1.642440547276897</c:v>
                </c:pt>
                <c:pt idx="1667">
                  <c:v>1.6442481576236743</c:v>
                </c:pt>
                <c:pt idx="1668">
                  <c:v>1.6207648125465299</c:v>
                </c:pt>
                <c:pt idx="1669">
                  <c:v>1.7013456506963174</c:v>
                </c:pt>
                <c:pt idx="1670">
                  <c:v>1.7424826051049069</c:v>
                </c:pt>
                <c:pt idx="1671">
                  <c:v>1.7206286201210641</c:v>
                </c:pt>
                <c:pt idx="1672">
                  <c:v>1.7119044622791828</c:v>
                </c:pt>
                <c:pt idx="1673">
                  <c:v>1.7302847119006004</c:v>
                </c:pt>
                <c:pt idx="1674">
                  <c:v>1.8209952919294354</c:v>
                </c:pt>
                <c:pt idx="1675">
                  <c:v>1.8280129807614172</c:v>
                </c:pt>
                <c:pt idx="1676">
                  <c:v>1.8719881879057654</c:v>
                </c:pt>
                <c:pt idx="1677">
                  <c:v>1.8182763351856175</c:v>
                </c:pt>
                <c:pt idx="1678">
                  <c:v>1.6785416768507202</c:v>
                </c:pt>
                <c:pt idx="1679">
                  <c:v>1.6645390961908291</c:v>
                </c:pt>
                <c:pt idx="1680">
                  <c:v>1.7163618394644664</c:v>
                </c:pt>
                <c:pt idx="1681">
                  <c:v>1.7312970441266082</c:v>
                </c:pt>
                <c:pt idx="1682">
                  <c:v>1.7356980516207206</c:v>
                </c:pt>
                <c:pt idx="1683">
                  <c:v>1.8539124521345658</c:v>
                </c:pt>
                <c:pt idx="1684">
                  <c:v>1.8766165211445598</c:v>
                </c:pt>
                <c:pt idx="1685">
                  <c:v>1.8992981244732883</c:v>
                </c:pt>
                <c:pt idx="1686">
                  <c:v>1.83280784381831</c:v>
                </c:pt>
                <c:pt idx="1687">
                  <c:v>1.8476264386393346</c:v>
                </c:pt>
                <c:pt idx="1688">
                  <c:v>1.8919944621840745</c:v>
                </c:pt>
                <c:pt idx="1689">
                  <c:v>1.9407571048472549</c:v>
                </c:pt>
                <c:pt idx="1690">
                  <c:v>1.9842430913464753</c:v>
                </c:pt>
                <c:pt idx="1691">
                  <c:v>1.933618300757322</c:v>
                </c:pt>
                <c:pt idx="1692">
                  <c:v>1.9428535394224402</c:v>
                </c:pt>
                <c:pt idx="1693">
                  <c:v>1.8637012020515746</c:v>
                </c:pt>
                <c:pt idx="1694">
                  <c:v>1.9435496040770748</c:v>
                </c:pt>
                <c:pt idx="1695">
                  <c:v>1.8827027734676778</c:v>
                </c:pt>
                <c:pt idx="1696">
                  <c:v>1.8869840950169958</c:v>
                </c:pt>
                <c:pt idx="1697">
                  <c:v>1.8842094208893911</c:v>
                </c:pt>
                <c:pt idx="1698">
                  <c:v>1.9066650689433904</c:v>
                </c:pt>
                <c:pt idx="1699">
                  <c:v>1.9472732761915315</c:v>
                </c:pt>
                <c:pt idx="1700">
                  <c:v>2.0423387008647707</c:v>
                </c:pt>
                <c:pt idx="1701">
                  <c:v>2.0491210948474934</c:v>
                </c:pt>
                <c:pt idx="1702">
                  <c:v>2.0694285211110213</c:v>
                </c:pt>
                <c:pt idx="1703">
                  <c:v>2.0710069263378861</c:v>
                </c:pt>
                <c:pt idx="1704">
                  <c:v>2.1062212308780488</c:v>
                </c:pt>
                <c:pt idx="1705">
                  <c:v>2.0793315841974676</c:v>
                </c:pt>
                <c:pt idx="1706">
                  <c:v>2.1403572202860475</c:v>
                </c:pt>
                <c:pt idx="1707">
                  <c:v>2.1862741785803146</c:v>
                </c:pt>
                <c:pt idx="1708">
                  <c:v>2.1671508231292136</c:v>
                </c:pt>
                <c:pt idx="1709">
                  <c:v>1.9907461760064151</c:v>
                </c:pt>
                <c:pt idx="1710">
                  <c:v>2.0310174220108168</c:v>
                </c:pt>
                <c:pt idx="1711">
                  <c:v>1.9862355624599159</c:v>
                </c:pt>
                <c:pt idx="1712">
                  <c:v>1.9035993247017629</c:v>
                </c:pt>
                <c:pt idx="1713">
                  <c:v>1.9181033478832359</c:v>
                </c:pt>
                <c:pt idx="1714">
                  <c:v>1.9017540565113054</c:v>
                </c:pt>
                <c:pt idx="1715">
                  <c:v>1.939363157160396</c:v>
                </c:pt>
                <c:pt idx="1716">
                  <c:v>1.9872056330058363</c:v>
                </c:pt>
                <c:pt idx="1717">
                  <c:v>2.0048329495103223</c:v>
                </c:pt>
                <c:pt idx="1718">
                  <c:v>2.0756136757552652</c:v>
                </c:pt>
                <c:pt idx="1719">
                  <c:v>2.0361923480028179</c:v>
                </c:pt>
                <c:pt idx="1720">
                  <c:v>2.0147291675519923</c:v>
                </c:pt>
                <c:pt idx="1721">
                  <c:v>2.0444622273228519</c:v>
                </c:pt>
                <c:pt idx="1722">
                  <c:v>2.0874980849606102</c:v>
                </c:pt>
                <c:pt idx="1723">
                  <c:v>2.1477849719589939</c:v>
                </c:pt>
                <c:pt idx="1724">
                  <c:v>2.1441983851536981</c:v>
                </c:pt>
                <c:pt idx="1725">
                  <c:v>2.1635777496407331</c:v>
                </c:pt>
                <c:pt idx="1726">
                  <c:v>2.1599870172451894</c:v>
                </c:pt>
                <c:pt idx="1727">
                  <c:v>2.2103512155238052</c:v>
                </c:pt>
                <c:pt idx="1728">
                  <c:v>2.2500144335804344</c:v>
                </c:pt>
                <c:pt idx="1729">
                  <c:v>2.289639591189951</c:v>
                </c:pt>
                <c:pt idx="1730">
                  <c:v>2.196999897431029</c:v>
                </c:pt>
                <c:pt idx="1731">
                  <c:v>2.1705307469628368</c:v>
                </c:pt>
                <c:pt idx="1732">
                  <c:v>2.1344205715269338</c:v>
                </c:pt>
                <c:pt idx="1733">
                  <c:v>2.163840321822962</c:v>
                </c:pt>
                <c:pt idx="1734">
                  <c:v>2.1273082012206261</c:v>
                </c:pt>
                <c:pt idx="1735">
                  <c:v>2.1364286970503437</c:v>
                </c:pt>
                <c:pt idx="1736">
                  <c:v>2.1328749503599171</c:v>
                </c:pt>
                <c:pt idx="1737">
                  <c:v>2.1070571716194921</c:v>
                </c:pt>
                <c:pt idx="1738">
                  <c:v>2.0934111107467204</c:v>
                </c:pt>
                <c:pt idx="1739">
                  <c:v>2.1050487504150794</c:v>
                </c:pt>
                <c:pt idx="1740">
                  <c:v>2.0737355887373754</c:v>
                </c:pt>
                <c:pt idx="1741">
                  <c:v>2.0853715144170897</c:v>
                </c:pt>
                <c:pt idx="1742">
                  <c:v>2.1202129023246346</c:v>
                </c:pt>
                <c:pt idx="1743">
                  <c:v>2.1066059849833287</c:v>
                </c:pt>
                <c:pt idx="1744">
                  <c:v>2.0778999945037842</c:v>
                </c:pt>
                <c:pt idx="1745">
                  <c:v>2.0492212622953421</c:v>
                </c:pt>
                <c:pt idx="1746">
                  <c:v>2.1388347286655294</c:v>
                </c:pt>
                <c:pt idx="1747">
                  <c:v>2.1332813530205281</c:v>
                </c:pt>
                <c:pt idx="1748">
                  <c:v>2.1322709045896477</c:v>
                </c:pt>
                <c:pt idx="1749">
                  <c:v>2.1889987656867391</c:v>
                </c:pt>
                <c:pt idx="1750">
                  <c:v>2.2481820700670645</c:v>
                </c:pt>
                <c:pt idx="1751">
                  <c:v>2.2997855536010681</c:v>
                </c:pt>
                <c:pt idx="1752">
                  <c:v>2.2414302608165055</c:v>
                </c:pt>
                <c:pt idx="1753">
                  <c:v>2.2227115050779984</c:v>
                </c:pt>
                <c:pt idx="1754">
                  <c:v>2.2166191694545145</c:v>
                </c:pt>
                <c:pt idx="1755">
                  <c:v>2.2407793207015834</c:v>
                </c:pt>
                <c:pt idx="1756">
                  <c:v>2.2145292243567853</c:v>
                </c:pt>
                <c:pt idx="1757">
                  <c:v>2.2239807623976136</c:v>
                </c:pt>
                <c:pt idx="1758">
                  <c:v>2.2707122922380023</c:v>
                </c:pt>
                <c:pt idx="1759">
                  <c:v>2.2344560518017058</c:v>
                </c:pt>
                <c:pt idx="1760">
                  <c:v>2.223356572369775</c:v>
                </c:pt>
                <c:pt idx="1761">
                  <c:v>2.2901112163503567</c:v>
                </c:pt>
                <c:pt idx="1762">
                  <c:v>2.2494087487788206</c:v>
                </c:pt>
                <c:pt idx="1763">
                  <c:v>2.2108846204255217</c:v>
                </c:pt>
                <c:pt idx="1764">
                  <c:v>2.2373186862087659</c:v>
                </c:pt>
                <c:pt idx="1765">
                  <c:v>2.2886864743861257</c:v>
                </c:pt>
                <c:pt idx="1766">
                  <c:v>2.2252511984425527</c:v>
                </c:pt>
                <c:pt idx="1767">
                  <c:v>2.1797890935419733</c:v>
                </c:pt>
                <c:pt idx="1768">
                  <c:v>2.1538731856011939</c:v>
                </c:pt>
                <c:pt idx="1769">
                  <c:v>2.2126028999030867</c:v>
                </c:pt>
                <c:pt idx="1770">
                  <c:v>2.3558600285434337</c:v>
                </c:pt>
                <c:pt idx="1771">
                  <c:v>2.2428690841430021</c:v>
                </c:pt>
                <c:pt idx="1772">
                  <c:v>2.2993367726166558</c:v>
                </c:pt>
                <c:pt idx="1773">
                  <c:v>2.2982689141449129</c:v>
                </c:pt>
                <c:pt idx="1774">
                  <c:v>2.2972020470828549</c:v>
                </c:pt>
                <c:pt idx="1775">
                  <c:v>2.2267065666364192</c:v>
                </c:pt>
                <c:pt idx="1776">
                  <c:v>2.2628510584935171</c:v>
                </c:pt>
                <c:pt idx="1777">
                  <c:v>2.2300066563401439</c:v>
                </c:pt>
                <c:pt idx="1778">
                  <c:v>2.2091832369119766</c:v>
                </c:pt>
                <c:pt idx="1779">
                  <c:v>2.282343387325604</c:v>
                </c:pt>
                <c:pt idx="1780">
                  <c:v>2.2862310351508661</c:v>
                </c:pt>
                <c:pt idx="1781">
                  <c:v>2.3419947185046768</c:v>
                </c:pt>
                <c:pt idx="1782">
                  <c:v>2.3782238871597303</c:v>
                </c:pt>
                <c:pt idx="1783">
                  <c:v>2.3795924257127306</c:v>
                </c:pt>
                <c:pt idx="1784">
                  <c:v>2.3760301787134308</c:v>
                </c:pt>
                <c:pt idx="1785">
                  <c:v>2.3182714582762265</c:v>
                </c:pt>
                <c:pt idx="1786">
                  <c:v>2.2654909465462278</c:v>
                </c:pt>
                <c:pt idx="1787">
                  <c:v>2.3164635740188642</c:v>
                </c:pt>
                <c:pt idx="1788">
                  <c:v>2.2711548755873938</c:v>
                </c:pt>
                <c:pt idx="1789">
                  <c:v>2.3143337103481287</c:v>
                </c:pt>
                <c:pt idx="1790">
                  <c:v>2.3108145456605045</c:v>
                </c:pt>
                <c:pt idx="1791">
                  <c:v>2.270480018784037</c:v>
                </c:pt>
                <c:pt idx="1792">
                  <c:v>2.2575510417698035</c:v>
                </c:pt>
                <c:pt idx="1793">
                  <c:v>2.2761166219585398</c:v>
                </c:pt>
                <c:pt idx="1794">
                  <c:v>2.2922162378789808</c:v>
                </c:pt>
                <c:pt idx="1795">
                  <c:v>2.3180924143465438</c:v>
                </c:pt>
                <c:pt idx="1796">
                  <c:v>2.3243712445091482</c:v>
                </c:pt>
                <c:pt idx="1797">
                  <c:v>2.3382865854289712</c:v>
                </c:pt>
                <c:pt idx="1798">
                  <c:v>2.3469869435913799</c:v>
                </c:pt>
                <c:pt idx="1799">
                  <c:v>2.3361504053915283</c:v>
                </c:pt>
                <c:pt idx="1800">
                  <c:v>2.4082838968051807</c:v>
                </c:pt>
                <c:pt idx="1801">
                  <c:v>2.3876737139538022</c:v>
                </c:pt>
                <c:pt idx="1802">
                  <c:v>2.3576181072366329</c:v>
                </c:pt>
                <c:pt idx="1803">
                  <c:v>2.2932485235442144</c:v>
                </c:pt>
                <c:pt idx="1804">
                  <c:v>2.3311377520301635</c:v>
                </c:pt>
                <c:pt idx="1805">
                  <c:v>2.3154834215536173</c:v>
                </c:pt>
                <c:pt idx="1806">
                  <c:v>2.3727770547396303</c:v>
                </c:pt>
                <c:pt idx="1807">
                  <c:v>2.3549763822542489</c:v>
                </c:pt>
                <c:pt idx="1808">
                  <c:v>2.2883858954910705</c:v>
                </c:pt>
                <c:pt idx="1809">
                  <c:v>2.3237313438867817</c:v>
                </c:pt>
                <c:pt idx="1810">
                  <c:v>2.3105545937238521</c:v>
                </c:pt>
                <c:pt idx="1811">
                  <c:v>2.3313174914370292</c:v>
                </c:pt>
                <c:pt idx="1812">
                  <c:v>2.2966887695107858</c:v>
                </c:pt>
                <c:pt idx="1813">
                  <c:v>2.2811350631040779</c:v>
                </c:pt>
                <c:pt idx="1814">
                  <c:v>2.2921926025824297</c:v>
                </c:pt>
                <c:pt idx="1815">
                  <c:v>2.2452361917890644</c:v>
                </c:pt>
                <c:pt idx="1816">
                  <c:v>2.2104009263820603</c:v>
                </c:pt>
                <c:pt idx="1817">
                  <c:v>2.2411819962372075</c:v>
                </c:pt>
                <c:pt idx="1818">
                  <c:v>2.2401707340080459</c:v>
                </c:pt>
                <c:pt idx="1819">
                  <c:v>2.2391603839672443</c:v>
                </c:pt>
                <c:pt idx="1820">
                  <c:v>2.1827392422629734</c:v>
                </c:pt>
                <c:pt idx="1821">
                  <c:v>2.1600826121850027</c:v>
                </c:pt>
                <c:pt idx="1822">
                  <c:v>2.2365271413817056</c:v>
                </c:pt>
                <c:pt idx="1823">
                  <c:v>2.2268725749032705</c:v>
                </c:pt>
                <c:pt idx="1824">
                  <c:v>2.1693708544443258</c:v>
                </c:pt>
                <c:pt idx="1825">
                  <c:v>2.1534492294831602</c:v>
                </c:pt>
                <c:pt idx="1826">
                  <c:v>2.1542875373632562</c:v>
                </c:pt>
                <c:pt idx="1827">
                  <c:v>2.2220242933791354</c:v>
                </c:pt>
                <c:pt idx="1828">
                  <c:v>2.335027021050136</c:v>
                </c:pt>
                <c:pt idx="1829">
                  <c:v>2.3276119266022013</c:v>
                </c:pt>
                <c:pt idx="1830">
                  <c:v>2.3497478612119647</c:v>
                </c:pt>
                <c:pt idx="1831">
                  <c:v>2.40277889207632</c:v>
                </c:pt>
                <c:pt idx="1832">
                  <c:v>2.3725289646366075</c:v>
                </c:pt>
                <c:pt idx="1833">
                  <c:v>2.4040874709156994</c:v>
                </c:pt>
                <c:pt idx="1834">
                  <c:v>2.4842693625913612</c:v>
                </c:pt>
                <c:pt idx="1835">
                  <c:v>2.4398565097270897</c:v>
                </c:pt>
                <c:pt idx="1836">
                  <c:v>2.4097096733217946</c:v>
                </c:pt>
                <c:pt idx="1837">
                  <c:v>2.3937983251345445</c:v>
                </c:pt>
                <c:pt idx="1838">
                  <c:v>2.4015469331522565</c:v>
                </c:pt>
                <c:pt idx="1839">
                  <c:v>2.3586834825610503</c:v>
                </c:pt>
                <c:pt idx="1840">
                  <c:v>2.3947191031556065</c:v>
                </c:pt>
                <c:pt idx="1841">
                  <c:v>2.3788862103648327</c:v>
                </c:pt>
                <c:pt idx="1842">
                  <c:v>2.3960270489220026</c:v>
                </c:pt>
                <c:pt idx="1843">
                  <c:v>2.4413674742319427</c:v>
                </c:pt>
                <c:pt idx="1844">
                  <c:v>2.4878177513685715</c:v>
                </c:pt>
                <c:pt idx="1845">
                  <c:v>2.4063167387923059</c:v>
                </c:pt>
                <c:pt idx="1846">
                  <c:v>2.4702391118278704</c:v>
                </c:pt>
                <c:pt idx="1847">
                  <c:v>2.4357061381328178</c:v>
                </c:pt>
                <c:pt idx="1848">
                  <c:v>2.3824989304275421</c:v>
                </c:pt>
                <c:pt idx="1849">
                  <c:v>2.5238320998354435</c:v>
                </c:pt>
                <c:pt idx="1850">
                  <c:v>2.512775234846663</c:v>
                </c:pt>
                <c:pt idx="1851">
                  <c:v>2.4831681029035551</c:v>
                </c:pt>
                <c:pt idx="1852">
                  <c:v>2.4118586741287285</c:v>
                </c:pt>
                <c:pt idx="1853">
                  <c:v>2.4379828302052036</c:v>
                </c:pt>
                <c:pt idx="1854">
                  <c:v>2.4375074024948886</c:v>
                </c:pt>
                <c:pt idx="1855">
                  <c:v>2.338746106936278</c:v>
                </c:pt>
                <c:pt idx="1856">
                  <c:v>2.3648302131860239</c:v>
                </c:pt>
                <c:pt idx="1857">
                  <c:v>2.5108834739230126</c:v>
                </c:pt>
                <c:pt idx="1858">
                  <c:v>2.5183620479103497</c:v>
                </c:pt>
                <c:pt idx="1859">
                  <c:v>2.4578854178057821</c:v>
                </c:pt>
                <c:pt idx="1860">
                  <c:v>2.4469816426584061</c:v>
                </c:pt>
                <c:pt idx="1861">
                  <c:v>2.4314965791804353</c:v>
                </c:pt>
                <c:pt idx="1862">
                  <c:v>2.4389990572142581</c:v>
                </c:pt>
                <c:pt idx="1863">
                  <c:v>2.4281309918677856</c:v>
                </c:pt>
                <c:pt idx="1864">
                  <c:v>2.4780663967654637</c:v>
                </c:pt>
                <c:pt idx="1865">
                  <c:v>2.4214276912044865</c:v>
                </c:pt>
                <c:pt idx="1866">
                  <c:v>2.3831639566839304</c:v>
                </c:pt>
                <c:pt idx="1867">
                  <c:v>2.4043767257667121</c:v>
                </c:pt>
                <c:pt idx="1868">
                  <c:v>2.375313263146237</c:v>
                </c:pt>
                <c:pt idx="1869">
                  <c:v>2.3658569382556283</c:v>
                </c:pt>
                <c:pt idx="1870">
                  <c:v>2.3778980240906944</c:v>
                </c:pt>
                <c:pt idx="1871">
                  <c:v>2.4445493822164366</c:v>
                </c:pt>
                <c:pt idx="1872">
                  <c:v>2.4519708628247976</c:v>
                </c:pt>
                <c:pt idx="1873">
                  <c:v>2.4093762473571454</c:v>
                </c:pt>
                <c:pt idx="1874">
                  <c:v>2.3862853086452098</c:v>
                </c:pt>
                <c:pt idx="1875">
                  <c:v>2.3937212512329813</c:v>
                </c:pt>
                <c:pt idx="1876">
                  <c:v>2.4192688992648548</c:v>
                </c:pt>
                <c:pt idx="1877">
                  <c:v>2.404035306844241</c:v>
                </c:pt>
                <c:pt idx="1878">
                  <c:v>2.4023953532354385</c:v>
                </c:pt>
                <c:pt idx="1879">
                  <c:v>2.3974888896588036</c:v>
                </c:pt>
                <c:pt idx="1880">
                  <c:v>2.3823219322895346</c:v>
                </c:pt>
                <c:pt idx="1881">
                  <c:v>2.3130687265796008</c:v>
                </c:pt>
                <c:pt idx="1882">
                  <c:v>2.3007390544648012</c:v>
                </c:pt>
                <c:pt idx="1883">
                  <c:v>2.3306153743511855</c:v>
                </c:pt>
                <c:pt idx="1884">
                  <c:v>2.3559637139885168</c:v>
                </c:pt>
                <c:pt idx="1885">
                  <c:v>2.3947313207663559</c:v>
                </c:pt>
                <c:pt idx="1886">
                  <c:v>2.3841501972705892</c:v>
                </c:pt>
                <c:pt idx="1887">
                  <c:v>2.3659097082606717</c:v>
                </c:pt>
                <c:pt idx="1888">
                  <c:v>2.3330295036805864</c:v>
                </c:pt>
                <c:pt idx="1889">
                  <c:v>2.3225255612402416</c:v>
                </c:pt>
                <c:pt idx="1890">
                  <c:v>2.3522062622236537</c:v>
                </c:pt>
                <c:pt idx="1891">
                  <c:v>2.5335002230943195</c:v>
                </c:pt>
                <c:pt idx="1892">
                  <c:v>2.528398930582993</c:v>
                </c:pt>
                <c:pt idx="1893">
                  <c:v>2.4955641156694326</c:v>
                </c:pt>
                <c:pt idx="1894">
                  <c:v>2.5561275409465165</c:v>
                </c:pt>
                <c:pt idx="1895">
                  <c:v>2.5410879861135536</c:v>
                </c:pt>
                <c:pt idx="1896">
                  <c:v>2.4994316387978599</c:v>
                </c:pt>
                <c:pt idx="1897">
                  <c:v>2.5336506454490642</c:v>
                </c:pt>
                <c:pt idx="1898">
                  <c:v>2.6070818851574642</c:v>
                </c:pt>
                <c:pt idx="1899">
                  <c:v>2.5533716492790544</c:v>
                </c:pt>
                <c:pt idx="1900">
                  <c:v>2.5208256973327243</c:v>
                </c:pt>
                <c:pt idx="1901">
                  <c:v>2.5455764183498837</c:v>
                </c:pt>
                <c:pt idx="1902">
                  <c:v>2.5130788347951496</c:v>
                </c:pt>
                <c:pt idx="1903">
                  <c:v>2.4982174343899812</c:v>
                </c:pt>
                <c:pt idx="1904">
                  <c:v>2.576658305492352</c:v>
                </c:pt>
                <c:pt idx="1905">
                  <c:v>2.5925006078759902</c:v>
                </c:pt>
                <c:pt idx="1906">
                  <c:v>2.6872291867155549</c:v>
                </c:pt>
                <c:pt idx="1907">
                  <c:v>2.7161200402196539</c:v>
                </c:pt>
                <c:pt idx="1908">
                  <c:v>2.714327123075901</c:v>
                </c:pt>
                <c:pt idx="1909">
                  <c:v>2.7745019621086855</c:v>
                </c:pt>
                <c:pt idx="1910">
                  <c:v>2.7028126444994114</c:v>
                </c:pt>
                <c:pt idx="1911">
                  <c:v>2.7010343807785158</c:v>
                </c:pt>
                <c:pt idx="1912">
                  <c:v>2.6730943993569389</c:v>
                </c:pt>
                <c:pt idx="1913">
                  <c:v>2.6408333240047939</c:v>
                </c:pt>
                <c:pt idx="1914">
                  <c:v>2.6791303336592405</c:v>
                </c:pt>
                <c:pt idx="1915">
                  <c:v>2.7164920680175868</c:v>
                </c:pt>
                <c:pt idx="1916">
                  <c:v>2.7364307017003804</c:v>
                </c:pt>
                <c:pt idx="1917">
                  <c:v>2.7476618402517574</c:v>
                </c:pt>
                <c:pt idx="1918">
                  <c:v>2.7111618388105128</c:v>
                </c:pt>
                <c:pt idx="1919">
                  <c:v>2.7274993062009933</c:v>
                </c:pt>
                <c:pt idx="1920">
                  <c:v>2.6867811613776023</c:v>
                </c:pt>
                <c:pt idx="1921">
                  <c:v>2.6763821408842645</c:v>
                </c:pt>
                <c:pt idx="1922">
                  <c:v>2.661675768118049</c:v>
                </c:pt>
                <c:pt idx="1923">
                  <c:v>2.6599428122566242</c:v>
                </c:pt>
                <c:pt idx="1924">
                  <c:v>2.5607364859055135</c:v>
                </c:pt>
                <c:pt idx="1925">
                  <c:v>2.61969792225594</c:v>
                </c:pt>
                <c:pt idx="1926">
                  <c:v>2.6794392905215534</c:v>
                </c:pt>
                <c:pt idx="1927">
                  <c:v>2.6863449394686447</c:v>
                </c:pt>
                <c:pt idx="1928">
                  <c:v>2.6457646493618148</c:v>
                </c:pt>
                <c:pt idx="1929">
                  <c:v>2.5577903927528456</c:v>
                </c:pt>
                <c:pt idx="1930">
                  <c:v>2.5001033181542658</c:v>
                </c:pt>
                <c:pt idx="1931">
                  <c:v>2.3662076263138241</c:v>
                </c:pt>
                <c:pt idx="1932">
                  <c:v>2.2915946283238346</c:v>
                </c:pt>
                <c:pt idx="1933">
                  <c:v>2.3502741232740507</c:v>
                </c:pt>
                <c:pt idx="1934">
                  <c:v>2.4818744994768256</c:v>
                </c:pt>
                <c:pt idx="1935">
                  <c:v>2.5918501102820612</c:v>
                </c:pt>
                <c:pt idx="1936">
                  <c:v>2.5868655168352448</c:v>
                </c:pt>
                <c:pt idx="1937">
                  <c:v>2.623729558407585</c:v>
                </c:pt>
                <c:pt idx="1938">
                  <c:v>2.4466761072852883</c:v>
                </c:pt>
                <c:pt idx="1939">
                  <c:v>2.4536599899627416</c:v>
                </c:pt>
                <c:pt idx="1940">
                  <c:v>2.4990823623268557</c:v>
                </c:pt>
                <c:pt idx="1941">
                  <c:v>2.4516600822934911</c:v>
                </c:pt>
                <c:pt idx="1942">
                  <c:v>2.4714016268918639</c:v>
                </c:pt>
                <c:pt idx="1943">
                  <c:v>2.4826013629062249</c:v>
                </c:pt>
                <c:pt idx="1944">
                  <c:v>2.6342219255610826</c:v>
                </c:pt>
                <c:pt idx="1945">
                  <c:v>2.5942689568871806</c:v>
                </c:pt>
                <c:pt idx="1946">
                  <c:v>2.6275272332622133</c:v>
                </c:pt>
                <c:pt idx="1947">
                  <c:v>2.6216167753745037</c:v>
                </c:pt>
                <c:pt idx="1948">
                  <c:v>2.6665866966194587</c:v>
                </c:pt>
                <c:pt idx="1949">
                  <c:v>2.5971081939686749</c:v>
                </c:pt>
                <c:pt idx="1950">
                  <c:v>2.6081643836235751</c:v>
                </c:pt>
                <c:pt idx="1951">
                  <c:v>2.5947630472842675</c:v>
                </c:pt>
                <c:pt idx="1952">
                  <c:v>2.6353560520155441</c:v>
                </c:pt>
                <c:pt idx="1953">
                  <c:v>2.6716771089350742</c:v>
                </c:pt>
                <c:pt idx="1954">
                  <c:v>2.7037343092788468</c:v>
                </c:pt>
                <c:pt idx="1955">
                  <c:v>2.6809517289759173</c:v>
                </c:pt>
                <c:pt idx="1956">
                  <c:v>2.6043614196319917</c:v>
                </c:pt>
                <c:pt idx="1957">
                  <c:v>2.5354468026366139</c:v>
                </c:pt>
                <c:pt idx="1958">
                  <c:v>2.596883245140083</c:v>
                </c:pt>
                <c:pt idx="1959">
                  <c:v>2.6414447130026262</c:v>
                </c:pt>
                <c:pt idx="1960">
                  <c:v>2.6313918328305324</c:v>
                </c:pt>
                <c:pt idx="1961">
                  <c:v>2.6473867633938934</c:v>
                </c:pt>
                <c:pt idx="1962">
                  <c:v>2.6122376863809986</c:v>
                </c:pt>
                <c:pt idx="1963">
                  <c:v>2.5269287481339431</c:v>
                </c:pt>
                <c:pt idx="1964">
                  <c:v>2.5880629386492808</c:v>
                </c:pt>
                <c:pt idx="1965">
                  <c:v>2.5321247945546941</c:v>
                </c:pt>
                <c:pt idx="1966">
                  <c:v>2.6191359099313112</c:v>
                </c:pt>
                <c:pt idx="1967">
                  <c:v>2.6133339318848701</c:v>
                </c:pt>
                <c:pt idx="1968">
                  <c:v>2.6117045866658066</c:v>
                </c:pt>
                <c:pt idx="1969">
                  <c:v>2.6683565092197568</c:v>
                </c:pt>
                <c:pt idx="1970">
                  <c:v>2.7457389302748516</c:v>
                </c:pt>
                <c:pt idx="1971">
                  <c:v>2.6783324015258776</c:v>
                </c:pt>
                <c:pt idx="1972">
                  <c:v>2.5978211481711884</c:v>
                </c:pt>
                <c:pt idx="1973">
                  <c:v>2.538146341604226</c:v>
                </c:pt>
                <c:pt idx="1974">
                  <c:v>2.5945978783553341</c:v>
                </c:pt>
                <c:pt idx="1975">
                  <c:v>2.5722784643775691</c:v>
                </c:pt>
                <c:pt idx="1976">
                  <c:v>2.6129820669044665</c:v>
                </c:pt>
                <c:pt idx="1977">
                  <c:v>2.5617831397468116</c:v>
                </c:pt>
                <c:pt idx="1978">
                  <c:v>2.5230355658679566</c:v>
                </c:pt>
                <c:pt idx="1979">
                  <c:v>2.5462379168363132</c:v>
                </c:pt>
                <c:pt idx="1980">
                  <c:v>2.5817843900957604</c:v>
                </c:pt>
                <c:pt idx="1981">
                  <c:v>2.5317289435854917</c:v>
                </c:pt>
                <c:pt idx="1982">
                  <c:v>2.5260558197538359</c:v>
                </c:pt>
                <c:pt idx="1983">
                  <c:v>2.499831850865641</c:v>
                </c:pt>
                <c:pt idx="1984">
                  <c:v>2.5352756910822558</c:v>
                </c:pt>
                <c:pt idx="1985">
                  <c:v>2.5090782927416928</c:v>
                </c:pt>
                <c:pt idx="1986">
                  <c:v>2.5577465066499041</c:v>
                </c:pt>
                <c:pt idx="1987">
                  <c:v>2.5438889006026635</c:v>
                </c:pt>
                <c:pt idx="1988">
                  <c:v>2.5587057825476403</c:v>
                </c:pt>
                <c:pt idx="1989">
                  <c:v>2.5407731397407081</c:v>
                </c:pt>
                <c:pt idx="1990">
                  <c:v>2.5269513654997651</c:v>
                </c:pt>
                <c:pt idx="1991">
                  <c:v>2.5572667598067738</c:v>
                </c:pt>
                <c:pt idx="1992">
                  <c:v>2.5474877649780758</c:v>
                </c:pt>
                <c:pt idx="1993">
                  <c:v>2.5336143594551719</c:v>
                </c:pt>
                <c:pt idx="1994">
                  <c:v>2.575034584995878</c:v>
                </c:pt>
                <c:pt idx="1995">
                  <c:v>2.5611950374882029</c:v>
                </c:pt>
                <c:pt idx="1996">
                  <c:v>2.5432834266999222</c:v>
                </c:pt>
                <c:pt idx="1997">
                  <c:v>2.4191472362792146</c:v>
                </c:pt>
                <c:pt idx="1998">
                  <c:v>2.4871058324811637</c:v>
                </c:pt>
                <c:pt idx="1999">
                  <c:v>2.5437337792926513</c:v>
                </c:pt>
                <c:pt idx="2000">
                  <c:v>2.4827847615299738</c:v>
                </c:pt>
                <c:pt idx="2001">
                  <c:v>2.4691258514268144</c:v>
                </c:pt>
                <c:pt idx="2002">
                  <c:v>2.4514314359728258</c:v>
                </c:pt>
                <c:pt idx="2003">
                  <c:v>2.5309466664989677</c:v>
                </c:pt>
                <c:pt idx="2004">
                  <c:v>2.5263861739472864</c:v>
                </c:pt>
                <c:pt idx="2005">
                  <c:v>2.6501031949260572</c:v>
                </c:pt>
                <c:pt idx="2006">
                  <c:v>2.6323638996932277</c:v>
                </c:pt>
                <c:pt idx="2007">
                  <c:v>2.6590302963902608</c:v>
                </c:pt>
                <c:pt idx="2008">
                  <c:v>2.6775996772834092</c:v>
                </c:pt>
                <c:pt idx="2009">
                  <c:v>2.709022777008228</c:v>
                </c:pt>
                <c:pt idx="2010">
                  <c:v>2.6993576604180864</c:v>
                </c:pt>
                <c:pt idx="2011">
                  <c:v>2.6374377939878366</c:v>
                </c:pt>
                <c:pt idx="2012">
                  <c:v>2.6077365376726727</c:v>
                </c:pt>
                <c:pt idx="2013">
                  <c:v>2.610196218061378</c:v>
                </c:pt>
                <c:pt idx="2014">
                  <c:v>2.6335917227190428</c:v>
                </c:pt>
                <c:pt idx="2015">
                  <c:v>2.5879566574007802</c:v>
                </c:pt>
                <c:pt idx="2016">
                  <c:v>2.6184469795343461</c:v>
                </c:pt>
                <c:pt idx="2017">
                  <c:v>2.6128887951724251</c:v>
                </c:pt>
                <c:pt idx="2018">
                  <c:v>2.6233331500708528</c:v>
                </c:pt>
                <c:pt idx="2019">
                  <c:v>2.5747545244502676</c:v>
                </c:pt>
                <c:pt idx="2020">
                  <c:v>2.5732282163671591</c:v>
                </c:pt>
                <c:pt idx="2021">
                  <c:v>2.5637294417044085</c:v>
                </c:pt>
                <c:pt idx="2022">
                  <c:v>2.5582266921847836</c:v>
                </c:pt>
                <c:pt idx="2023">
                  <c:v>2.5885722243765414</c:v>
                </c:pt>
                <c:pt idx="2024">
                  <c:v>2.5919357656605002</c:v>
                </c:pt>
                <c:pt idx="2025">
                  <c:v>2.5506754744603959</c:v>
                </c:pt>
                <c:pt idx="2026">
                  <c:v>2.5531412478542066</c:v>
                </c:pt>
                <c:pt idx="2027">
                  <c:v>2.5595724427220339</c:v>
                </c:pt>
                <c:pt idx="2028">
                  <c:v>2.5580640760990963</c:v>
                </c:pt>
                <c:pt idx="2029">
                  <c:v>2.707950298988445</c:v>
                </c:pt>
                <c:pt idx="2030">
                  <c:v>2.730098230105785</c:v>
                </c:pt>
                <c:pt idx="2031">
                  <c:v>2.7205854199916475</c:v>
                </c:pt>
                <c:pt idx="2032">
                  <c:v>2.6913236963741554</c:v>
                </c:pt>
                <c:pt idx="2033">
                  <c:v>2.6936939016061787</c:v>
                </c:pt>
                <c:pt idx="2034">
                  <c:v>2.6692458063047648</c:v>
                </c:pt>
                <c:pt idx="2035">
                  <c:v>2.6834447296512951</c:v>
                </c:pt>
                <c:pt idx="2036">
                  <c:v>2.673998185595829</c:v>
                </c:pt>
                <c:pt idx="2037">
                  <c:v>2.660626852129786</c:v>
                </c:pt>
                <c:pt idx="2038">
                  <c:v>2.6787394541661453</c:v>
                </c:pt>
                <c:pt idx="2039">
                  <c:v>2.6819039565671186</c:v>
                </c:pt>
                <c:pt idx="2040">
                  <c:v>2.6293233661416879</c:v>
                </c:pt>
                <c:pt idx="2041">
                  <c:v>2.6983884235394822</c:v>
                </c:pt>
                <c:pt idx="2042">
                  <c:v>2.6772178165316056</c:v>
                </c:pt>
                <c:pt idx="2043">
                  <c:v>2.644319326024164</c:v>
                </c:pt>
                <c:pt idx="2044">
                  <c:v>2.6240668743112385</c:v>
                </c:pt>
                <c:pt idx="2045">
                  <c:v>2.6225429521932337</c:v>
                </c:pt>
                <c:pt idx="2046">
                  <c:v>2.6288330816385326</c:v>
                </c:pt>
                <c:pt idx="2047">
                  <c:v>2.5726539067562899</c:v>
                </c:pt>
                <c:pt idx="2048">
                  <c:v>2.5984737265387499</c:v>
                </c:pt>
                <c:pt idx="2049">
                  <c:v>2.5394345344287319</c:v>
                </c:pt>
                <c:pt idx="2050">
                  <c:v>2.5963545156252001</c:v>
                </c:pt>
                <c:pt idx="2051">
                  <c:v>2.6259763429446714</c:v>
                </c:pt>
                <c:pt idx="2052">
                  <c:v>2.6011307148020237</c:v>
                </c:pt>
                <c:pt idx="2053">
                  <c:v>2.5724279353391997</c:v>
                </c:pt>
                <c:pt idx="2054">
                  <c:v>2.571858842905117</c:v>
                </c:pt>
                <c:pt idx="2055">
                  <c:v>2.6130230632632845</c:v>
                </c:pt>
                <c:pt idx="2056">
                  <c:v>2.6115186600109324</c:v>
                </c:pt>
                <c:pt idx="2057">
                  <c:v>2.6100159880306166</c:v>
                </c:pt>
                <c:pt idx="2058">
                  <c:v>2.6356064468731351</c:v>
                </c:pt>
                <c:pt idx="2059">
                  <c:v>2.6465214375957169</c:v>
                </c:pt>
                <c:pt idx="2060">
                  <c:v>2.683616175924652</c:v>
                </c:pt>
                <c:pt idx="2061">
                  <c:v>2.6230424892546296</c:v>
                </c:pt>
                <c:pt idx="2062">
                  <c:v>2.6411738537316438</c:v>
                </c:pt>
                <c:pt idx="2063">
                  <c:v>2.6069073690591358</c:v>
                </c:pt>
                <c:pt idx="2064">
                  <c:v>2.5826751750843502</c:v>
                </c:pt>
                <c:pt idx="2065">
                  <c:v>2.5507695034311539</c:v>
                </c:pt>
                <c:pt idx="2066">
                  <c:v>2.5035091242429628</c:v>
                </c:pt>
                <c:pt idx="2067">
                  <c:v>2.5985164529806513</c:v>
                </c:pt>
                <c:pt idx="2068">
                  <c:v>2.7486791470555847</c:v>
                </c:pt>
                <c:pt idx="2069">
                  <c:v>2.8203907351145583</c:v>
                </c:pt>
                <c:pt idx="2070">
                  <c:v>2.7616296315473776</c:v>
                </c:pt>
                <c:pt idx="2071">
                  <c:v>2.7987678538647973</c:v>
                </c:pt>
                <c:pt idx="2072">
                  <c:v>2.7630608109745904</c:v>
                </c:pt>
                <c:pt idx="2073">
                  <c:v>2.8015619894896302</c:v>
                </c:pt>
                <c:pt idx="2074">
                  <c:v>2.7850437646404487</c:v>
                </c:pt>
                <c:pt idx="2075">
                  <c:v>2.799131471091536</c:v>
                </c:pt>
                <c:pt idx="2076">
                  <c:v>2.809384668868578</c:v>
                </c:pt>
                <c:pt idx="2077">
                  <c:v>2.6820861020793814</c:v>
                </c:pt>
                <c:pt idx="2078">
                  <c:v>2.560317453429835</c:v>
                </c:pt>
                <c:pt idx="2079">
                  <c:v>2.5782798413110779</c:v>
                </c:pt>
                <c:pt idx="2080">
                  <c:v>2.6800989209144839</c:v>
                </c:pt>
                <c:pt idx="2081">
                  <c:v>2.6865618222819374</c:v>
                </c:pt>
                <c:pt idx="2082">
                  <c:v>2.5823632602972046</c:v>
                </c:pt>
                <c:pt idx="2083">
                  <c:v>2.5828228960891986</c:v>
                </c:pt>
                <c:pt idx="2084">
                  <c:v>2.6196227620242474</c:v>
                </c:pt>
                <c:pt idx="2085">
                  <c:v>2.6563909901300744</c:v>
                </c:pt>
                <c:pt idx="2086">
                  <c:v>2.6741886083817428</c:v>
                </c:pt>
                <c:pt idx="2087">
                  <c:v>2.6351783028510249</c:v>
                </c:pt>
                <c:pt idx="2088">
                  <c:v>2.658256416339702</c:v>
                </c:pt>
                <c:pt idx="2089">
                  <c:v>2.6495573042420935</c:v>
                </c:pt>
                <c:pt idx="2090">
                  <c:v>2.6333095236785704</c:v>
                </c:pt>
                <c:pt idx="2091">
                  <c:v>2.5944170001377351</c:v>
                </c:pt>
                <c:pt idx="2092">
                  <c:v>2.5442333040964975</c:v>
                </c:pt>
                <c:pt idx="2093">
                  <c:v>2.5258891883097196</c:v>
                </c:pt>
                <c:pt idx="2094">
                  <c:v>2.4720522228852526</c:v>
                </c:pt>
                <c:pt idx="2095">
                  <c:v>2.5124303180599146</c:v>
                </c:pt>
                <c:pt idx="2096">
                  <c:v>2.5151223887413208</c:v>
                </c:pt>
                <c:pt idx="2097">
                  <c:v>2.5027579774640389</c:v>
                </c:pt>
                <c:pt idx="2098">
                  <c:v>2.4506930801532918</c:v>
                </c:pt>
                <c:pt idx="2099">
                  <c:v>2.4383772074076795</c:v>
                </c:pt>
                <c:pt idx="2100">
                  <c:v>2.3960275950537979</c:v>
                </c:pt>
                <c:pt idx="2101">
                  <c:v>2.4400544385244469</c:v>
                </c:pt>
                <c:pt idx="2102">
                  <c:v>2.3602168446316591</c:v>
                </c:pt>
                <c:pt idx="2103">
                  <c:v>2.3122362156933014</c:v>
                </c:pt>
                <c:pt idx="2104">
                  <c:v>2.3037617655345817</c:v>
                </c:pt>
                <c:pt idx="2105">
                  <c:v>2.2391290695498296</c:v>
                </c:pt>
                <c:pt idx="2106">
                  <c:v>2.1895223488416695</c:v>
                </c:pt>
                <c:pt idx="2107">
                  <c:v>2.1362165485248217</c:v>
                </c:pt>
                <c:pt idx="2108">
                  <c:v>2.2343837858244542</c:v>
                </c:pt>
                <c:pt idx="2109">
                  <c:v>2.1960886944237616</c:v>
                </c:pt>
                <c:pt idx="2110">
                  <c:v>2.1951586687623155</c:v>
                </c:pt>
                <c:pt idx="2111">
                  <c:v>2.1643759688447539</c:v>
                </c:pt>
                <c:pt idx="2112">
                  <c:v>2.2194117045248754</c:v>
                </c:pt>
                <c:pt idx="2113">
                  <c:v>2.3693383174606328</c:v>
                </c:pt>
                <c:pt idx="2114">
                  <c:v>2.2938614441973812</c:v>
                </c:pt>
                <c:pt idx="2115">
                  <c:v>2.3785041440876804</c:v>
                </c:pt>
                <c:pt idx="2116">
                  <c:v>2.3551763218580457</c:v>
                </c:pt>
                <c:pt idx="2117">
                  <c:v>2.4062499431120741</c:v>
                </c:pt>
                <c:pt idx="2118">
                  <c:v>2.4403521875510017</c:v>
                </c:pt>
                <c:pt idx="2119">
                  <c:v>2.4393243767944517</c:v>
                </c:pt>
                <c:pt idx="2120">
                  <c:v>2.4568537284889191</c:v>
                </c:pt>
                <c:pt idx="2121">
                  <c:v>2.5263040938070427</c:v>
                </c:pt>
                <c:pt idx="2122">
                  <c:v>2.5474902482488342</c:v>
                </c:pt>
                <c:pt idx="2123">
                  <c:v>2.498788224524219</c:v>
                </c:pt>
                <c:pt idx="2124">
                  <c:v>2.5680460730584764</c:v>
                </c:pt>
                <c:pt idx="2125">
                  <c:v>2.500390130009992</c:v>
                </c:pt>
                <c:pt idx="2126">
                  <c:v>2.5215249536364048</c:v>
                </c:pt>
                <c:pt idx="2127">
                  <c:v>2.5146637025819176</c:v>
                </c:pt>
                <c:pt idx="2128">
                  <c:v>2.4287164578867872</c:v>
                </c:pt>
                <c:pt idx="2129">
                  <c:v>2.4941112149180351</c:v>
                </c:pt>
                <c:pt idx="2130">
                  <c:v>2.5115076442246442</c:v>
                </c:pt>
                <c:pt idx="2131">
                  <c:v>2.5104573845019367</c:v>
                </c:pt>
                <c:pt idx="2132">
                  <c:v>2.5073118690888005</c:v>
                </c:pt>
                <c:pt idx="2133">
                  <c:v>2.5541086486376643</c:v>
                </c:pt>
                <c:pt idx="2134">
                  <c:v>2.486825554158564</c:v>
                </c:pt>
                <c:pt idx="2135">
                  <c:v>2.5152058307744212</c:v>
                </c:pt>
                <c:pt idx="2136">
                  <c:v>2.4810760800633775</c:v>
                </c:pt>
                <c:pt idx="2137">
                  <c:v>2.4375946021698254</c:v>
                </c:pt>
                <c:pt idx="2138">
                  <c:v>2.4255712746282678</c:v>
                </c:pt>
                <c:pt idx="2139">
                  <c:v>2.3732097194314745</c:v>
                </c:pt>
                <c:pt idx="2140">
                  <c:v>2.4561323557368402</c:v>
                </c:pt>
                <c:pt idx="2141">
                  <c:v>2.4551129262678706</c:v>
                </c:pt>
                <c:pt idx="2142">
                  <c:v>2.3955764447977645</c:v>
                </c:pt>
                <c:pt idx="2143">
                  <c:v>2.2849074179756865</c:v>
                </c:pt>
                <c:pt idx="2144">
                  <c:v>2.2656885537478071</c:v>
                </c:pt>
                <c:pt idx="2145">
                  <c:v>2.3358703559433582</c:v>
                </c:pt>
                <c:pt idx="2146">
                  <c:v>2.3932762417031923</c:v>
                </c:pt>
                <c:pt idx="2147">
                  <c:v>2.406873299280301</c:v>
                </c:pt>
                <c:pt idx="2148">
                  <c:v>2.3985874933355005</c:v>
                </c:pt>
                <c:pt idx="2149">
                  <c:v>2.3866647740735436</c:v>
                </c:pt>
                <c:pt idx="2150">
                  <c:v>2.3727911822500567</c:v>
                </c:pt>
                <c:pt idx="2151">
                  <c:v>2.3354345483612704</c:v>
                </c:pt>
                <c:pt idx="2152">
                  <c:v>2.3199262206711242</c:v>
                </c:pt>
                <c:pt idx="2153">
                  <c:v>2.3843951532673988</c:v>
                </c:pt>
                <c:pt idx="2154">
                  <c:v>2.3906789339950913</c:v>
                </c:pt>
                <c:pt idx="2155">
                  <c:v>2.369582833469059</c:v>
                </c:pt>
                <c:pt idx="2156">
                  <c:v>2.4266441577336622</c:v>
                </c:pt>
                <c:pt idx="2157">
                  <c:v>2.443774975602155</c:v>
                </c:pt>
                <c:pt idx="2158">
                  <c:v>2.3992788075907234</c:v>
                </c:pt>
                <c:pt idx="2159">
                  <c:v>2.4308979865048936</c:v>
                </c:pt>
                <c:pt idx="2160">
                  <c:v>2.4775444722698321</c:v>
                </c:pt>
                <c:pt idx="2161">
                  <c:v>2.4222978372197241</c:v>
                </c:pt>
                <c:pt idx="2162">
                  <c:v>2.4176582711119687</c:v>
                </c:pt>
                <c:pt idx="2163">
                  <c:v>2.4604081469856944</c:v>
                </c:pt>
                <c:pt idx="2164">
                  <c:v>2.4537465926020472</c:v>
                </c:pt>
                <c:pt idx="2165">
                  <c:v>2.5218853356840158</c:v>
                </c:pt>
                <c:pt idx="2166">
                  <c:v>2.4772028729957247</c:v>
                </c:pt>
                <c:pt idx="2167">
                  <c:v>2.4870985760898008</c:v>
                </c:pt>
                <c:pt idx="2168">
                  <c:v>2.5042554387711857</c:v>
                </c:pt>
                <c:pt idx="2169">
                  <c:v>2.4358462852483709</c:v>
                </c:pt>
                <c:pt idx="2170">
                  <c:v>2.3949369815085992</c:v>
                </c:pt>
                <c:pt idx="2171">
                  <c:v>2.4157236573975949</c:v>
                </c:pt>
                <c:pt idx="2172">
                  <c:v>2.4111132480849853</c:v>
                </c:pt>
                <c:pt idx="2173">
                  <c:v>2.4463734218808035</c:v>
                </c:pt>
                <c:pt idx="2174">
                  <c:v>2.4216677929198642</c:v>
                </c:pt>
                <c:pt idx="2175">
                  <c:v>2.420682702588334</c:v>
                </c:pt>
                <c:pt idx="2176">
                  <c:v>2.4522504099568705</c:v>
                </c:pt>
                <c:pt idx="2177">
                  <c:v>2.4729462006005551</c:v>
                </c:pt>
                <c:pt idx="2178">
                  <c:v>2.4538717296158357</c:v>
                </c:pt>
                <c:pt idx="2179">
                  <c:v>2.4544939997230797</c:v>
                </c:pt>
                <c:pt idx="2180">
                  <c:v>2.453498391256447</c:v>
                </c:pt>
                <c:pt idx="2181">
                  <c:v>2.4452903442998219</c:v>
                </c:pt>
                <c:pt idx="2182">
                  <c:v>2.4118528225644336</c:v>
                </c:pt>
                <c:pt idx="2183">
                  <c:v>2.4144794001396299</c:v>
                </c:pt>
                <c:pt idx="2184">
                  <c:v>2.4763362685592067</c:v>
                </c:pt>
                <c:pt idx="2185">
                  <c:v>2.453747423547969</c:v>
                </c:pt>
                <c:pt idx="2186">
                  <c:v>2.4060019363900826</c:v>
                </c:pt>
                <c:pt idx="2187">
                  <c:v>2.4194093952625124</c:v>
                </c:pt>
                <c:pt idx="2188">
                  <c:v>2.4543670790229344</c:v>
                </c:pt>
                <c:pt idx="2189">
                  <c:v>2.4406285955183336</c:v>
                </c:pt>
                <c:pt idx="2190">
                  <c:v>2.4324687772616218</c:v>
                </c:pt>
                <c:pt idx="2191">
                  <c:v>2.4350743354222626</c:v>
                </c:pt>
                <c:pt idx="2192">
                  <c:v>2.4376777934445935</c:v>
                </c:pt>
                <c:pt idx="2193">
                  <c:v>2.4223622731481758</c:v>
                </c:pt>
                <c:pt idx="2194">
                  <c:v>2.4087011172153256</c:v>
                </c:pt>
                <c:pt idx="2195">
                  <c:v>2.4435084477780258</c:v>
                </c:pt>
                <c:pt idx="2196">
                  <c:v>2.4639830990964842</c:v>
                </c:pt>
                <c:pt idx="2197">
                  <c:v>2.5166139148831244</c:v>
                </c:pt>
                <c:pt idx="2198">
                  <c:v>2.4977364524659951</c:v>
                </c:pt>
                <c:pt idx="2199">
                  <c:v>2.4840229379201655</c:v>
                </c:pt>
                <c:pt idx="2200">
                  <c:v>2.4544861305215271</c:v>
                </c:pt>
                <c:pt idx="2201">
                  <c:v>2.4535021005646742</c:v>
                </c:pt>
                <c:pt idx="2202">
                  <c:v>2.4489541516637212</c:v>
                </c:pt>
                <c:pt idx="2203">
                  <c:v>2.4123403295482762</c:v>
                </c:pt>
                <c:pt idx="2204">
                  <c:v>2.4236807444192139</c:v>
                </c:pt>
                <c:pt idx="2205">
                  <c:v>2.4440568712644599</c:v>
                </c:pt>
                <c:pt idx="2206">
                  <c:v>2.4288551371875968</c:v>
                </c:pt>
                <c:pt idx="2207">
                  <c:v>2.3923371389059152</c:v>
                </c:pt>
                <c:pt idx="2208">
                  <c:v>2.3949347890903119</c:v>
                </c:pt>
                <c:pt idx="2209">
                  <c:v>2.4488531146721426</c:v>
                </c:pt>
                <c:pt idx="2210">
                  <c:v>2.4656146683833375</c:v>
                </c:pt>
                <c:pt idx="2211">
                  <c:v>2.4965477879456919</c:v>
                </c:pt>
                <c:pt idx="2212">
                  <c:v>2.4459254060612521</c:v>
                </c:pt>
                <c:pt idx="2213">
                  <c:v>2.3847131335933556</c:v>
                </c:pt>
                <c:pt idx="2214">
                  <c:v>2.3712491112045417</c:v>
                </c:pt>
                <c:pt idx="2215">
                  <c:v>2.3596927033148147</c:v>
                </c:pt>
                <c:pt idx="2216">
                  <c:v>2.3587545752836201</c:v>
                </c:pt>
                <c:pt idx="2217">
                  <c:v>2.3613521511973614</c:v>
                </c:pt>
                <c:pt idx="2218">
                  <c:v>2.3180114606228051</c:v>
                </c:pt>
                <c:pt idx="2219">
                  <c:v>2.2799587943420971</c:v>
                </c:pt>
                <c:pt idx="2220">
                  <c:v>2.2402470926954474</c:v>
                </c:pt>
                <c:pt idx="2221">
                  <c:v>2.264044770024813</c:v>
                </c:pt>
                <c:pt idx="2222">
                  <c:v>2.1503426609389238</c:v>
                </c:pt>
                <c:pt idx="2223">
                  <c:v>2.2023471422696539</c:v>
                </c:pt>
                <c:pt idx="2224">
                  <c:v>2.1610175958096813</c:v>
                </c:pt>
                <c:pt idx="2225">
                  <c:v>2.1496083295582036</c:v>
                </c:pt>
                <c:pt idx="2226">
                  <c:v>2.2401949836993373</c:v>
                </c:pt>
                <c:pt idx="2227">
                  <c:v>2.2147018450263114</c:v>
                </c:pt>
                <c:pt idx="2228">
                  <c:v>2.2103129144756894</c:v>
                </c:pt>
                <c:pt idx="2229">
                  <c:v>2.2068256821796353</c:v>
                </c:pt>
                <c:pt idx="2230">
                  <c:v>2.1498422549404186</c:v>
                </c:pt>
                <c:pt idx="2231">
                  <c:v>2.1735348764369533</c:v>
                </c:pt>
                <c:pt idx="2232">
                  <c:v>2.1726785878616339</c:v>
                </c:pt>
                <c:pt idx="2233">
                  <c:v>2.1456124810422885</c:v>
                </c:pt>
                <c:pt idx="2234">
                  <c:v>2.1253508638988579</c:v>
                </c:pt>
                <c:pt idx="2235">
                  <c:v>2.0927533488367542</c:v>
                </c:pt>
                <c:pt idx="2236">
                  <c:v>2.1765958207053502</c:v>
                </c:pt>
                <c:pt idx="2237">
                  <c:v>2.1404774643007594</c:v>
                </c:pt>
                <c:pt idx="2238">
                  <c:v>2.1133024012205062</c:v>
                </c:pt>
                <c:pt idx="2239">
                  <c:v>2.0948694890117632</c:v>
                </c:pt>
                <c:pt idx="2240">
                  <c:v>2.1151645259921703</c:v>
                </c:pt>
                <c:pt idx="2241">
                  <c:v>2.1178535081190675</c:v>
                </c:pt>
                <c:pt idx="2242">
                  <c:v>2.099440478847828</c:v>
                </c:pt>
                <c:pt idx="2243">
                  <c:v>2.0759005590356208</c:v>
                </c:pt>
                <c:pt idx="2244">
                  <c:v>2.0259324206084144</c:v>
                </c:pt>
                <c:pt idx="2245">
                  <c:v>2.0266124371315009</c:v>
                </c:pt>
                <c:pt idx="2246">
                  <c:v>2.0398177525974854</c:v>
                </c:pt>
                <c:pt idx="2247">
                  <c:v>2.0215355792191319</c:v>
                </c:pt>
                <c:pt idx="2248">
                  <c:v>1.9423207671691658</c:v>
                </c:pt>
                <c:pt idx="2249">
                  <c:v>1.9520411652373788</c:v>
                </c:pt>
                <c:pt idx="2250">
                  <c:v>1.9512820062227574</c:v>
                </c:pt>
                <c:pt idx="2251">
                  <c:v>1.8528228001636387</c:v>
                </c:pt>
                <c:pt idx="2252">
                  <c:v>1.9183738855889223</c:v>
                </c:pt>
                <c:pt idx="2253">
                  <c:v>1.9091722505377777</c:v>
                </c:pt>
                <c:pt idx="2254">
                  <c:v>1.8910187958827822</c:v>
                </c:pt>
                <c:pt idx="2255">
                  <c:v>1.9459843817238249</c:v>
                </c:pt>
                <c:pt idx="2256">
                  <c:v>1.9139113757349215</c:v>
                </c:pt>
                <c:pt idx="2257">
                  <c:v>1.9062126612571886</c:v>
                </c:pt>
                <c:pt idx="2258">
                  <c:v>1.8866267304722946</c:v>
                </c:pt>
                <c:pt idx="2259">
                  <c:v>1.8893698085920554</c:v>
                </c:pt>
                <c:pt idx="2260">
                  <c:v>1.9997354136704144</c:v>
                </c:pt>
                <c:pt idx="2261">
                  <c:v>2.0406072627984222</c:v>
                </c:pt>
                <c:pt idx="2262">
                  <c:v>2.0779784387710931</c:v>
                </c:pt>
                <c:pt idx="2263">
                  <c:v>2.0443862586829558</c:v>
                </c:pt>
                <c:pt idx="2264">
                  <c:v>2.1059443595668643</c:v>
                </c:pt>
                <c:pt idx="2265">
                  <c:v>2.0878200408577192</c:v>
                </c:pt>
                <c:pt idx="2266">
                  <c:v>2.0627875938216906</c:v>
                </c:pt>
                <c:pt idx="2267">
                  <c:v>2.0377744446686168</c:v>
                </c:pt>
                <c:pt idx="2268">
                  <c:v>2.0492436321029093</c:v>
                </c:pt>
                <c:pt idx="2269">
                  <c:v>2.0346373806835465</c:v>
                </c:pt>
                <c:pt idx="2270">
                  <c:v>2.0304015594088165</c:v>
                </c:pt>
                <c:pt idx="2271">
                  <c:v>2.0020068444851247</c:v>
                </c:pt>
                <c:pt idx="2272">
                  <c:v>2.0150388688254308</c:v>
                </c:pt>
                <c:pt idx="2273">
                  <c:v>1.9851462061139122</c:v>
                </c:pt>
                <c:pt idx="2274">
                  <c:v>1.9671586898793922</c:v>
                </c:pt>
                <c:pt idx="2275">
                  <c:v>1.921634658950033</c:v>
                </c:pt>
                <c:pt idx="2276">
                  <c:v>1.9071277682468677</c:v>
                </c:pt>
                <c:pt idx="2277">
                  <c:v>1.8891908519998468</c:v>
                </c:pt>
                <c:pt idx="2278">
                  <c:v>1.9420155983639285</c:v>
                </c:pt>
                <c:pt idx="2279">
                  <c:v>1.9344004320716333</c:v>
                </c:pt>
                <c:pt idx="2280">
                  <c:v>1.9851787026425118</c:v>
                </c:pt>
                <c:pt idx="2281">
                  <c:v>2.0084521151355457</c:v>
                </c:pt>
                <c:pt idx="2282">
                  <c:v>2.021411913678389</c:v>
                </c:pt>
                <c:pt idx="2283">
                  <c:v>1.9471076984996147</c:v>
                </c:pt>
                <c:pt idx="2284">
                  <c:v>1.9600711259310686</c:v>
                </c:pt>
                <c:pt idx="2285">
                  <c:v>1.9798754388922839</c:v>
                </c:pt>
                <c:pt idx="2286">
                  <c:v>1.9722719753489153</c:v>
                </c:pt>
                <c:pt idx="2287">
                  <c:v>1.9715198659300137</c:v>
                </c:pt>
                <c:pt idx="2288">
                  <c:v>1.9521726440837373</c:v>
                </c:pt>
                <c:pt idx="2289">
                  <c:v>1.8967483010945982</c:v>
                </c:pt>
                <c:pt idx="2290">
                  <c:v>1.8960263685118413</c:v>
                </c:pt>
                <c:pt idx="2291">
                  <c:v>1.9396995164647419</c:v>
                </c:pt>
                <c:pt idx="2292">
                  <c:v>1.9287208021315869</c:v>
                </c:pt>
                <c:pt idx="2293">
                  <c:v>1.9094738065839687</c:v>
                </c:pt>
                <c:pt idx="2294">
                  <c:v>1.9087486864249659</c:v>
                </c:pt>
                <c:pt idx="2295">
                  <c:v>1.8807666294011267</c:v>
                </c:pt>
                <c:pt idx="2296">
                  <c:v>1.8970824179423764</c:v>
                </c:pt>
                <c:pt idx="2297">
                  <c:v>1.9167904299053573</c:v>
                </c:pt>
                <c:pt idx="2298">
                  <c:v>1.8772036543798134</c:v>
                </c:pt>
                <c:pt idx="2299">
                  <c:v>1.822101586576429</c:v>
                </c:pt>
                <c:pt idx="2300">
                  <c:v>1.8485969915196212</c:v>
                </c:pt>
                <c:pt idx="2301">
                  <c:v>1.8478973803386354</c:v>
                </c:pt>
                <c:pt idx="2302">
                  <c:v>1.8471982985003237</c:v>
                </c:pt>
                <c:pt idx="2303">
                  <c:v>1.8451042230405428</c:v>
                </c:pt>
                <c:pt idx="2304">
                  <c:v>1.8240645255260939</c:v>
                </c:pt>
                <c:pt idx="2305">
                  <c:v>1.8470999827418821</c:v>
                </c:pt>
                <c:pt idx="2306">
                  <c:v>1.9103987494656591</c:v>
                </c:pt>
                <c:pt idx="2307">
                  <c:v>1.9170793942295263</c:v>
                </c:pt>
                <c:pt idx="2308">
                  <c:v>1.9102117838725776</c:v>
                </c:pt>
                <c:pt idx="2309">
                  <c:v>1.8796377033923672</c:v>
                </c:pt>
                <c:pt idx="2310">
                  <c:v>1.8626128903889276</c:v>
                </c:pt>
                <c:pt idx="2311">
                  <c:v>1.889428098786885</c:v>
                </c:pt>
                <c:pt idx="2312">
                  <c:v>1.9198088252548686</c:v>
                </c:pt>
                <c:pt idx="2313">
                  <c:v>2.0280586130157414</c:v>
                </c:pt>
                <c:pt idx="2314">
                  <c:v>2.0245738365486585</c:v>
                </c:pt>
                <c:pt idx="2315">
                  <c:v>1.9601520321034716</c:v>
                </c:pt>
                <c:pt idx="2316">
                  <c:v>1.9327851472165676</c:v>
                </c:pt>
                <c:pt idx="2317">
                  <c:v>1.8988431574853186</c:v>
                </c:pt>
                <c:pt idx="2318">
                  <c:v>1.9325961202238293</c:v>
                </c:pt>
                <c:pt idx="2319">
                  <c:v>1.9223483721475148</c:v>
                </c:pt>
                <c:pt idx="2320">
                  <c:v>1.9560968848622347</c:v>
                </c:pt>
                <c:pt idx="2321">
                  <c:v>1.9693450119393252</c:v>
                </c:pt>
                <c:pt idx="2322">
                  <c:v>1.9658651500079796</c:v>
                </c:pt>
                <c:pt idx="2323">
                  <c:v>1.9826861692740938</c:v>
                </c:pt>
                <c:pt idx="2324">
                  <c:v>1.9927390278589387</c:v>
                </c:pt>
                <c:pt idx="2325">
                  <c:v>2.0163232746745416</c:v>
                </c:pt>
                <c:pt idx="2326">
                  <c:v>1.9619061048543729</c:v>
                </c:pt>
                <c:pt idx="2327">
                  <c:v>1.9618102282875438</c:v>
                </c:pt>
                <c:pt idx="2328">
                  <c:v>1.9143626351336873</c:v>
                </c:pt>
                <c:pt idx="2329">
                  <c:v>1.9920574110728029</c:v>
                </c:pt>
                <c:pt idx="2330">
                  <c:v>1.9344671699097784</c:v>
                </c:pt>
                <c:pt idx="2331">
                  <c:v>1.8766991670977913</c:v>
                </c:pt>
                <c:pt idx="2332">
                  <c:v>1.9070389586231382</c:v>
                </c:pt>
                <c:pt idx="2333">
                  <c:v>1.8663724848955077</c:v>
                </c:pt>
                <c:pt idx="2334">
                  <c:v>1.9000907612171609</c:v>
                </c:pt>
                <c:pt idx="2335">
                  <c:v>1.899997950865524</c:v>
                </c:pt>
                <c:pt idx="2336">
                  <c:v>1.906480142082472</c:v>
                </c:pt>
                <c:pt idx="2337">
                  <c:v>1.8759659680782887</c:v>
                </c:pt>
                <c:pt idx="2338">
                  <c:v>1.8414453535960211</c:v>
                </c:pt>
                <c:pt idx="2339">
                  <c:v>1.8650059020339567</c:v>
                </c:pt>
                <c:pt idx="2340">
                  <c:v>1.8649148676623069</c:v>
                </c:pt>
                <c:pt idx="2341">
                  <c:v>1.9322013040166421</c:v>
                </c:pt>
                <c:pt idx="2342">
                  <c:v>1.932107008124736</c:v>
                </c:pt>
                <c:pt idx="2343">
                  <c:v>1.9117468537287241</c:v>
                </c:pt>
                <c:pt idx="2344">
                  <c:v>1.8677463278042028</c:v>
                </c:pt>
                <c:pt idx="2345">
                  <c:v>1.8912963957542057</c:v>
                </c:pt>
                <c:pt idx="2346">
                  <c:v>1.8606281918236038</c:v>
                </c:pt>
                <c:pt idx="2347">
                  <c:v>1.8571607639398191</c:v>
                </c:pt>
                <c:pt idx="2348">
                  <c:v>1.8435642007305642</c:v>
                </c:pt>
                <c:pt idx="2349">
                  <c:v>1.8434742700337077</c:v>
                </c:pt>
                <c:pt idx="2350">
                  <c:v>1.829879700871319</c:v>
                </c:pt>
                <c:pt idx="2351">
                  <c:v>1.8228606279894881</c:v>
                </c:pt>
                <c:pt idx="2352">
                  <c:v>1.8362737417209238</c:v>
                </c:pt>
                <c:pt idx="2353">
                  <c:v>1.7923047912009391</c:v>
                </c:pt>
                <c:pt idx="2354">
                  <c:v>1.809093260797948</c:v>
                </c:pt>
                <c:pt idx="2355">
                  <c:v>1.7955050083925781</c:v>
                </c:pt>
                <c:pt idx="2356">
                  <c:v>1.8222385165006358</c:v>
                </c:pt>
                <c:pt idx="2357">
                  <c:v>1.8019035705586002</c:v>
                </c:pt>
                <c:pt idx="2358">
                  <c:v>1.7815706072726589</c:v>
                </c:pt>
                <c:pt idx="2359">
                  <c:v>1.7106292922622628</c:v>
                </c:pt>
                <c:pt idx="2360">
                  <c:v>1.7274151962883151</c:v>
                </c:pt>
                <c:pt idx="2361">
                  <c:v>1.8047500070037994</c:v>
                </c:pt>
                <c:pt idx="2362">
                  <c:v>1.8215280516970793</c:v>
                </c:pt>
                <c:pt idx="2363">
                  <c:v>1.9057651752584241</c:v>
                </c:pt>
                <c:pt idx="2364">
                  <c:v>1.9360281475127077</c:v>
                </c:pt>
                <c:pt idx="2365">
                  <c:v>1.9359338075861929</c:v>
                </c:pt>
                <c:pt idx="2366">
                  <c:v>1.9355565398032539</c:v>
                </c:pt>
                <c:pt idx="2367">
                  <c:v>2.0062718401912738</c:v>
                </c:pt>
                <c:pt idx="2368">
                  <c:v>2.08372369325253</c:v>
                </c:pt>
                <c:pt idx="2369">
                  <c:v>2.0735075201225484</c:v>
                </c:pt>
                <c:pt idx="2370">
                  <c:v>2.1439969009499862</c:v>
                </c:pt>
                <c:pt idx="2371">
                  <c:v>2.0731035802288802</c:v>
                </c:pt>
                <c:pt idx="2372">
                  <c:v>2.0763733558125907</c:v>
                </c:pt>
                <c:pt idx="2373">
                  <c:v>2.1976128266346255</c:v>
                </c:pt>
                <c:pt idx="2374">
                  <c:v>2.4536567974039607</c:v>
                </c:pt>
                <c:pt idx="2375">
                  <c:v>2.3724204351842535</c:v>
                </c:pt>
                <c:pt idx="2376">
                  <c:v>2.3082796566379211</c:v>
                </c:pt>
                <c:pt idx="2377">
                  <c:v>2.392406963266291</c:v>
                </c:pt>
                <c:pt idx="2378">
                  <c:v>2.570869929697853</c:v>
                </c:pt>
                <c:pt idx="2379">
                  <c:v>2.503359598539368</c:v>
                </c:pt>
                <c:pt idx="2380">
                  <c:v>2.5670006482953891</c:v>
                </c:pt>
                <c:pt idx="2381">
                  <c:v>2.5466640943671002</c:v>
                </c:pt>
                <c:pt idx="2382">
                  <c:v>2.4960135656357836</c:v>
                </c:pt>
                <c:pt idx="2383">
                  <c:v>2.5228383017088936</c:v>
                </c:pt>
                <c:pt idx="2384">
                  <c:v>2.5055092064572251</c:v>
                </c:pt>
                <c:pt idx="2385">
                  <c:v>2.4818151141997564</c:v>
                </c:pt>
                <c:pt idx="2386">
                  <c:v>2.3470026838273972</c:v>
                </c:pt>
                <c:pt idx="2387">
                  <c:v>2.2963815805959915</c:v>
                </c:pt>
                <c:pt idx="2388">
                  <c:v>2.3568752348555582</c:v>
                </c:pt>
                <c:pt idx="2389">
                  <c:v>2.3228665967353659</c:v>
                </c:pt>
                <c:pt idx="2390">
                  <c:v>2.3362188598007494</c:v>
                </c:pt>
                <c:pt idx="2391">
                  <c:v>2.3495698241235985</c:v>
                </c:pt>
                <c:pt idx="2392">
                  <c:v>2.3258936859207049</c:v>
                </c:pt>
                <c:pt idx="2393">
                  <c:v>2.3426096723519896</c:v>
                </c:pt>
                <c:pt idx="2394">
                  <c:v>2.3792865683284621</c:v>
                </c:pt>
                <c:pt idx="2395">
                  <c:v>2.3993618718351817</c:v>
                </c:pt>
                <c:pt idx="2396">
                  <c:v>2.453085226436039</c:v>
                </c:pt>
                <c:pt idx="2397">
                  <c:v>2.4731549903125041</c:v>
                </c:pt>
                <c:pt idx="2398">
                  <c:v>2.4191999936423167</c:v>
                </c:pt>
                <c:pt idx="2399">
                  <c:v>2.4188472348617158</c:v>
                </c:pt>
                <c:pt idx="2400">
                  <c:v>2.4120016334326269</c:v>
                </c:pt>
                <c:pt idx="2401">
                  <c:v>2.3614265756346677</c:v>
                </c:pt>
                <c:pt idx="2402">
                  <c:v>2.3007653574358522</c:v>
                </c:pt>
                <c:pt idx="2403">
                  <c:v>2.2972900208990641</c:v>
                </c:pt>
                <c:pt idx="2404">
                  <c:v>2.3743050331989544</c:v>
                </c:pt>
                <c:pt idx="2405">
                  <c:v>2.3203836756582512</c:v>
                </c:pt>
                <c:pt idx="2406">
                  <c:v>2.3639861913498539</c:v>
                </c:pt>
                <c:pt idx="2407">
                  <c:v>2.4063564513418152</c:v>
                </c:pt>
                <c:pt idx="2408">
                  <c:v>2.3552599003267622</c:v>
                </c:pt>
                <c:pt idx="2409">
                  <c:v>2.2869537347098521</c:v>
                </c:pt>
                <c:pt idx="2410">
                  <c:v>2.259658792151888</c:v>
                </c:pt>
                <c:pt idx="2411">
                  <c:v>2.2255708646689785</c:v>
                </c:pt>
                <c:pt idx="2412">
                  <c:v>2.3002111473009688</c:v>
                </c:pt>
                <c:pt idx="2413">
                  <c:v>2.3102919065691849</c:v>
                </c:pt>
                <c:pt idx="2414">
                  <c:v>2.2420155079895965</c:v>
                </c:pt>
                <c:pt idx="2415">
                  <c:v>2.2351129937455698</c:v>
                </c:pt>
                <c:pt idx="2416">
                  <c:v>2.2621777831319831</c:v>
                </c:pt>
                <c:pt idx="2417">
                  <c:v>2.2416889665148187</c:v>
                </c:pt>
                <c:pt idx="2418">
                  <c:v>2.2449764740393294</c:v>
                </c:pt>
                <c:pt idx="2419">
                  <c:v>2.3667848857690545</c:v>
                </c:pt>
                <c:pt idx="2420">
                  <c:v>2.4345802016031222</c:v>
                </c:pt>
                <c:pt idx="2421">
                  <c:v>2.4039039448211894</c:v>
                </c:pt>
                <c:pt idx="2422">
                  <c:v>2.3868113845893744</c:v>
                </c:pt>
                <c:pt idx="2423">
                  <c:v>2.3253595998164318</c:v>
                </c:pt>
                <c:pt idx="2424">
                  <c:v>2.3693755429924916</c:v>
                </c:pt>
                <c:pt idx="2425">
                  <c:v>2.3692605852114124</c:v>
                </c:pt>
                <c:pt idx="2426">
                  <c:v>2.3487804898291325</c:v>
                </c:pt>
                <c:pt idx="2427">
                  <c:v>2.3011501672054928</c:v>
                </c:pt>
                <c:pt idx="2428">
                  <c:v>2.1447127922492126</c:v>
                </c:pt>
                <c:pt idx="2429">
                  <c:v>2.0903148721941718</c:v>
                </c:pt>
                <c:pt idx="2430">
                  <c:v>1.8900144691833114</c:v>
                </c:pt>
                <c:pt idx="2431">
                  <c:v>2.1002912318014366</c:v>
                </c:pt>
                <c:pt idx="2432">
                  <c:v>2.1239394961393998</c:v>
                </c:pt>
                <c:pt idx="2433">
                  <c:v>2.2254019580189639</c:v>
                </c:pt>
                <c:pt idx="2434">
                  <c:v>2.1642341558198246</c:v>
                </c:pt>
                <c:pt idx="2435">
                  <c:v>2.0827199726557915</c:v>
                </c:pt>
                <c:pt idx="2436">
                  <c:v>2.1097540972979614</c:v>
                </c:pt>
                <c:pt idx="2437">
                  <c:v>2.0655594139927183</c:v>
                </c:pt>
                <c:pt idx="2438">
                  <c:v>2.150039788104555</c:v>
                </c:pt>
                <c:pt idx="2439">
                  <c:v>2.1702819666581141</c:v>
                </c:pt>
                <c:pt idx="2440">
                  <c:v>2.1328768623789265</c:v>
                </c:pt>
                <c:pt idx="2441">
                  <c:v>2.1395549631571398</c:v>
                </c:pt>
                <c:pt idx="2442">
                  <c:v>2.1123266912577918</c:v>
                </c:pt>
                <c:pt idx="2443">
                  <c:v>2.0170973897934932</c:v>
                </c:pt>
                <c:pt idx="2444">
                  <c:v>1.976320667364778</c:v>
                </c:pt>
                <c:pt idx="2445">
                  <c:v>2.0135121724292389</c:v>
                </c:pt>
                <c:pt idx="2446">
                  <c:v>2.0371417260421101</c:v>
                </c:pt>
                <c:pt idx="2447">
                  <c:v>2.0438218766567635</c:v>
                </c:pt>
                <c:pt idx="2448">
                  <c:v>1.9926909128127488</c:v>
                </c:pt>
                <c:pt idx="2449">
                  <c:v>1.9959831562782611</c:v>
                </c:pt>
                <c:pt idx="2450">
                  <c:v>1.992497877154263</c:v>
                </c:pt>
                <c:pt idx="2451">
                  <c:v>2.0161204373175745</c:v>
                </c:pt>
                <c:pt idx="2452">
                  <c:v>2.0329641621342835</c:v>
                </c:pt>
                <c:pt idx="2453">
                  <c:v>2.1004244557592142</c:v>
                </c:pt>
                <c:pt idx="2454">
                  <c:v>2.0495084892495132</c:v>
                </c:pt>
                <c:pt idx="2455">
                  <c:v>1.9410107471078457</c:v>
                </c:pt>
                <c:pt idx="2456">
                  <c:v>1.8867201400714781</c:v>
                </c:pt>
                <c:pt idx="2457">
                  <c:v>1.9340485491234611</c:v>
                </c:pt>
                <c:pt idx="2458">
                  <c:v>1.926994413246701</c:v>
                </c:pt>
                <c:pt idx="2459">
                  <c:v>1.9167417277706245</c:v>
                </c:pt>
                <c:pt idx="2460">
                  <c:v>1.8523091457291707</c:v>
                </c:pt>
                <c:pt idx="2461">
                  <c:v>1.7912689425279933</c:v>
                </c:pt>
                <c:pt idx="2462">
                  <c:v>1.6896029144126581</c:v>
                </c:pt>
                <c:pt idx="2463">
                  <c:v>1.5759438390681819</c:v>
                </c:pt>
                <c:pt idx="2464">
                  <c:v>1.5843308866607257</c:v>
                </c:pt>
                <c:pt idx="2465">
                  <c:v>1.6705757704740447</c:v>
                </c:pt>
                <c:pt idx="2466">
                  <c:v>1.763582298107037</c:v>
                </c:pt>
                <c:pt idx="2467">
                  <c:v>1.8041149449140952</c:v>
                </c:pt>
                <c:pt idx="2468">
                  <c:v>1.7327819865362517</c:v>
                </c:pt>
                <c:pt idx="2469">
                  <c:v>1.6954722300657548</c:v>
                </c:pt>
                <c:pt idx="2470">
                  <c:v>1.661550095379617</c:v>
                </c:pt>
                <c:pt idx="2471">
                  <c:v>1.6763727177718046</c:v>
                </c:pt>
                <c:pt idx="2472">
                  <c:v>1.7354946898319448</c:v>
                </c:pt>
                <c:pt idx="2473">
                  <c:v>1.8301310478463446</c:v>
                </c:pt>
                <c:pt idx="2474">
                  <c:v>1.8334252614882043</c:v>
                </c:pt>
                <c:pt idx="2475">
                  <c:v>1.7927461381026015</c:v>
                </c:pt>
                <c:pt idx="2476">
                  <c:v>1.8161604871420367</c:v>
                </c:pt>
                <c:pt idx="2477">
                  <c:v>1.812690808237015</c:v>
                </c:pt>
                <c:pt idx="2478">
                  <c:v>1.8177477559850734</c:v>
                </c:pt>
                <c:pt idx="2479">
                  <c:v>1.8519553643932565</c:v>
                </c:pt>
                <c:pt idx="2480">
                  <c:v>1.8621539976167001</c:v>
                </c:pt>
                <c:pt idx="2481">
                  <c:v>1.9716083156124551</c:v>
                </c:pt>
                <c:pt idx="2482">
                  <c:v>1.9680843221146791</c:v>
                </c:pt>
                <c:pt idx="2483">
                  <c:v>1.9062752741126008</c:v>
                </c:pt>
                <c:pt idx="2484">
                  <c:v>1.8616141341386612</c:v>
                </c:pt>
                <c:pt idx="2485">
                  <c:v>1.8546677446451567</c:v>
                </c:pt>
                <c:pt idx="2486">
                  <c:v>1.8543989500402731</c:v>
                </c:pt>
                <c:pt idx="2487">
                  <c:v>1.8200337800730231</c:v>
                </c:pt>
                <c:pt idx="2488">
                  <c:v>1.8987759103367972</c:v>
                </c:pt>
                <c:pt idx="2489">
                  <c:v>1.8089646286100893</c:v>
                </c:pt>
                <c:pt idx="2490">
                  <c:v>1.9013766913264269</c:v>
                </c:pt>
                <c:pt idx="2491">
                  <c:v>1.9661840611709278</c:v>
                </c:pt>
                <c:pt idx="2492">
                  <c:v>1.9592386596209215</c:v>
                </c:pt>
                <c:pt idx="2493">
                  <c:v>1.9043428496629977</c:v>
                </c:pt>
                <c:pt idx="2494">
                  <c:v>1.9727491619612303</c:v>
                </c:pt>
                <c:pt idx="2495">
                  <c:v>1.9486807171068645</c:v>
                </c:pt>
                <c:pt idx="2496">
                  <c:v>1.95867133530647</c:v>
                </c:pt>
                <c:pt idx="2497">
                  <c:v>2.0167862639369876</c:v>
                </c:pt>
                <c:pt idx="2498">
                  <c:v>2.0166889419957368</c:v>
                </c:pt>
                <c:pt idx="2499">
                  <c:v>2.020015384335462</c:v>
                </c:pt>
                <c:pt idx="2500">
                  <c:v>2.0781189406744249</c:v>
                </c:pt>
                <c:pt idx="2501">
                  <c:v>2.0675488858750666</c:v>
                </c:pt>
                <c:pt idx="2502">
                  <c:v>2.0366427818087169</c:v>
                </c:pt>
                <c:pt idx="2503">
                  <c:v>2.0125851873903593</c:v>
                </c:pt>
                <c:pt idx="2504">
                  <c:v>2.005642908015949</c:v>
                </c:pt>
                <c:pt idx="2505">
                  <c:v>2.0192359007437219</c:v>
                </c:pt>
                <c:pt idx="2506">
                  <c:v>1.9539269168577762</c:v>
                </c:pt>
                <c:pt idx="2507">
                  <c:v>1.9983157432964465</c:v>
                </c:pt>
                <c:pt idx="2508">
                  <c:v>2.042700288577235</c:v>
                </c:pt>
                <c:pt idx="2509">
                  <c:v>2.0597090050792133</c:v>
                </c:pt>
                <c:pt idx="2510">
                  <c:v>2.0527671314372573</c:v>
                </c:pt>
                <c:pt idx="2511">
                  <c:v>2.038787094099646</c:v>
                </c:pt>
                <c:pt idx="2512">
                  <c:v>2.0215857113431404</c:v>
                </c:pt>
                <c:pt idx="2513">
                  <c:v>2.0317496182666441</c:v>
                </c:pt>
                <c:pt idx="2514">
                  <c:v>2.0624342794159691</c:v>
                </c:pt>
                <c:pt idx="2515">
                  <c:v>2.0349738717908394</c:v>
                </c:pt>
                <c:pt idx="2516">
                  <c:v>2.0278403828413931</c:v>
                </c:pt>
                <c:pt idx="2517">
                  <c:v>2.0277426548040158</c:v>
                </c:pt>
                <c:pt idx="2518">
                  <c:v>2.0310642362468525</c:v>
                </c:pt>
                <c:pt idx="2519">
                  <c:v>2.0925107974959718</c:v>
                </c:pt>
                <c:pt idx="2520">
                  <c:v>2.0992479084346991</c:v>
                </c:pt>
                <c:pt idx="2521">
                  <c:v>2.0921075352666163</c:v>
                </c:pt>
                <c:pt idx="2522">
                  <c:v>2.0954250556673792</c:v>
                </c:pt>
                <c:pt idx="2523">
                  <c:v>2.1055785504226705</c:v>
                </c:pt>
                <c:pt idx="2524">
                  <c:v>2.0986411552564936</c:v>
                </c:pt>
                <c:pt idx="2525">
                  <c:v>2.0301837099547417</c:v>
                </c:pt>
                <c:pt idx="2526">
                  <c:v>1.9991344561163249</c:v>
                </c:pt>
                <c:pt idx="2527">
                  <c:v>2.0332097692287205</c:v>
                </c:pt>
                <c:pt idx="2528">
                  <c:v>2.0877837685872342</c:v>
                </c:pt>
                <c:pt idx="2529">
                  <c:v>2.0979337197007371</c:v>
                </c:pt>
                <c:pt idx="2530">
                  <c:v>2.0670827057466528</c:v>
                </c:pt>
                <c:pt idx="2531">
                  <c:v>2.0941135127824655</c:v>
                </c:pt>
                <c:pt idx="2532">
                  <c:v>2.0666846316243062</c:v>
                </c:pt>
                <c:pt idx="2533">
                  <c:v>2.165644589899161</c:v>
                </c:pt>
                <c:pt idx="2534">
                  <c:v>2.1962814450742547</c:v>
                </c:pt>
                <c:pt idx="2535">
                  <c:v>2.141527492148533</c:v>
                </c:pt>
                <c:pt idx="2536">
                  <c:v>2.2334238451622479</c:v>
                </c:pt>
                <c:pt idx="2537">
                  <c:v>2.2640500657567775</c:v>
                </c:pt>
                <c:pt idx="2538">
                  <c:v>2.2400382590338284</c:v>
                </c:pt>
                <c:pt idx="2539">
                  <c:v>2.2979774387584699</c:v>
                </c:pt>
                <c:pt idx="2540">
                  <c:v>2.3046955848288708</c:v>
                </c:pt>
                <c:pt idx="2541">
                  <c:v>2.2531548533821146</c:v>
                </c:pt>
                <c:pt idx="2542">
                  <c:v>2.2598738630630977</c:v>
                </c:pt>
                <c:pt idx="2543">
                  <c:v>2.2836599387921273</c:v>
                </c:pt>
                <c:pt idx="2544">
                  <c:v>2.2801366996070778</c:v>
                </c:pt>
                <c:pt idx="2545">
                  <c:v>2.2800270134853644</c:v>
                </c:pt>
                <c:pt idx="2546">
                  <c:v>2.2762852968441094</c:v>
                </c:pt>
                <c:pt idx="2547">
                  <c:v>2.2864134894011028</c:v>
                </c:pt>
                <c:pt idx="2548">
                  <c:v>2.2624167745072286</c:v>
                </c:pt>
                <c:pt idx="2549">
                  <c:v>2.2964302643974506</c:v>
                </c:pt>
                <c:pt idx="2550">
                  <c:v>2.1941586034460023</c:v>
                </c:pt>
                <c:pt idx="2551">
                  <c:v>2.1579757818251881</c:v>
                </c:pt>
                <c:pt idx="2552">
                  <c:v>2.0403857795040317</c:v>
                </c:pt>
                <c:pt idx="2553">
                  <c:v>1.9365973556477674</c:v>
                </c:pt>
                <c:pt idx="2554">
                  <c:v>2.0701903563588782</c:v>
                </c:pt>
                <c:pt idx="2555">
                  <c:v>1.9694173413888698</c:v>
                </c:pt>
                <c:pt idx="2556">
                  <c:v>2.0012044969741476</c:v>
                </c:pt>
                <c:pt idx="2557">
                  <c:v>2.0767560909222076</c:v>
                </c:pt>
                <c:pt idx="2558">
                  <c:v>2.0915334474159208</c:v>
                </c:pt>
                <c:pt idx="2559">
                  <c:v>2.0221648060724888</c:v>
                </c:pt>
                <c:pt idx="2560">
                  <c:v>2.0128085710002739</c:v>
                </c:pt>
                <c:pt idx="2561">
                  <c:v>2.0342788352702006</c:v>
                </c:pt>
                <c:pt idx="2562">
                  <c:v>1.931828611368464</c:v>
                </c:pt>
                <c:pt idx="2563">
                  <c:v>1.943302134198442</c:v>
                </c:pt>
                <c:pt idx="2564">
                  <c:v>2.0015334598592305</c:v>
                </c:pt>
                <c:pt idx="2565">
                  <c:v>2.0322816941106012</c:v>
                </c:pt>
                <c:pt idx="2566">
                  <c:v>1.963720169176149</c:v>
                </c:pt>
                <c:pt idx="2567">
                  <c:v>2.0050205976494677</c:v>
                </c:pt>
                <c:pt idx="2568">
                  <c:v>2.0395964732660028</c:v>
                </c:pt>
                <c:pt idx="2569">
                  <c:v>2.0608304039274219</c:v>
                </c:pt>
                <c:pt idx="2570">
                  <c:v>2.0581065020856926</c:v>
                </c:pt>
                <c:pt idx="2571">
                  <c:v>2.0561001994809134</c:v>
                </c:pt>
                <c:pt idx="2572">
                  <c:v>1.9847472357039664</c:v>
                </c:pt>
                <c:pt idx="2573">
                  <c:v>1.9861154057302632</c:v>
                </c:pt>
                <c:pt idx="2574">
                  <c:v>1.9841849278180215</c:v>
                </c:pt>
                <c:pt idx="2575">
                  <c:v>1.9487632653006142</c:v>
                </c:pt>
                <c:pt idx="2576">
                  <c:v>1.9664558560808951</c:v>
                </c:pt>
                <c:pt idx="2577">
                  <c:v>1.9547925610568835</c:v>
                </c:pt>
                <c:pt idx="2578">
                  <c:v>2.0017391433741532</c:v>
                </c:pt>
                <c:pt idx="2579">
                  <c:v>2.0225817744949355</c:v>
                </c:pt>
                <c:pt idx="2580">
                  <c:v>2.0200222869229481</c:v>
                </c:pt>
                <c:pt idx="2581">
                  <c:v>2.0051353571419628</c:v>
                </c:pt>
                <c:pt idx="2582">
                  <c:v>1.9870406198890669</c:v>
                </c:pt>
                <c:pt idx="2583">
                  <c:v>1.9689803875602627</c:v>
                </c:pt>
                <c:pt idx="2584">
                  <c:v>1.9671048476587774</c:v>
                </c:pt>
                <c:pt idx="2585">
                  <c:v>1.9228493667433713</c:v>
                </c:pt>
                <c:pt idx="2586">
                  <c:v>1.9017179397615411</c:v>
                </c:pt>
                <c:pt idx="2587">
                  <c:v>1.9352772660869415</c:v>
                </c:pt>
                <c:pt idx="2588">
                  <c:v>1.9334443057313799</c:v>
                </c:pt>
                <c:pt idx="2589">
                  <c:v>1.8931108644115058</c:v>
                </c:pt>
                <c:pt idx="2590">
                  <c:v>1.7853655420456311</c:v>
                </c:pt>
                <c:pt idx="2591">
                  <c:v>1.7804859741105676</c:v>
                </c:pt>
                <c:pt idx="2592">
                  <c:v>1.8267124488374782</c:v>
                </c:pt>
                <c:pt idx="2593">
                  <c:v>1.8345653539698155</c:v>
                </c:pt>
                <c:pt idx="2594">
                  <c:v>1.8392159462125359</c:v>
                </c:pt>
                <c:pt idx="2595">
                  <c:v>1.8435796544926333</c:v>
                </c:pt>
                <c:pt idx="2596">
                  <c:v>1.7910434237532118</c:v>
                </c:pt>
                <c:pt idx="2597">
                  <c:v>1.7576413265774884</c:v>
                </c:pt>
                <c:pt idx="2598">
                  <c:v>1.7655074122249468</c:v>
                </c:pt>
                <c:pt idx="2599">
                  <c:v>1.7765255183294864</c:v>
                </c:pt>
                <c:pt idx="2600">
                  <c:v>1.7810359227416876</c:v>
                </c:pt>
                <c:pt idx="2601">
                  <c:v>1.7604493061416164</c:v>
                </c:pt>
                <c:pt idx="2602">
                  <c:v>1.7430529555043994</c:v>
                </c:pt>
                <c:pt idx="2603">
                  <c:v>1.7823721280019855</c:v>
                </c:pt>
                <c:pt idx="2604">
                  <c:v>1.7807184463403534</c:v>
                </c:pt>
                <c:pt idx="2605">
                  <c:v>1.775775761646057</c:v>
                </c:pt>
                <c:pt idx="2606">
                  <c:v>1.75532721459285</c:v>
                </c:pt>
                <c:pt idx="2607">
                  <c:v>1.7568377633959127</c:v>
                </c:pt>
                <c:pt idx="2608">
                  <c:v>1.8084051838147297</c:v>
                </c:pt>
                <c:pt idx="2609">
                  <c:v>1.8161157090450737</c:v>
                </c:pt>
                <c:pt idx="2610">
                  <c:v>1.8063294838616826</c:v>
                </c:pt>
                <c:pt idx="2611">
                  <c:v>1.7797800000501809</c:v>
                </c:pt>
                <c:pt idx="2612">
                  <c:v>1.8092349132069787</c:v>
                </c:pt>
                <c:pt idx="2613">
                  <c:v>1.7982604209063624</c:v>
                </c:pt>
                <c:pt idx="2614">
                  <c:v>1.7933328726301443</c:v>
                </c:pt>
                <c:pt idx="2615">
                  <c:v>1.7793184843863779</c:v>
                </c:pt>
                <c:pt idx="2616">
                  <c:v>1.8086126894324241</c:v>
                </c:pt>
                <c:pt idx="2617">
                  <c:v>1.8409423560064828</c:v>
                </c:pt>
                <c:pt idx="2618">
                  <c:v>1.8762991966913465</c:v>
                </c:pt>
                <c:pt idx="2619">
                  <c:v>1.8373366973815783</c:v>
                </c:pt>
                <c:pt idx="2620">
                  <c:v>1.9033168183730658</c:v>
                </c:pt>
                <c:pt idx="2621">
                  <c:v>1.8647280439528144</c:v>
                </c:pt>
                <c:pt idx="2622">
                  <c:v>1.8845250464432348</c:v>
                </c:pt>
                <c:pt idx="2623">
                  <c:v>1.8460230576394645</c:v>
                </c:pt>
                <c:pt idx="2624">
                  <c:v>1.8349121254608713</c:v>
                </c:pt>
                <c:pt idx="2625">
                  <c:v>1.8485359407640221</c:v>
                </c:pt>
                <c:pt idx="2626">
                  <c:v>1.8590825460861156</c:v>
                </c:pt>
                <c:pt idx="2627">
                  <c:v>1.8635103095521621</c:v>
                </c:pt>
                <c:pt idx="2628">
                  <c:v>1.8465997550799207</c:v>
                </c:pt>
                <c:pt idx="2629">
                  <c:v>1.7853329320462965</c:v>
                </c:pt>
                <c:pt idx="2630">
                  <c:v>1.7534001344007604</c:v>
                </c:pt>
                <c:pt idx="2631">
                  <c:v>1.7639563596422378</c:v>
                </c:pt>
                <c:pt idx="2632">
                  <c:v>1.7109026591733902</c:v>
                </c:pt>
                <c:pt idx="2633">
                  <c:v>1.6821709517982195</c:v>
                </c:pt>
                <c:pt idx="2634">
                  <c:v>1.6655872782030703</c:v>
                </c:pt>
                <c:pt idx="2635">
                  <c:v>1.7153561773398323</c:v>
                </c:pt>
                <c:pt idx="2636">
                  <c:v>1.5572081138756981</c:v>
                </c:pt>
                <c:pt idx="2637">
                  <c:v>1.4986488013760983</c:v>
                </c:pt>
                <c:pt idx="2638">
                  <c:v>1.5546963416887671</c:v>
                </c:pt>
                <c:pt idx="2639">
                  <c:v>1.5803097140300506</c:v>
                </c:pt>
                <c:pt idx="2640">
                  <c:v>1.5519490929306328</c:v>
                </c:pt>
                <c:pt idx="2641">
                  <c:v>1.5326187305136976</c:v>
                </c:pt>
                <c:pt idx="2642">
                  <c:v>1.4908917968814965</c:v>
                </c:pt>
                <c:pt idx="2643">
                  <c:v>1.4869574245904278</c:v>
                </c:pt>
                <c:pt idx="2644">
                  <c:v>1.481180214757958</c:v>
                </c:pt>
                <c:pt idx="2645">
                  <c:v>1.4605250262476672</c:v>
                </c:pt>
                <c:pt idx="2646">
                  <c:v>1.4562686497122048</c:v>
                </c:pt>
                <c:pt idx="2647">
                  <c:v>1.5070092235667227</c:v>
                </c:pt>
                <c:pt idx="2648">
                  <c:v>1.488233612450597</c:v>
                </c:pt>
                <c:pt idx="2649">
                  <c:v>1.4736045549730503</c:v>
                </c:pt>
                <c:pt idx="2650">
                  <c:v>1.4516024467789219</c:v>
                </c:pt>
                <c:pt idx="2651">
                  <c:v>1.4518151111053239</c:v>
                </c:pt>
                <c:pt idx="2652">
                  <c:v>1.4638445149893833</c:v>
                </c:pt>
                <c:pt idx="2653">
                  <c:v>1.5145401729910306</c:v>
                </c:pt>
                <c:pt idx="2654">
                  <c:v>1.5911338906146506</c:v>
                </c:pt>
                <c:pt idx="2655">
                  <c:v>1.544845385059856</c:v>
                </c:pt>
                <c:pt idx="2656">
                  <c:v>1.5024025453682781</c:v>
                </c:pt>
                <c:pt idx="2657">
                  <c:v>1.5159979776871675</c:v>
                </c:pt>
                <c:pt idx="2658">
                  <c:v>1.5087392465983249</c:v>
                </c:pt>
                <c:pt idx="2659">
                  <c:v>1.5133860357496296</c:v>
                </c:pt>
                <c:pt idx="2660">
                  <c:v>1.5150541313746495</c:v>
                </c:pt>
                <c:pt idx="2661">
                  <c:v>1.4711510183896106</c:v>
                </c:pt>
                <c:pt idx="2662">
                  <c:v>1.5098558902143557</c:v>
                </c:pt>
                <c:pt idx="2663">
                  <c:v>1.517435792255676</c:v>
                </c:pt>
                <c:pt idx="2664">
                  <c:v>1.5131809865610788</c:v>
                </c:pt>
                <c:pt idx="2665">
                  <c:v>1.4528283033225957</c:v>
                </c:pt>
                <c:pt idx="2666">
                  <c:v>1.4343821737798763</c:v>
                </c:pt>
                <c:pt idx="2667">
                  <c:v>1.3904880913846542</c:v>
                </c:pt>
                <c:pt idx="2668">
                  <c:v>1.4392890312725777</c:v>
                </c:pt>
                <c:pt idx="2669">
                  <c:v>1.5012270924896922</c:v>
                </c:pt>
                <c:pt idx="2670">
                  <c:v>1.4999503440488393</c:v>
                </c:pt>
                <c:pt idx="2671">
                  <c:v>1.4990609490152575</c:v>
                </c:pt>
                <c:pt idx="2672">
                  <c:v>1.4714620189243042</c:v>
                </c:pt>
                <c:pt idx="2673">
                  <c:v>1.4672929893832225</c:v>
                </c:pt>
                <c:pt idx="2674">
                  <c:v>1.4543697515450609</c:v>
                </c:pt>
                <c:pt idx="2675">
                  <c:v>1.4487632456586039</c:v>
                </c:pt>
                <c:pt idx="2676">
                  <c:v>1.5193175648847927</c:v>
                </c:pt>
                <c:pt idx="2677">
                  <c:v>1.5267617600482708</c:v>
                </c:pt>
                <c:pt idx="2678">
                  <c:v>1.5370990903616193</c:v>
                </c:pt>
                <c:pt idx="2679">
                  <c:v>1.5474190297742962</c:v>
                </c:pt>
                <c:pt idx="2680">
                  <c:v>1.572225547853727</c:v>
                </c:pt>
                <c:pt idx="2681">
                  <c:v>1.5509103892779359</c:v>
                </c:pt>
                <c:pt idx="2682">
                  <c:v>1.5611755373785303</c:v>
                </c:pt>
                <c:pt idx="2683">
                  <c:v>1.568534856590353</c:v>
                </c:pt>
                <c:pt idx="2684">
                  <c:v>1.5758818674018464</c:v>
                </c:pt>
                <c:pt idx="2685">
                  <c:v>1.5861004196105017</c:v>
                </c:pt>
                <c:pt idx="2686">
                  <c:v>1.5504918840903033</c:v>
                </c:pt>
                <c:pt idx="2687">
                  <c:v>1.5089617114871738</c:v>
                </c:pt>
                <c:pt idx="2688">
                  <c:v>1.5048343270374016</c:v>
                </c:pt>
                <c:pt idx="2689">
                  <c:v>1.509322106417887</c:v>
                </c:pt>
                <c:pt idx="2690">
                  <c:v>1.4879989793945407</c:v>
                </c:pt>
                <c:pt idx="2691">
                  <c:v>1.5014595438762739</c:v>
                </c:pt>
                <c:pt idx="2692">
                  <c:v>1.5002164291550202</c:v>
                </c:pt>
                <c:pt idx="2693">
                  <c:v>1.4704234593417251</c:v>
                </c:pt>
                <c:pt idx="2694">
                  <c:v>1.4948835336608028</c:v>
                </c:pt>
                <c:pt idx="2695">
                  <c:v>1.5136022553900725</c:v>
                </c:pt>
                <c:pt idx="2696">
                  <c:v>1.5468259246094014</c:v>
                </c:pt>
                <c:pt idx="2697">
                  <c:v>1.5569169863890269</c:v>
                </c:pt>
                <c:pt idx="2698">
                  <c:v>1.569830201202548</c:v>
                </c:pt>
                <c:pt idx="2699">
                  <c:v>1.6451234248552042</c:v>
                </c:pt>
                <c:pt idx="2700">
                  <c:v>1.5984271001652348</c:v>
                </c:pt>
                <c:pt idx="2701">
                  <c:v>1.4163902322983739</c:v>
                </c:pt>
                <c:pt idx="2702">
                  <c:v>1.3502603025996429</c:v>
                </c:pt>
                <c:pt idx="2703">
                  <c:v>1.3350435734104973</c:v>
                </c:pt>
                <c:pt idx="2704">
                  <c:v>1.3367728875954927</c:v>
                </c:pt>
                <c:pt idx="2705">
                  <c:v>1.3159562305779109</c:v>
                </c:pt>
                <c:pt idx="2706">
                  <c:v>1.2818197925211492</c:v>
                </c:pt>
                <c:pt idx="2707">
                  <c:v>1.3060551491314814</c:v>
                </c:pt>
                <c:pt idx="2708">
                  <c:v>1.3232350006465767</c:v>
                </c:pt>
                <c:pt idx="2709">
                  <c:v>1.3067370548274664</c:v>
                </c:pt>
                <c:pt idx="2710">
                  <c:v>1.31548281832386</c:v>
                </c:pt>
                <c:pt idx="2711">
                  <c:v>1.3122868491942064</c:v>
                </c:pt>
                <c:pt idx="2712">
                  <c:v>1.3209998143629123</c:v>
                </c:pt>
                <c:pt idx="2713">
                  <c:v>1.2920262194741534</c:v>
                </c:pt>
                <c:pt idx="2714">
                  <c:v>1.317471268602793</c:v>
                </c:pt>
                <c:pt idx="2715">
                  <c:v>1.3275519730902414</c:v>
                </c:pt>
                <c:pt idx="2716">
                  <c:v>1.3465794037501984</c:v>
                </c:pt>
                <c:pt idx="2717">
                  <c:v>1.3566042426089282</c:v>
                </c:pt>
                <c:pt idx="2718">
                  <c:v>1.3680003863654504</c:v>
                </c:pt>
                <c:pt idx="2719">
                  <c:v>1.3835371497328921</c:v>
                </c:pt>
                <c:pt idx="2720">
                  <c:v>1.3644190458618752</c:v>
                </c:pt>
                <c:pt idx="2721">
                  <c:v>1.3404133067006783</c:v>
                </c:pt>
                <c:pt idx="2722">
                  <c:v>1.3545292231908745</c:v>
                </c:pt>
                <c:pt idx="2723">
                  <c:v>1.3382700523796001</c:v>
                </c:pt>
                <c:pt idx="2724">
                  <c:v>1.3831441021294386</c:v>
                </c:pt>
                <c:pt idx="2725">
                  <c:v>1.4001733260445863</c:v>
                </c:pt>
                <c:pt idx="2726">
                  <c:v>1.5272608829700032</c:v>
                </c:pt>
                <c:pt idx="2727">
                  <c:v>1.4926305339935884</c:v>
                </c:pt>
                <c:pt idx="2728">
                  <c:v>1.4608377096719851</c:v>
                </c:pt>
                <c:pt idx="2729">
                  <c:v>1.4240560409493273</c:v>
                </c:pt>
                <c:pt idx="2730">
                  <c:v>1.4506666667580661</c:v>
                </c:pt>
                <c:pt idx="2731">
                  <c:v>1.4439766355257859</c:v>
                </c:pt>
                <c:pt idx="2732">
                  <c:v>1.4511439681504847</c:v>
                </c:pt>
                <c:pt idx="2733">
                  <c:v>1.4112580502991743</c:v>
                </c:pt>
                <c:pt idx="2734">
                  <c:v>1.4276601450114434</c:v>
                </c:pt>
                <c:pt idx="2735">
                  <c:v>1.4320295865899464</c:v>
                </c:pt>
                <c:pt idx="2736">
                  <c:v>1.4500982270108091</c:v>
                </c:pt>
                <c:pt idx="2737">
                  <c:v>1.4160964036237702</c:v>
                </c:pt>
                <c:pt idx="2738">
                  <c:v>1.4040430827462815</c:v>
                </c:pt>
                <c:pt idx="2739">
                  <c:v>1.4116842718182299</c:v>
                </c:pt>
                <c:pt idx="2740">
                  <c:v>1.4815240687868509</c:v>
                </c:pt>
                <c:pt idx="2741">
                  <c:v>1.491277001007981</c:v>
                </c:pt>
                <c:pt idx="2742">
                  <c:v>1.5582222347100183</c:v>
                </c:pt>
                <c:pt idx="2743">
                  <c:v>1.55701226628843</c:v>
                </c:pt>
                <c:pt idx="2744">
                  <c:v>1.6212866867221052</c:v>
                </c:pt>
                <c:pt idx="2745">
                  <c:v>1.5793273338502163</c:v>
                </c:pt>
                <c:pt idx="2746">
                  <c:v>1.5509905015898402</c:v>
                </c:pt>
                <c:pt idx="2747">
                  <c:v>1.5687577165060524</c:v>
                </c:pt>
                <c:pt idx="2748">
                  <c:v>1.5323508159636818</c:v>
                </c:pt>
                <c:pt idx="2749">
                  <c:v>1.5315097588826412</c:v>
                </c:pt>
                <c:pt idx="2750">
                  <c:v>1.6086014821573063</c:v>
                </c:pt>
                <c:pt idx="2751">
                  <c:v>1.5534255388350386</c:v>
                </c:pt>
                <c:pt idx="2752">
                  <c:v>1.5387571194355529</c:v>
                </c:pt>
                <c:pt idx="2753">
                  <c:v>1.5752739799228153</c:v>
                </c:pt>
                <c:pt idx="2754">
                  <c:v>1.6038911811954539</c:v>
                </c:pt>
                <c:pt idx="2755">
                  <c:v>1.6456153581528374</c:v>
                </c:pt>
                <c:pt idx="2756">
                  <c:v>1.6202138476531267</c:v>
                </c:pt>
                <c:pt idx="2757">
                  <c:v>1.694026802477312</c:v>
                </c:pt>
                <c:pt idx="2758">
                  <c:v>1.684697364383035</c:v>
                </c:pt>
                <c:pt idx="2759">
                  <c:v>1.683516882190935</c:v>
                </c:pt>
                <c:pt idx="2760">
                  <c:v>1.6795643023643698</c:v>
                </c:pt>
                <c:pt idx="2761">
                  <c:v>1.6489359283246812</c:v>
                </c:pt>
                <c:pt idx="2762">
                  <c:v>1.6290187509274665</c:v>
                </c:pt>
                <c:pt idx="2763">
                  <c:v>1.646429604965493</c:v>
                </c:pt>
                <c:pt idx="2764">
                  <c:v>1.6825553530660573</c:v>
                </c:pt>
                <c:pt idx="2765">
                  <c:v>1.6998728762224937</c:v>
                </c:pt>
                <c:pt idx="2766">
                  <c:v>1.6985858937952749</c:v>
                </c:pt>
                <c:pt idx="2767">
                  <c:v>1.6840406956974305</c:v>
                </c:pt>
                <c:pt idx="2768">
                  <c:v>1.685417655347565</c:v>
                </c:pt>
                <c:pt idx="2769">
                  <c:v>1.673671882974116</c:v>
                </c:pt>
                <c:pt idx="2770">
                  <c:v>1.6512741583695385</c:v>
                </c:pt>
                <c:pt idx="2771">
                  <c:v>1.6553106588121105</c:v>
                </c:pt>
                <c:pt idx="2772">
                  <c:v>1.6487888353951994</c:v>
                </c:pt>
                <c:pt idx="2773">
                  <c:v>1.6370046638274414</c:v>
                </c:pt>
                <c:pt idx="2774">
                  <c:v>1.5912376678478373</c:v>
                </c:pt>
                <c:pt idx="2775">
                  <c:v>1.5769038104710069</c:v>
                </c:pt>
                <c:pt idx="2776">
                  <c:v>1.5809748585115744</c:v>
                </c:pt>
                <c:pt idx="2777">
                  <c:v>1.5220580969919957</c:v>
                </c:pt>
                <c:pt idx="2778">
                  <c:v>1.5707427572882426</c:v>
                </c:pt>
                <c:pt idx="2779">
                  <c:v>1.4965828035352313</c:v>
                </c:pt>
                <c:pt idx="2780">
                  <c:v>1.5085388949975855</c:v>
                </c:pt>
                <c:pt idx="2781">
                  <c:v>1.5230896694804967</c:v>
                </c:pt>
                <c:pt idx="2782">
                  <c:v>1.488018166458468</c:v>
                </c:pt>
                <c:pt idx="2783">
                  <c:v>1.5156056332890901</c:v>
                </c:pt>
                <c:pt idx="2784">
                  <c:v>1.4731875958572278</c:v>
                </c:pt>
                <c:pt idx="2785">
                  <c:v>1.4408840954184385</c:v>
                </c:pt>
                <c:pt idx="2786">
                  <c:v>1.4710031873191525</c:v>
                </c:pt>
                <c:pt idx="2787">
                  <c:v>1.4699134104933287</c:v>
                </c:pt>
                <c:pt idx="2788">
                  <c:v>1.4766105400004716</c:v>
                </c:pt>
                <c:pt idx="2789">
                  <c:v>1.4733384434724695</c:v>
                </c:pt>
                <c:pt idx="2790">
                  <c:v>1.4722509648313804</c:v>
                </c:pt>
                <c:pt idx="2791">
                  <c:v>1.4737506177529112</c:v>
                </c:pt>
                <c:pt idx="2792">
                  <c:v>1.4700808164914763</c:v>
                </c:pt>
                <c:pt idx="2793">
                  <c:v>1.4973970492643496</c:v>
                </c:pt>
                <c:pt idx="2794">
                  <c:v>1.4907133369674408</c:v>
                </c:pt>
                <c:pt idx="2795">
                  <c:v>1.4930811047908867</c:v>
                </c:pt>
                <c:pt idx="2796">
                  <c:v>1.464507894927747</c:v>
                </c:pt>
                <c:pt idx="2797">
                  <c:v>1.4565667233698845</c:v>
                </c:pt>
                <c:pt idx="2798">
                  <c:v>1.4714101922310825</c:v>
                </c:pt>
                <c:pt idx="2799">
                  <c:v>1.4815082891364815</c:v>
                </c:pt>
                <c:pt idx="2800">
                  <c:v>1.5791933754799996</c:v>
                </c:pt>
                <c:pt idx="2801">
                  <c:v>1.6073040363132081</c:v>
                </c:pt>
                <c:pt idx="2802">
                  <c:v>1.6070768704628493</c:v>
                </c:pt>
                <c:pt idx="2803">
                  <c:v>1.5960983493168608</c:v>
                </c:pt>
                <c:pt idx="2804">
                  <c:v>1.6447786769180135</c:v>
                </c:pt>
                <c:pt idx="2805">
                  <c:v>1.6960188789233697</c:v>
                </c:pt>
                <c:pt idx="2806">
                  <c:v>1.6571804541719508</c:v>
                </c:pt>
                <c:pt idx="2807">
                  <c:v>1.6286445898934974</c:v>
                </c:pt>
                <c:pt idx="2808">
                  <c:v>1.6125241652780629</c:v>
                </c:pt>
                <c:pt idx="2809">
                  <c:v>1.632868183074083</c:v>
                </c:pt>
                <c:pt idx="2810">
                  <c:v>1.6454932106007982</c:v>
                </c:pt>
                <c:pt idx="2811">
                  <c:v>1.6709682781340403</c:v>
                </c:pt>
                <c:pt idx="2812">
                  <c:v>1.6947627830971499</c:v>
                </c:pt>
                <c:pt idx="2813">
                  <c:v>1.6760794709383049</c:v>
                </c:pt>
                <c:pt idx="2814">
                  <c:v>1.6886752980332098</c:v>
                </c:pt>
                <c:pt idx="2815">
                  <c:v>1.6961355488476704</c:v>
                </c:pt>
                <c:pt idx="2816">
                  <c:v>1.6907654331073261</c:v>
                </c:pt>
                <c:pt idx="2817">
                  <c:v>1.7059191651592089</c:v>
                </c:pt>
                <c:pt idx="2818">
                  <c:v>1.7308411003729296</c:v>
                </c:pt>
                <c:pt idx="2819">
                  <c:v>1.7331614242425224</c:v>
                </c:pt>
                <c:pt idx="2820">
                  <c:v>1.7201001697660407</c:v>
                </c:pt>
                <c:pt idx="2821">
                  <c:v>1.6865375735263943</c:v>
                </c:pt>
                <c:pt idx="2822">
                  <c:v>1.652984417624608</c:v>
                </c:pt>
                <c:pt idx="2823">
                  <c:v>1.6830275243423918</c:v>
                </c:pt>
                <c:pt idx="2824">
                  <c:v>1.680229634509582</c:v>
                </c:pt>
                <c:pt idx="2825">
                  <c:v>1.6851154281907965</c:v>
                </c:pt>
                <c:pt idx="2826">
                  <c:v>1.6899998487763397</c:v>
                </c:pt>
                <c:pt idx="2827">
                  <c:v>1.64879846762562</c:v>
                </c:pt>
                <c:pt idx="2828">
                  <c:v>1.6327487902471045</c:v>
                </c:pt>
                <c:pt idx="2829">
                  <c:v>1.6248430947036903</c:v>
                </c:pt>
                <c:pt idx="2830">
                  <c:v>1.688576184495536</c:v>
                </c:pt>
                <c:pt idx="2831">
                  <c:v>1.7139200363451044</c:v>
                </c:pt>
                <c:pt idx="2832">
                  <c:v>1.6932176237075054</c:v>
                </c:pt>
                <c:pt idx="2833">
                  <c:v>1.7129581684031736</c:v>
                </c:pt>
                <c:pt idx="2834">
                  <c:v>1.7459497093547207</c:v>
                </c:pt>
                <c:pt idx="2835">
                  <c:v>1.750816690798928</c:v>
                </c:pt>
                <c:pt idx="2836">
                  <c:v>1.7071263190045896</c:v>
                </c:pt>
                <c:pt idx="2837">
                  <c:v>1.701776499596789</c:v>
                </c:pt>
                <c:pt idx="2838">
                  <c:v>1.6959526217004215</c:v>
                </c:pt>
                <c:pt idx="2839">
                  <c:v>1.7493444812006533</c:v>
                </c:pt>
                <c:pt idx="2840">
                  <c:v>1.754206213037155</c:v>
                </c:pt>
                <c:pt idx="2841">
                  <c:v>1.7590665825603424</c:v>
                </c:pt>
                <c:pt idx="2842">
                  <c:v>1.7562674474034807</c:v>
                </c:pt>
                <c:pt idx="2843">
                  <c:v>1.7708395230733711</c:v>
                </c:pt>
                <c:pt idx="2844">
                  <c:v>1.7731428766452906</c:v>
                </c:pt>
                <c:pt idx="2845">
                  <c:v>1.8086076436798333</c:v>
                </c:pt>
                <c:pt idx="2846">
                  <c:v>1.8313096302362095</c:v>
                </c:pt>
                <c:pt idx="2847">
                  <c:v>1.8106516319325938</c:v>
                </c:pt>
                <c:pt idx="2848">
                  <c:v>1.7894986082994107</c:v>
                </c:pt>
                <c:pt idx="2849">
                  <c:v>1.8121873909451935</c:v>
                </c:pt>
                <c:pt idx="2850">
                  <c:v>1.8068370940155574</c:v>
                </c:pt>
                <c:pt idx="2851">
                  <c:v>1.7836517756097856</c:v>
                </c:pt>
                <c:pt idx="2852">
                  <c:v>1.7706638112285977</c:v>
                </c:pt>
                <c:pt idx="2853">
                  <c:v>1.7745187521291588</c:v>
                </c:pt>
                <c:pt idx="2854">
                  <c:v>1.8200913425225811</c:v>
                </c:pt>
                <c:pt idx="2855">
                  <c:v>1.7994753068881841</c:v>
                </c:pt>
                <c:pt idx="2856">
                  <c:v>1.7885449535816542</c:v>
                </c:pt>
                <c:pt idx="2857">
                  <c:v>1.7959266941777232</c:v>
                </c:pt>
                <c:pt idx="2858">
                  <c:v>1.8083932750344283</c:v>
                </c:pt>
                <c:pt idx="2859">
                  <c:v>1.7903392302910248</c:v>
                </c:pt>
                <c:pt idx="2860">
                  <c:v>1.7900894084868164</c:v>
                </c:pt>
                <c:pt idx="2861">
                  <c:v>1.7893403612171941</c:v>
                </c:pt>
                <c:pt idx="2862">
                  <c:v>1.7992561068168746</c:v>
                </c:pt>
                <c:pt idx="2863">
                  <c:v>1.7964642479885604</c:v>
                </c:pt>
                <c:pt idx="2864">
                  <c:v>1.7860513269980258</c:v>
                </c:pt>
                <c:pt idx="2865">
                  <c:v>1.8137451999399814</c:v>
                </c:pt>
                <c:pt idx="2866">
                  <c:v>1.7520462550875542</c:v>
                </c:pt>
                <c:pt idx="2867">
                  <c:v>1.7721129009014758</c:v>
                </c:pt>
                <c:pt idx="2868">
                  <c:v>1.7845584858575907</c:v>
                </c:pt>
                <c:pt idx="2869">
                  <c:v>1.7614666935736405</c:v>
                </c:pt>
                <c:pt idx="2870">
                  <c:v>1.791674775456658</c:v>
                </c:pt>
                <c:pt idx="2871">
                  <c:v>1.7856045082057295</c:v>
                </c:pt>
                <c:pt idx="2872">
                  <c:v>1.7853560059175564</c:v>
                </c:pt>
                <c:pt idx="2873">
                  <c:v>1.7343942894699691</c:v>
                </c:pt>
                <c:pt idx="2874">
                  <c:v>1.6758408196145007</c:v>
                </c:pt>
                <c:pt idx="2875">
                  <c:v>1.7511692345336118</c:v>
                </c:pt>
                <c:pt idx="2876">
                  <c:v>1.735722320740537</c:v>
                </c:pt>
                <c:pt idx="2877">
                  <c:v>1.7253468000494734</c:v>
                </c:pt>
                <c:pt idx="2878">
                  <c:v>1.7529721145250994</c:v>
                </c:pt>
                <c:pt idx="2879">
                  <c:v>1.7223343237426256</c:v>
                </c:pt>
                <c:pt idx="2880">
                  <c:v>1.7519978981304727</c:v>
                </c:pt>
                <c:pt idx="2881">
                  <c:v>1.7441602017292495</c:v>
                </c:pt>
                <c:pt idx="2882">
                  <c:v>1.6932962283934705</c:v>
                </c:pt>
                <c:pt idx="2883">
                  <c:v>1.6702844573152176</c:v>
                </c:pt>
                <c:pt idx="2884">
                  <c:v>1.6877651988056657</c:v>
                </c:pt>
                <c:pt idx="2885">
                  <c:v>1.7072970306191138</c:v>
                </c:pt>
                <c:pt idx="2886">
                  <c:v>1.6994731521660085</c:v>
                </c:pt>
                <c:pt idx="2887">
                  <c:v>1.7219949687410212</c:v>
                </c:pt>
                <c:pt idx="2888">
                  <c:v>1.7166994982093049</c:v>
                </c:pt>
                <c:pt idx="2889">
                  <c:v>1.7316289001274068</c:v>
                </c:pt>
                <c:pt idx="2890">
                  <c:v>1.7076930661756631</c:v>
                </c:pt>
                <c:pt idx="2891">
                  <c:v>1.7074563621300092</c:v>
                </c:pt>
                <c:pt idx="2892">
                  <c:v>1.6617612103417398</c:v>
                </c:pt>
                <c:pt idx="2893">
                  <c:v>1.6459240407668745</c:v>
                </c:pt>
                <c:pt idx="2894">
                  <c:v>1.6557923513819353</c:v>
                </c:pt>
                <c:pt idx="2895">
                  <c:v>1.6197394119386626</c:v>
                </c:pt>
                <c:pt idx="2896">
                  <c:v>1.6143981654171278</c:v>
                </c:pt>
                <c:pt idx="2897">
                  <c:v>1.6499883413106249</c:v>
                </c:pt>
                <c:pt idx="2898">
                  <c:v>1.5981620825008467</c:v>
                </c:pt>
                <c:pt idx="2899">
                  <c:v>1.5851574010139051</c:v>
                </c:pt>
                <c:pt idx="2900">
                  <c:v>1.6053888907910485</c:v>
                </c:pt>
                <c:pt idx="2901">
                  <c:v>1.5770508192021111</c:v>
                </c:pt>
                <c:pt idx="2902">
                  <c:v>1.5972778333510458</c:v>
                </c:pt>
                <c:pt idx="2903">
                  <c:v>1.6068336262049827</c:v>
                </c:pt>
                <c:pt idx="2904">
                  <c:v>1.6193826438498753</c:v>
                </c:pt>
                <c:pt idx="2905">
                  <c:v>1.6012816534412557</c:v>
                </c:pt>
                <c:pt idx="2906">
                  <c:v>1.590846242245588</c:v>
                </c:pt>
                <c:pt idx="2907">
                  <c:v>1.5804137151683706</c:v>
                </c:pt>
                <c:pt idx="2908">
                  <c:v>1.5925193711007637</c:v>
                </c:pt>
                <c:pt idx="2909">
                  <c:v>1.6152652810666013</c:v>
                </c:pt>
                <c:pt idx="2910">
                  <c:v>1.6788274611499281</c:v>
                </c:pt>
                <c:pt idx="2911">
                  <c:v>1.7041062301351313</c:v>
                </c:pt>
                <c:pt idx="2912">
                  <c:v>1.703870968942212</c:v>
                </c:pt>
                <c:pt idx="2913">
                  <c:v>1.6878676805654558</c:v>
                </c:pt>
                <c:pt idx="2914">
                  <c:v>1.6697897089416514</c:v>
                </c:pt>
                <c:pt idx="2915">
                  <c:v>1.6772061810394578</c:v>
                </c:pt>
                <c:pt idx="2916">
                  <c:v>1.6565860735112283</c:v>
                </c:pt>
                <c:pt idx="2917">
                  <c:v>1.6002962596013437</c:v>
                </c:pt>
                <c:pt idx="2918">
                  <c:v>1.5588793682189548</c:v>
                </c:pt>
                <c:pt idx="2919">
                  <c:v>1.5892265313972938</c:v>
                </c:pt>
                <c:pt idx="2920">
                  <c:v>1.5966469519494906</c:v>
                </c:pt>
                <c:pt idx="2921">
                  <c:v>1.6422573589155696</c:v>
                </c:pt>
                <c:pt idx="2922">
                  <c:v>1.6878551966424971</c:v>
                </c:pt>
                <c:pt idx="2923">
                  <c:v>1.6693446515879722</c:v>
                </c:pt>
                <c:pt idx="2924">
                  <c:v>1.6640259961854373</c:v>
                </c:pt>
                <c:pt idx="2925">
                  <c:v>1.6968692841335851</c:v>
                </c:pt>
                <c:pt idx="2926">
                  <c:v>1.6890046221035431</c:v>
                </c:pt>
                <c:pt idx="2927">
                  <c:v>1.6658821362807597</c:v>
                </c:pt>
                <c:pt idx="2928">
                  <c:v>1.682990433682976</c:v>
                </c:pt>
                <c:pt idx="2929">
                  <c:v>1.6471718408548137</c:v>
                </c:pt>
                <c:pt idx="2930">
                  <c:v>1.6367789243669157</c:v>
                </c:pt>
                <c:pt idx="2931">
                  <c:v>1.6136827037983057</c:v>
                </c:pt>
                <c:pt idx="2932">
                  <c:v>1.5931337189171384</c:v>
                </c:pt>
                <c:pt idx="2933">
                  <c:v>1.6026360492891571</c:v>
                </c:pt>
                <c:pt idx="2934">
                  <c:v>1.5897183389334257</c:v>
                </c:pt>
                <c:pt idx="2935">
                  <c:v>1.6047346879322024</c:v>
                </c:pt>
                <c:pt idx="2936">
                  <c:v>1.5968978157799605</c:v>
                </c:pt>
                <c:pt idx="2937">
                  <c:v>1.5941399759729857</c:v>
                </c:pt>
                <c:pt idx="2938">
                  <c:v>1.6112449375516391</c:v>
                </c:pt>
                <c:pt idx="2939">
                  <c:v>1.611023687614292</c:v>
                </c:pt>
                <c:pt idx="2940">
                  <c:v>1.5930456204955186</c:v>
                </c:pt>
                <c:pt idx="2941">
                  <c:v>1.5725361407646286</c:v>
                </c:pt>
                <c:pt idx="2942">
                  <c:v>1.5748562955631202</c:v>
                </c:pt>
                <c:pt idx="2943">
                  <c:v>1.5843478966039921</c:v>
                </c:pt>
                <c:pt idx="2944">
                  <c:v>1.5815959401035042</c:v>
                </c:pt>
                <c:pt idx="2945">
                  <c:v>1.5763104773322036</c:v>
                </c:pt>
                <c:pt idx="2946">
                  <c:v>1.5760942916322038</c:v>
                </c:pt>
                <c:pt idx="2947">
                  <c:v>1.5961466946785974</c:v>
                </c:pt>
                <c:pt idx="2948">
                  <c:v>1.5828277145196614</c:v>
                </c:pt>
                <c:pt idx="2949">
                  <c:v>1.468662807328402</c:v>
                </c:pt>
                <c:pt idx="2950">
                  <c:v>1.4684615507556205</c:v>
                </c:pt>
                <c:pt idx="2951">
                  <c:v>1.4302880989194322</c:v>
                </c:pt>
                <c:pt idx="2952">
                  <c:v>1.4756526127094303</c:v>
                </c:pt>
                <c:pt idx="2953">
                  <c:v>1.4295046439694712</c:v>
                </c:pt>
                <c:pt idx="2954">
                  <c:v>1.429308914321578</c:v>
                </c:pt>
                <c:pt idx="2955">
                  <c:v>1.4291132382654665</c:v>
                </c:pt>
                <c:pt idx="2956">
                  <c:v>1.4339757312332142</c:v>
                </c:pt>
                <c:pt idx="2957">
                  <c:v>1.4489517395391978</c:v>
                </c:pt>
                <c:pt idx="2958">
                  <c:v>1.4382463560375729</c:v>
                </c:pt>
                <c:pt idx="2959">
                  <c:v>1.4329949620755145</c:v>
                </c:pt>
                <c:pt idx="2960">
                  <c:v>1.4378529338315273</c:v>
                </c:pt>
                <c:pt idx="2961">
                  <c:v>1.4307804690520212</c:v>
                </c:pt>
                <c:pt idx="2962">
                  <c:v>1.4356399026643043</c:v>
                </c:pt>
                <c:pt idx="2963">
                  <c:v>1.4502102333676405</c:v>
                </c:pt>
                <c:pt idx="2964">
                  <c:v>1.4500120485834143</c:v>
                </c:pt>
                <c:pt idx="2965">
                  <c:v>1.4624429590566002</c:v>
                </c:pt>
                <c:pt idx="2966">
                  <c:v>1.4622431571656551</c:v>
                </c:pt>
                <c:pt idx="2967">
                  <c:v>1.4556477701518526</c:v>
                </c:pt>
                <c:pt idx="2968">
                  <c:v>1.4857379740677537</c:v>
                </c:pt>
                <c:pt idx="2969">
                  <c:v>1.4727508327084025</c:v>
                </c:pt>
                <c:pt idx="2970">
                  <c:v>1.4802193174807985</c:v>
                </c:pt>
                <c:pt idx="2971">
                  <c:v>1.4646803135334472</c:v>
                </c:pt>
                <c:pt idx="2972">
                  <c:v>1.4644804244446317</c:v>
                </c:pt>
                <c:pt idx="2973">
                  <c:v>1.4459977203646284</c:v>
                </c:pt>
                <c:pt idx="2974">
                  <c:v>1.44835490643396</c:v>
                </c:pt>
                <c:pt idx="2975">
                  <c:v>1.4430492411978959</c:v>
                </c:pt>
                <c:pt idx="2976">
                  <c:v>1.4402987441129553</c:v>
                </c:pt>
                <c:pt idx="2977">
                  <c:v>1.452869235027032</c:v>
                </c:pt>
                <c:pt idx="2978">
                  <c:v>1.4763900165290509</c:v>
                </c:pt>
                <c:pt idx="2979">
                  <c:v>1.4659908260753447</c:v>
                </c:pt>
                <c:pt idx="2980">
                  <c:v>1.481086488878715</c:v>
                </c:pt>
                <c:pt idx="2981">
                  <c:v>1.4757872004536643</c:v>
                </c:pt>
                <c:pt idx="2982">
                  <c:v>1.4730378627260801</c:v>
                </c:pt>
                <c:pt idx="2983">
                  <c:v>1.4851740846658856</c:v>
                </c:pt>
                <c:pt idx="2984">
                  <c:v>1.4671422343679559</c:v>
                </c:pt>
                <c:pt idx="2985">
                  <c:v>1.4491152883838863</c:v>
                </c:pt>
                <c:pt idx="2986">
                  <c:v>1.4336396739741857</c:v>
                </c:pt>
                <c:pt idx="2987">
                  <c:v>1.4487212642733263</c:v>
                </c:pt>
                <c:pt idx="2988">
                  <c:v>1.4404954945800921</c:v>
                </c:pt>
                <c:pt idx="2989">
                  <c:v>1.44029976085713</c:v>
                </c:pt>
                <c:pt idx="2990">
                  <c:v>1.4451927873169135</c:v>
                </c:pt>
                <c:pt idx="2991">
                  <c:v>1.4348204372101963</c:v>
                </c:pt>
                <c:pt idx="2992">
                  <c:v>1.4193635800734183</c:v>
                </c:pt>
                <c:pt idx="2993">
                  <c:v>1.4060723330054472</c:v>
                </c:pt>
                <c:pt idx="2994">
                  <c:v>1.3931700526443271</c:v>
                </c:pt>
                <c:pt idx="2995">
                  <c:v>1.3929809550317969</c:v>
                </c:pt>
                <c:pt idx="2996">
                  <c:v>1.3927919087454548</c:v>
                </c:pt>
                <c:pt idx="2997">
                  <c:v>1.3849791751854046</c:v>
                </c:pt>
                <c:pt idx="2998">
                  <c:v>1.3691743274515593</c:v>
                </c:pt>
                <c:pt idx="2999">
                  <c:v>1.3689886380481511</c:v>
                </c:pt>
                <c:pt idx="3000">
                  <c:v>1.3586449062478507</c:v>
                </c:pt>
                <c:pt idx="3001">
                  <c:v>1.3660782314323205</c:v>
                </c:pt>
                <c:pt idx="3002">
                  <c:v>1.3658930372748332</c:v>
                </c:pt>
                <c:pt idx="3003">
                  <c:v>1.3627999534325528</c:v>
                </c:pt>
                <c:pt idx="3004">
                  <c:v>1.3524654691627118</c:v>
                </c:pt>
                <c:pt idx="3005">
                  <c:v>1.3218368657662318</c:v>
                </c:pt>
                <c:pt idx="3006">
                  <c:v>1.3292681285994832</c:v>
                </c:pt>
                <c:pt idx="3007">
                  <c:v>1.3214788125065238</c:v>
                </c:pt>
                <c:pt idx="3008">
                  <c:v>1.2829111337119254</c:v>
                </c:pt>
                <c:pt idx="3009">
                  <c:v>1.2751323102925243</c:v>
                </c:pt>
                <c:pt idx="3010">
                  <c:v>1.3307233721670988</c:v>
                </c:pt>
                <c:pt idx="3011">
                  <c:v>1.317871447468572</c:v>
                </c:pt>
                <c:pt idx="3012">
                  <c:v>1.3100910512329258</c:v>
                </c:pt>
                <c:pt idx="3013">
                  <c:v>1.2968944786510102</c:v>
                </c:pt>
                <c:pt idx="3014">
                  <c:v>1.2891211280303421</c:v>
                </c:pt>
                <c:pt idx="3015">
                  <c:v>1.2838821916185621</c:v>
                </c:pt>
                <c:pt idx="3016">
                  <c:v>1.2837086111065528</c:v>
                </c:pt>
                <c:pt idx="3017">
                  <c:v>1.3189778607300702</c:v>
                </c:pt>
                <c:pt idx="3018">
                  <c:v>1.3108513702756552</c:v>
                </c:pt>
                <c:pt idx="3019">
                  <c:v>1.3207953000443013</c:v>
                </c:pt>
                <c:pt idx="3020">
                  <c:v>1.2978476171877096</c:v>
                </c:pt>
                <c:pt idx="3021">
                  <c:v>1.2824948604899447</c:v>
                </c:pt>
                <c:pt idx="3022">
                  <c:v>1.2873801229501112</c:v>
                </c:pt>
                <c:pt idx="3023">
                  <c:v>1.2969715768640404</c:v>
                </c:pt>
                <c:pt idx="3024">
                  <c:v>1.314491589790918</c:v>
                </c:pt>
                <c:pt idx="3025">
                  <c:v>1.3218967645302186</c:v>
                </c:pt>
                <c:pt idx="3026">
                  <c:v>1.339408685493493</c:v>
                </c:pt>
                <c:pt idx="3027">
                  <c:v>1.306378976512881</c:v>
                </c:pt>
                <c:pt idx="3028">
                  <c:v>1.3058503966491273</c:v>
                </c:pt>
                <c:pt idx="3029">
                  <c:v>1.3183017094118932</c:v>
                </c:pt>
                <c:pt idx="3030">
                  <c:v>1.3155988143566437</c:v>
                </c:pt>
                <c:pt idx="3031">
                  <c:v>1.3457190642958561</c:v>
                </c:pt>
                <c:pt idx="3032">
                  <c:v>1.3581599675459608</c:v>
                </c:pt>
                <c:pt idx="3033">
                  <c:v>1.3576109546662334</c:v>
                </c:pt>
                <c:pt idx="3034">
                  <c:v>1.3574280489948323</c:v>
                </c:pt>
                <c:pt idx="3035">
                  <c:v>1.3723817560873974</c:v>
                </c:pt>
                <c:pt idx="3036">
                  <c:v>1.367152068628553</c:v>
                </c:pt>
                <c:pt idx="3037">
                  <c:v>1.3795783573964331</c:v>
                </c:pt>
                <c:pt idx="3038">
                  <c:v>1.438993247885747</c:v>
                </c:pt>
                <c:pt idx="3039">
                  <c:v>1.4258642043948988</c:v>
                </c:pt>
                <c:pt idx="3040">
                  <c:v>1.4026718372123885</c:v>
                </c:pt>
                <c:pt idx="3041">
                  <c:v>1.4298432330833133</c:v>
                </c:pt>
                <c:pt idx="3042">
                  <c:v>1.4835769482341123</c:v>
                </c:pt>
                <c:pt idx="3043">
                  <c:v>1.4805149734851955</c:v>
                </c:pt>
                <c:pt idx="3044">
                  <c:v>1.4824806194963425</c:v>
                </c:pt>
                <c:pt idx="3045">
                  <c:v>1.5271445796857936</c:v>
                </c:pt>
                <c:pt idx="3046">
                  <c:v>1.4989616749173045</c:v>
                </c:pt>
                <c:pt idx="3047">
                  <c:v>1.4446342358154476</c:v>
                </c:pt>
                <c:pt idx="3048">
                  <c:v>1.4340731574312393</c:v>
                </c:pt>
                <c:pt idx="3049">
                  <c:v>1.4485818327284823</c:v>
                </c:pt>
                <c:pt idx="3050">
                  <c:v>1.4505534497466417</c:v>
                </c:pt>
                <c:pt idx="3051">
                  <c:v>1.4400018593164112</c:v>
                </c:pt>
                <c:pt idx="3052">
                  <c:v>1.4484190630321068</c:v>
                </c:pt>
                <c:pt idx="3053">
                  <c:v>1.4478864474297501</c:v>
                </c:pt>
                <c:pt idx="3054">
                  <c:v>1.4748514538886188</c:v>
                </c:pt>
                <c:pt idx="3055">
                  <c:v>1.4568177092482346</c:v>
                </c:pt>
                <c:pt idx="3056">
                  <c:v>1.483759625703476</c:v>
                </c:pt>
                <c:pt idx="3057">
                  <c:v>1.4796312335508577</c:v>
                </c:pt>
                <c:pt idx="3058">
                  <c:v>1.4316978423449518</c:v>
                </c:pt>
                <c:pt idx="3059">
                  <c:v>1.4112262588069451</c:v>
                </c:pt>
                <c:pt idx="3060">
                  <c:v>1.4057241940133673</c:v>
                </c:pt>
                <c:pt idx="3061">
                  <c:v>1.4176667002255661</c:v>
                </c:pt>
                <c:pt idx="3062">
                  <c:v>1.4061551383390858</c:v>
                </c:pt>
                <c:pt idx="3063">
                  <c:v>1.3558835190729193</c:v>
                </c:pt>
                <c:pt idx="3064">
                  <c:v>1.3081356188040476</c:v>
                </c:pt>
                <c:pt idx="3065">
                  <c:v>1.3076574021279186</c:v>
                </c:pt>
                <c:pt idx="3066">
                  <c:v>1.2674174198363599</c:v>
                </c:pt>
                <c:pt idx="3067">
                  <c:v>1.26602945560644</c:v>
                </c:pt>
                <c:pt idx="3068">
                  <c:v>1.3077530587004633</c:v>
                </c:pt>
                <c:pt idx="3069">
                  <c:v>1.3221596262529907</c:v>
                </c:pt>
                <c:pt idx="3070">
                  <c:v>1.3133658040348963</c:v>
                </c:pt>
                <c:pt idx="3071">
                  <c:v>1.3301956724512407</c:v>
                </c:pt>
                <c:pt idx="3072">
                  <c:v>1.3410953096286953</c:v>
                </c:pt>
                <c:pt idx="3073">
                  <c:v>1.3233261807657077</c:v>
                </c:pt>
                <c:pt idx="3074">
                  <c:v>1.3154419338608236</c:v>
                </c:pt>
                <c:pt idx="3075">
                  <c:v>1.3075634075458222</c:v>
                </c:pt>
                <c:pt idx="3076">
                  <c:v>1.3021568016606615</c:v>
                </c:pt>
                <c:pt idx="3077">
                  <c:v>1.3007416422194293</c:v>
                </c:pt>
                <c:pt idx="3078">
                  <c:v>1.297807971976829</c:v>
                </c:pt>
                <c:pt idx="3079">
                  <c:v>1.3096468792254452</c:v>
                </c:pt>
                <c:pt idx="3080">
                  <c:v>1.3165555153905668</c:v>
                </c:pt>
                <c:pt idx="3081">
                  <c:v>1.3308390371027459</c:v>
                </c:pt>
                <c:pt idx="3082">
                  <c:v>1.3293963647105609</c:v>
                </c:pt>
                <c:pt idx="3083">
                  <c:v>1.2969828781692687</c:v>
                </c:pt>
                <c:pt idx="3084">
                  <c:v>1.3161587195356075</c:v>
                </c:pt>
                <c:pt idx="3085">
                  <c:v>1.3205929157210765</c:v>
                </c:pt>
                <c:pt idx="3086">
                  <c:v>1.2759489522872571</c:v>
                </c:pt>
                <c:pt idx="3087">
                  <c:v>1.2623137985177253</c:v>
                </c:pt>
                <c:pt idx="3088">
                  <c:v>1.2594087720475393</c:v>
                </c:pt>
                <c:pt idx="3089">
                  <c:v>1.2393605343650422</c:v>
                </c:pt>
                <c:pt idx="3090">
                  <c:v>1.2242236276515632</c:v>
                </c:pt>
                <c:pt idx="3091">
                  <c:v>1.2152165319572861</c:v>
                </c:pt>
                <c:pt idx="3092">
                  <c:v>1.1906790303601726</c:v>
                </c:pt>
                <c:pt idx="3093">
                  <c:v>1.1902511049749245</c:v>
                </c:pt>
                <c:pt idx="3094">
                  <c:v>1.1653917932889459</c:v>
                </c:pt>
                <c:pt idx="3095">
                  <c:v>1.1698578407647506</c:v>
                </c:pt>
                <c:pt idx="3096">
                  <c:v>1.1694378512613384</c:v>
                </c:pt>
                <c:pt idx="3097">
                  <c:v>1.16817969016465</c:v>
                </c:pt>
                <c:pt idx="3098">
                  <c:v>1.1677609045236912</c:v>
                </c:pt>
                <c:pt idx="3099">
                  <c:v>1.1649053784987806</c:v>
                </c:pt>
                <c:pt idx="3100">
                  <c:v>1.1822832538432571</c:v>
                </c:pt>
                <c:pt idx="3101">
                  <c:v>1.2037467781651843</c:v>
                </c:pt>
                <c:pt idx="3102">
                  <c:v>1.2422115540287764</c:v>
                </c:pt>
                <c:pt idx="3103">
                  <c:v>1.2466278079927386</c:v>
                </c:pt>
                <c:pt idx="3104">
                  <c:v>1.234036467353897</c:v>
                </c:pt>
                <c:pt idx="3105">
                  <c:v>1.2096626898112401</c:v>
                </c:pt>
                <c:pt idx="3106">
                  <c:v>1.1764837135654767</c:v>
                </c:pt>
                <c:pt idx="3107">
                  <c:v>1.1930383294141749</c:v>
                </c:pt>
                <c:pt idx="3108">
                  <c:v>1.224125205334855</c:v>
                </c:pt>
                <c:pt idx="3109">
                  <c:v>1.1873418231604895</c:v>
                </c:pt>
                <c:pt idx="3110">
                  <c:v>1.1969664640643034</c:v>
                </c:pt>
                <c:pt idx="3111">
                  <c:v>1.1953307159593836</c:v>
                </c:pt>
                <c:pt idx="3112">
                  <c:v>1.1816019457600566</c:v>
                </c:pt>
                <c:pt idx="3113">
                  <c:v>1.1739278811767071</c:v>
                </c:pt>
                <c:pt idx="3114">
                  <c:v>1.1880133308293532</c:v>
                </c:pt>
                <c:pt idx="3115">
                  <c:v>1.2088276438500289</c:v>
                </c:pt>
                <c:pt idx="3116">
                  <c:v>1.1698073156997317</c:v>
                </c:pt>
                <c:pt idx="3117">
                  <c:v>1.1573369625626164</c:v>
                </c:pt>
                <c:pt idx="3118">
                  <c:v>1.1500858635062756</c:v>
                </c:pt>
                <c:pt idx="3119">
                  <c:v>1.1532902295732239</c:v>
                </c:pt>
                <c:pt idx="3120">
                  <c:v>1.1540854755419756</c:v>
                </c:pt>
                <c:pt idx="3121">
                  <c:v>1.1548801587926494</c:v>
                </c:pt>
                <c:pt idx="3122">
                  <c:v>1.1580794293081995</c:v>
                </c:pt>
                <c:pt idx="3123">
                  <c:v>1.1736701775753242</c:v>
                </c:pt>
                <c:pt idx="3124">
                  <c:v>1.1732556648436732</c:v>
                </c:pt>
                <c:pt idx="3125">
                  <c:v>1.1704405411268606</c:v>
                </c:pt>
                <c:pt idx="3126">
                  <c:v>1.1616272636529361</c:v>
                </c:pt>
                <c:pt idx="3127">
                  <c:v>1.1588182288339632</c:v>
                </c:pt>
                <c:pt idx="3128">
                  <c:v>1.1731713970160909</c:v>
                </c:pt>
                <c:pt idx="3129">
                  <c:v>1.1727580822534587</c:v>
                </c:pt>
                <c:pt idx="3130">
                  <c:v>1.166357596619443</c:v>
                </c:pt>
                <c:pt idx="3131">
                  <c:v>1.1683411133528812</c:v>
                </c:pt>
                <c:pt idx="3132">
                  <c:v>1.1727165330010556</c:v>
                </c:pt>
                <c:pt idx="3133">
                  <c:v>1.1762612336894098</c:v>
                </c:pt>
                <c:pt idx="3134">
                  <c:v>1.1662881112057488</c:v>
                </c:pt>
                <c:pt idx="3135">
                  <c:v>1.1575165436610024</c:v>
                </c:pt>
                <c:pt idx="3136">
                  <c:v>1.1571100331328079</c:v>
                </c:pt>
                <c:pt idx="3137">
                  <c:v>1.1567038080308494</c:v>
                </c:pt>
                <c:pt idx="3138">
                  <c:v>1.1650264653323015</c:v>
                </c:pt>
                <c:pt idx="3139">
                  <c:v>1.1693861739110474</c:v>
                </c:pt>
                <c:pt idx="3140">
                  <c:v>1.1738420242667029</c:v>
                </c:pt>
                <c:pt idx="3141">
                  <c:v>1.1746467817699608</c:v>
                </c:pt>
                <c:pt idx="3142">
                  <c:v>1.1535708126701958</c:v>
                </c:pt>
                <c:pt idx="3143">
                  <c:v>1.1535744041186993</c:v>
                </c:pt>
                <c:pt idx="3144">
                  <c:v>1.153170978197682</c:v>
                </c:pt>
                <c:pt idx="3145">
                  <c:v>1.1527678343487626</c:v>
                </c:pt>
                <c:pt idx="3146">
                  <c:v>1.1402348146733035</c:v>
                </c:pt>
                <c:pt idx="3147">
                  <c:v>1.1252853678772741</c:v>
                </c:pt>
                <c:pt idx="3148">
                  <c:v>1.1007079834923121</c:v>
                </c:pt>
                <c:pt idx="3149">
                  <c:v>1.0954822095529544</c:v>
                </c:pt>
                <c:pt idx="3150">
                  <c:v>1.0951003015689074</c:v>
                </c:pt>
                <c:pt idx="3151">
                  <c:v>1.0753645177230069</c:v>
                </c:pt>
                <c:pt idx="3152">
                  <c:v>1.0210730970065527</c:v>
                </c:pt>
                <c:pt idx="3153">
                  <c:v>1.0038064490188445</c:v>
                </c:pt>
                <c:pt idx="3154">
                  <c:v>0.96964639827247112</c:v>
                </c:pt>
                <c:pt idx="3155">
                  <c:v>0.95240964478179191</c:v>
                </c:pt>
                <c:pt idx="3156">
                  <c:v>0.97138558093011729</c:v>
                </c:pt>
                <c:pt idx="3157">
                  <c:v>0.97037352606787142</c:v>
                </c:pt>
                <c:pt idx="3158">
                  <c:v>0.96521658506557451</c:v>
                </c:pt>
                <c:pt idx="3159">
                  <c:v>0.9335621056383816</c:v>
                </c:pt>
                <c:pt idx="3160">
                  <c:v>0.95611761593092692</c:v>
                </c:pt>
                <c:pt idx="3161">
                  <c:v>0.94856346289805193</c:v>
                </c:pt>
                <c:pt idx="3162">
                  <c:v>0.97283028442078967</c:v>
                </c:pt>
                <c:pt idx="3163">
                  <c:v>0.97008918081016748</c:v>
                </c:pt>
                <c:pt idx="3164">
                  <c:v>0.95292985132442753</c:v>
                </c:pt>
                <c:pt idx="3165">
                  <c:v>0.94899627121724173</c:v>
                </c:pt>
                <c:pt idx="3166">
                  <c:v>0.9498687949136434</c:v>
                </c:pt>
                <c:pt idx="3167">
                  <c:v>0.93568834125605538</c:v>
                </c:pt>
                <c:pt idx="3168">
                  <c:v>0.95695041871185027</c:v>
                </c:pt>
                <c:pt idx="3169">
                  <c:v>0.9590174603922188</c:v>
                </c:pt>
                <c:pt idx="3170">
                  <c:v>0.96228143272574274</c:v>
                </c:pt>
                <c:pt idx="3171">
                  <c:v>0.95116781977050069</c:v>
                </c:pt>
                <c:pt idx="3172">
                  <c:v>1.0028390371459679</c:v>
                </c:pt>
                <c:pt idx="3173">
                  <c:v>1.0970005374898231</c:v>
                </c:pt>
                <c:pt idx="3174">
                  <c:v>1.1157566709755029</c:v>
                </c:pt>
                <c:pt idx="3175">
                  <c:v>1.1117859774797796</c:v>
                </c:pt>
                <c:pt idx="3176">
                  <c:v>1.1675708778677656</c:v>
                </c:pt>
                <c:pt idx="3177">
                  <c:v>1.1377143607228566</c:v>
                </c:pt>
                <c:pt idx="3178">
                  <c:v>1.1158417393653519</c:v>
                </c:pt>
                <c:pt idx="3179">
                  <c:v>1.109493198310284</c:v>
                </c:pt>
                <c:pt idx="3180">
                  <c:v>1.1079193939857783</c:v>
                </c:pt>
                <c:pt idx="3181">
                  <c:v>1.0753498890523816</c:v>
                </c:pt>
                <c:pt idx="3182">
                  <c:v>1.0539967074505014</c:v>
                </c:pt>
                <c:pt idx="3183">
                  <c:v>1.0857799880554875</c:v>
                </c:pt>
                <c:pt idx="3184">
                  <c:v>1.086597832404357</c:v>
                </c:pt>
                <c:pt idx="3185">
                  <c:v>1.0886048481698725</c:v>
                </c:pt>
                <c:pt idx="3186">
                  <c:v>1.0941784617797417</c:v>
                </c:pt>
                <c:pt idx="3187">
                  <c:v>1.0811738309084189</c:v>
                </c:pt>
                <c:pt idx="3188">
                  <c:v>1.0796161791590464</c:v>
                </c:pt>
                <c:pt idx="3189">
                  <c:v>1.0471900452188154</c:v>
                </c:pt>
                <c:pt idx="3190">
                  <c:v>1.0587008067615979</c:v>
                </c:pt>
                <c:pt idx="3191">
                  <c:v>1.0595253914796388</c:v>
                </c:pt>
                <c:pt idx="3192">
                  <c:v>1.0667368192321385</c:v>
                </c:pt>
                <c:pt idx="3193">
                  <c:v>0.98817201337997285</c:v>
                </c:pt>
                <c:pt idx="3194">
                  <c:v>0.97835917095336766</c:v>
                </c:pt>
                <c:pt idx="3195">
                  <c:v>0.96973707356087369</c:v>
                </c:pt>
                <c:pt idx="3196">
                  <c:v>0.96822273490226318</c:v>
                </c:pt>
                <c:pt idx="3197">
                  <c:v>0.96959809298462585</c:v>
                </c:pt>
                <c:pt idx="3198">
                  <c:v>0.97636010263217732</c:v>
                </c:pt>
                <c:pt idx="3199">
                  <c:v>0.97602771854960946</c:v>
                </c:pt>
                <c:pt idx="3200">
                  <c:v>0.96388326577457772</c:v>
                </c:pt>
                <c:pt idx="3201">
                  <c:v>0.96473618010684781</c:v>
                </c:pt>
                <c:pt idx="3202">
                  <c:v>0.95549520758325668</c:v>
                </c:pt>
                <c:pt idx="3203">
                  <c:v>0.95045369783671219</c:v>
                </c:pt>
                <c:pt idx="3204">
                  <c:v>0.92773327561839669</c:v>
                </c:pt>
                <c:pt idx="3205">
                  <c:v>0.91092039209878128</c:v>
                </c:pt>
                <c:pt idx="3206">
                  <c:v>0.90236507695111767</c:v>
                </c:pt>
                <c:pt idx="3207">
                  <c:v>0.87908758749294647</c:v>
                </c:pt>
                <c:pt idx="3208">
                  <c:v>0.85643755757604578</c:v>
                </c:pt>
                <c:pt idx="3209">
                  <c:v>0.87496380791526074</c:v>
                </c:pt>
                <c:pt idx="3210">
                  <c:v>0.88642373868412583</c:v>
                </c:pt>
                <c:pt idx="3211">
                  <c:v>0.87907222511244143</c:v>
                </c:pt>
                <c:pt idx="3212">
                  <c:v>0.8805282777368495</c:v>
                </c:pt>
                <c:pt idx="3213">
                  <c:v>0.94250535911283284</c:v>
                </c:pt>
                <c:pt idx="3214">
                  <c:v>1.0008489787294719</c:v>
                </c:pt>
                <c:pt idx="3215">
                  <c:v>0.98854295828798877</c:v>
                </c:pt>
                <c:pt idx="3216">
                  <c:v>0.99060179928993219</c:v>
                </c:pt>
                <c:pt idx="3217">
                  <c:v>1.0012128024320663</c:v>
                </c:pt>
                <c:pt idx="3218">
                  <c:v>0.97937666385177891</c:v>
                </c:pt>
                <c:pt idx="3219">
                  <c:v>0.98024047142638526</c:v>
                </c:pt>
                <c:pt idx="3220">
                  <c:v>0.98707148085549856</c:v>
                </c:pt>
                <c:pt idx="3221">
                  <c:v>0.98970405930126537</c:v>
                </c:pt>
                <c:pt idx="3222">
                  <c:v>0.99293921678804808</c:v>
                </c:pt>
                <c:pt idx="3223">
                  <c:v>0.97239720972133115</c:v>
                </c:pt>
                <c:pt idx="3224">
                  <c:v>0.90552330615258847</c:v>
                </c:pt>
                <c:pt idx="3225">
                  <c:v>0.92185091757522442</c:v>
                </c:pt>
                <c:pt idx="3226">
                  <c:v>0.90786992331353689</c:v>
                </c:pt>
                <c:pt idx="3227">
                  <c:v>0.90163402188796871</c:v>
                </c:pt>
                <c:pt idx="3228">
                  <c:v>0.90133211313236739</c:v>
                </c:pt>
                <c:pt idx="3229">
                  <c:v>0.87494794735972148</c:v>
                </c:pt>
                <c:pt idx="3230">
                  <c:v>0.87702550962135728</c:v>
                </c:pt>
                <c:pt idx="3231">
                  <c:v>0.83352265834365702</c:v>
                </c:pt>
                <c:pt idx="3232">
                  <c:v>0.74329162623541645</c:v>
                </c:pt>
                <c:pt idx="3233">
                  <c:v>0.70991399985258663</c:v>
                </c:pt>
                <c:pt idx="3234">
                  <c:v>0.69193499982624895</c:v>
                </c:pt>
                <c:pt idx="3235">
                  <c:v>0.67633280403876495</c:v>
                </c:pt>
                <c:pt idx="3236">
                  <c:v>0.66738760162478128</c:v>
                </c:pt>
                <c:pt idx="3237">
                  <c:v>0.63882534158574855</c:v>
                </c:pt>
                <c:pt idx="3238">
                  <c:v>0.65986016480985032</c:v>
                </c:pt>
                <c:pt idx="3239">
                  <c:v>0.67144068080469155</c:v>
                </c:pt>
                <c:pt idx="3240">
                  <c:v>0.70188777587639473</c:v>
                </c:pt>
                <c:pt idx="3241">
                  <c:v>0.66936858281774403</c:v>
                </c:pt>
                <c:pt idx="3242">
                  <c:v>0.66561171679784614</c:v>
                </c:pt>
                <c:pt idx="3243">
                  <c:v>0.66774575973447148</c:v>
                </c:pt>
                <c:pt idx="3244">
                  <c:v>0.66987838396965149</c:v>
                </c:pt>
                <c:pt idx="3245">
                  <c:v>0.66259439524803521</c:v>
                </c:pt>
                <c:pt idx="3246">
                  <c:v>0.66663744793863577</c:v>
                </c:pt>
                <c:pt idx="3247">
                  <c:v>0.66171487788258476</c:v>
                </c:pt>
                <c:pt idx="3248">
                  <c:v>0.67206988948380042</c:v>
                </c:pt>
                <c:pt idx="3249">
                  <c:v>0.71413109144057796</c:v>
                </c:pt>
                <c:pt idx="3250">
                  <c:v>0.74911939548343731</c:v>
                </c:pt>
                <c:pt idx="3251">
                  <c:v>0.73781808494175671</c:v>
                </c:pt>
                <c:pt idx="3252">
                  <c:v>0.74109165045901082</c:v>
                </c:pt>
                <c:pt idx="3253">
                  <c:v>0.74319082381503498</c:v>
                </c:pt>
                <c:pt idx="3254">
                  <c:v>0.75231963271966451</c:v>
                </c:pt>
                <c:pt idx="3255">
                  <c:v>0.73801340593113907</c:v>
                </c:pt>
                <c:pt idx="3256">
                  <c:v>0.73260068682202872</c:v>
                </c:pt>
                <c:pt idx="3257">
                  <c:v>0.75575674194612985</c:v>
                </c:pt>
                <c:pt idx="3258">
                  <c:v>0.79293169397334018</c:v>
                </c:pt>
                <c:pt idx="3259">
                  <c:v>0.79150082271554834</c:v>
                </c:pt>
                <c:pt idx="3260">
                  <c:v>0.79708335936049923</c:v>
                </c:pt>
                <c:pt idx="3261">
                  <c:v>0.8056357688554362</c:v>
                </c:pt>
                <c:pt idx="3262">
                  <c:v>0.79953425551968871</c:v>
                </c:pt>
                <c:pt idx="3263">
                  <c:v>0.77126720576517471</c:v>
                </c:pt>
                <c:pt idx="3264">
                  <c:v>0.74885094700844401</c:v>
                </c:pt>
                <c:pt idx="3265">
                  <c:v>0.74277415489443122</c:v>
                </c:pt>
                <c:pt idx="3266">
                  <c:v>0.71291876298043833</c:v>
                </c:pt>
                <c:pt idx="3267">
                  <c:v>0.70919081088739078</c:v>
                </c:pt>
                <c:pt idx="3268">
                  <c:v>0.72176318785859606</c:v>
                </c:pt>
                <c:pt idx="3269">
                  <c:v>0.75643858459653057</c:v>
                </c:pt>
                <c:pt idx="3270">
                  <c:v>0.75386338061895619</c:v>
                </c:pt>
                <c:pt idx="3271">
                  <c:v>0.72871454676675407</c:v>
                </c:pt>
                <c:pt idx="3272">
                  <c:v>0.72847550212425294</c:v>
                </c:pt>
                <c:pt idx="3273">
                  <c:v>0.72126784283251066</c:v>
                </c:pt>
                <c:pt idx="3274">
                  <c:v>0.7163870714908841</c:v>
                </c:pt>
                <c:pt idx="3275">
                  <c:v>0.7022238939300306</c:v>
                </c:pt>
                <c:pt idx="3276">
                  <c:v>0.70617242972185046</c:v>
                </c:pt>
                <c:pt idx="3277">
                  <c:v>0.70594131041466912</c:v>
                </c:pt>
                <c:pt idx="3278">
                  <c:v>0.70571034234153551</c:v>
                </c:pt>
                <c:pt idx="3279">
                  <c:v>0.6950537195606481</c:v>
                </c:pt>
                <c:pt idx="3280">
                  <c:v>0.70524885930403702</c:v>
                </c:pt>
                <c:pt idx="3281">
                  <c:v>0.69486563532576839</c:v>
                </c:pt>
                <c:pt idx="3282">
                  <c:v>0.69350011447256321</c:v>
                </c:pt>
                <c:pt idx="3283">
                  <c:v>0.70369026588067995</c:v>
                </c:pt>
                <c:pt idx="3284">
                  <c:v>0.74923158449979155</c:v>
                </c:pt>
                <c:pt idx="3285">
                  <c:v>0.76631721482414805</c:v>
                </c:pt>
                <c:pt idx="3286">
                  <c:v>0.7880075302509375</c:v>
                </c:pt>
                <c:pt idx="3287">
                  <c:v>0.77969645716545788</c:v>
                </c:pt>
                <c:pt idx="3288">
                  <c:v>0.79560443606462117</c:v>
                </c:pt>
                <c:pt idx="3289">
                  <c:v>0.7776064156019229</c:v>
                </c:pt>
                <c:pt idx="3290">
                  <c:v>0.80731584766823739</c:v>
                </c:pt>
                <c:pt idx="3291">
                  <c:v>0.8324021513839589</c:v>
                </c:pt>
                <c:pt idx="3292">
                  <c:v>0.8114345392640937</c:v>
                </c:pt>
                <c:pt idx="3293">
                  <c:v>0.80428702739261881</c:v>
                </c:pt>
                <c:pt idx="3294">
                  <c:v>0.82655462352823172</c:v>
                </c:pt>
                <c:pt idx="3295">
                  <c:v>0.81711266476214295</c:v>
                </c:pt>
                <c:pt idx="3296">
                  <c:v>0.80422967175456517</c:v>
                </c:pt>
                <c:pt idx="3297">
                  <c:v>0.80973128533616578</c:v>
                </c:pt>
                <c:pt idx="3298">
                  <c:v>0.831304550275484</c:v>
                </c:pt>
                <c:pt idx="3299">
                  <c:v>0.84891246939596721</c:v>
                </c:pt>
                <c:pt idx="3300">
                  <c:v>0.85897980987663802</c:v>
                </c:pt>
                <c:pt idx="3301">
                  <c:v>0.83693934056007846</c:v>
                </c:pt>
                <c:pt idx="3302">
                  <c:v>0.85502728300205233</c:v>
                </c:pt>
                <c:pt idx="3303">
                  <c:v>0.85935472782602851</c:v>
                </c:pt>
                <c:pt idx="3304">
                  <c:v>0.86136120128919069</c:v>
                </c:pt>
                <c:pt idx="3305">
                  <c:v>0.86909870891251084</c:v>
                </c:pt>
                <c:pt idx="3306">
                  <c:v>0.8882486819363492</c:v>
                </c:pt>
                <c:pt idx="3307">
                  <c:v>0.89711493356188554</c:v>
                </c:pt>
                <c:pt idx="3308">
                  <c:v>0.86718096475691131</c:v>
                </c:pt>
                <c:pt idx="3309">
                  <c:v>0.9017469255020184</c:v>
                </c:pt>
                <c:pt idx="3310">
                  <c:v>0.93794803934631021</c:v>
                </c:pt>
                <c:pt idx="3311">
                  <c:v>0.93311171691641837</c:v>
                </c:pt>
                <c:pt idx="3312">
                  <c:v>0.952197097448089</c:v>
                </c:pt>
                <c:pt idx="3313">
                  <c:v>0.95874594596107143</c:v>
                </c:pt>
                <c:pt idx="3314">
                  <c:v>0.95675401773220536</c:v>
                </c:pt>
                <c:pt idx="3315">
                  <c:v>0.99172625376008428</c:v>
                </c:pt>
                <c:pt idx="3316">
                  <c:v>0.97324045926208536</c:v>
                </c:pt>
                <c:pt idx="3317">
                  <c:v>0.94339937858141576</c:v>
                </c:pt>
                <c:pt idx="3318">
                  <c:v>0.96584527727235847</c:v>
                </c:pt>
                <c:pt idx="3319">
                  <c:v>0.97747450725013807</c:v>
                </c:pt>
                <c:pt idx="3320">
                  <c:v>0.97945475310373753</c:v>
                </c:pt>
                <c:pt idx="3321">
                  <c:v>0.98256843134155969</c:v>
                </c:pt>
                <c:pt idx="3322">
                  <c:v>0.95845779549875232</c:v>
                </c:pt>
                <c:pt idx="3323">
                  <c:v>0.92415603149179126</c:v>
                </c:pt>
                <c:pt idx="3324">
                  <c:v>0.92107011796243754</c:v>
                </c:pt>
                <c:pt idx="3325">
                  <c:v>0.96270368354901048</c:v>
                </c:pt>
                <c:pt idx="3326">
                  <c:v>0.94543523081559921</c:v>
                </c:pt>
                <c:pt idx="3327">
                  <c:v>0.92704506142067911</c:v>
                </c:pt>
                <c:pt idx="3328">
                  <c:v>0.91998164569461682</c:v>
                </c:pt>
                <c:pt idx="3329">
                  <c:v>0.93273401853623827</c:v>
                </c:pt>
                <c:pt idx="3330">
                  <c:v>0.91889574298888732</c:v>
                </c:pt>
                <c:pt idx="3331">
                  <c:v>0.90845539097590511</c:v>
                </c:pt>
                <c:pt idx="3332">
                  <c:v>0.91157623391230702</c:v>
                </c:pt>
                <c:pt idx="3333">
                  <c:v>0.82887197986003924</c:v>
                </c:pt>
                <c:pt idx="3334">
                  <c:v>0.81347218489554607</c:v>
                </c:pt>
                <c:pt idx="3335">
                  <c:v>0.83240732827292652</c:v>
                </c:pt>
                <c:pt idx="3336">
                  <c:v>0.824269135148886</c:v>
                </c:pt>
                <c:pt idx="3337">
                  <c:v>0.83191736245359771</c:v>
                </c:pt>
                <c:pt idx="3338">
                  <c:v>0.82829181287082443</c:v>
                </c:pt>
                <c:pt idx="3339">
                  <c:v>0.81517608570150779</c:v>
                </c:pt>
                <c:pt idx="3340">
                  <c:v>0.8183133353898524</c:v>
                </c:pt>
                <c:pt idx="3341">
                  <c:v>0.82144874170717508</c:v>
                </c:pt>
                <c:pt idx="3342">
                  <c:v>0.80995806346511312</c:v>
                </c:pt>
                <c:pt idx="3343">
                  <c:v>0.81799661031198245</c:v>
                </c:pt>
                <c:pt idx="3344">
                  <c:v>0.82674305333718756</c:v>
                </c:pt>
                <c:pt idx="3345">
                  <c:v>0.82537770197551119</c:v>
                </c:pt>
                <c:pt idx="3346">
                  <c:v>0.82625841842109005</c:v>
                </c:pt>
                <c:pt idx="3347">
                  <c:v>0.86193006675081552</c:v>
                </c:pt>
                <c:pt idx="3348">
                  <c:v>0.88023548661440387</c:v>
                </c:pt>
                <c:pt idx="3349">
                  <c:v>0.86876795897477965</c:v>
                </c:pt>
                <c:pt idx="3350">
                  <c:v>0.89989233312915218</c:v>
                </c:pt>
                <c:pt idx="3351">
                  <c:v>0.9052307914301444</c:v>
                </c:pt>
                <c:pt idx="3352">
                  <c:v>0.90496608997402506</c:v>
                </c:pt>
                <c:pt idx="3353">
                  <c:v>0.9041729136180584</c:v>
                </c:pt>
                <c:pt idx="3354">
                  <c:v>0.89831533514759188</c:v>
                </c:pt>
                <c:pt idx="3355">
                  <c:v>0.9070000185776278</c:v>
                </c:pt>
                <c:pt idx="3356">
                  <c:v>0.89331871289931875</c:v>
                </c:pt>
                <c:pt idx="3357">
                  <c:v>0.90311750545058667</c:v>
                </c:pt>
                <c:pt idx="3358">
                  <c:v>0.91237824315253258</c:v>
                </c:pt>
                <c:pt idx="3359">
                  <c:v>0.90764664095231573</c:v>
                </c:pt>
                <c:pt idx="3360">
                  <c:v>0.85256763100370281</c:v>
                </c:pt>
                <c:pt idx="3361">
                  <c:v>0.86011863745706141</c:v>
                </c:pt>
                <c:pt idx="3362">
                  <c:v>0.85764087837822089</c:v>
                </c:pt>
                <c:pt idx="3363">
                  <c:v>0.85405106441247769</c:v>
                </c:pt>
                <c:pt idx="3364">
                  <c:v>0.85157650895886738</c:v>
                </c:pt>
                <c:pt idx="3365">
                  <c:v>0.8508346783618842</c:v>
                </c:pt>
                <c:pt idx="3366">
                  <c:v>0.83835701597841861</c:v>
                </c:pt>
                <c:pt idx="3367">
                  <c:v>0.83922527567968985</c:v>
                </c:pt>
                <c:pt idx="3368">
                  <c:v>0.84231549991483534</c:v>
                </c:pt>
                <c:pt idx="3369">
                  <c:v>0.82985116542925863</c:v>
                </c:pt>
                <c:pt idx="3370">
                  <c:v>0.83911924154449635</c:v>
                </c:pt>
                <c:pt idx="3371">
                  <c:v>0.84664351840139773</c:v>
                </c:pt>
                <c:pt idx="3372">
                  <c:v>0.83308667678679671</c:v>
                </c:pt>
                <c:pt idx="3373">
                  <c:v>0.81621073957385137</c:v>
                </c:pt>
                <c:pt idx="3374">
                  <c:v>0.82484377457846225</c:v>
                </c:pt>
                <c:pt idx="3375">
                  <c:v>0.83077433548449608</c:v>
                </c:pt>
                <c:pt idx="3376">
                  <c:v>0.84271531270174749</c:v>
                </c:pt>
                <c:pt idx="3377">
                  <c:v>0.86239879879932924</c:v>
                </c:pt>
                <c:pt idx="3378">
                  <c:v>0.87321699858263813</c:v>
                </c:pt>
                <c:pt idx="3379">
                  <c:v>0.88845462519297547</c:v>
                </c:pt>
                <c:pt idx="3380">
                  <c:v>0.88989628243347485</c:v>
                </c:pt>
                <c:pt idx="3381">
                  <c:v>0.88742923420288755</c:v>
                </c:pt>
                <c:pt idx="3382">
                  <c:v>0.88385878572509025</c:v>
                </c:pt>
                <c:pt idx="3383">
                  <c:v>0.8981811327000776</c:v>
                </c:pt>
                <c:pt idx="3384">
                  <c:v>0.8915461433336338</c:v>
                </c:pt>
                <c:pt idx="3385">
                  <c:v>0.93383841460186268</c:v>
                </c:pt>
                <c:pt idx="3386">
                  <c:v>0.93468898068177386</c:v>
                </c:pt>
                <c:pt idx="3387">
                  <c:v>0.93665812305950036</c:v>
                </c:pt>
                <c:pt idx="3388">
                  <c:v>0.94533859578660751</c:v>
                </c:pt>
                <c:pt idx="3389">
                  <c:v>0.9121077768058472</c:v>
                </c:pt>
                <c:pt idx="3390">
                  <c:v>0.90625837355540484</c:v>
                </c:pt>
                <c:pt idx="3391">
                  <c:v>0.91940365832673077</c:v>
                </c:pt>
                <c:pt idx="3392">
                  <c:v>0.92919094416525871</c:v>
                </c:pt>
                <c:pt idx="3393">
                  <c:v>0.93339013280710614</c:v>
                </c:pt>
                <c:pt idx="3394">
                  <c:v>0.90916060494762774</c:v>
                </c:pt>
                <c:pt idx="3395">
                  <c:v>0.89217164440886143</c:v>
                </c:pt>
                <c:pt idx="3396">
                  <c:v>0.89191584790319245</c:v>
                </c:pt>
                <c:pt idx="3397">
                  <c:v>0.89611849902562135</c:v>
                </c:pt>
                <c:pt idx="3398">
                  <c:v>0.89363320641625954</c:v>
                </c:pt>
                <c:pt idx="3399">
                  <c:v>0.89286566008076163</c:v>
                </c:pt>
                <c:pt idx="3400">
                  <c:v>0.89594904475771386</c:v>
                </c:pt>
                <c:pt idx="3401">
                  <c:v>0.90014332660197283</c:v>
                </c:pt>
                <c:pt idx="3402">
                  <c:v>0.90211052198590647</c:v>
                </c:pt>
                <c:pt idx="3403">
                  <c:v>0.90630064289267387</c:v>
                </c:pt>
                <c:pt idx="3404">
                  <c:v>0.89441305221666945</c:v>
                </c:pt>
                <c:pt idx="3405">
                  <c:v>0.89415756533771606</c:v>
                </c:pt>
                <c:pt idx="3406">
                  <c:v>0.89057091173804959</c:v>
                </c:pt>
                <c:pt idx="3407">
                  <c:v>0.88587618547275471</c:v>
                </c:pt>
                <c:pt idx="3408">
                  <c:v>0.8711959056715336</c:v>
                </c:pt>
                <c:pt idx="3409">
                  <c:v>0.87045061813361546</c:v>
                </c:pt>
                <c:pt idx="3410">
                  <c:v>0.88350493041497324</c:v>
                </c:pt>
                <c:pt idx="3411">
                  <c:v>0.87660380130064008</c:v>
                </c:pt>
                <c:pt idx="3412">
                  <c:v>0.87856985667955645</c:v>
                </c:pt>
                <c:pt idx="3413">
                  <c:v>0.88385756486022293</c:v>
                </c:pt>
                <c:pt idx="3414">
                  <c:v>0.87978301595416863</c:v>
                </c:pt>
                <c:pt idx="3415">
                  <c:v>0.90055298768473058</c:v>
                </c:pt>
                <c:pt idx="3416">
                  <c:v>0.89919082866919697</c:v>
                </c:pt>
                <c:pt idx="3417">
                  <c:v>0.88566673016090125</c:v>
                </c:pt>
                <c:pt idx="3418">
                  <c:v>0.87878264239524195</c:v>
                </c:pt>
                <c:pt idx="3419">
                  <c:v>0.86919829311974539</c:v>
                </c:pt>
                <c:pt idx="3420">
                  <c:v>0.87999280423580029</c:v>
                </c:pt>
                <c:pt idx="3421">
                  <c:v>0.89409264123978538</c:v>
                </c:pt>
                <c:pt idx="3422">
                  <c:v>0.88611437903904366</c:v>
                </c:pt>
                <c:pt idx="3423">
                  <c:v>0.85497361671219141</c:v>
                </c:pt>
                <c:pt idx="3424">
                  <c:v>0.77819106056069165</c:v>
                </c:pt>
                <c:pt idx="3425">
                  <c:v>0.75372782807052308</c:v>
                </c:pt>
                <c:pt idx="3426">
                  <c:v>0.76012407095719159</c:v>
                </c:pt>
                <c:pt idx="3427">
                  <c:v>0.77202327617178823</c:v>
                </c:pt>
                <c:pt idx="3428">
                  <c:v>0.74978458012534621</c:v>
                </c:pt>
                <c:pt idx="3429">
                  <c:v>0.745848025449242</c:v>
                </c:pt>
                <c:pt idx="3430">
                  <c:v>0.71044477393452132</c:v>
                </c:pt>
                <c:pt idx="3431">
                  <c:v>0.70914445399469794</c:v>
                </c:pt>
                <c:pt idx="3432">
                  <c:v>0.71004314514317579</c:v>
                </c:pt>
                <c:pt idx="3433">
                  <c:v>0.71313898318876057</c:v>
                </c:pt>
                <c:pt idx="3434">
                  <c:v>0.74437394173019977</c:v>
                </c:pt>
                <c:pt idx="3435">
                  <c:v>0.75623728838952042</c:v>
                </c:pt>
                <c:pt idx="3436">
                  <c:v>0.7527320610177477</c:v>
                </c:pt>
                <c:pt idx="3437">
                  <c:v>0.75581061638620028</c:v>
                </c:pt>
                <c:pt idx="3438">
                  <c:v>0.74901751202003408</c:v>
                </c:pt>
                <c:pt idx="3439">
                  <c:v>0.72975690025774997</c:v>
                </c:pt>
                <c:pt idx="3440">
                  <c:v>0.74926892775347731</c:v>
                </c:pt>
                <c:pt idx="3441">
                  <c:v>0.75015302861335231</c:v>
                </c:pt>
                <c:pt idx="3442">
                  <c:v>0.75760546515608829</c:v>
                </c:pt>
                <c:pt idx="3443">
                  <c:v>0.77380968594637656</c:v>
                </c:pt>
                <c:pt idx="3444">
                  <c:v>0.75784679592246218</c:v>
                </c:pt>
                <c:pt idx="3445">
                  <c:v>0.74560779498377339</c:v>
                </c:pt>
                <c:pt idx="3446">
                  <c:v>0.78146588224339275</c:v>
                </c:pt>
                <c:pt idx="3447">
                  <c:v>0.79763607888760812</c:v>
                </c:pt>
                <c:pt idx="3448">
                  <c:v>0.80833546457511862</c:v>
                </c:pt>
                <c:pt idx="3449">
                  <c:v>0.80219769459892332</c:v>
                </c:pt>
                <c:pt idx="3450">
                  <c:v>0.80415483793906817</c:v>
                </c:pt>
                <c:pt idx="3451">
                  <c:v>0.81483738807191497</c:v>
                </c:pt>
                <c:pt idx="3452">
                  <c:v>0.83641901851330402</c:v>
                </c:pt>
                <c:pt idx="3453">
                  <c:v>0.87687464703594153</c:v>
                </c:pt>
                <c:pt idx="3454">
                  <c:v>0.87440695271692159</c:v>
                </c:pt>
                <c:pt idx="3455">
                  <c:v>0.87082988823523089</c:v>
                </c:pt>
                <c:pt idx="3456">
                  <c:v>0.86059217701827295</c:v>
                </c:pt>
                <c:pt idx="3457">
                  <c:v>0.86146150311640368</c:v>
                </c:pt>
                <c:pt idx="3458">
                  <c:v>0.86739416397075109</c:v>
                </c:pt>
                <c:pt idx="3459">
                  <c:v>0.85273616153078524</c:v>
                </c:pt>
                <c:pt idx="3460">
                  <c:v>0.8314348716504838</c:v>
                </c:pt>
                <c:pt idx="3461">
                  <c:v>0.83120261546234486</c:v>
                </c:pt>
                <c:pt idx="3462">
                  <c:v>0.81767496117268179</c:v>
                </c:pt>
                <c:pt idx="3463">
                  <c:v>0.81588345547607155</c:v>
                </c:pt>
                <c:pt idx="3464">
                  <c:v>0.78976576589955361</c:v>
                </c:pt>
                <c:pt idx="3465">
                  <c:v>0.78292038757779514</c:v>
                </c:pt>
                <c:pt idx="3466">
                  <c:v>0.78491044119024467</c:v>
                </c:pt>
                <c:pt idx="3467">
                  <c:v>0.79462490755820991</c:v>
                </c:pt>
                <c:pt idx="3468">
                  <c:v>0.78955141675416951</c:v>
                </c:pt>
                <c:pt idx="3469">
                  <c:v>0.78492234876291644</c:v>
                </c:pt>
                <c:pt idx="3470">
                  <c:v>0.7825000781784921</c:v>
                </c:pt>
                <c:pt idx="3471">
                  <c:v>0.77346831271464866</c:v>
                </c:pt>
                <c:pt idx="3472">
                  <c:v>0.80629859315807939</c:v>
                </c:pt>
                <c:pt idx="3473">
                  <c:v>0.80232582334035063</c:v>
                </c:pt>
                <c:pt idx="3474">
                  <c:v>0.80540415133766674</c:v>
                </c:pt>
                <c:pt idx="3475">
                  <c:v>0.82498037998521612</c:v>
                </c:pt>
                <c:pt idx="3476">
                  <c:v>0.83464873593302891</c:v>
                </c:pt>
                <c:pt idx="3477">
                  <c:v>0.80803271388921372</c:v>
                </c:pt>
                <c:pt idx="3478">
                  <c:v>0.81505071422706776</c:v>
                </c:pt>
                <c:pt idx="3479">
                  <c:v>0.81262882039900119</c:v>
                </c:pt>
                <c:pt idx="3480">
                  <c:v>0.80471905102224572</c:v>
                </c:pt>
                <c:pt idx="3481">
                  <c:v>0.79242350005348683</c:v>
                </c:pt>
                <c:pt idx="3482">
                  <c:v>0.79659328909460292</c:v>
                </c:pt>
                <c:pt idx="3483">
                  <c:v>0.80251087123691001</c:v>
                </c:pt>
                <c:pt idx="3484">
                  <c:v>0.80886531275587192</c:v>
                </c:pt>
                <c:pt idx="3485">
                  <c:v>0.80754619901722247</c:v>
                </c:pt>
                <c:pt idx="3486">
                  <c:v>0.79855988612888273</c:v>
                </c:pt>
                <c:pt idx="3487">
                  <c:v>0.78848341833369517</c:v>
                </c:pt>
                <c:pt idx="3488">
                  <c:v>0.76704104209000312</c:v>
                </c:pt>
                <c:pt idx="3489">
                  <c:v>0.75917219419929705</c:v>
                </c:pt>
                <c:pt idx="3490">
                  <c:v>0.73380997993018116</c:v>
                </c:pt>
                <c:pt idx="3491">
                  <c:v>0.72048810064808577</c:v>
                </c:pt>
                <c:pt idx="3492">
                  <c:v>0.69842952993877927</c:v>
                </c:pt>
                <c:pt idx="3493">
                  <c:v>0.70986587805181267</c:v>
                </c:pt>
                <c:pt idx="3494">
                  <c:v>0.74460815418067727</c:v>
                </c:pt>
                <c:pt idx="3495">
                  <c:v>0.73021379414636955</c:v>
                </c:pt>
                <c:pt idx="3496">
                  <c:v>0.71255375150226619</c:v>
                </c:pt>
                <c:pt idx="3497">
                  <c:v>0.71235782369916989</c:v>
                </c:pt>
                <c:pt idx="3498">
                  <c:v>0.7292107030524293</c:v>
                </c:pt>
                <c:pt idx="3499">
                  <c:v>0.72792071378138223</c:v>
                </c:pt>
                <c:pt idx="3500">
                  <c:v>0.71464800601175682</c:v>
                </c:pt>
                <c:pt idx="3501">
                  <c:v>0.70682810226393744</c:v>
                </c:pt>
                <c:pt idx="3502">
                  <c:v>0.67179237809972814</c:v>
                </c:pt>
                <c:pt idx="3503">
                  <c:v>0.67885509989001314</c:v>
                </c:pt>
                <c:pt idx="3504">
                  <c:v>0.69172032787856275</c:v>
                </c:pt>
                <c:pt idx="3505">
                  <c:v>0.68174494150914799</c:v>
                </c:pt>
                <c:pt idx="3506">
                  <c:v>0.68481919654988155</c:v>
                </c:pt>
                <c:pt idx="3507">
                  <c:v>0.69332535170573284</c:v>
                </c:pt>
                <c:pt idx="3508">
                  <c:v>0.69709938908165603</c:v>
                </c:pt>
                <c:pt idx="3509">
                  <c:v>0.69148101721671573</c:v>
                </c:pt>
                <c:pt idx="3510">
                  <c:v>0.69237710242075723</c:v>
                </c:pt>
                <c:pt idx="3511">
                  <c:v>0.69001789613778608</c:v>
                </c:pt>
                <c:pt idx="3512">
                  <c:v>0.68549070542337953</c:v>
                </c:pt>
                <c:pt idx="3513">
                  <c:v>0.67517521824358651</c:v>
                </c:pt>
                <c:pt idx="3514">
                  <c:v>0.71724547873135791</c:v>
                </c:pt>
                <c:pt idx="3515">
                  <c:v>0.7495443584066287</c:v>
                </c:pt>
                <c:pt idx="3516">
                  <c:v>0.7395940297137219</c:v>
                </c:pt>
                <c:pt idx="3517">
                  <c:v>0.74155735145301549</c:v>
                </c:pt>
                <c:pt idx="3518">
                  <c:v>0.75068593332877454</c:v>
                </c:pt>
                <c:pt idx="3519">
                  <c:v>0.74074885415361025</c:v>
                </c:pt>
                <c:pt idx="3520">
                  <c:v>0.7405470052161589</c:v>
                </c:pt>
                <c:pt idx="3521">
                  <c:v>0.74034526625361796</c:v>
                </c:pt>
                <c:pt idx="3522">
                  <c:v>0.7563511620778014</c:v>
                </c:pt>
                <c:pt idx="3523">
                  <c:v>0.7665298977130528</c:v>
                </c:pt>
                <c:pt idx="3524">
                  <c:v>0.76416271283149406</c:v>
                </c:pt>
                <c:pt idx="3525">
                  <c:v>0.78527633706251876</c:v>
                </c:pt>
                <c:pt idx="3526">
                  <c:v>0.78393899807273104</c:v>
                </c:pt>
                <c:pt idx="3527">
                  <c:v>0.77023697858606088</c:v>
                </c:pt>
                <c:pt idx="3528">
                  <c:v>0.77859845274738337</c:v>
                </c:pt>
                <c:pt idx="3529">
                  <c:v>0.76219388424309287</c:v>
                </c:pt>
                <c:pt idx="3530">
                  <c:v>0.77700964492728697</c:v>
                </c:pt>
                <c:pt idx="3531">
                  <c:v>0.77890561651116275</c:v>
                </c:pt>
                <c:pt idx="3532">
                  <c:v>0.77276352189955488</c:v>
                </c:pt>
                <c:pt idx="3533">
                  <c:v>0.77250955214996486</c:v>
                </c:pt>
                <c:pt idx="3534">
                  <c:v>0.77870016443445544</c:v>
                </c:pt>
                <c:pt idx="3535">
                  <c:v>0.77414954598665731</c:v>
                </c:pt>
                <c:pt idx="3536">
                  <c:v>0.77818882691973801</c:v>
                </c:pt>
                <c:pt idx="3537">
                  <c:v>0.77206154008249794</c:v>
                </c:pt>
                <c:pt idx="3538">
                  <c:v>0.75251317385595085</c:v>
                </c:pt>
                <c:pt idx="3539">
                  <c:v>0.76405415978045443</c:v>
                </c:pt>
                <c:pt idx="3540">
                  <c:v>0.75309125725962822</c:v>
                </c:pt>
                <c:pt idx="3541">
                  <c:v>0.65111771988313183</c:v>
                </c:pt>
                <c:pt idx="3542">
                  <c:v>0.66157577294119174</c:v>
                </c:pt>
                <c:pt idx="3543">
                  <c:v>0.65922648692937535</c:v>
                </c:pt>
                <c:pt idx="3544">
                  <c:v>0.70913045096394833</c:v>
                </c:pt>
                <c:pt idx="3545">
                  <c:v>0.70570117660012821</c:v>
                </c:pt>
                <c:pt idx="3546">
                  <c:v>0.71033636790200094</c:v>
                </c:pt>
                <c:pt idx="3547">
                  <c:v>0.73139754867572659</c:v>
                </c:pt>
                <c:pt idx="3548">
                  <c:v>0.70987386995189816</c:v>
                </c:pt>
                <c:pt idx="3549">
                  <c:v>0.72241003439935803</c:v>
                </c:pt>
                <c:pt idx="3550">
                  <c:v>0.72536576638793238</c:v>
                </c:pt>
                <c:pt idx="3551">
                  <c:v>0.73103378698022048</c:v>
                </c:pt>
                <c:pt idx="3552">
                  <c:v>0.72442304071001784</c:v>
                </c:pt>
                <c:pt idx="3553">
                  <c:v>0.73374447178077951</c:v>
                </c:pt>
                <c:pt idx="3554">
                  <c:v>0.73032168061228431</c:v>
                </c:pt>
                <c:pt idx="3555">
                  <c:v>0.7247787724910183</c:v>
                </c:pt>
                <c:pt idx="3556">
                  <c:v>0.69438983471335192</c:v>
                </c:pt>
                <c:pt idx="3557">
                  <c:v>0.6909853493409065</c:v>
                </c:pt>
                <c:pt idx="3558">
                  <c:v>0.69499922078385068</c:v>
                </c:pt>
                <c:pt idx="3559">
                  <c:v>0.67782835540038155</c:v>
                </c:pt>
                <c:pt idx="3560">
                  <c:v>0.66807995859455171</c:v>
                </c:pt>
                <c:pt idx="3561">
                  <c:v>0.69599036750864629</c:v>
                </c:pt>
                <c:pt idx="3562">
                  <c:v>0.69470786055324651</c:v>
                </c:pt>
                <c:pt idx="3563">
                  <c:v>0.69448323507260457</c:v>
                </c:pt>
                <c:pt idx="3564">
                  <c:v>0.68791849220397805</c:v>
                </c:pt>
                <c:pt idx="3565">
                  <c:v>0.67924525389481338</c:v>
                </c:pt>
                <c:pt idx="3566">
                  <c:v>0.64376102383765887</c:v>
                </c:pt>
                <c:pt idx="3567">
                  <c:v>0.64144326371133442</c:v>
                </c:pt>
                <c:pt idx="3568">
                  <c:v>0.63701766901046142</c:v>
                </c:pt>
                <c:pt idx="3569">
                  <c:v>0.6188887053935378</c:v>
                </c:pt>
                <c:pt idx="3570">
                  <c:v>0.57652977708027164</c:v>
                </c:pt>
                <c:pt idx="3571">
                  <c:v>0.55175446616803125</c:v>
                </c:pt>
                <c:pt idx="3572">
                  <c:v>0.52736637723079771</c:v>
                </c:pt>
                <c:pt idx="3573">
                  <c:v>0.50720314313202908</c:v>
                </c:pt>
                <c:pt idx="3574">
                  <c:v>0.45865023312787812</c:v>
                </c:pt>
                <c:pt idx="3575">
                  <c:v>0.47743170776162253</c:v>
                </c:pt>
                <c:pt idx="3576">
                  <c:v>0.44755468044114671</c:v>
                </c:pt>
                <c:pt idx="3577">
                  <c:v>0.46001402269736763</c:v>
                </c:pt>
                <c:pt idx="3578">
                  <c:v>0.50254406227150694</c:v>
                </c:pt>
                <c:pt idx="3579">
                  <c:v>0.53324232036065278</c:v>
                </c:pt>
                <c:pt idx="3580">
                  <c:v>0.54602088062208398</c:v>
                </c:pt>
                <c:pt idx="3581">
                  <c:v>0.54953265762101555</c:v>
                </c:pt>
                <c:pt idx="3582">
                  <c:v>0.5702397578691023</c:v>
                </c:pt>
                <c:pt idx="3583">
                  <c:v>0.57603763043617606</c:v>
                </c:pt>
                <c:pt idx="3584">
                  <c:v>0.57984645170299731</c:v>
                </c:pt>
                <c:pt idx="3585">
                  <c:v>0.57074922605922462</c:v>
                </c:pt>
                <c:pt idx="3586">
                  <c:v>0.61472212063915921</c:v>
                </c:pt>
                <c:pt idx="3587">
                  <c:v>0.60860151037715982</c:v>
                </c:pt>
                <c:pt idx="3588">
                  <c:v>0.60743899246464061</c:v>
                </c:pt>
                <c:pt idx="3589">
                  <c:v>0.60726777879527039</c:v>
                </c:pt>
                <c:pt idx="3590">
                  <c:v>0.60675471640040635</c:v>
                </c:pt>
                <c:pt idx="3591">
                  <c:v>0.60955248798081951</c:v>
                </c:pt>
                <c:pt idx="3592">
                  <c:v>0.59553135401741952</c:v>
                </c:pt>
                <c:pt idx="3593">
                  <c:v>0.5795401579877657</c:v>
                </c:pt>
                <c:pt idx="3594">
                  <c:v>0.5971736967063066</c:v>
                </c:pt>
                <c:pt idx="3595">
                  <c:v>0.60951239360208975</c:v>
                </c:pt>
                <c:pt idx="3596">
                  <c:v>0.59551490972085563</c:v>
                </c:pt>
                <c:pt idx="3597">
                  <c:v>0.58053798045377392</c:v>
                </c:pt>
                <c:pt idx="3598">
                  <c:v>0.59123230097493684</c:v>
                </c:pt>
                <c:pt idx="3599">
                  <c:v>0.57725173882961256</c:v>
                </c:pt>
                <c:pt idx="3600">
                  <c:v>0.58563927374645242</c:v>
                </c:pt>
                <c:pt idx="3601">
                  <c:v>0.59237457531357607</c:v>
                </c:pt>
                <c:pt idx="3602">
                  <c:v>0.5912231252579595</c:v>
                </c:pt>
                <c:pt idx="3603">
                  <c:v>0.59105741635655629</c:v>
                </c:pt>
                <c:pt idx="3604">
                  <c:v>0.58908166851838772</c:v>
                </c:pt>
                <c:pt idx="3605">
                  <c:v>0.58498421613253204</c:v>
                </c:pt>
                <c:pt idx="3606">
                  <c:v>0.60939291777101301</c:v>
                </c:pt>
                <c:pt idx="3607">
                  <c:v>0.60200761284683779</c:v>
                </c:pt>
                <c:pt idx="3608">
                  <c:v>0.59398509844965341</c:v>
                </c:pt>
                <c:pt idx="3609">
                  <c:v>0.59185618108027793</c:v>
                </c:pt>
                <c:pt idx="3610">
                  <c:v>0.57304728157104057</c:v>
                </c:pt>
                <c:pt idx="3611">
                  <c:v>0.56602053915283035</c:v>
                </c:pt>
                <c:pt idx="3612">
                  <c:v>0.55672563606678838</c:v>
                </c:pt>
                <c:pt idx="3613">
                  <c:v>0.5712685853105931</c:v>
                </c:pt>
                <c:pt idx="3614">
                  <c:v>0.55543569153736261</c:v>
                </c:pt>
                <c:pt idx="3615">
                  <c:v>0.55136359839509752</c:v>
                </c:pt>
                <c:pt idx="3616">
                  <c:v>0.5130267218935719</c:v>
                </c:pt>
                <c:pt idx="3617">
                  <c:v>0.51357658895872049</c:v>
                </c:pt>
                <c:pt idx="3618">
                  <c:v>0.51441165325868732</c:v>
                </c:pt>
                <c:pt idx="3619">
                  <c:v>0.51133546546953645</c:v>
                </c:pt>
                <c:pt idx="3620">
                  <c:v>0.49750931389002095</c:v>
                </c:pt>
                <c:pt idx="3621">
                  <c:v>0.46707924529244227</c:v>
                </c:pt>
                <c:pt idx="3622">
                  <c:v>0.48816945132818512</c:v>
                </c:pt>
                <c:pt idx="3623">
                  <c:v>0.47924927055213079</c:v>
                </c:pt>
                <c:pt idx="3624">
                  <c:v>0.49375316536611324</c:v>
                </c:pt>
                <c:pt idx="3625">
                  <c:v>0.4926405939580672</c:v>
                </c:pt>
                <c:pt idx="3626">
                  <c:v>0.49933068189090635</c:v>
                </c:pt>
                <c:pt idx="3627">
                  <c:v>0.51645535549596966</c:v>
                </c:pt>
                <c:pt idx="3628">
                  <c:v>0.53579568701416325</c:v>
                </c:pt>
                <c:pt idx="3629">
                  <c:v>0.51714304284410051</c:v>
                </c:pt>
                <c:pt idx="3630">
                  <c:v>0.49655346451385501</c:v>
                </c:pt>
                <c:pt idx="3631">
                  <c:v>0.48960239492457053</c:v>
                </c:pt>
                <c:pt idx="3632">
                  <c:v>0.48015537346800052</c:v>
                </c:pt>
                <c:pt idx="3633">
                  <c:v>0.48906062597098648</c:v>
                </c:pt>
                <c:pt idx="3634">
                  <c:v>0.50197676692217075</c:v>
                </c:pt>
                <c:pt idx="3635">
                  <c:v>0.49681959843667045</c:v>
                </c:pt>
                <c:pt idx="3636">
                  <c:v>0.48464149118796906</c:v>
                </c:pt>
                <c:pt idx="3637">
                  <c:v>0.47120657461483745</c:v>
                </c:pt>
                <c:pt idx="3638">
                  <c:v>0.4710764732420607</c:v>
                </c:pt>
                <c:pt idx="3639">
                  <c:v>0.47695852595201399</c:v>
                </c:pt>
                <c:pt idx="3640">
                  <c:v>0.45929041145446153</c:v>
                </c:pt>
                <c:pt idx="3641">
                  <c:v>0.45216134606117425</c:v>
                </c:pt>
                <c:pt idx="3642">
                  <c:v>0.45203677827396499</c:v>
                </c:pt>
                <c:pt idx="3643">
                  <c:v>0.45991072652099174</c:v>
                </c:pt>
                <c:pt idx="3644">
                  <c:v>0.47277799189571018</c:v>
                </c:pt>
                <c:pt idx="3645">
                  <c:v>0.52432048210740212</c:v>
                </c:pt>
                <c:pt idx="3646">
                  <c:v>0.50420765334109463</c:v>
                </c:pt>
                <c:pt idx="3647">
                  <c:v>0.51504873556928676</c:v>
                </c:pt>
                <c:pt idx="3648">
                  <c:v>0.50891986221758512</c:v>
                </c:pt>
                <c:pt idx="3649">
                  <c:v>0.49281827892981755</c:v>
                </c:pt>
                <c:pt idx="3650">
                  <c:v>0.5033769621179599</c:v>
                </c:pt>
                <c:pt idx="3651">
                  <c:v>0.49825621744580756</c:v>
                </c:pt>
                <c:pt idx="3652">
                  <c:v>0.49214204444690118</c:v>
                </c:pt>
                <c:pt idx="3653">
                  <c:v>0.480055432653678</c:v>
                </c:pt>
                <c:pt idx="3654">
                  <c:v>0.48091945305729461</c:v>
                </c:pt>
                <c:pt idx="3655">
                  <c:v>0.49743690612280794</c:v>
                </c:pt>
                <c:pt idx="3656">
                  <c:v>0.4883492050370406</c:v>
                </c:pt>
                <c:pt idx="3657">
                  <c:v>0.48224946877026703</c:v>
                </c:pt>
                <c:pt idx="3658">
                  <c:v>0.47814118617939805</c:v>
                </c:pt>
                <c:pt idx="3659">
                  <c:v>0.46707866223688665</c:v>
                </c:pt>
                <c:pt idx="3660">
                  <c:v>0.45577271767978783</c:v>
                </c:pt>
                <c:pt idx="3661">
                  <c:v>0.45664077940972503</c:v>
                </c:pt>
                <c:pt idx="3662">
                  <c:v>0.45552351459365742</c:v>
                </c:pt>
                <c:pt idx="3663">
                  <c:v>0.45837547936707207</c:v>
                </c:pt>
                <c:pt idx="3664">
                  <c:v>0.45428270024741391</c:v>
                </c:pt>
                <c:pt idx="3665">
                  <c:v>0.45886598244424892</c:v>
                </c:pt>
                <c:pt idx="3666">
                  <c:v>0.46963954877769587</c:v>
                </c:pt>
                <c:pt idx="3667">
                  <c:v>0.46356821918522645</c:v>
                </c:pt>
                <c:pt idx="3668">
                  <c:v>0.46245150285949982</c:v>
                </c:pt>
                <c:pt idx="3669">
                  <c:v>0.46529535610014461</c:v>
                </c:pt>
                <c:pt idx="3670">
                  <c:v>0.46392580843601444</c:v>
                </c:pt>
                <c:pt idx="3671">
                  <c:v>0.47072180662760238</c:v>
                </c:pt>
                <c:pt idx="3672">
                  <c:v>0.4765254611000444</c:v>
                </c:pt>
                <c:pt idx="3673">
                  <c:v>0.48331432812418068</c:v>
                </c:pt>
                <c:pt idx="3674">
                  <c:v>0.50195674531424117</c:v>
                </c:pt>
                <c:pt idx="3675">
                  <c:v>0.51240746374751189</c:v>
                </c:pt>
                <c:pt idx="3676">
                  <c:v>0.51720328674189797</c:v>
                </c:pt>
                <c:pt idx="3677">
                  <c:v>0.52100974161581237</c:v>
                </c:pt>
                <c:pt idx="3678">
                  <c:v>0.52481412767524815</c:v>
                </c:pt>
                <c:pt idx="3679">
                  <c:v>0.56806543515906593</c:v>
                </c:pt>
                <c:pt idx="3680">
                  <c:v>0.57844245848757603</c:v>
                </c:pt>
                <c:pt idx="3681">
                  <c:v>0.63542441962971496</c:v>
                </c:pt>
                <c:pt idx="3682">
                  <c:v>0.63919157104744151</c:v>
                </c:pt>
                <c:pt idx="3683">
                  <c:v>0.60554112943833638</c:v>
                </c:pt>
                <c:pt idx="3684">
                  <c:v>0.59651775552235975</c:v>
                </c:pt>
                <c:pt idx="3685">
                  <c:v>0.59111512919549436</c:v>
                </c:pt>
                <c:pt idx="3686">
                  <c:v>0.60177116367312589</c:v>
                </c:pt>
                <c:pt idx="3687">
                  <c:v>0.62421766633044584</c:v>
                </c:pt>
                <c:pt idx="3688">
                  <c:v>0.64468650786877457</c:v>
                </c:pt>
                <c:pt idx="3689">
                  <c:v>0.63468714658830261</c:v>
                </c:pt>
                <c:pt idx="3690">
                  <c:v>0.6351539257915072</c:v>
                </c:pt>
                <c:pt idx="3691">
                  <c:v>0.61535370158318503</c:v>
                </c:pt>
                <c:pt idx="3692">
                  <c:v>0.61028158215567363</c:v>
                </c:pt>
                <c:pt idx="3693">
                  <c:v>0.60521220379079887</c:v>
                </c:pt>
                <c:pt idx="3694">
                  <c:v>0.59622304423929318</c:v>
                </c:pt>
                <c:pt idx="3695">
                  <c:v>0.59476041597255946</c:v>
                </c:pt>
                <c:pt idx="3696">
                  <c:v>0.59166120869252781</c:v>
                </c:pt>
                <c:pt idx="3697">
                  <c:v>0.58954298084483858</c:v>
                </c:pt>
                <c:pt idx="3698">
                  <c:v>0.5600126871040132</c:v>
                </c:pt>
                <c:pt idx="3699">
                  <c:v>0.57095805118135001</c:v>
                </c:pt>
                <c:pt idx="3700">
                  <c:v>0.54731386552344841</c:v>
                </c:pt>
                <c:pt idx="3701">
                  <c:v>0.52398997482450516</c:v>
                </c:pt>
                <c:pt idx="3702">
                  <c:v>0.53493030242777984</c:v>
                </c:pt>
                <c:pt idx="3703">
                  <c:v>0.51464369395418919</c:v>
                </c:pt>
                <c:pt idx="3704">
                  <c:v>0.49839544238313982</c:v>
                </c:pt>
                <c:pt idx="3705">
                  <c:v>0.5080538578157785</c:v>
                </c:pt>
                <c:pt idx="3706">
                  <c:v>0.50691150159651988</c:v>
                </c:pt>
                <c:pt idx="3707">
                  <c:v>0.50778077236821606</c:v>
                </c:pt>
                <c:pt idx="3708">
                  <c:v>0.50354627139849339</c:v>
                </c:pt>
                <c:pt idx="3709">
                  <c:v>0.52418933815917745</c:v>
                </c:pt>
                <c:pt idx="3710">
                  <c:v>0.52404894941669411</c:v>
                </c:pt>
                <c:pt idx="3711">
                  <c:v>0.54594685762789708</c:v>
                </c:pt>
                <c:pt idx="3712">
                  <c:v>0.55080806610468558</c:v>
                </c:pt>
                <c:pt idx="3713">
                  <c:v>0.51161381946792395</c:v>
                </c:pt>
                <c:pt idx="3714">
                  <c:v>0.50420063014846817</c:v>
                </c:pt>
                <c:pt idx="3715">
                  <c:v>0.5290691137223269</c:v>
                </c:pt>
                <c:pt idx="3716">
                  <c:v>0.51193004378318474</c:v>
                </c:pt>
                <c:pt idx="3717">
                  <c:v>0.51679124914856933</c:v>
                </c:pt>
                <c:pt idx="3718">
                  <c:v>0.52964449143945103</c:v>
                </c:pt>
                <c:pt idx="3719">
                  <c:v>0.52922041868436687</c:v>
                </c:pt>
                <c:pt idx="3720">
                  <c:v>0.52907921196759533</c:v>
                </c:pt>
                <c:pt idx="3721">
                  <c:v>0.5299360769628032</c:v>
                </c:pt>
                <c:pt idx="3722">
                  <c:v>0.53378567564862411</c:v>
                </c:pt>
                <c:pt idx="3723">
                  <c:v>0.53464082897636689</c:v>
                </c:pt>
                <c:pt idx="3724">
                  <c:v>0.55913023099475467</c:v>
                </c:pt>
                <c:pt idx="3725">
                  <c:v>0.56695253500454645</c:v>
                </c:pt>
                <c:pt idx="3726">
                  <c:v>0.56281703741477951</c:v>
                </c:pt>
                <c:pt idx="3727">
                  <c:v>0.56565483978468301</c:v>
                </c:pt>
                <c:pt idx="3728">
                  <c:v>0.55554825140910313</c:v>
                </c:pt>
                <c:pt idx="3729">
                  <c:v>0.54416216206574097</c:v>
                </c:pt>
                <c:pt idx="3730">
                  <c:v>0.57484848293718149</c:v>
                </c:pt>
                <c:pt idx="3731">
                  <c:v>0.60352992714267995</c:v>
                </c:pt>
                <c:pt idx="3732">
                  <c:v>0.58845929159244958</c:v>
                </c:pt>
                <c:pt idx="3733">
                  <c:v>0.55252780604485918</c:v>
                </c:pt>
                <c:pt idx="3734">
                  <c:v>0.53917934739126427</c:v>
                </c:pt>
                <c:pt idx="3735">
                  <c:v>0.5291092816335583</c:v>
                </c:pt>
                <c:pt idx="3736">
                  <c:v>0.53095380247788504</c:v>
                </c:pt>
                <c:pt idx="3737">
                  <c:v>0.52882864970760501</c:v>
                </c:pt>
                <c:pt idx="3738">
                  <c:v>0.52174506989253078</c:v>
                </c:pt>
                <c:pt idx="3739">
                  <c:v>0.51736593076801662</c:v>
                </c:pt>
                <c:pt idx="3740">
                  <c:v>0.51326547081150498</c:v>
                </c:pt>
                <c:pt idx="3741">
                  <c:v>0.50916718222477964</c:v>
                </c:pt>
                <c:pt idx="3742">
                  <c:v>0.50903240495635904</c:v>
                </c:pt>
              </c:numCache>
            </c:numRef>
          </c:yVal>
          <c:smooth val="0"/>
          <c:extLst>
            <c:ext xmlns:c16="http://schemas.microsoft.com/office/drawing/2014/chart" uri="{C3380CC4-5D6E-409C-BE32-E72D297353CC}">
              <c16:uniqueId val="{00000004-815A-48C0-BB68-4F00B95C9759}"/>
            </c:ext>
          </c:extLst>
        </c:ser>
        <c:dLbls>
          <c:showLegendKey val="0"/>
          <c:showVal val="0"/>
          <c:showCatName val="0"/>
          <c:showSerName val="0"/>
          <c:showPercent val="0"/>
          <c:showBubbleSize val="0"/>
        </c:dLbls>
        <c:axId val="582503424"/>
        <c:axId val="582509312"/>
      </c:scatterChart>
      <c:scatterChart>
        <c:scatterStyle val="lineMarker"/>
        <c:varyColors val="0"/>
        <c:ser>
          <c:idx val="1"/>
          <c:order val="1"/>
          <c:tx>
            <c:strRef>
              <c:f>'PB ROE'!$E$1</c:f>
              <c:strCache>
                <c:ptCount val="1"/>
                <c:pt idx="0">
                  <c:v>ROE（右轴）</c:v>
                </c:pt>
              </c:strCache>
            </c:strRef>
          </c:tx>
          <c:spPr>
            <a:ln w="19050">
              <a:solidFill>
                <a:srgbClr val="CBAA7B"/>
              </a:solidFill>
            </a:ln>
          </c:spPr>
          <c:marker>
            <c:symbol val="none"/>
          </c:marker>
          <c:dPt>
            <c:idx val="14"/>
            <c:marker>
              <c:symbol val="diamond"/>
              <c:size val="5"/>
              <c:spPr>
                <a:solidFill>
                  <a:srgbClr val="CBAA7B"/>
                </a:solidFill>
                <a:ln w="19050">
                  <a:noFill/>
                </a:ln>
              </c:spPr>
            </c:marker>
            <c:bubble3D val="0"/>
            <c:spPr>
              <a:ln w="19050">
                <a:solidFill>
                  <a:srgbClr val="CBAA7B"/>
                </a:solidFill>
                <a:prstDash val="sysDash"/>
              </a:ln>
            </c:spPr>
            <c:extLst>
              <c:ext xmlns:c16="http://schemas.microsoft.com/office/drawing/2014/chart" uri="{C3380CC4-5D6E-409C-BE32-E72D297353CC}">
                <c16:uniqueId val="{00000006-815A-48C0-BB68-4F00B95C9759}"/>
              </c:ext>
            </c:extLst>
          </c:dPt>
          <c:dPt>
            <c:idx val="15"/>
            <c:marker>
              <c:symbol val="diamond"/>
              <c:size val="5"/>
              <c:spPr>
                <a:solidFill>
                  <a:srgbClr val="CBAA7B"/>
                </a:solidFill>
                <a:ln w="19050">
                  <a:noFill/>
                </a:ln>
              </c:spPr>
            </c:marker>
            <c:bubble3D val="0"/>
            <c:spPr>
              <a:ln w="19050">
                <a:solidFill>
                  <a:srgbClr val="CBAA7B"/>
                </a:solidFill>
                <a:prstDash val="sysDash"/>
              </a:ln>
            </c:spPr>
            <c:extLst>
              <c:ext xmlns:c16="http://schemas.microsoft.com/office/drawing/2014/chart" uri="{C3380CC4-5D6E-409C-BE32-E72D297353CC}">
                <c16:uniqueId val="{00000008-815A-48C0-BB68-4F00B95C9759}"/>
              </c:ext>
            </c:extLst>
          </c:dPt>
          <c:xVal>
            <c:numRef>
              <c:f>'PB ROE'!$D$3:$D$18</c:f>
              <c:numCache>
                <c:formatCode>yyyy\-mm\-dd</c:formatCode>
                <c:ptCount val="16"/>
                <c:pt idx="0">
                  <c:v>38898</c:v>
                </c:pt>
                <c:pt idx="1">
                  <c:v>39263</c:v>
                </c:pt>
                <c:pt idx="2">
                  <c:v>39629</c:v>
                </c:pt>
                <c:pt idx="3">
                  <c:v>39994</c:v>
                </c:pt>
                <c:pt idx="4">
                  <c:v>40359</c:v>
                </c:pt>
                <c:pt idx="5">
                  <c:v>40724</c:v>
                </c:pt>
                <c:pt idx="6">
                  <c:v>41090</c:v>
                </c:pt>
                <c:pt idx="7">
                  <c:v>41455</c:v>
                </c:pt>
                <c:pt idx="8">
                  <c:v>41820</c:v>
                </c:pt>
                <c:pt idx="9">
                  <c:v>42185</c:v>
                </c:pt>
                <c:pt idx="10">
                  <c:v>42551</c:v>
                </c:pt>
                <c:pt idx="11">
                  <c:v>42916</c:v>
                </c:pt>
                <c:pt idx="12">
                  <c:v>43281</c:v>
                </c:pt>
                <c:pt idx="13">
                  <c:v>43646</c:v>
                </c:pt>
                <c:pt idx="14">
                  <c:v>44012</c:v>
                </c:pt>
                <c:pt idx="15">
                  <c:v>44377</c:v>
                </c:pt>
              </c:numCache>
            </c:numRef>
          </c:xVal>
          <c:yVal>
            <c:numRef>
              <c:f>'PB ROE'!$E$3:$E$18</c:f>
              <c:numCache>
                <c:formatCode>0.0%</c:formatCode>
                <c:ptCount val="16"/>
                <c:pt idx="0">
                  <c:v>0.24659393664952384</c:v>
                </c:pt>
                <c:pt idx="1">
                  <c:v>0.25872716049540495</c:v>
                </c:pt>
                <c:pt idx="2">
                  <c:v>0.20915891206127885</c:v>
                </c:pt>
                <c:pt idx="3">
                  <c:v>0.17941637415955011</c:v>
                </c:pt>
                <c:pt idx="4">
                  <c:v>0.2322391439397809</c:v>
                </c:pt>
                <c:pt idx="5">
                  <c:v>0.21366777506870749</c:v>
                </c:pt>
                <c:pt idx="6">
                  <c:v>0.18534284259390019</c:v>
                </c:pt>
                <c:pt idx="7">
                  <c:v>0.18676819911790263</c:v>
                </c:pt>
                <c:pt idx="8">
                  <c:v>0.19334727147603031</c:v>
                </c:pt>
                <c:pt idx="9">
                  <c:v>0.21035279840705426</c:v>
                </c:pt>
                <c:pt idx="10">
                  <c:v>0.21097269250660977</c:v>
                </c:pt>
                <c:pt idx="11">
                  <c:v>0.17281939962245094</c:v>
                </c:pt>
                <c:pt idx="12">
                  <c:v>0.1175863754900464</c:v>
                </c:pt>
                <c:pt idx="13">
                  <c:v>0.13431854962184941</c:v>
                </c:pt>
                <c:pt idx="14">
                  <c:v>0.13528163246369354</c:v>
                </c:pt>
                <c:pt idx="15">
                  <c:v>0.13727059571083119</c:v>
                </c:pt>
              </c:numCache>
            </c:numRef>
          </c:yVal>
          <c:smooth val="0"/>
          <c:extLst>
            <c:ext xmlns:c16="http://schemas.microsoft.com/office/drawing/2014/chart" uri="{C3380CC4-5D6E-409C-BE32-E72D297353CC}">
              <c16:uniqueId val="{00000009-815A-48C0-BB68-4F00B95C9759}"/>
            </c:ext>
          </c:extLst>
        </c:ser>
        <c:dLbls>
          <c:showLegendKey val="0"/>
          <c:showVal val="0"/>
          <c:showCatName val="0"/>
          <c:showSerName val="0"/>
          <c:showPercent val="0"/>
          <c:showBubbleSize val="0"/>
        </c:dLbls>
        <c:axId val="582512640"/>
        <c:axId val="582510848"/>
      </c:scatterChart>
      <c:valAx>
        <c:axId val="582503424"/>
        <c:scaling>
          <c:orientation val="minMax"/>
          <c:max val="44700"/>
          <c:min val="38718"/>
        </c:scaling>
        <c:delete val="0"/>
        <c:axPos val="b"/>
        <c:numFmt formatCode="yyyy/m" sourceLinked="0"/>
        <c:majorTickMark val="out"/>
        <c:minorTickMark val="none"/>
        <c:tickLblPos val="nextTo"/>
        <c:txPr>
          <a:bodyPr/>
          <a:lstStyle/>
          <a:p>
            <a:pPr>
              <a:defRPr sz="800"/>
            </a:pPr>
            <a:endParaRPr lang="zh-CN"/>
          </a:p>
        </c:txPr>
        <c:crossAx val="582509312"/>
        <c:crosses val="autoZero"/>
        <c:crossBetween val="midCat"/>
      </c:valAx>
      <c:valAx>
        <c:axId val="582509312"/>
        <c:scaling>
          <c:orientation val="minMax"/>
        </c:scaling>
        <c:delete val="0"/>
        <c:axPos val="l"/>
        <c:majorGridlines>
          <c:spPr>
            <a:ln w="9525" cap="flat" cmpd="sng" algn="ctr">
              <a:noFill/>
              <a:prstDash val="solid"/>
              <a:round/>
            </a:ln>
            <a:effectLst/>
          </c:spPr>
        </c:majorGridlines>
        <c:numFmt formatCode="#,##0" sourceLinked="0"/>
        <c:majorTickMark val="none"/>
        <c:minorTickMark val="none"/>
        <c:tickLblPos val="nextTo"/>
        <c:txPr>
          <a:bodyPr/>
          <a:lstStyle/>
          <a:p>
            <a:pPr>
              <a:defRPr sz="800">
                <a:solidFill>
                  <a:srgbClr val="000000"/>
                </a:solidFill>
                <a:latin typeface="Calibri"/>
                <a:ea typeface="Calibri"/>
                <a:cs typeface="Calibri"/>
              </a:defRPr>
            </a:pPr>
            <a:endParaRPr lang="zh-CN"/>
          </a:p>
        </c:txPr>
        <c:crossAx val="582503424"/>
        <c:crosses val="autoZero"/>
        <c:crossBetween val="midCat"/>
      </c:valAx>
      <c:valAx>
        <c:axId val="582510848"/>
        <c:scaling>
          <c:orientation val="minMax"/>
          <c:max val="0.30000000000000004"/>
          <c:min val="0.1"/>
        </c:scaling>
        <c:delete val="0"/>
        <c:axPos val="r"/>
        <c:numFmt formatCode="0%" sourceLinked="0"/>
        <c:majorTickMark val="out"/>
        <c:minorTickMark val="none"/>
        <c:tickLblPos val="nextTo"/>
        <c:txPr>
          <a:bodyPr/>
          <a:lstStyle/>
          <a:p>
            <a:pPr>
              <a:defRPr sz="800"/>
            </a:pPr>
            <a:endParaRPr lang="zh-CN"/>
          </a:p>
        </c:txPr>
        <c:crossAx val="582512640"/>
        <c:crosses val="max"/>
        <c:crossBetween val="midCat"/>
      </c:valAx>
      <c:valAx>
        <c:axId val="582512640"/>
        <c:scaling>
          <c:orientation val="minMax"/>
        </c:scaling>
        <c:delete val="1"/>
        <c:axPos val="b"/>
        <c:numFmt formatCode="yyyy\-mm\-dd" sourceLinked="1"/>
        <c:majorTickMark val="out"/>
        <c:minorTickMark val="none"/>
        <c:tickLblPos val="nextTo"/>
        <c:crossAx val="582510848"/>
        <c:crosses val="autoZero"/>
        <c:crossBetween val="midCat"/>
      </c:valAx>
      <c:spPr>
        <a:noFill/>
      </c:spPr>
    </c:plotArea>
    <c:legend>
      <c:legendPos val="t"/>
      <c:overlay val="0"/>
      <c:txPr>
        <a:bodyPr/>
        <a:lstStyle/>
        <a:p>
          <a:pPr>
            <a:defRPr sz="800">
              <a:latin typeface="+mn-lt"/>
              <a:ea typeface="楷体_GB2312" panose="02010609030101010101" pitchFamily="49" charset="-122"/>
            </a:defRPr>
          </a:pPr>
          <a:endParaRPr lang="zh-CN"/>
        </a:p>
      </c:txPr>
    </c:legend>
    <c:plotVisOnly val="1"/>
    <c:dispBlanksAs val="gap"/>
    <c:showDLblsOverMax val="0"/>
  </c:chart>
  <c:spPr>
    <a:noFill/>
    <a:ln w="9525" cap="flat" cmpd="sng" algn="ctr">
      <a:noFill/>
      <a:prstDash val="solid"/>
      <a:roun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ltLang="en-US" sz="1200"/>
              <a:t>Before placing and subscription</a:t>
            </a:r>
          </a:p>
        </c:rich>
      </c:tx>
      <c:overlay val="0"/>
      <c:spPr>
        <a:noFill/>
        <a:ln w="25400">
          <a:noFill/>
        </a:ln>
      </c:spPr>
    </c:title>
    <c:autoTitleDeleted val="0"/>
    <c:plotArea>
      <c:layout/>
      <c:pieChart>
        <c:varyColors val="1"/>
        <c:ser>
          <c:idx val="0"/>
          <c:order val="0"/>
          <c:tx>
            <c:strRef>
              <c:f>'2012Placement'!$D$4</c:f>
              <c:strCache>
                <c:ptCount val="1"/>
                <c:pt idx="0">
                  <c:v>Before placing and subscription</c:v>
                </c:pt>
              </c:strCache>
            </c:strRef>
          </c:tx>
          <c:dPt>
            <c:idx val="0"/>
            <c:bubble3D val="0"/>
            <c:extLst>
              <c:ext xmlns:c16="http://schemas.microsoft.com/office/drawing/2014/chart" uri="{C3380CC4-5D6E-409C-BE32-E72D297353CC}">
                <c16:uniqueId val="{00000000-B965-48B2-947E-5804001E3729}"/>
              </c:ext>
            </c:extLst>
          </c:dPt>
          <c:dPt>
            <c:idx val="1"/>
            <c:bubble3D val="0"/>
            <c:extLst>
              <c:ext xmlns:c16="http://schemas.microsoft.com/office/drawing/2014/chart" uri="{C3380CC4-5D6E-409C-BE32-E72D297353CC}">
                <c16:uniqueId val="{00000001-B965-48B2-947E-5804001E3729}"/>
              </c:ext>
            </c:extLst>
          </c:dPt>
          <c:dPt>
            <c:idx val="2"/>
            <c:bubble3D val="0"/>
            <c:extLst>
              <c:ext xmlns:c16="http://schemas.microsoft.com/office/drawing/2014/chart" uri="{C3380CC4-5D6E-409C-BE32-E72D297353CC}">
                <c16:uniqueId val="{00000002-B965-48B2-947E-5804001E3729}"/>
              </c:ext>
            </c:extLst>
          </c:dPt>
          <c:dLbls>
            <c:spPr>
              <a:noFill/>
              <a:ln w="25400">
                <a:noFill/>
              </a:ln>
            </c:spPr>
            <c:showLegendKey val="0"/>
            <c:showVal val="1"/>
            <c:showCatName val="0"/>
            <c:showSerName val="0"/>
            <c:showPercent val="0"/>
            <c:showBubbleSize val="0"/>
            <c:showLeaderLines val="1"/>
            <c:extLst>
              <c:ext xmlns:c15="http://schemas.microsoft.com/office/drawing/2012/chart" uri="{CE6537A1-D6FC-4f65-9D91-7224C49458BB}"/>
            </c:extLst>
          </c:dLbls>
          <c:cat>
            <c:strRef>
              <c:f>'2012Placement'!$C$5:$C$7</c:f>
              <c:strCache>
                <c:ptCount val="3"/>
                <c:pt idx="0">
                  <c:v>The vendor</c:v>
                </c:pt>
                <c:pt idx="1">
                  <c:v>Directors</c:v>
                </c:pt>
                <c:pt idx="2">
                  <c:v>Public Shareholders</c:v>
                </c:pt>
              </c:strCache>
            </c:strRef>
          </c:cat>
          <c:val>
            <c:numRef>
              <c:f>'2012Placement'!$D$5:$D$7</c:f>
              <c:numCache>
                <c:formatCode>0.00%</c:formatCode>
                <c:ptCount val="3"/>
                <c:pt idx="0">
                  <c:v>0.61850000000000005</c:v>
                </c:pt>
                <c:pt idx="1">
                  <c:v>5.7999999999999996E-3</c:v>
                </c:pt>
                <c:pt idx="2">
                  <c:v>0.37569999999999998</c:v>
                </c:pt>
              </c:numCache>
            </c:numRef>
          </c:val>
          <c:extLst>
            <c:ext xmlns:c16="http://schemas.microsoft.com/office/drawing/2014/chart" uri="{C3380CC4-5D6E-409C-BE32-E72D297353CC}">
              <c16:uniqueId val="{00000003-B965-48B2-947E-5804001E3729}"/>
            </c:ext>
          </c:extLst>
        </c:ser>
        <c:dLbls>
          <c:showLegendKey val="0"/>
          <c:showVal val="0"/>
          <c:showCatName val="0"/>
          <c:showSerName val="0"/>
          <c:showPercent val="0"/>
          <c:showBubbleSize val="0"/>
          <c:showLeaderLines val="1"/>
        </c:dLbls>
        <c:firstSliceAng val="0"/>
      </c:pieChart>
      <c:spPr>
        <a:noFill/>
        <a:ln w="25400">
          <a:noFill/>
        </a:ln>
      </c:spPr>
    </c:plotArea>
    <c:legend>
      <c:legendPos val="r"/>
      <c:overlay val="0"/>
    </c:legend>
    <c:plotVisOnly val="1"/>
    <c:dispBlanksAs val="zero"/>
    <c:showDLblsOverMax val="0"/>
  </c:chart>
  <c:spPr>
    <a:noFill/>
    <a:ln w="9525">
      <a:noFill/>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ltLang="en-US" sz="1200"/>
              <a:t>After placing and subscription</a:t>
            </a:r>
          </a:p>
        </c:rich>
      </c:tx>
      <c:overlay val="0"/>
      <c:spPr>
        <a:noFill/>
        <a:ln w="25400">
          <a:noFill/>
        </a:ln>
      </c:spPr>
    </c:title>
    <c:autoTitleDeleted val="0"/>
    <c:plotArea>
      <c:layout/>
      <c:pieChart>
        <c:varyColors val="1"/>
        <c:ser>
          <c:idx val="0"/>
          <c:order val="0"/>
          <c:tx>
            <c:strRef>
              <c:f>'2012Placement'!$E$4</c:f>
              <c:strCache>
                <c:ptCount val="1"/>
                <c:pt idx="0">
                  <c:v>After placing and subscription</c:v>
                </c:pt>
              </c:strCache>
            </c:strRef>
          </c:tx>
          <c:dPt>
            <c:idx val="0"/>
            <c:bubble3D val="0"/>
            <c:extLst>
              <c:ext xmlns:c16="http://schemas.microsoft.com/office/drawing/2014/chart" uri="{C3380CC4-5D6E-409C-BE32-E72D297353CC}">
                <c16:uniqueId val="{00000000-E512-42BC-A818-A4EE27AE8FC6}"/>
              </c:ext>
            </c:extLst>
          </c:dPt>
          <c:dPt>
            <c:idx val="1"/>
            <c:bubble3D val="0"/>
            <c:extLst>
              <c:ext xmlns:c16="http://schemas.microsoft.com/office/drawing/2014/chart" uri="{C3380CC4-5D6E-409C-BE32-E72D297353CC}">
                <c16:uniqueId val="{00000001-E512-42BC-A818-A4EE27AE8FC6}"/>
              </c:ext>
            </c:extLst>
          </c:dPt>
          <c:dPt>
            <c:idx val="2"/>
            <c:bubble3D val="0"/>
            <c:extLst>
              <c:ext xmlns:c16="http://schemas.microsoft.com/office/drawing/2014/chart" uri="{C3380CC4-5D6E-409C-BE32-E72D297353CC}">
                <c16:uniqueId val="{00000002-E512-42BC-A818-A4EE27AE8FC6}"/>
              </c:ext>
            </c:extLst>
          </c:dPt>
          <c:dLbls>
            <c:spPr>
              <a:noFill/>
              <a:ln w="25400">
                <a:noFill/>
              </a:ln>
            </c:spPr>
            <c:showLegendKey val="0"/>
            <c:showVal val="1"/>
            <c:showCatName val="0"/>
            <c:showSerName val="0"/>
            <c:showPercent val="0"/>
            <c:showBubbleSize val="0"/>
            <c:showLeaderLines val="1"/>
            <c:extLst>
              <c:ext xmlns:c15="http://schemas.microsoft.com/office/drawing/2012/chart" uri="{CE6537A1-D6FC-4f65-9D91-7224C49458BB}"/>
            </c:extLst>
          </c:dLbls>
          <c:cat>
            <c:strRef>
              <c:f>'2012Placement'!$C$5:$C$7</c:f>
              <c:strCache>
                <c:ptCount val="3"/>
                <c:pt idx="0">
                  <c:v>The vendor</c:v>
                </c:pt>
                <c:pt idx="1">
                  <c:v>Directors</c:v>
                </c:pt>
                <c:pt idx="2">
                  <c:v>Public Shareholders</c:v>
                </c:pt>
              </c:strCache>
            </c:strRef>
          </c:cat>
          <c:val>
            <c:numRef>
              <c:f>'2012Placement'!$E$5:$E$7</c:f>
              <c:numCache>
                <c:formatCode>0.00%</c:formatCode>
                <c:ptCount val="3"/>
                <c:pt idx="0">
                  <c:v>0.57069999999999999</c:v>
                </c:pt>
                <c:pt idx="1">
                  <c:v>5.4000000000000003E-3</c:v>
                </c:pt>
                <c:pt idx="2">
                  <c:v>0.4239</c:v>
                </c:pt>
              </c:numCache>
            </c:numRef>
          </c:val>
          <c:extLst>
            <c:ext xmlns:c16="http://schemas.microsoft.com/office/drawing/2014/chart" uri="{C3380CC4-5D6E-409C-BE32-E72D297353CC}">
              <c16:uniqueId val="{00000003-E512-42BC-A818-A4EE27AE8FC6}"/>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wMode val="edge"/>
          <c:hMode val="edge"/>
          <c:x val="0.63588473604387841"/>
          <c:y val="0.41762613006707494"/>
          <c:w val="0.9762546832041773"/>
          <c:h val="0.69348940577830065"/>
        </c:manualLayout>
      </c:layout>
      <c:overlay val="0"/>
    </c:legend>
    <c:plotVisOnly val="1"/>
    <c:dispBlanksAs val="zero"/>
    <c:showDLblsOverMax val="0"/>
  </c:chart>
  <c:spPr>
    <a:noFill/>
    <a:ln w="9525">
      <a:noFill/>
    </a:ln>
  </c:spPr>
  <c:printSettings>
    <c:headerFooter/>
    <c:pageMargins b="0.75000000000000022" l="0.70000000000000018" r="0.70000000000000018" t="0.75000000000000022" header="0.3000000000000001" footer="0.3000000000000001"/>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28296337234284191"/>
          <c:y val="0.34027854699830684"/>
          <c:w val="0.45777844007297464"/>
          <c:h val="0.28472286585572615"/>
        </c:manualLayout>
      </c:layout>
      <c:pie3DChart>
        <c:varyColors val="1"/>
        <c:ser>
          <c:idx val="0"/>
          <c:order val="0"/>
          <c:spPr>
            <a:solidFill>
              <a:srgbClr val="CCFFCC"/>
            </a:solidFill>
            <a:ln w="12700">
              <a:solidFill>
                <a:srgbClr val="000000"/>
              </a:solidFill>
              <a:prstDash val="solid"/>
            </a:ln>
          </c:spPr>
          <c:dPt>
            <c:idx val="0"/>
            <c:bubble3D val="0"/>
            <c:extLst>
              <c:ext xmlns:c16="http://schemas.microsoft.com/office/drawing/2014/chart" uri="{C3380CC4-5D6E-409C-BE32-E72D297353CC}">
                <c16:uniqueId val="{00000000-2AEB-4640-9FA4-4A3CB09CF4BB}"/>
              </c:ext>
            </c:extLst>
          </c:dPt>
          <c:dPt>
            <c:idx val="1"/>
            <c:bubble3D val="0"/>
            <c:spPr>
              <a:solidFill>
                <a:srgbClr val="FFFF99"/>
              </a:solidFill>
              <a:ln w="12700">
                <a:solidFill>
                  <a:srgbClr val="000000"/>
                </a:solidFill>
                <a:prstDash val="solid"/>
              </a:ln>
            </c:spPr>
            <c:extLst>
              <c:ext xmlns:c16="http://schemas.microsoft.com/office/drawing/2014/chart" uri="{C3380CC4-5D6E-409C-BE32-E72D297353CC}">
                <c16:uniqueId val="{00000002-2AEB-4640-9FA4-4A3CB09CF4BB}"/>
              </c:ext>
            </c:extLst>
          </c:dPt>
          <c:dPt>
            <c:idx val="2"/>
            <c:bubble3D val="0"/>
            <c:spPr>
              <a:solidFill>
                <a:srgbClr val="C0C0C0"/>
              </a:solidFill>
              <a:ln w="12700">
                <a:solidFill>
                  <a:srgbClr val="000000"/>
                </a:solidFill>
                <a:prstDash val="solid"/>
              </a:ln>
            </c:spPr>
            <c:extLst>
              <c:ext xmlns:c16="http://schemas.microsoft.com/office/drawing/2014/chart" uri="{C3380CC4-5D6E-409C-BE32-E72D297353CC}">
                <c16:uniqueId val="{00000004-2AEB-4640-9FA4-4A3CB09CF4BB}"/>
              </c:ext>
            </c:extLst>
          </c:dPt>
          <c:dPt>
            <c:idx val="3"/>
            <c:bubble3D val="0"/>
            <c:spPr>
              <a:solidFill>
                <a:srgbClr val="E3E3E3"/>
              </a:solidFill>
              <a:ln w="12700">
                <a:solidFill>
                  <a:srgbClr val="000000"/>
                </a:solidFill>
                <a:prstDash val="solid"/>
              </a:ln>
            </c:spPr>
            <c:extLst>
              <c:ext xmlns:c16="http://schemas.microsoft.com/office/drawing/2014/chart" uri="{C3380CC4-5D6E-409C-BE32-E72D297353CC}">
                <c16:uniqueId val="{00000006-2AEB-4640-9FA4-4A3CB09CF4BB}"/>
              </c:ext>
            </c:extLst>
          </c:dPt>
          <c:dPt>
            <c:idx val="4"/>
            <c:bubble3D val="0"/>
            <c:spPr>
              <a:solidFill>
                <a:srgbClr val="808000"/>
              </a:solidFill>
              <a:ln w="12700">
                <a:solidFill>
                  <a:srgbClr val="000000"/>
                </a:solidFill>
                <a:prstDash val="solid"/>
              </a:ln>
            </c:spPr>
            <c:extLst>
              <c:ext xmlns:c16="http://schemas.microsoft.com/office/drawing/2014/chart" uri="{C3380CC4-5D6E-409C-BE32-E72D297353CC}">
                <c16:uniqueId val="{00000008-2AEB-4640-9FA4-4A3CB09CF4BB}"/>
              </c:ext>
            </c:extLst>
          </c:dPt>
          <c:dLbls>
            <c:dLbl>
              <c:idx val="0"/>
              <c:layout>
                <c:manualLayout>
                  <c:x val="-5.8328160929161682E-2"/>
                  <c:y val="7.482466552375179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2AEB-4640-9FA4-4A3CB09CF4BB}"/>
                </c:ext>
              </c:extLst>
            </c:dLbl>
            <c:dLbl>
              <c:idx val="2"/>
              <c:layout>
                <c:manualLayout>
                  <c:x val="1.8384244948272736E-2"/>
                  <c:y val="-3.7393045351025141E-3"/>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2AEB-4640-9FA4-4A3CB09CF4BB}"/>
                </c:ext>
              </c:extLst>
            </c:dLbl>
            <c:dLbl>
              <c:idx val="3"/>
              <c:layout>
                <c:manualLayout>
                  <c:x val="4.1231522728912048E-2"/>
                  <c:y val="-9.7918473057751435E-2"/>
                </c:manualLayout>
              </c:layout>
              <c:spPr>
                <a:noFill/>
                <a:ln w="25400">
                  <a:noFill/>
                </a:ln>
              </c:spPr>
              <c:txPr>
                <a:bodyPr/>
                <a:lstStyle/>
                <a:p>
                  <a:pPr>
                    <a:defRPr sz="800" b="0" i="0" u="none" strike="noStrike" baseline="0">
                      <a:solidFill>
                        <a:srgbClr val="000000"/>
                      </a:solidFill>
                      <a:latin typeface="Arial"/>
                      <a:ea typeface="Arial"/>
                      <a:cs typeface="Arial"/>
                    </a:defRPr>
                  </a:pPr>
                  <a:endParaRPr lang="zh-CN"/>
                </a:p>
              </c:txPr>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2AEB-4640-9FA4-4A3CB09CF4BB}"/>
                </c:ext>
              </c:extLst>
            </c:dLbl>
            <c:dLbl>
              <c:idx val="4"/>
              <c:layout>
                <c:manualLayout>
                  <c:x val="9.2291420841108751E-2"/>
                  <c:y val="-3.5421025980470526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2AEB-4640-9FA4-4A3CB09CF4BB}"/>
                </c:ext>
              </c:extLst>
            </c:dLbl>
            <c:numFmt formatCode="0%" sourceLinked="0"/>
            <c:spPr>
              <a:noFill/>
              <a:ln w="25400">
                <a:noFill/>
              </a:ln>
            </c:spPr>
            <c:txPr>
              <a:bodyPr/>
              <a:lstStyle/>
              <a:p>
                <a:pPr>
                  <a:defRPr sz="800" b="0" i="0" u="none" strike="noStrike" baseline="0">
                    <a:solidFill>
                      <a:srgbClr val="000000"/>
                    </a:solidFill>
                    <a:latin typeface="Arial"/>
                    <a:ea typeface="Arial"/>
                    <a:cs typeface="Arial"/>
                  </a:defRPr>
                </a:pPr>
                <a:endParaRPr lang="zh-CN"/>
              </a:p>
            </c:txPr>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'地区分部(原始）'!$V$3:$V$7</c:f>
              <c:strCache>
                <c:ptCount val="5"/>
                <c:pt idx="0">
                  <c:v>Hong Kong</c:v>
                </c:pt>
                <c:pt idx="1">
                  <c:v>Macau</c:v>
                </c:pt>
                <c:pt idx="2">
                  <c:v>UAE</c:v>
                </c:pt>
                <c:pt idx="3">
                  <c:v>China Mainland</c:v>
                </c:pt>
                <c:pt idx="4">
                  <c:v>India</c:v>
                </c:pt>
              </c:strCache>
            </c:strRef>
          </c:cat>
          <c:val>
            <c:numRef>
              <c:f>'地区分部(原始）'!$U$3:$U$7</c:f>
              <c:numCache>
                <c:formatCode>0.0%</c:formatCode>
                <c:ptCount val="5"/>
                <c:pt idx="0">
                  <c:v>0.55339355930831802</c:v>
                </c:pt>
                <c:pt idx="1">
                  <c:v>0.18562356356976678</c:v>
                </c:pt>
                <c:pt idx="2">
                  <c:v>0.16053469704457674</c:v>
                </c:pt>
                <c:pt idx="3">
                  <c:v>9.3977226839213515E-2</c:v>
                </c:pt>
                <c:pt idx="4">
                  <c:v>6.4709532381249518E-3</c:v>
                </c:pt>
              </c:numCache>
            </c:numRef>
          </c:val>
          <c:extLst>
            <c:ext xmlns:c16="http://schemas.microsoft.com/office/drawing/2014/chart" uri="{C3380CC4-5D6E-409C-BE32-E72D297353CC}">
              <c16:uniqueId val="{00000009-2AEB-4640-9FA4-4A3CB09CF4BB}"/>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spPr>
    <a:noFill/>
    <a:ln w="9525">
      <a:noFill/>
    </a:ln>
  </c:spPr>
  <c:txPr>
    <a:bodyPr/>
    <a:lstStyle/>
    <a:p>
      <a:pPr>
        <a:defRPr sz="1200" b="0" i="0" u="none" strike="noStrike" baseline="0">
          <a:solidFill>
            <a:srgbClr val="000000"/>
          </a:solidFill>
          <a:latin typeface="宋体"/>
          <a:ea typeface="宋体"/>
          <a:cs typeface="宋体"/>
        </a:defRPr>
      </a:pPr>
      <a:endParaRPr lang="zh-CN"/>
    </a:p>
  </c:txPr>
  <c:printSettings>
    <c:headerFooter alignWithMargins="0"/>
    <c:pageMargins b="1" l="0.75" r="0.75" t="1" header="0.5" footer="0.5"/>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1737289932809534"/>
          <c:y val="0.24528347082007448"/>
          <c:w val="0.66949221800952774"/>
          <c:h val="0.47169898234629709"/>
        </c:manualLayout>
      </c:layout>
      <c:pie3DChart>
        <c:varyColors val="1"/>
        <c:ser>
          <c:idx val="0"/>
          <c:order val="0"/>
          <c:spPr>
            <a:solidFill>
              <a:srgbClr val="CCFFCC"/>
            </a:solidFill>
            <a:ln w="12700">
              <a:solidFill>
                <a:srgbClr val="000000"/>
              </a:solidFill>
              <a:prstDash val="solid"/>
            </a:ln>
          </c:spPr>
          <c:dPt>
            <c:idx val="0"/>
            <c:bubble3D val="0"/>
            <c:extLst>
              <c:ext xmlns:c16="http://schemas.microsoft.com/office/drawing/2014/chart" uri="{C3380CC4-5D6E-409C-BE32-E72D297353CC}">
                <c16:uniqueId val="{00000000-8121-47BA-8F7A-5F726545633A}"/>
              </c:ext>
            </c:extLst>
          </c:dPt>
          <c:dPt>
            <c:idx val="1"/>
            <c:bubble3D val="0"/>
            <c:spPr>
              <a:solidFill>
                <a:srgbClr val="FFFF99"/>
              </a:solidFill>
              <a:ln w="12700">
                <a:solidFill>
                  <a:srgbClr val="000000"/>
                </a:solidFill>
                <a:prstDash val="solid"/>
              </a:ln>
            </c:spPr>
            <c:extLst>
              <c:ext xmlns:c16="http://schemas.microsoft.com/office/drawing/2014/chart" uri="{C3380CC4-5D6E-409C-BE32-E72D297353CC}">
                <c16:uniqueId val="{00000002-8121-47BA-8F7A-5F726545633A}"/>
              </c:ext>
            </c:extLst>
          </c:dPt>
          <c:dPt>
            <c:idx val="2"/>
            <c:bubble3D val="0"/>
            <c:spPr>
              <a:solidFill>
                <a:srgbClr val="C0C0C0"/>
              </a:solidFill>
              <a:ln w="12700">
                <a:solidFill>
                  <a:srgbClr val="000000"/>
                </a:solidFill>
                <a:prstDash val="solid"/>
              </a:ln>
            </c:spPr>
            <c:extLst>
              <c:ext xmlns:c16="http://schemas.microsoft.com/office/drawing/2014/chart" uri="{C3380CC4-5D6E-409C-BE32-E72D297353CC}">
                <c16:uniqueId val="{00000004-8121-47BA-8F7A-5F726545633A}"/>
              </c:ext>
            </c:extLst>
          </c:dPt>
          <c:dPt>
            <c:idx val="3"/>
            <c:bubble3D val="0"/>
            <c:spPr>
              <a:solidFill>
                <a:srgbClr val="E3E3E3"/>
              </a:solidFill>
              <a:ln w="12700">
                <a:solidFill>
                  <a:srgbClr val="000000"/>
                </a:solidFill>
                <a:prstDash val="solid"/>
              </a:ln>
            </c:spPr>
            <c:extLst>
              <c:ext xmlns:c16="http://schemas.microsoft.com/office/drawing/2014/chart" uri="{C3380CC4-5D6E-409C-BE32-E72D297353CC}">
                <c16:uniqueId val="{00000006-8121-47BA-8F7A-5F726545633A}"/>
              </c:ext>
            </c:extLst>
          </c:dPt>
          <c:dPt>
            <c:idx val="4"/>
            <c:bubble3D val="0"/>
            <c:spPr>
              <a:solidFill>
                <a:srgbClr val="808000"/>
              </a:solidFill>
              <a:ln w="12700">
                <a:solidFill>
                  <a:srgbClr val="000000"/>
                </a:solidFill>
                <a:prstDash val="solid"/>
              </a:ln>
            </c:spPr>
            <c:extLst>
              <c:ext xmlns:c16="http://schemas.microsoft.com/office/drawing/2014/chart" uri="{C3380CC4-5D6E-409C-BE32-E72D297353CC}">
                <c16:uniqueId val="{00000008-8121-47BA-8F7A-5F726545633A}"/>
              </c:ext>
            </c:extLst>
          </c:dPt>
          <c:dLbls>
            <c:dLbl>
              <c:idx val="0"/>
              <c:layout>
                <c:manualLayout>
                  <c:x val="3.066039624763396E-3"/>
                  <c:y val="-5.7427876996812732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0-8121-47BA-8F7A-5F726545633A}"/>
                </c:ext>
              </c:extLst>
            </c:dLbl>
            <c:dLbl>
              <c:idx val="3"/>
              <c:layout>
                <c:manualLayout>
                  <c:x val="2.966104763333351E-2"/>
                  <c:y val="-0.12517370866063429"/>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6-8121-47BA-8F7A-5F726545633A}"/>
                </c:ext>
              </c:extLst>
            </c:dLbl>
            <c:dLbl>
              <c:idx val="4"/>
              <c:layout>
                <c:manualLayout>
                  <c:x val="9.6264825897592526E-2"/>
                  <c:y val="-7.5434631162640167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8-8121-47BA-8F7A-5F726545633A}"/>
                </c:ext>
              </c:extLst>
            </c:dLbl>
            <c:numFmt formatCode="0%" sourceLinked="0"/>
            <c:spPr>
              <a:noFill/>
              <a:ln w="25400">
                <a:noFill/>
              </a:ln>
            </c:spPr>
            <c:txPr>
              <a:bodyPr/>
              <a:lstStyle/>
              <a:p>
                <a:pPr>
                  <a:defRPr sz="800" b="0" i="0" u="none" strike="noStrike" baseline="0">
                    <a:solidFill>
                      <a:srgbClr val="000000"/>
                    </a:solidFill>
                    <a:latin typeface="Arial"/>
                    <a:ea typeface="Arial"/>
                    <a:cs typeface="Arial"/>
                  </a:defRPr>
                </a:pPr>
                <a:endParaRPr lang="zh-CN"/>
              </a:p>
            </c:txP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'地区分部(原始）'!$V$3:$V$7</c:f>
              <c:strCache>
                <c:ptCount val="5"/>
                <c:pt idx="0">
                  <c:v>Hong Kong</c:v>
                </c:pt>
                <c:pt idx="1">
                  <c:v>Macau</c:v>
                </c:pt>
                <c:pt idx="2">
                  <c:v>UAE</c:v>
                </c:pt>
                <c:pt idx="3">
                  <c:v>China Mainland</c:v>
                </c:pt>
                <c:pt idx="4">
                  <c:v>India</c:v>
                </c:pt>
              </c:strCache>
            </c:strRef>
          </c:cat>
          <c:val>
            <c:numRef>
              <c:f>'地区分部(原始）'!$U$29:$U$33</c:f>
              <c:numCache>
                <c:formatCode>0.0%</c:formatCode>
                <c:ptCount val="5"/>
                <c:pt idx="0">
                  <c:v>0.19360905036827047</c:v>
                </c:pt>
                <c:pt idx="1">
                  <c:v>0.3873823354471771</c:v>
                </c:pt>
                <c:pt idx="2">
                  <c:v>2.4620410675552109E-3</c:v>
                </c:pt>
                <c:pt idx="3">
                  <c:v>0.40417422491573723</c:v>
                </c:pt>
                <c:pt idx="4">
                  <c:v>1.2372348201260021E-2</c:v>
                </c:pt>
              </c:numCache>
            </c:numRef>
          </c:val>
          <c:extLst>
            <c:ext xmlns:c16="http://schemas.microsoft.com/office/drawing/2014/chart" uri="{C3380CC4-5D6E-409C-BE32-E72D297353CC}">
              <c16:uniqueId val="{00000009-8121-47BA-8F7A-5F726545633A}"/>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zh-CN"/>
    </a:p>
  </c:txPr>
  <c:printSettings>
    <c:headerFooter alignWithMargins="0"/>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14587737843551796"/>
          <c:y val="0.23741007194244604"/>
          <c:w val="0.72304439746300209"/>
          <c:h val="0.48920863309352519"/>
        </c:manualLayout>
      </c:layout>
      <c:pie3DChart>
        <c:varyColors val="1"/>
        <c:ser>
          <c:idx val="0"/>
          <c:order val="0"/>
          <c:spPr>
            <a:solidFill>
              <a:srgbClr val="CCFFCC"/>
            </a:solidFill>
            <a:ln w="12700">
              <a:solidFill>
                <a:srgbClr val="000000"/>
              </a:solidFill>
              <a:prstDash val="solid"/>
            </a:ln>
          </c:spPr>
          <c:dPt>
            <c:idx val="0"/>
            <c:bubble3D val="0"/>
            <c:extLst>
              <c:ext xmlns:c16="http://schemas.microsoft.com/office/drawing/2014/chart" uri="{C3380CC4-5D6E-409C-BE32-E72D297353CC}">
                <c16:uniqueId val="{00000000-762D-4F0D-AD98-88CCC2328B27}"/>
              </c:ext>
            </c:extLst>
          </c:dPt>
          <c:dPt>
            <c:idx val="1"/>
            <c:bubble3D val="0"/>
            <c:spPr>
              <a:solidFill>
                <a:srgbClr val="FFFF99"/>
              </a:solidFill>
              <a:ln w="12700">
                <a:solidFill>
                  <a:srgbClr val="000000"/>
                </a:solidFill>
                <a:prstDash val="solid"/>
              </a:ln>
            </c:spPr>
            <c:extLst>
              <c:ext xmlns:c16="http://schemas.microsoft.com/office/drawing/2014/chart" uri="{C3380CC4-5D6E-409C-BE32-E72D297353CC}">
                <c16:uniqueId val="{00000002-762D-4F0D-AD98-88CCC2328B27}"/>
              </c:ext>
            </c:extLst>
          </c:dPt>
          <c:dPt>
            <c:idx val="2"/>
            <c:bubble3D val="0"/>
            <c:spPr>
              <a:solidFill>
                <a:srgbClr val="C0C0C0"/>
              </a:solidFill>
              <a:ln w="12700">
                <a:solidFill>
                  <a:srgbClr val="000000"/>
                </a:solidFill>
                <a:prstDash val="solid"/>
              </a:ln>
            </c:spPr>
            <c:extLst>
              <c:ext xmlns:c16="http://schemas.microsoft.com/office/drawing/2014/chart" uri="{C3380CC4-5D6E-409C-BE32-E72D297353CC}">
                <c16:uniqueId val="{00000004-762D-4F0D-AD98-88CCC2328B27}"/>
              </c:ext>
            </c:extLst>
          </c:dPt>
          <c:dPt>
            <c:idx val="3"/>
            <c:bubble3D val="0"/>
            <c:spPr>
              <a:solidFill>
                <a:srgbClr val="E3E3E3"/>
              </a:solidFill>
              <a:ln w="12700">
                <a:solidFill>
                  <a:srgbClr val="000000"/>
                </a:solidFill>
                <a:prstDash val="solid"/>
              </a:ln>
            </c:spPr>
            <c:extLst>
              <c:ext xmlns:c16="http://schemas.microsoft.com/office/drawing/2014/chart" uri="{C3380CC4-5D6E-409C-BE32-E72D297353CC}">
                <c16:uniqueId val="{00000006-762D-4F0D-AD98-88CCC2328B27}"/>
              </c:ext>
            </c:extLst>
          </c:dPt>
          <c:dPt>
            <c:idx val="4"/>
            <c:bubble3D val="0"/>
            <c:spPr>
              <a:solidFill>
                <a:srgbClr val="808000"/>
              </a:solidFill>
              <a:ln w="12700">
                <a:solidFill>
                  <a:srgbClr val="000000"/>
                </a:solidFill>
                <a:prstDash val="solid"/>
              </a:ln>
            </c:spPr>
            <c:extLst>
              <c:ext xmlns:c16="http://schemas.microsoft.com/office/drawing/2014/chart" uri="{C3380CC4-5D6E-409C-BE32-E72D297353CC}">
                <c16:uniqueId val="{00000008-762D-4F0D-AD98-88CCC2328B27}"/>
              </c:ext>
            </c:extLst>
          </c:dPt>
          <c:dLbls>
            <c:dLbl>
              <c:idx val="0"/>
              <c:layout>
                <c:manualLayout>
                  <c:x val="-1.0279169649248333E-2"/>
                  <c:y val="-5.4611680734152845E-2"/>
                </c:manualLayout>
              </c:layout>
              <c:tx>
                <c:rich>
                  <a:bodyPr/>
                  <a:lstStyle/>
                  <a:p>
                    <a:pPr>
                      <a:defRPr sz="950" b="0" i="0" u="none" strike="noStrike" baseline="0">
                        <a:solidFill>
                          <a:srgbClr val="000000"/>
                        </a:solidFill>
                        <a:latin typeface="Arial"/>
                        <a:ea typeface="Arial"/>
                        <a:cs typeface="Arial"/>
                      </a:defRPr>
                    </a:pPr>
                    <a:r>
                      <a:rPr lang="zh-CN" altLang="en-US" sz="800" b="0" i="0" u="none" strike="noStrike" baseline="0">
                        <a:solidFill>
                          <a:srgbClr val="000000"/>
                        </a:solidFill>
                        <a:latin typeface="楷体_GB2312"/>
                        <a:ea typeface="楷体_GB2312"/>
                      </a:rPr>
                      <a:t>香港 </a:t>
                    </a:r>
                    <a:r>
                      <a:rPr lang="en-US" altLang="zh-CN" sz="800" b="0" i="0" u="none" strike="noStrike" baseline="0">
                        <a:solidFill>
                          <a:srgbClr val="000000"/>
                        </a:solidFill>
                        <a:latin typeface="楷体_GB2312"/>
                        <a:ea typeface="楷体_GB2312"/>
                      </a:rPr>
                      <a:t>19%</a:t>
                    </a:r>
                  </a:p>
                </c:rich>
              </c:tx>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62D-4F0D-AD98-88CCC2328B27}"/>
                </c:ext>
              </c:extLst>
            </c:dLbl>
            <c:dLbl>
              <c:idx val="1"/>
              <c:tx>
                <c:rich>
                  <a:bodyPr/>
                  <a:lstStyle/>
                  <a:p>
                    <a:pPr>
                      <a:defRPr sz="950" b="0" i="0" u="none" strike="noStrike" baseline="0">
                        <a:solidFill>
                          <a:srgbClr val="000000"/>
                        </a:solidFill>
                        <a:latin typeface="Arial"/>
                        <a:ea typeface="Arial"/>
                        <a:cs typeface="Arial"/>
                      </a:defRPr>
                    </a:pPr>
                    <a:r>
                      <a:rPr lang="zh-CN" altLang="en-US" sz="800" b="0" i="0" u="none" strike="noStrike" baseline="0">
                        <a:solidFill>
                          <a:srgbClr val="000000"/>
                        </a:solidFill>
                        <a:latin typeface="楷体_GB2312"/>
                        <a:ea typeface="楷体_GB2312"/>
                      </a:rPr>
                      <a:t>澳门 </a:t>
                    </a:r>
                    <a:r>
                      <a:rPr lang="en-US" altLang="zh-CN" sz="800" b="0" i="0" u="none" strike="noStrike" baseline="0">
                        <a:solidFill>
                          <a:srgbClr val="000000"/>
                        </a:solidFill>
                        <a:latin typeface="楷体_GB2312"/>
                        <a:ea typeface="楷体_GB2312"/>
                      </a:rPr>
                      <a:t>39%</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62D-4F0D-AD98-88CCC2328B27}"/>
                </c:ext>
              </c:extLst>
            </c:dLbl>
            <c:dLbl>
              <c:idx val="2"/>
              <c:tx>
                <c:rich>
                  <a:bodyPr/>
                  <a:lstStyle/>
                  <a:p>
                    <a:pPr>
                      <a:defRPr sz="950" b="0" i="0" u="none" strike="noStrike" baseline="0">
                        <a:solidFill>
                          <a:srgbClr val="000000"/>
                        </a:solidFill>
                        <a:latin typeface="Arial"/>
                        <a:ea typeface="Arial"/>
                        <a:cs typeface="Arial"/>
                      </a:defRPr>
                    </a:pPr>
                    <a:r>
                      <a:rPr lang="zh-CN" altLang="en-US" sz="800" b="0" i="0" u="none" strike="noStrike" baseline="0">
                        <a:solidFill>
                          <a:srgbClr val="000000"/>
                        </a:solidFill>
                        <a:latin typeface="楷体_GB2312"/>
                        <a:ea typeface="楷体_GB2312"/>
                      </a:rPr>
                      <a:t>阿联酋 </a:t>
                    </a:r>
                    <a:r>
                      <a:rPr lang="en-US" altLang="zh-CN" sz="800" b="0" i="0" u="none" strike="noStrike" baseline="0">
                        <a:solidFill>
                          <a:srgbClr val="000000"/>
                        </a:solidFill>
                        <a:latin typeface="楷体_GB2312"/>
                        <a:ea typeface="楷体_GB2312"/>
                      </a:rPr>
                      <a:t>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62D-4F0D-AD98-88CCC2328B27}"/>
                </c:ext>
              </c:extLst>
            </c:dLbl>
            <c:dLbl>
              <c:idx val="3"/>
              <c:layout>
                <c:manualLayout>
                  <c:x val="0.186046511627907"/>
                  <c:y val="-0.17249117241639758"/>
                </c:manualLayout>
              </c:layout>
              <c:tx>
                <c:rich>
                  <a:bodyPr/>
                  <a:lstStyle/>
                  <a:p>
                    <a:pPr>
                      <a:defRPr sz="950" b="0" i="0" u="none" strike="noStrike" baseline="0">
                        <a:solidFill>
                          <a:srgbClr val="000000"/>
                        </a:solidFill>
                        <a:latin typeface="Arial"/>
                        <a:ea typeface="Arial"/>
                        <a:cs typeface="Arial"/>
                      </a:defRPr>
                    </a:pPr>
                    <a:r>
                      <a:rPr lang="zh-CN" altLang="en-US" sz="800" b="0" i="0" u="none" strike="noStrike" baseline="0">
                        <a:solidFill>
                          <a:srgbClr val="000000"/>
                        </a:solidFill>
                        <a:latin typeface="楷体_GB2312"/>
                        <a:ea typeface="楷体_GB2312"/>
                      </a:rPr>
                      <a:t>中国内地 </a:t>
                    </a:r>
                    <a:r>
                      <a:rPr lang="en-US" altLang="zh-CN" sz="800" b="0" i="0" u="none" strike="noStrike" baseline="0">
                        <a:solidFill>
                          <a:srgbClr val="000000"/>
                        </a:solidFill>
                        <a:latin typeface="楷体_GB2312"/>
                        <a:ea typeface="楷体_GB2312"/>
                      </a:rPr>
                      <a:t>41%</a:t>
                    </a:r>
                  </a:p>
                </c:rich>
              </c:tx>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762D-4F0D-AD98-88CCC2328B27}"/>
                </c:ext>
              </c:extLst>
            </c:dLbl>
            <c:dLbl>
              <c:idx val="4"/>
              <c:layout>
                <c:manualLayout>
                  <c:x val="9.6233900994933758E-2"/>
                  <c:y val="-6.4008761494741204E-2"/>
                </c:manualLayout>
              </c:layout>
              <c:tx>
                <c:rich>
                  <a:bodyPr/>
                  <a:lstStyle/>
                  <a:p>
                    <a:pPr>
                      <a:defRPr sz="950" b="0" i="0" u="none" strike="noStrike" baseline="0">
                        <a:solidFill>
                          <a:srgbClr val="000000"/>
                        </a:solidFill>
                        <a:latin typeface="Arial"/>
                        <a:ea typeface="Arial"/>
                        <a:cs typeface="Arial"/>
                      </a:defRPr>
                    </a:pPr>
                    <a:r>
                      <a:rPr lang="zh-CN" altLang="en-US" sz="800" b="0" i="0" u="none" strike="noStrike" baseline="0">
                        <a:solidFill>
                          <a:srgbClr val="000000"/>
                        </a:solidFill>
                        <a:latin typeface="楷体_GB2312"/>
                        <a:ea typeface="楷体_GB2312"/>
                      </a:rPr>
                      <a:t>印度 </a:t>
                    </a:r>
                    <a:r>
                      <a:rPr lang="en-US" altLang="zh-CN" sz="800" b="0" i="0" u="none" strike="noStrike" baseline="0">
                        <a:solidFill>
                          <a:srgbClr val="000000"/>
                        </a:solidFill>
                        <a:latin typeface="楷体_GB2312"/>
                        <a:ea typeface="楷体_GB2312"/>
                      </a:rPr>
                      <a:t>1%</a:t>
                    </a:r>
                  </a:p>
                </c:rich>
              </c:tx>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762D-4F0D-AD98-88CCC2328B27}"/>
                </c:ext>
              </c:extLst>
            </c:dLbl>
            <c:numFmt formatCode="0%" sourceLinked="0"/>
            <c:spPr>
              <a:noFill/>
              <a:ln w="25400">
                <a:noFill/>
              </a:ln>
            </c:spPr>
            <c:txPr>
              <a:bodyPr/>
              <a:lstStyle/>
              <a:p>
                <a:pPr>
                  <a:defRPr sz="800" b="0" i="0" u="none" strike="noStrike" baseline="0">
                    <a:solidFill>
                      <a:srgbClr val="000000"/>
                    </a:solidFill>
                    <a:latin typeface="Arial"/>
                    <a:ea typeface="Arial"/>
                    <a:cs typeface="Arial"/>
                  </a:defRPr>
                </a:pPr>
                <a:endParaRPr lang="zh-CN"/>
              </a:p>
            </c:txP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'地区分部(原始）'!$Y$3:$Y$7</c:f>
              <c:strCache>
                <c:ptCount val="5"/>
                <c:pt idx="0">
                  <c:v>香港</c:v>
                </c:pt>
                <c:pt idx="1">
                  <c:v>澳门</c:v>
                </c:pt>
                <c:pt idx="2">
                  <c:v>阿联酋</c:v>
                </c:pt>
                <c:pt idx="3">
                  <c:v>中国内地</c:v>
                </c:pt>
                <c:pt idx="4">
                  <c:v>印度</c:v>
                </c:pt>
              </c:strCache>
            </c:strRef>
          </c:cat>
          <c:val>
            <c:numRef>
              <c:f>'地区分部(原始）'!$U$29:$U$33</c:f>
              <c:numCache>
                <c:formatCode>0.0%</c:formatCode>
                <c:ptCount val="5"/>
                <c:pt idx="0">
                  <c:v>0.19360905036827047</c:v>
                </c:pt>
                <c:pt idx="1">
                  <c:v>0.3873823354471771</c:v>
                </c:pt>
                <c:pt idx="2">
                  <c:v>2.4620410675552109E-3</c:v>
                </c:pt>
                <c:pt idx="3">
                  <c:v>0.40417422491573723</c:v>
                </c:pt>
                <c:pt idx="4">
                  <c:v>1.2372348201260021E-2</c:v>
                </c:pt>
              </c:numCache>
            </c:numRef>
          </c:val>
          <c:extLst>
            <c:ext xmlns:c16="http://schemas.microsoft.com/office/drawing/2014/chart" uri="{C3380CC4-5D6E-409C-BE32-E72D297353CC}">
              <c16:uniqueId val="{00000009-762D-4F0D-AD98-88CCC2328B27}"/>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spPr>
    <a:noFill/>
    <a:ln w="9525">
      <a:noFill/>
    </a:ln>
  </c:spPr>
  <c:txPr>
    <a:bodyPr/>
    <a:lstStyle/>
    <a:p>
      <a:pPr>
        <a:defRPr sz="950" b="0" i="0" u="none" strike="noStrike" baseline="0">
          <a:solidFill>
            <a:srgbClr val="000000"/>
          </a:solidFill>
          <a:latin typeface="Arial"/>
          <a:ea typeface="Arial"/>
          <a:cs typeface="Arial"/>
        </a:defRPr>
      </a:pPr>
      <a:endParaRPr lang="zh-CN"/>
    </a:p>
  </c:txPr>
  <c:printSettings>
    <c:headerFooter alignWithMargins="0"/>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14346021117692506"/>
          <c:y val="0.23655996779782634"/>
          <c:w val="0.7278496008241051"/>
          <c:h val="0.49104114527730625"/>
        </c:manualLayout>
      </c:layout>
      <c:pie3DChart>
        <c:varyColors val="1"/>
        <c:ser>
          <c:idx val="0"/>
          <c:order val="0"/>
          <c:spPr>
            <a:solidFill>
              <a:srgbClr val="CCFFCC"/>
            </a:solidFill>
            <a:ln w="12700">
              <a:solidFill>
                <a:srgbClr val="000000"/>
              </a:solidFill>
              <a:prstDash val="solid"/>
            </a:ln>
          </c:spPr>
          <c:dPt>
            <c:idx val="0"/>
            <c:bubble3D val="0"/>
            <c:extLst>
              <c:ext xmlns:c16="http://schemas.microsoft.com/office/drawing/2014/chart" uri="{C3380CC4-5D6E-409C-BE32-E72D297353CC}">
                <c16:uniqueId val="{00000000-349A-4764-8350-F00060F92F95}"/>
              </c:ext>
            </c:extLst>
          </c:dPt>
          <c:dPt>
            <c:idx val="1"/>
            <c:bubble3D val="0"/>
            <c:spPr>
              <a:solidFill>
                <a:srgbClr val="FFFF99"/>
              </a:solidFill>
              <a:ln w="12700">
                <a:solidFill>
                  <a:srgbClr val="000000"/>
                </a:solidFill>
                <a:prstDash val="solid"/>
              </a:ln>
            </c:spPr>
            <c:extLst>
              <c:ext xmlns:c16="http://schemas.microsoft.com/office/drawing/2014/chart" uri="{C3380CC4-5D6E-409C-BE32-E72D297353CC}">
                <c16:uniqueId val="{00000002-349A-4764-8350-F00060F92F95}"/>
              </c:ext>
            </c:extLst>
          </c:dPt>
          <c:dPt>
            <c:idx val="2"/>
            <c:bubble3D val="0"/>
            <c:spPr>
              <a:solidFill>
                <a:srgbClr val="C0C0C0"/>
              </a:solidFill>
              <a:ln w="12700">
                <a:solidFill>
                  <a:srgbClr val="000000"/>
                </a:solidFill>
                <a:prstDash val="solid"/>
              </a:ln>
            </c:spPr>
            <c:extLst>
              <c:ext xmlns:c16="http://schemas.microsoft.com/office/drawing/2014/chart" uri="{C3380CC4-5D6E-409C-BE32-E72D297353CC}">
                <c16:uniqueId val="{00000004-349A-4764-8350-F00060F92F95}"/>
              </c:ext>
            </c:extLst>
          </c:dPt>
          <c:dPt>
            <c:idx val="3"/>
            <c:bubble3D val="0"/>
            <c:spPr>
              <a:solidFill>
                <a:srgbClr val="E3E3E3"/>
              </a:solidFill>
              <a:ln w="12700">
                <a:solidFill>
                  <a:srgbClr val="000000"/>
                </a:solidFill>
                <a:prstDash val="solid"/>
              </a:ln>
            </c:spPr>
            <c:extLst>
              <c:ext xmlns:c16="http://schemas.microsoft.com/office/drawing/2014/chart" uri="{C3380CC4-5D6E-409C-BE32-E72D297353CC}">
                <c16:uniqueId val="{00000006-349A-4764-8350-F00060F92F95}"/>
              </c:ext>
            </c:extLst>
          </c:dPt>
          <c:dPt>
            <c:idx val="4"/>
            <c:bubble3D val="0"/>
            <c:spPr>
              <a:solidFill>
                <a:srgbClr val="808000"/>
              </a:solidFill>
              <a:ln w="12700">
                <a:solidFill>
                  <a:srgbClr val="000000"/>
                </a:solidFill>
                <a:prstDash val="solid"/>
              </a:ln>
            </c:spPr>
            <c:extLst>
              <c:ext xmlns:c16="http://schemas.microsoft.com/office/drawing/2014/chart" uri="{C3380CC4-5D6E-409C-BE32-E72D297353CC}">
                <c16:uniqueId val="{00000008-349A-4764-8350-F00060F92F95}"/>
              </c:ext>
            </c:extLst>
          </c:dPt>
          <c:dLbls>
            <c:dLbl>
              <c:idx val="0"/>
              <c:layout>
                <c:manualLayout>
                  <c:x val="-2.3690725473308642E-2"/>
                  <c:y val="8.0301351642565216E-2"/>
                </c:manualLayout>
              </c:layout>
              <c:tx>
                <c:rich>
                  <a:bodyPr/>
                  <a:lstStyle/>
                  <a:p>
                    <a:pPr>
                      <a:defRPr sz="950" b="0" i="0" u="none" strike="noStrike" baseline="0">
                        <a:solidFill>
                          <a:srgbClr val="000000"/>
                        </a:solidFill>
                        <a:latin typeface="Arial"/>
                        <a:ea typeface="Arial"/>
                        <a:cs typeface="Arial"/>
                      </a:defRPr>
                    </a:pPr>
                    <a:r>
                      <a:rPr lang="zh-CN" altLang="en-US" sz="800" b="0" i="0" u="none" strike="noStrike" baseline="0">
                        <a:solidFill>
                          <a:srgbClr val="000000"/>
                        </a:solidFill>
                        <a:latin typeface="楷体_GB2312"/>
                        <a:ea typeface="楷体_GB2312"/>
                      </a:rPr>
                      <a:t>香港 </a:t>
                    </a:r>
                    <a:r>
                      <a:rPr lang="en-US" altLang="zh-CN" sz="800" b="0" i="0" u="none" strike="noStrike" baseline="0">
                        <a:solidFill>
                          <a:srgbClr val="000000"/>
                        </a:solidFill>
                        <a:latin typeface="楷体_GB2312"/>
                        <a:ea typeface="楷体_GB2312"/>
                      </a:rPr>
                      <a:t>55%</a:t>
                    </a:r>
                  </a:p>
                </c:rich>
              </c:tx>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349A-4764-8350-F00060F92F95}"/>
                </c:ext>
              </c:extLst>
            </c:dLbl>
            <c:dLbl>
              <c:idx val="1"/>
              <c:tx>
                <c:rich>
                  <a:bodyPr/>
                  <a:lstStyle/>
                  <a:p>
                    <a:pPr>
                      <a:defRPr sz="950" b="0" i="0" u="none" strike="noStrike" baseline="0">
                        <a:solidFill>
                          <a:srgbClr val="000000"/>
                        </a:solidFill>
                        <a:latin typeface="Arial"/>
                        <a:ea typeface="Arial"/>
                        <a:cs typeface="Arial"/>
                      </a:defRPr>
                    </a:pPr>
                    <a:r>
                      <a:rPr lang="zh-CN" altLang="en-US" sz="800" b="0" i="0" u="none" strike="noStrike" baseline="0">
                        <a:solidFill>
                          <a:srgbClr val="000000"/>
                        </a:solidFill>
                        <a:latin typeface="楷体_GB2312"/>
                        <a:ea typeface="楷体_GB2312"/>
                      </a:rPr>
                      <a:t>澳门 </a:t>
                    </a:r>
                    <a:r>
                      <a:rPr lang="en-US" altLang="zh-CN" sz="800" b="0" i="0" u="none" strike="noStrike" baseline="0">
                        <a:solidFill>
                          <a:srgbClr val="000000"/>
                        </a:solidFill>
                        <a:latin typeface="楷体_GB2312"/>
                        <a:ea typeface="楷体_GB2312"/>
                      </a:rPr>
                      <a:t>19%</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349A-4764-8350-F00060F92F95}"/>
                </c:ext>
              </c:extLst>
            </c:dLbl>
            <c:dLbl>
              <c:idx val="2"/>
              <c:tx>
                <c:rich>
                  <a:bodyPr/>
                  <a:lstStyle/>
                  <a:p>
                    <a:pPr>
                      <a:defRPr sz="950" b="0" i="0" u="none" strike="noStrike" baseline="0">
                        <a:solidFill>
                          <a:srgbClr val="000000"/>
                        </a:solidFill>
                        <a:latin typeface="Arial"/>
                        <a:ea typeface="Arial"/>
                        <a:cs typeface="Arial"/>
                      </a:defRPr>
                    </a:pPr>
                    <a:r>
                      <a:rPr lang="zh-CN" altLang="en-US" sz="800" b="0" i="0" u="none" strike="noStrike" baseline="0">
                        <a:solidFill>
                          <a:srgbClr val="000000"/>
                        </a:solidFill>
                        <a:latin typeface="楷体_GB2312"/>
                        <a:ea typeface="楷体_GB2312"/>
                      </a:rPr>
                      <a:t>阿联酋 </a:t>
                    </a:r>
                    <a:r>
                      <a:rPr lang="en-US" altLang="zh-CN" sz="800" b="0" i="0" u="none" strike="noStrike" baseline="0">
                        <a:solidFill>
                          <a:srgbClr val="000000"/>
                        </a:solidFill>
                        <a:latin typeface="楷体_GB2312"/>
                        <a:ea typeface="楷体_GB2312"/>
                      </a:rPr>
                      <a:t>16%</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349A-4764-8350-F00060F92F95}"/>
                </c:ext>
              </c:extLst>
            </c:dLbl>
            <c:dLbl>
              <c:idx val="3"/>
              <c:layout>
                <c:manualLayout>
                  <c:x val="2.1089611698341164E-2"/>
                  <c:y val="-5.8021116439470805E-2"/>
                </c:manualLayout>
              </c:layout>
              <c:tx>
                <c:rich>
                  <a:bodyPr/>
                  <a:lstStyle/>
                  <a:p>
                    <a:pPr>
                      <a:defRPr sz="950" b="0" i="0" u="none" strike="noStrike" baseline="0">
                        <a:solidFill>
                          <a:srgbClr val="000000"/>
                        </a:solidFill>
                        <a:latin typeface="Arial"/>
                        <a:ea typeface="Arial"/>
                        <a:cs typeface="Arial"/>
                      </a:defRPr>
                    </a:pPr>
                    <a:r>
                      <a:rPr lang="zh-CN" altLang="en-US" sz="800" b="0" i="0" u="none" strike="noStrike" baseline="0">
                        <a:solidFill>
                          <a:srgbClr val="000000"/>
                        </a:solidFill>
                        <a:latin typeface="楷体_GB2312"/>
                        <a:ea typeface="楷体_GB2312"/>
                      </a:rPr>
                      <a:t>中国内地 </a:t>
                    </a:r>
                    <a:r>
                      <a:rPr lang="en-US" altLang="zh-CN" sz="800" b="0" i="0" u="none" strike="noStrike" baseline="0">
                        <a:solidFill>
                          <a:srgbClr val="000000"/>
                        </a:solidFill>
                        <a:latin typeface="楷体_GB2312"/>
                        <a:ea typeface="楷体_GB2312"/>
                      </a:rPr>
                      <a:t>9%</a:t>
                    </a:r>
                  </a:p>
                </c:rich>
              </c:tx>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349A-4764-8350-F00060F92F95}"/>
                </c:ext>
              </c:extLst>
            </c:dLbl>
            <c:dLbl>
              <c:idx val="4"/>
              <c:layout>
                <c:manualLayout>
                  <c:x val="9.1885206734336075E-2"/>
                  <c:y val="-5.9972655663264873E-2"/>
                </c:manualLayout>
              </c:layout>
              <c:tx>
                <c:rich>
                  <a:bodyPr/>
                  <a:lstStyle/>
                  <a:p>
                    <a:pPr>
                      <a:defRPr sz="950" b="0" i="0" u="none" strike="noStrike" baseline="0">
                        <a:solidFill>
                          <a:srgbClr val="000000"/>
                        </a:solidFill>
                        <a:latin typeface="Arial"/>
                        <a:ea typeface="Arial"/>
                        <a:cs typeface="Arial"/>
                      </a:defRPr>
                    </a:pPr>
                    <a:r>
                      <a:rPr lang="zh-CN" altLang="en-US" sz="800" b="0" i="0" u="none" strike="noStrike" baseline="0">
                        <a:solidFill>
                          <a:srgbClr val="000000"/>
                        </a:solidFill>
                        <a:latin typeface="楷体_GB2312"/>
                        <a:ea typeface="楷体_GB2312"/>
                      </a:rPr>
                      <a:t>印度 </a:t>
                    </a:r>
                    <a:r>
                      <a:rPr lang="en-US" altLang="zh-CN" sz="800" b="0" i="0" u="none" strike="noStrike" baseline="0">
                        <a:solidFill>
                          <a:srgbClr val="000000"/>
                        </a:solidFill>
                        <a:latin typeface="楷体_GB2312"/>
                        <a:ea typeface="楷体_GB2312"/>
                      </a:rPr>
                      <a:t>1%</a:t>
                    </a:r>
                  </a:p>
                </c:rich>
              </c:tx>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349A-4764-8350-F00060F92F95}"/>
                </c:ext>
              </c:extLst>
            </c:dLbl>
            <c:numFmt formatCode="0%" sourceLinked="0"/>
            <c:spPr>
              <a:noFill/>
              <a:ln w="25400">
                <a:noFill/>
              </a:ln>
            </c:spPr>
            <c:txPr>
              <a:bodyPr/>
              <a:lstStyle/>
              <a:p>
                <a:pPr>
                  <a:defRPr sz="800" b="0" i="0" u="none" strike="noStrike" baseline="0">
                    <a:solidFill>
                      <a:srgbClr val="000000"/>
                    </a:solidFill>
                    <a:latin typeface="Arial"/>
                    <a:ea typeface="Arial"/>
                    <a:cs typeface="Arial"/>
                  </a:defRPr>
                </a:pPr>
                <a:endParaRPr lang="zh-CN"/>
              </a:p>
            </c:txP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'地区分部(原始）'!$Y$3:$Y$7</c:f>
              <c:strCache>
                <c:ptCount val="5"/>
                <c:pt idx="0">
                  <c:v>香港</c:v>
                </c:pt>
                <c:pt idx="1">
                  <c:v>澳门</c:v>
                </c:pt>
                <c:pt idx="2">
                  <c:v>阿联酋</c:v>
                </c:pt>
                <c:pt idx="3">
                  <c:v>中国内地</c:v>
                </c:pt>
                <c:pt idx="4">
                  <c:v>印度</c:v>
                </c:pt>
              </c:strCache>
            </c:strRef>
          </c:cat>
          <c:val>
            <c:numRef>
              <c:f>'地区分部(原始）'!$U$3:$U$7</c:f>
              <c:numCache>
                <c:formatCode>0.0%</c:formatCode>
                <c:ptCount val="5"/>
                <c:pt idx="0">
                  <c:v>0.55339355930831802</c:v>
                </c:pt>
                <c:pt idx="1">
                  <c:v>0.18562356356976678</c:v>
                </c:pt>
                <c:pt idx="2">
                  <c:v>0.16053469704457674</c:v>
                </c:pt>
                <c:pt idx="3">
                  <c:v>9.3977226839213515E-2</c:v>
                </c:pt>
                <c:pt idx="4">
                  <c:v>6.4709532381249518E-3</c:v>
                </c:pt>
              </c:numCache>
            </c:numRef>
          </c:val>
          <c:extLst>
            <c:ext xmlns:c16="http://schemas.microsoft.com/office/drawing/2014/chart" uri="{C3380CC4-5D6E-409C-BE32-E72D297353CC}">
              <c16:uniqueId val="{00000009-349A-4764-8350-F00060F92F95}"/>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spPr>
    <a:noFill/>
    <a:ln w="9525">
      <a:noFill/>
    </a:ln>
  </c:spPr>
  <c:txPr>
    <a:bodyPr/>
    <a:lstStyle/>
    <a:p>
      <a:pPr>
        <a:defRPr sz="950" b="0" i="0" u="none" strike="noStrike" baseline="0">
          <a:solidFill>
            <a:srgbClr val="000000"/>
          </a:solidFill>
          <a:latin typeface="Arial"/>
          <a:ea typeface="Arial"/>
          <a:cs typeface="Arial"/>
        </a:defRPr>
      </a:pPr>
      <a:endParaRPr lang="zh-CN"/>
    </a:p>
  </c:txPr>
  <c:printSettings>
    <c:headerFooter alignWithMargins="0"/>
    <c:pageMargins b="1" l="0.75" r="0.75" t="1" header="0.5" footer="0.5"/>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17124735729386892"/>
          <c:y val="0.24812030075187969"/>
          <c:w val="0.60253699788583515"/>
          <c:h val="0.42481203007518797"/>
        </c:manualLayout>
      </c:layout>
      <c:pie3DChart>
        <c:varyColors val="1"/>
        <c:ser>
          <c:idx val="0"/>
          <c:order val="0"/>
          <c:spPr>
            <a:solidFill>
              <a:srgbClr val="CCFFCC"/>
            </a:solidFill>
            <a:ln w="12700">
              <a:solidFill>
                <a:srgbClr val="000000"/>
              </a:solidFill>
              <a:prstDash val="solid"/>
            </a:ln>
          </c:spPr>
          <c:dPt>
            <c:idx val="0"/>
            <c:bubble3D val="0"/>
            <c:extLst>
              <c:ext xmlns:c16="http://schemas.microsoft.com/office/drawing/2014/chart" uri="{C3380CC4-5D6E-409C-BE32-E72D297353CC}">
                <c16:uniqueId val="{00000000-092E-4E0D-A213-5EE72914C470}"/>
              </c:ext>
            </c:extLst>
          </c:dPt>
          <c:dPt>
            <c:idx val="1"/>
            <c:bubble3D val="0"/>
            <c:spPr>
              <a:solidFill>
                <a:srgbClr val="FFFF99"/>
              </a:solidFill>
              <a:ln w="12700">
                <a:solidFill>
                  <a:srgbClr val="000000"/>
                </a:solidFill>
                <a:prstDash val="solid"/>
              </a:ln>
            </c:spPr>
            <c:extLst>
              <c:ext xmlns:c16="http://schemas.microsoft.com/office/drawing/2014/chart" uri="{C3380CC4-5D6E-409C-BE32-E72D297353CC}">
                <c16:uniqueId val="{00000002-092E-4E0D-A213-5EE72914C470}"/>
              </c:ext>
            </c:extLst>
          </c:dPt>
          <c:dPt>
            <c:idx val="2"/>
            <c:bubble3D val="0"/>
            <c:spPr>
              <a:solidFill>
                <a:srgbClr val="C0C0C0"/>
              </a:solidFill>
              <a:ln w="12700">
                <a:solidFill>
                  <a:srgbClr val="000000"/>
                </a:solidFill>
                <a:prstDash val="solid"/>
              </a:ln>
            </c:spPr>
            <c:extLst>
              <c:ext xmlns:c16="http://schemas.microsoft.com/office/drawing/2014/chart" uri="{C3380CC4-5D6E-409C-BE32-E72D297353CC}">
                <c16:uniqueId val="{00000004-092E-4E0D-A213-5EE72914C470}"/>
              </c:ext>
            </c:extLst>
          </c:dPt>
          <c:dPt>
            <c:idx val="3"/>
            <c:bubble3D val="0"/>
            <c:spPr>
              <a:solidFill>
                <a:srgbClr val="E3E3E3"/>
              </a:solidFill>
              <a:ln w="12700">
                <a:solidFill>
                  <a:srgbClr val="000000"/>
                </a:solidFill>
                <a:prstDash val="solid"/>
              </a:ln>
            </c:spPr>
            <c:extLst>
              <c:ext xmlns:c16="http://schemas.microsoft.com/office/drawing/2014/chart" uri="{C3380CC4-5D6E-409C-BE32-E72D297353CC}">
                <c16:uniqueId val="{00000006-092E-4E0D-A213-5EE72914C470}"/>
              </c:ext>
            </c:extLst>
          </c:dPt>
          <c:dPt>
            <c:idx val="4"/>
            <c:bubble3D val="0"/>
            <c:spPr>
              <a:solidFill>
                <a:srgbClr val="808000"/>
              </a:solidFill>
              <a:ln w="12700">
                <a:solidFill>
                  <a:srgbClr val="000000"/>
                </a:solidFill>
                <a:prstDash val="solid"/>
              </a:ln>
            </c:spPr>
            <c:extLst>
              <c:ext xmlns:c16="http://schemas.microsoft.com/office/drawing/2014/chart" uri="{C3380CC4-5D6E-409C-BE32-E72D297353CC}">
                <c16:uniqueId val="{00000008-092E-4E0D-A213-5EE72914C470}"/>
              </c:ext>
            </c:extLst>
          </c:dPt>
          <c:dLbls>
            <c:dLbl>
              <c:idx val="0"/>
              <c:layout>
                <c:manualLayout>
                  <c:x val="6.2395054740778822E-3"/>
                  <c:y val="-6.5176721330886284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092E-4E0D-A213-5EE72914C470}"/>
                </c:ext>
              </c:extLst>
            </c:dLbl>
            <c:dLbl>
              <c:idx val="3"/>
              <c:layout>
                <c:manualLayout>
                  <c:x val="8.6680761099365747E-2"/>
                  <c:y val="-0.14602727290667616"/>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092E-4E0D-A213-5EE72914C470}"/>
                </c:ext>
              </c:extLst>
            </c:dLbl>
            <c:dLbl>
              <c:idx val="4"/>
              <c:layout>
                <c:manualLayout>
                  <c:x val="9.3041900417838871E-2"/>
                  <c:y val="-7.0685374854458985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092E-4E0D-A213-5EE72914C470}"/>
                </c:ext>
              </c:extLst>
            </c:dLbl>
            <c:numFmt formatCode="0.0%" sourceLinked="0"/>
            <c:spPr>
              <a:noFill/>
              <a:ln w="25400">
                <a:noFill/>
              </a:ln>
            </c:spPr>
            <c:txPr>
              <a:bodyPr/>
              <a:lstStyle/>
              <a:p>
                <a:pPr>
                  <a:defRPr sz="800" b="0" i="0" u="none" strike="noStrike" baseline="0">
                    <a:solidFill>
                      <a:srgbClr val="000000"/>
                    </a:solidFill>
                    <a:latin typeface="Arial"/>
                    <a:ea typeface="Arial"/>
                    <a:cs typeface="Arial"/>
                  </a:defRPr>
                </a:pPr>
                <a:endParaRPr lang="zh-CN"/>
              </a:p>
            </c:txPr>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'地区分部(原始）'!$X$39:$X$43</c:f>
              <c:strCache>
                <c:ptCount val="5"/>
                <c:pt idx="0">
                  <c:v>Hong Kong</c:v>
                </c:pt>
                <c:pt idx="1">
                  <c:v>Macau</c:v>
                </c:pt>
                <c:pt idx="2">
                  <c:v>UAE</c:v>
                </c:pt>
                <c:pt idx="3">
                  <c:v>China Mainland</c:v>
                </c:pt>
                <c:pt idx="4">
                  <c:v>India</c:v>
                </c:pt>
              </c:strCache>
            </c:strRef>
          </c:cat>
          <c:val>
            <c:numRef>
              <c:f>'地区分部(原始）'!$Z$39:$Z$43</c:f>
              <c:numCache>
                <c:formatCode>0.0%</c:formatCode>
                <c:ptCount val="5"/>
                <c:pt idx="0">
                  <c:v>0.19360905036827047</c:v>
                </c:pt>
                <c:pt idx="1">
                  <c:v>0.3873823354471771</c:v>
                </c:pt>
                <c:pt idx="2">
                  <c:v>2.4620410675552109E-3</c:v>
                </c:pt>
                <c:pt idx="3">
                  <c:v>0.40417422491573723</c:v>
                </c:pt>
                <c:pt idx="4">
                  <c:v>1.2372348201260021E-2</c:v>
                </c:pt>
              </c:numCache>
            </c:numRef>
          </c:val>
          <c:extLst>
            <c:ext xmlns:c16="http://schemas.microsoft.com/office/drawing/2014/chart" uri="{C3380CC4-5D6E-409C-BE32-E72D297353CC}">
              <c16:uniqueId val="{00000009-092E-4E0D-A213-5EE72914C47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zh-CN"/>
    </a:p>
  </c:txPr>
  <c:printSettings>
    <c:headerFooter alignWithMargins="0"/>
    <c:pageMargins b="1" l="0.75" r="0.75" t="1" header="0.5" footer="0.5"/>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16913319238900634"/>
          <c:y val="0.24812030075187969"/>
          <c:w val="0.58139534883720934"/>
          <c:h val="0.41353383458646614"/>
        </c:manualLayout>
      </c:layout>
      <c:pie3DChart>
        <c:varyColors val="1"/>
        <c:ser>
          <c:idx val="0"/>
          <c:order val="0"/>
          <c:spPr>
            <a:solidFill>
              <a:srgbClr val="CCFFCC"/>
            </a:solidFill>
            <a:ln w="12700">
              <a:solidFill>
                <a:srgbClr val="000000"/>
              </a:solidFill>
              <a:prstDash val="solid"/>
            </a:ln>
          </c:spPr>
          <c:dPt>
            <c:idx val="0"/>
            <c:bubble3D val="0"/>
            <c:extLst>
              <c:ext xmlns:c16="http://schemas.microsoft.com/office/drawing/2014/chart" uri="{C3380CC4-5D6E-409C-BE32-E72D297353CC}">
                <c16:uniqueId val="{00000000-45C0-48EC-93FE-65395C7BBD61}"/>
              </c:ext>
            </c:extLst>
          </c:dPt>
          <c:dPt>
            <c:idx val="1"/>
            <c:bubble3D val="0"/>
            <c:spPr>
              <a:solidFill>
                <a:srgbClr val="FFFF99"/>
              </a:solidFill>
              <a:ln w="12700">
                <a:solidFill>
                  <a:srgbClr val="000000"/>
                </a:solidFill>
                <a:prstDash val="solid"/>
              </a:ln>
            </c:spPr>
            <c:extLst>
              <c:ext xmlns:c16="http://schemas.microsoft.com/office/drawing/2014/chart" uri="{C3380CC4-5D6E-409C-BE32-E72D297353CC}">
                <c16:uniqueId val="{00000002-45C0-48EC-93FE-65395C7BBD61}"/>
              </c:ext>
            </c:extLst>
          </c:dPt>
          <c:dPt>
            <c:idx val="2"/>
            <c:bubble3D val="0"/>
            <c:spPr>
              <a:solidFill>
                <a:srgbClr val="C0C0C0"/>
              </a:solidFill>
              <a:ln w="12700">
                <a:solidFill>
                  <a:srgbClr val="000000"/>
                </a:solidFill>
                <a:prstDash val="solid"/>
              </a:ln>
            </c:spPr>
            <c:extLst>
              <c:ext xmlns:c16="http://schemas.microsoft.com/office/drawing/2014/chart" uri="{C3380CC4-5D6E-409C-BE32-E72D297353CC}">
                <c16:uniqueId val="{00000004-45C0-48EC-93FE-65395C7BBD61}"/>
              </c:ext>
            </c:extLst>
          </c:dPt>
          <c:dPt>
            <c:idx val="3"/>
            <c:bubble3D val="0"/>
            <c:spPr>
              <a:solidFill>
                <a:srgbClr val="E3E3E3"/>
              </a:solidFill>
              <a:ln w="12700">
                <a:solidFill>
                  <a:srgbClr val="000000"/>
                </a:solidFill>
                <a:prstDash val="solid"/>
              </a:ln>
            </c:spPr>
            <c:extLst>
              <c:ext xmlns:c16="http://schemas.microsoft.com/office/drawing/2014/chart" uri="{C3380CC4-5D6E-409C-BE32-E72D297353CC}">
                <c16:uniqueId val="{00000006-45C0-48EC-93FE-65395C7BBD61}"/>
              </c:ext>
            </c:extLst>
          </c:dPt>
          <c:dPt>
            <c:idx val="4"/>
            <c:bubble3D val="0"/>
            <c:spPr>
              <a:solidFill>
                <a:srgbClr val="808000"/>
              </a:solidFill>
              <a:ln w="12700">
                <a:solidFill>
                  <a:srgbClr val="000000"/>
                </a:solidFill>
                <a:prstDash val="solid"/>
              </a:ln>
            </c:spPr>
            <c:extLst>
              <c:ext xmlns:c16="http://schemas.microsoft.com/office/drawing/2014/chart" uri="{C3380CC4-5D6E-409C-BE32-E72D297353CC}">
                <c16:uniqueId val="{00000008-45C0-48EC-93FE-65395C7BBD61}"/>
              </c:ext>
            </c:extLst>
          </c:dPt>
          <c:dLbls>
            <c:dLbl>
              <c:idx val="0"/>
              <c:layout>
                <c:manualLayout>
                  <c:x val="-1.9460527264958633E-2"/>
                  <c:y val="6.940185108440397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45C0-48EC-93FE-65395C7BBD61}"/>
                </c:ext>
              </c:extLst>
            </c:dLbl>
            <c:dLbl>
              <c:idx val="2"/>
              <c:layout>
                <c:manualLayout>
                  <c:x val="2.254154805702142E-2"/>
                  <c:y val="-1.8576362165255676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45C0-48EC-93FE-65395C7BBD61}"/>
                </c:ext>
              </c:extLst>
            </c:dLbl>
            <c:dLbl>
              <c:idx val="3"/>
              <c:layout>
                <c:manualLayout>
                  <c:x val="5.8518752809175796E-2"/>
                  <c:y val="-7.2045073313204283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45C0-48EC-93FE-65395C7BBD61}"/>
                </c:ext>
              </c:extLst>
            </c:dLbl>
            <c:dLbl>
              <c:idx val="4"/>
              <c:layout>
                <c:manualLayout>
                  <c:x val="0.12885174765416479"/>
                  <c:y val="-5.7054052453969578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45C0-48EC-93FE-65395C7BBD61}"/>
                </c:ext>
              </c:extLst>
            </c:dLbl>
            <c:numFmt formatCode="0%" sourceLinked="0"/>
            <c:spPr>
              <a:noFill/>
              <a:ln w="25400">
                <a:noFill/>
              </a:ln>
            </c:spPr>
            <c:txPr>
              <a:bodyPr/>
              <a:lstStyle/>
              <a:p>
                <a:pPr>
                  <a:defRPr sz="800" b="0" i="0" u="none" strike="noStrike" baseline="0">
                    <a:solidFill>
                      <a:srgbClr val="000000"/>
                    </a:solidFill>
                    <a:latin typeface="Arial"/>
                    <a:ea typeface="Arial"/>
                    <a:cs typeface="Arial"/>
                  </a:defRPr>
                </a:pPr>
                <a:endParaRPr lang="zh-CN"/>
              </a:p>
            </c:txPr>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'地区分部(原始）'!$X$39:$X$43</c:f>
              <c:strCache>
                <c:ptCount val="5"/>
                <c:pt idx="0">
                  <c:v>Hong Kong</c:v>
                </c:pt>
                <c:pt idx="1">
                  <c:v>Macau</c:v>
                </c:pt>
                <c:pt idx="2">
                  <c:v>UAE</c:v>
                </c:pt>
                <c:pt idx="3">
                  <c:v>China Mainland</c:v>
                </c:pt>
                <c:pt idx="4">
                  <c:v>India</c:v>
                </c:pt>
              </c:strCache>
            </c:strRef>
          </c:cat>
          <c:val>
            <c:numRef>
              <c:f>'地区分部(原始）'!$Y$39:$Y$43</c:f>
              <c:numCache>
                <c:formatCode>0.0%</c:formatCode>
                <c:ptCount val="5"/>
                <c:pt idx="0">
                  <c:v>0.55339355930831802</c:v>
                </c:pt>
                <c:pt idx="1">
                  <c:v>0.18562356356976678</c:v>
                </c:pt>
                <c:pt idx="2">
                  <c:v>0.16053469704457674</c:v>
                </c:pt>
                <c:pt idx="3">
                  <c:v>9.3977226839213515E-2</c:v>
                </c:pt>
                <c:pt idx="4">
                  <c:v>6.4709532381249518E-3</c:v>
                </c:pt>
              </c:numCache>
            </c:numRef>
          </c:val>
          <c:extLst>
            <c:ext xmlns:c16="http://schemas.microsoft.com/office/drawing/2014/chart" uri="{C3380CC4-5D6E-409C-BE32-E72D297353CC}">
              <c16:uniqueId val="{00000009-45C0-48EC-93FE-65395C7BBD6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zh-CN"/>
    </a:p>
  </c:txPr>
  <c:printSettings>
    <c:headerFooter alignWithMargins="0"/>
    <c:pageMargins b="1" l="0.75" r="0.75" t="1" header="0.5" footer="0.5"/>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28444485596767355"/>
          <c:y val="0.34027854699830684"/>
          <c:w val="0.45333398919847973"/>
          <c:h val="0.28240804580811862"/>
        </c:manualLayout>
      </c:layout>
      <c:pie3DChart>
        <c:varyColors val="1"/>
        <c:ser>
          <c:idx val="0"/>
          <c:order val="0"/>
          <c:spPr>
            <a:solidFill>
              <a:srgbClr val="CCFFCC"/>
            </a:solidFill>
            <a:ln w="12700">
              <a:solidFill>
                <a:srgbClr val="000000"/>
              </a:solidFill>
              <a:prstDash val="solid"/>
            </a:ln>
          </c:spPr>
          <c:dPt>
            <c:idx val="0"/>
            <c:bubble3D val="0"/>
            <c:extLst>
              <c:ext xmlns:c16="http://schemas.microsoft.com/office/drawing/2014/chart" uri="{C3380CC4-5D6E-409C-BE32-E72D297353CC}">
                <c16:uniqueId val="{00000000-08B9-4AF4-9457-D42645023AA8}"/>
              </c:ext>
            </c:extLst>
          </c:dPt>
          <c:dPt>
            <c:idx val="1"/>
            <c:bubble3D val="0"/>
            <c:spPr>
              <a:solidFill>
                <a:srgbClr val="FFFF99"/>
              </a:solidFill>
              <a:ln w="12700">
                <a:solidFill>
                  <a:srgbClr val="000000"/>
                </a:solidFill>
                <a:prstDash val="solid"/>
              </a:ln>
            </c:spPr>
            <c:extLst>
              <c:ext xmlns:c16="http://schemas.microsoft.com/office/drawing/2014/chart" uri="{C3380CC4-5D6E-409C-BE32-E72D297353CC}">
                <c16:uniqueId val="{00000002-08B9-4AF4-9457-D42645023AA8}"/>
              </c:ext>
            </c:extLst>
          </c:dPt>
          <c:dPt>
            <c:idx val="2"/>
            <c:bubble3D val="0"/>
            <c:spPr>
              <a:solidFill>
                <a:srgbClr val="C0C0C0"/>
              </a:solidFill>
              <a:ln w="12700">
                <a:solidFill>
                  <a:srgbClr val="000000"/>
                </a:solidFill>
                <a:prstDash val="solid"/>
              </a:ln>
            </c:spPr>
            <c:extLst>
              <c:ext xmlns:c16="http://schemas.microsoft.com/office/drawing/2014/chart" uri="{C3380CC4-5D6E-409C-BE32-E72D297353CC}">
                <c16:uniqueId val="{00000004-08B9-4AF4-9457-D42645023AA8}"/>
              </c:ext>
            </c:extLst>
          </c:dPt>
          <c:dPt>
            <c:idx val="3"/>
            <c:bubble3D val="0"/>
            <c:spPr>
              <a:solidFill>
                <a:srgbClr val="E3E3E3"/>
              </a:solidFill>
              <a:ln w="12700">
                <a:solidFill>
                  <a:srgbClr val="000000"/>
                </a:solidFill>
                <a:prstDash val="solid"/>
              </a:ln>
            </c:spPr>
            <c:extLst>
              <c:ext xmlns:c16="http://schemas.microsoft.com/office/drawing/2014/chart" uri="{C3380CC4-5D6E-409C-BE32-E72D297353CC}">
                <c16:uniqueId val="{00000006-08B9-4AF4-9457-D42645023AA8}"/>
              </c:ext>
            </c:extLst>
          </c:dPt>
          <c:dPt>
            <c:idx val="4"/>
            <c:bubble3D val="0"/>
            <c:spPr>
              <a:solidFill>
                <a:srgbClr val="808000"/>
              </a:solidFill>
              <a:ln w="12700">
                <a:solidFill>
                  <a:srgbClr val="000000"/>
                </a:solidFill>
                <a:prstDash val="solid"/>
              </a:ln>
            </c:spPr>
            <c:extLst>
              <c:ext xmlns:c16="http://schemas.microsoft.com/office/drawing/2014/chart" uri="{C3380CC4-5D6E-409C-BE32-E72D297353CC}">
                <c16:uniqueId val="{00000008-08B9-4AF4-9457-D42645023AA8}"/>
              </c:ext>
            </c:extLst>
          </c:dPt>
          <c:dLbls>
            <c:dLbl>
              <c:idx val="0"/>
              <c:layout>
                <c:manualLayout>
                  <c:x val="-5.6350210316606295E-2"/>
                  <c:y val="6.9278810044121689E-2"/>
                </c:manualLayout>
              </c:layout>
              <c:tx>
                <c:rich>
                  <a:bodyPr/>
                  <a:lstStyle/>
                  <a:p>
                    <a:pPr>
                      <a:defRPr sz="1200" b="0" i="0" u="none" strike="noStrike" baseline="0">
                        <a:solidFill>
                          <a:srgbClr val="000000"/>
                        </a:solidFill>
                        <a:latin typeface="宋体"/>
                        <a:ea typeface="宋体"/>
                        <a:cs typeface="宋体"/>
                      </a:defRPr>
                    </a:pPr>
                    <a:r>
                      <a:rPr lang="zh-CN" altLang="en-US" sz="800" b="0" i="0" u="none" strike="noStrike" baseline="0">
                        <a:solidFill>
                          <a:srgbClr val="000000"/>
                        </a:solidFill>
                        <a:latin typeface="楷体_GB2312"/>
                        <a:ea typeface="楷体_GB2312"/>
                      </a:rPr>
                      <a:t>香港 </a:t>
                    </a:r>
                    <a:r>
                      <a:rPr lang="en-US" altLang="zh-CN" sz="800" b="0" i="0" u="none" strike="noStrike" baseline="0">
                        <a:solidFill>
                          <a:srgbClr val="000000"/>
                        </a:solidFill>
                        <a:latin typeface="楷体_GB2312"/>
                        <a:ea typeface="楷体_GB2312"/>
                      </a:rPr>
                      <a:t>55%</a:t>
                    </a:r>
                  </a:p>
                </c:rich>
              </c:tx>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08B9-4AF4-9457-D42645023AA8}"/>
                </c:ext>
              </c:extLst>
            </c:dLbl>
            <c:dLbl>
              <c:idx val="1"/>
              <c:tx>
                <c:rich>
                  <a:bodyPr/>
                  <a:lstStyle/>
                  <a:p>
                    <a:pPr>
                      <a:defRPr sz="1200" b="0" i="0" u="none" strike="noStrike" baseline="0">
                        <a:solidFill>
                          <a:srgbClr val="000000"/>
                        </a:solidFill>
                        <a:latin typeface="宋体"/>
                        <a:ea typeface="宋体"/>
                        <a:cs typeface="宋体"/>
                      </a:defRPr>
                    </a:pPr>
                    <a:r>
                      <a:rPr lang="zh-CN" altLang="en-US" sz="800" b="0" i="0" u="none" strike="noStrike" baseline="0">
                        <a:solidFill>
                          <a:srgbClr val="000000"/>
                        </a:solidFill>
                        <a:latin typeface="楷体_GB2312"/>
                        <a:ea typeface="楷体_GB2312"/>
                      </a:rPr>
                      <a:t>澳门 </a:t>
                    </a:r>
                    <a:r>
                      <a:rPr lang="en-US" altLang="zh-CN" sz="800" b="0" i="0" u="none" strike="noStrike" baseline="0">
                        <a:solidFill>
                          <a:srgbClr val="000000"/>
                        </a:solidFill>
                        <a:latin typeface="楷体_GB2312"/>
                        <a:ea typeface="楷体_GB2312"/>
                      </a:rPr>
                      <a:t>19%</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08B9-4AF4-9457-D42645023AA8}"/>
                </c:ext>
              </c:extLst>
            </c:dLbl>
            <c:dLbl>
              <c:idx val="2"/>
              <c:layout>
                <c:manualLayout>
                  <c:x val="-1.5268083773082038E-2"/>
                  <c:y val="1.3119790101234197E-3"/>
                </c:manualLayout>
              </c:layout>
              <c:tx>
                <c:rich>
                  <a:bodyPr/>
                  <a:lstStyle/>
                  <a:p>
                    <a:pPr>
                      <a:defRPr sz="1200" b="0" i="0" u="none" strike="noStrike" baseline="0">
                        <a:solidFill>
                          <a:srgbClr val="000000"/>
                        </a:solidFill>
                        <a:latin typeface="宋体"/>
                        <a:ea typeface="宋体"/>
                        <a:cs typeface="宋体"/>
                      </a:defRPr>
                    </a:pPr>
                    <a:r>
                      <a:rPr lang="zh-CN" altLang="en-US" sz="800" b="0" i="0" u="none" strike="noStrike" baseline="0">
                        <a:solidFill>
                          <a:srgbClr val="000000"/>
                        </a:solidFill>
                        <a:latin typeface="楷体_GB2312"/>
                        <a:ea typeface="楷体_GB2312"/>
                      </a:rPr>
                      <a:t>阿联酋 </a:t>
                    </a:r>
                    <a:r>
                      <a:rPr lang="en-US" altLang="zh-CN" sz="800" b="0" i="0" u="none" strike="noStrike" baseline="0">
                        <a:solidFill>
                          <a:srgbClr val="000000"/>
                        </a:solidFill>
                        <a:latin typeface="楷体_GB2312"/>
                        <a:ea typeface="楷体_GB2312"/>
                      </a:rPr>
                      <a:t>16%</a:t>
                    </a:r>
                  </a:p>
                </c:rich>
              </c:tx>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08B9-4AF4-9457-D42645023AA8}"/>
                </c:ext>
              </c:extLst>
            </c:dLbl>
            <c:dLbl>
              <c:idx val="3"/>
              <c:layout>
                <c:manualLayout>
                  <c:x val="2.677059972610716E-2"/>
                  <c:y val="-8.0421600988301464E-2"/>
                </c:manualLayout>
              </c:layout>
              <c:tx>
                <c:rich>
                  <a:bodyPr/>
                  <a:lstStyle/>
                  <a:p>
                    <a:pPr>
                      <a:defRPr sz="1200" b="0" i="0" u="none" strike="noStrike" baseline="0">
                        <a:solidFill>
                          <a:srgbClr val="000000"/>
                        </a:solidFill>
                        <a:latin typeface="宋体"/>
                        <a:ea typeface="宋体"/>
                        <a:cs typeface="宋体"/>
                      </a:defRPr>
                    </a:pPr>
                    <a:r>
                      <a:rPr lang="zh-CN" altLang="en-US" sz="800" b="0" i="0" u="none" strike="noStrike" baseline="0">
                        <a:solidFill>
                          <a:srgbClr val="000000"/>
                        </a:solidFill>
                        <a:latin typeface="楷体_GB2312"/>
                        <a:ea typeface="楷体_GB2312"/>
                      </a:rPr>
                      <a:t>中国大陆 </a:t>
                    </a:r>
                    <a:r>
                      <a:rPr lang="en-US" altLang="zh-CN" sz="800" b="0" i="0" u="none" strike="noStrike" baseline="0">
                        <a:solidFill>
                          <a:srgbClr val="000000"/>
                        </a:solidFill>
                        <a:latin typeface="楷体_GB2312"/>
                        <a:ea typeface="楷体_GB2312"/>
                      </a:rPr>
                      <a:t>9.4%</a:t>
                    </a:r>
                  </a:p>
                </c:rich>
              </c:tx>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08B9-4AF4-9457-D42645023AA8}"/>
                </c:ext>
              </c:extLst>
            </c:dLbl>
            <c:dLbl>
              <c:idx val="4"/>
              <c:layout>
                <c:manualLayout>
                  <c:x val="8.6892133765583399E-2"/>
                  <c:y val="-2.9037721437869323E-2"/>
                </c:manualLayout>
              </c:layout>
              <c:tx>
                <c:rich>
                  <a:bodyPr/>
                  <a:lstStyle/>
                  <a:p>
                    <a:pPr>
                      <a:defRPr sz="1200" b="0" i="0" u="none" strike="noStrike" baseline="0">
                        <a:solidFill>
                          <a:srgbClr val="000000"/>
                        </a:solidFill>
                        <a:latin typeface="宋体"/>
                        <a:ea typeface="宋体"/>
                        <a:cs typeface="宋体"/>
                      </a:defRPr>
                    </a:pPr>
                    <a:r>
                      <a:rPr lang="zh-CN" altLang="en-US" sz="800" b="0" i="0" u="none" strike="noStrike" baseline="0">
                        <a:solidFill>
                          <a:srgbClr val="000000"/>
                        </a:solidFill>
                        <a:latin typeface="楷体_GB2312"/>
                        <a:ea typeface="楷体_GB2312"/>
                      </a:rPr>
                      <a:t>印度 </a:t>
                    </a:r>
                    <a:r>
                      <a:rPr lang="en-US" altLang="zh-CN" sz="800" b="0" i="0" u="none" strike="noStrike" baseline="0">
                        <a:solidFill>
                          <a:srgbClr val="000000"/>
                        </a:solidFill>
                        <a:latin typeface="楷体_GB2312"/>
                        <a:ea typeface="楷体_GB2312"/>
                      </a:rPr>
                      <a:t>1%</a:t>
                    </a:r>
                  </a:p>
                </c:rich>
              </c:tx>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08B9-4AF4-9457-D42645023AA8}"/>
                </c:ext>
              </c:extLst>
            </c:dLbl>
            <c:numFmt formatCode="0%" sourceLinked="0"/>
            <c:spPr>
              <a:noFill/>
              <a:ln w="25400">
                <a:noFill/>
              </a:ln>
            </c:spPr>
            <c:txPr>
              <a:bodyPr/>
              <a:lstStyle/>
              <a:p>
                <a:pPr>
                  <a:defRPr sz="800" b="0" i="0" u="none" strike="noStrike" baseline="0">
                    <a:solidFill>
                      <a:srgbClr val="000000"/>
                    </a:solidFill>
                    <a:latin typeface="Arial"/>
                    <a:ea typeface="Arial"/>
                    <a:cs typeface="Arial"/>
                  </a:defRPr>
                </a:pPr>
                <a:endParaRPr lang="zh-CN"/>
              </a:p>
            </c:txPr>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'地区分部(原始）'!$V$3:$V$7</c:f>
              <c:strCache>
                <c:ptCount val="5"/>
                <c:pt idx="0">
                  <c:v>Hong Kong</c:v>
                </c:pt>
                <c:pt idx="1">
                  <c:v>Macau</c:v>
                </c:pt>
                <c:pt idx="2">
                  <c:v>UAE</c:v>
                </c:pt>
                <c:pt idx="3">
                  <c:v>China Mainland</c:v>
                </c:pt>
                <c:pt idx="4">
                  <c:v>India</c:v>
                </c:pt>
              </c:strCache>
            </c:strRef>
          </c:cat>
          <c:val>
            <c:numRef>
              <c:f>'地区分部(原始）'!$U$3:$U$7</c:f>
              <c:numCache>
                <c:formatCode>0.0%</c:formatCode>
                <c:ptCount val="5"/>
                <c:pt idx="0">
                  <c:v>0.55339355930831802</c:v>
                </c:pt>
                <c:pt idx="1">
                  <c:v>0.18562356356976678</c:v>
                </c:pt>
                <c:pt idx="2">
                  <c:v>0.16053469704457674</c:v>
                </c:pt>
                <c:pt idx="3">
                  <c:v>9.3977226839213515E-2</c:v>
                </c:pt>
                <c:pt idx="4">
                  <c:v>6.4709532381249518E-3</c:v>
                </c:pt>
              </c:numCache>
            </c:numRef>
          </c:val>
          <c:extLst>
            <c:ext xmlns:c16="http://schemas.microsoft.com/office/drawing/2014/chart" uri="{C3380CC4-5D6E-409C-BE32-E72D297353CC}">
              <c16:uniqueId val="{00000009-08B9-4AF4-9457-D42645023AA8}"/>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spPr>
    <a:noFill/>
    <a:ln w="9525">
      <a:noFill/>
    </a:ln>
  </c:spPr>
  <c:txPr>
    <a:bodyPr/>
    <a:lstStyle/>
    <a:p>
      <a:pPr>
        <a:defRPr sz="1200" b="0" i="0" u="none" strike="noStrike" baseline="0">
          <a:solidFill>
            <a:srgbClr val="000000"/>
          </a:solidFill>
          <a:latin typeface="宋体"/>
          <a:ea typeface="宋体"/>
          <a:cs typeface="宋体"/>
        </a:defRPr>
      </a:pPr>
      <a:endParaRPr lang="zh-CN"/>
    </a:p>
  </c:txPr>
  <c:printSettings>
    <c:headerFooter alignWithMargins="0"/>
    <c:pageMargins b="1" l="0.75" r="0.75" t="1" header="0.5" footer="0.5"/>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1737289932809534"/>
          <c:y val="0.24528347082007448"/>
          <c:w val="0.66949221800952774"/>
          <c:h val="0.47169898234629709"/>
        </c:manualLayout>
      </c:layout>
      <c:pie3DChart>
        <c:varyColors val="1"/>
        <c:ser>
          <c:idx val="0"/>
          <c:order val="0"/>
          <c:spPr>
            <a:solidFill>
              <a:srgbClr val="CCFFCC"/>
            </a:solidFill>
            <a:ln w="12700">
              <a:solidFill>
                <a:srgbClr val="000000"/>
              </a:solidFill>
              <a:prstDash val="solid"/>
            </a:ln>
          </c:spPr>
          <c:dPt>
            <c:idx val="0"/>
            <c:bubble3D val="0"/>
            <c:extLst>
              <c:ext xmlns:c16="http://schemas.microsoft.com/office/drawing/2014/chart" uri="{C3380CC4-5D6E-409C-BE32-E72D297353CC}">
                <c16:uniqueId val="{00000000-E995-4E41-8990-BA43271DBDF3}"/>
              </c:ext>
            </c:extLst>
          </c:dPt>
          <c:dPt>
            <c:idx val="1"/>
            <c:bubble3D val="0"/>
            <c:spPr>
              <a:solidFill>
                <a:srgbClr val="FFFF99"/>
              </a:solidFill>
              <a:ln w="12700">
                <a:solidFill>
                  <a:srgbClr val="000000"/>
                </a:solidFill>
                <a:prstDash val="solid"/>
              </a:ln>
            </c:spPr>
            <c:extLst>
              <c:ext xmlns:c16="http://schemas.microsoft.com/office/drawing/2014/chart" uri="{C3380CC4-5D6E-409C-BE32-E72D297353CC}">
                <c16:uniqueId val="{00000002-E995-4E41-8990-BA43271DBDF3}"/>
              </c:ext>
            </c:extLst>
          </c:dPt>
          <c:dPt>
            <c:idx val="2"/>
            <c:bubble3D val="0"/>
            <c:spPr>
              <a:solidFill>
                <a:srgbClr val="C0C0C0"/>
              </a:solidFill>
              <a:ln w="12700">
                <a:solidFill>
                  <a:srgbClr val="000000"/>
                </a:solidFill>
                <a:prstDash val="solid"/>
              </a:ln>
            </c:spPr>
            <c:extLst>
              <c:ext xmlns:c16="http://schemas.microsoft.com/office/drawing/2014/chart" uri="{C3380CC4-5D6E-409C-BE32-E72D297353CC}">
                <c16:uniqueId val="{00000004-E995-4E41-8990-BA43271DBDF3}"/>
              </c:ext>
            </c:extLst>
          </c:dPt>
          <c:dPt>
            <c:idx val="3"/>
            <c:bubble3D val="0"/>
            <c:spPr>
              <a:solidFill>
                <a:srgbClr val="E3E3E3"/>
              </a:solidFill>
              <a:ln w="12700">
                <a:solidFill>
                  <a:srgbClr val="000000"/>
                </a:solidFill>
                <a:prstDash val="solid"/>
              </a:ln>
            </c:spPr>
            <c:extLst>
              <c:ext xmlns:c16="http://schemas.microsoft.com/office/drawing/2014/chart" uri="{C3380CC4-5D6E-409C-BE32-E72D297353CC}">
                <c16:uniqueId val="{00000006-E995-4E41-8990-BA43271DBDF3}"/>
              </c:ext>
            </c:extLst>
          </c:dPt>
          <c:dPt>
            <c:idx val="4"/>
            <c:bubble3D val="0"/>
            <c:spPr>
              <a:solidFill>
                <a:srgbClr val="808000"/>
              </a:solidFill>
              <a:ln w="12700">
                <a:solidFill>
                  <a:srgbClr val="000000"/>
                </a:solidFill>
                <a:prstDash val="solid"/>
              </a:ln>
            </c:spPr>
            <c:extLst>
              <c:ext xmlns:c16="http://schemas.microsoft.com/office/drawing/2014/chart" uri="{C3380CC4-5D6E-409C-BE32-E72D297353CC}">
                <c16:uniqueId val="{00000008-E995-4E41-8990-BA43271DBDF3}"/>
              </c:ext>
            </c:extLst>
          </c:dPt>
          <c:dLbls>
            <c:dLbl>
              <c:idx val="0"/>
              <c:layout>
                <c:manualLayout>
                  <c:x val="3.7448954457519252E-3"/>
                  <c:y val="-4.8965531609591904E-2"/>
                </c:manualLayout>
              </c:layout>
              <c:tx>
                <c:rich>
                  <a:bodyPr/>
                  <a:lstStyle/>
                  <a:p>
                    <a:pPr>
                      <a:defRPr sz="900" b="0" i="0" u="none" strike="noStrike" baseline="0">
                        <a:solidFill>
                          <a:srgbClr val="000000"/>
                        </a:solidFill>
                        <a:latin typeface="Arial"/>
                        <a:ea typeface="Arial"/>
                        <a:cs typeface="Arial"/>
                      </a:defRPr>
                    </a:pPr>
                    <a:r>
                      <a:rPr lang="zh-CN" altLang="en-US" sz="800" b="0" i="0" u="none" strike="noStrike" baseline="0">
                        <a:solidFill>
                          <a:srgbClr val="000000"/>
                        </a:solidFill>
                        <a:latin typeface="楷体_GB2312"/>
                        <a:ea typeface="楷体_GB2312"/>
                      </a:rPr>
                      <a:t>香港 </a:t>
                    </a:r>
                    <a:r>
                      <a:rPr lang="en-US" altLang="zh-CN" sz="800" b="0" i="0" u="none" strike="noStrike" baseline="0">
                        <a:solidFill>
                          <a:srgbClr val="000000"/>
                        </a:solidFill>
                        <a:latin typeface="楷体_GB2312"/>
                        <a:ea typeface="楷体_GB2312"/>
                      </a:rPr>
                      <a:t>19%</a:t>
                    </a:r>
                  </a:p>
                </c:rich>
              </c:tx>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995-4E41-8990-BA43271DBDF3}"/>
                </c:ext>
              </c:extLst>
            </c:dLbl>
            <c:dLbl>
              <c:idx val="1"/>
              <c:tx>
                <c:rich>
                  <a:bodyPr/>
                  <a:lstStyle/>
                  <a:p>
                    <a:pPr>
                      <a:defRPr sz="900" b="0" i="0" u="none" strike="noStrike" baseline="0">
                        <a:solidFill>
                          <a:srgbClr val="000000"/>
                        </a:solidFill>
                        <a:latin typeface="Arial"/>
                        <a:ea typeface="Arial"/>
                        <a:cs typeface="Arial"/>
                      </a:defRPr>
                    </a:pPr>
                    <a:r>
                      <a:rPr lang="zh-CN" altLang="en-US" sz="800" b="0" i="0" u="none" strike="noStrike" baseline="0">
                        <a:solidFill>
                          <a:srgbClr val="000000"/>
                        </a:solidFill>
                        <a:latin typeface="楷体_GB2312"/>
                        <a:ea typeface="楷体_GB2312"/>
                      </a:rPr>
                      <a:t>澳门 </a:t>
                    </a:r>
                    <a:r>
                      <a:rPr lang="en-US" altLang="zh-CN" sz="800" b="0" i="0" u="none" strike="noStrike" baseline="0">
                        <a:solidFill>
                          <a:srgbClr val="000000"/>
                        </a:solidFill>
                        <a:latin typeface="楷体_GB2312"/>
                        <a:ea typeface="楷体_GB2312"/>
                      </a:rPr>
                      <a:t>39%</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995-4E41-8990-BA43271DBDF3}"/>
                </c:ext>
              </c:extLst>
            </c:dLbl>
            <c:dLbl>
              <c:idx val="2"/>
              <c:tx>
                <c:rich>
                  <a:bodyPr/>
                  <a:lstStyle/>
                  <a:p>
                    <a:pPr>
                      <a:defRPr sz="900" b="0" i="0" u="none" strike="noStrike" baseline="0">
                        <a:solidFill>
                          <a:srgbClr val="000000"/>
                        </a:solidFill>
                        <a:latin typeface="Arial"/>
                        <a:ea typeface="Arial"/>
                        <a:cs typeface="Arial"/>
                      </a:defRPr>
                    </a:pPr>
                    <a:r>
                      <a:rPr lang="zh-CN" altLang="en-US" sz="800" b="0" i="0" u="none" strike="noStrike" baseline="0">
                        <a:solidFill>
                          <a:srgbClr val="000000"/>
                        </a:solidFill>
                        <a:latin typeface="楷体_GB2312"/>
                        <a:ea typeface="楷体_GB2312"/>
                      </a:rPr>
                      <a:t>阿联酋 </a:t>
                    </a:r>
                    <a:r>
                      <a:rPr lang="en-US" altLang="zh-CN" sz="800" b="0" i="0" u="none" strike="noStrike" baseline="0">
                        <a:solidFill>
                          <a:srgbClr val="000000"/>
                        </a:solidFill>
                        <a:latin typeface="楷体_GB2312"/>
                        <a:ea typeface="楷体_GB2312"/>
                      </a:rPr>
                      <a:t>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995-4E41-8990-BA43271DBDF3}"/>
                </c:ext>
              </c:extLst>
            </c:dLbl>
            <c:dLbl>
              <c:idx val="3"/>
              <c:layout>
                <c:manualLayout>
                  <c:x val="1.6160891932457136E-2"/>
                  <c:y val="-0.11205305974084272"/>
                </c:manualLayout>
              </c:layout>
              <c:tx>
                <c:rich>
                  <a:bodyPr/>
                  <a:lstStyle/>
                  <a:p>
                    <a:pPr>
                      <a:defRPr sz="900" b="0" i="0" u="none" strike="noStrike" baseline="0">
                        <a:solidFill>
                          <a:srgbClr val="000000"/>
                        </a:solidFill>
                        <a:latin typeface="Arial"/>
                        <a:ea typeface="Arial"/>
                        <a:cs typeface="Arial"/>
                      </a:defRPr>
                    </a:pPr>
                    <a:r>
                      <a:rPr lang="zh-CN" altLang="en-US" sz="800" b="0" i="0" u="none" strike="noStrike" baseline="0">
                        <a:solidFill>
                          <a:srgbClr val="000000"/>
                        </a:solidFill>
                        <a:latin typeface="楷体_GB2312"/>
                        <a:ea typeface="楷体_GB2312"/>
                      </a:rPr>
                      <a:t>中国大陆 </a:t>
                    </a:r>
                    <a:r>
                      <a:rPr lang="en-US" altLang="zh-CN" sz="800" b="0" i="0" u="none" strike="noStrike" baseline="0">
                        <a:solidFill>
                          <a:srgbClr val="000000"/>
                        </a:solidFill>
                        <a:latin typeface="楷体_GB2312"/>
                        <a:ea typeface="楷体_GB2312"/>
                      </a:rPr>
                      <a:t>41%</a:t>
                    </a:r>
                  </a:p>
                </c:rich>
              </c:tx>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E995-4E41-8990-BA43271DBDF3}"/>
                </c:ext>
              </c:extLst>
            </c:dLbl>
            <c:dLbl>
              <c:idx val="4"/>
              <c:layout>
                <c:manualLayout>
                  <c:x val="8.7099153589949532E-2"/>
                  <c:y val="-6.4793312864014393E-2"/>
                </c:manualLayout>
              </c:layout>
              <c:tx>
                <c:rich>
                  <a:bodyPr/>
                  <a:lstStyle/>
                  <a:p>
                    <a:pPr>
                      <a:defRPr sz="900" b="0" i="0" u="none" strike="noStrike" baseline="0">
                        <a:solidFill>
                          <a:srgbClr val="000000"/>
                        </a:solidFill>
                        <a:latin typeface="Arial"/>
                        <a:ea typeface="Arial"/>
                        <a:cs typeface="Arial"/>
                      </a:defRPr>
                    </a:pPr>
                    <a:r>
                      <a:rPr lang="zh-CN" altLang="en-US" sz="800" b="0" i="0" u="none" strike="noStrike" baseline="0">
                        <a:solidFill>
                          <a:srgbClr val="000000"/>
                        </a:solidFill>
                        <a:latin typeface="楷体_GB2312"/>
                        <a:ea typeface="楷体_GB2312"/>
                      </a:rPr>
                      <a:t>印度 </a:t>
                    </a:r>
                    <a:r>
                      <a:rPr lang="en-US" altLang="zh-CN" sz="800" b="0" i="0" u="none" strike="noStrike" baseline="0">
                        <a:solidFill>
                          <a:srgbClr val="000000"/>
                        </a:solidFill>
                        <a:latin typeface="楷体_GB2312"/>
                        <a:ea typeface="楷体_GB2312"/>
                      </a:rPr>
                      <a:t>1%</a:t>
                    </a:r>
                  </a:p>
                </c:rich>
              </c:tx>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E995-4E41-8990-BA43271DBDF3}"/>
                </c:ext>
              </c:extLst>
            </c:dLbl>
            <c:numFmt formatCode="0%" sourceLinked="0"/>
            <c:spPr>
              <a:noFill/>
              <a:ln w="25400">
                <a:noFill/>
              </a:ln>
            </c:spPr>
            <c:txPr>
              <a:bodyPr/>
              <a:lstStyle/>
              <a:p>
                <a:pPr>
                  <a:defRPr sz="800" b="0" i="0" u="none" strike="noStrike" baseline="0">
                    <a:solidFill>
                      <a:srgbClr val="000000"/>
                    </a:solidFill>
                    <a:latin typeface="Arial"/>
                    <a:ea typeface="Arial"/>
                    <a:cs typeface="Arial"/>
                  </a:defRPr>
                </a:pPr>
                <a:endParaRPr lang="zh-CN"/>
              </a:p>
            </c:txP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'地区分部(原始）'!$V$3:$V$7</c:f>
              <c:strCache>
                <c:ptCount val="5"/>
                <c:pt idx="0">
                  <c:v>Hong Kong</c:v>
                </c:pt>
                <c:pt idx="1">
                  <c:v>Macau</c:v>
                </c:pt>
                <c:pt idx="2">
                  <c:v>UAE</c:v>
                </c:pt>
                <c:pt idx="3">
                  <c:v>China Mainland</c:v>
                </c:pt>
                <c:pt idx="4">
                  <c:v>India</c:v>
                </c:pt>
              </c:strCache>
            </c:strRef>
          </c:cat>
          <c:val>
            <c:numRef>
              <c:f>'地区分部(原始）'!$U$29:$U$33</c:f>
              <c:numCache>
                <c:formatCode>0.0%</c:formatCode>
                <c:ptCount val="5"/>
                <c:pt idx="0">
                  <c:v>0.19360905036827047</c:v>
                </c:pt>
                <c:pt idx="1">
                  <c:v>0.3873823354471771</c:v>
                </c:pt>
                <c:pt idx="2">
                  <c:v>2.4620410675552109E-3</c:v>
                </c:pt>
                <c:pt idx="3">
                  <c:v>0.40417422491573723</c:v>
                </c:pt>
                <c:pt idx="4">
                  <c:v>1.2372348201260021E-2</c:v>
                </c:pt>
              </c:numCache>
            </c:numRef>
          </c:val>
          <c:extLst>
            <c:ext xmlns:c16="http://schemas.microsoft.com/office/drawing/2014/chart" uri="{C3380CC4-5D6E-409C-BE32-E72D297353CC}">
              <c16:uniqueId val="{00000009-E995-4E41-8990-BA43271DBDF3}"/>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zh-CN"/>
    </a:p>
  </c:txPr>
  <c:printSettings>
    <c:headerFooter alignWithMargins="0"/>
    <c:pageMargins b="1" l="0.75" r="0.75" t="1" header="0.5" footer="0.5"/>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1737289932809534"/>
          <c:y val="0.24528347082007448"/>
          <c:w val="0.66949221800952774"/>
          <c:h val="0.47169898234629709"/>
        </c:manualLayout>
      </c:layout>
      <c:pie3DChart>
        <c:varyColors val="1"/>
        <c:ser>
          <c:idx val="0"/>
          <c:order val="0"/>
          <c:spPr>
            <a:ln w="12700">
              <a:solidFill>
                <a:srgbClr val="000000"/>
              </a:solidFill>
              <a:prstDash val="solid"/>
            </a:ln>
          </c:spPr>
          <c:dPt>
            <c:idx val="0"/>
            <c:bubble3D val="0"/>
            <c:spPr>
              <a:solidFill>
                <a:srgbClr val="CCFFCC"/>
              </a:solidFill>
              <a:ln w="12700">
                <a:solidFill>
                  <a:srgbClr val="000000"/>
                </a:solidFill>
                <a:prstDash val="solid"/>
              </a:ln>
            </c:spPr>
            <c:extLst>
              <c:ext xmlns:c16="http://schemas.microsoft.com/office/drawing/2014/chart" uri="{C3380CC4-5D6E-409C-BE32-E72D297353CC}">
                <c16:uniqueId val="{00000001-9D49-4B7E-8EBC-F92A97ED91A1}"/>
              </c:ext>
            </c:extLst>
          </c:dPt>
          <c:dPt>
            <c:idx val="1"/>
            <c:bubble3D val="0"/>
            <c:spPr>
              <a:solidFill>
                <a:srgbClr val="FFFF99"/>
              </a:solidFill>
              <a:ln w="12700">
                <a:solidFill>
                  <a:srgbClr val="000000"/>
                </a:solidFill>
                <a:prstDash val="solid"/>
              </a:ln>
            </c:spPr>
            <c:extLst>
              <c:ext xmlns:c16="http://schemas.microsoft.com/office/drawing/2014/chart" uri="{C3380CC4-5D6E-409C-BE32-E72D297353CC}">
                <c16:uniqueId val="{00000003-9D49-4B7E-8EBC-F92A97ED91A1}"/>
              </c:ext>
            </c:extLst>
          </c:dPt>
          <c:dPt>
            <c:idx val="2"/>
            <c:bubble3D val="0"/>
            <c:spPr>
              <a:solidFill>
                <a:srgbClr val="C0C0C0"/>
              </a:solidFill>
              <a:ln w="12700">
                <a:solidFill>
                  <a:srgbClr val="000000"/>
                </a:solidFill>
                <a:prstDash val="solid"/>
              </a:ln>
            </c:spPr>
            <c:extLst>
              <c:ext xmlns:c16="http://schemas.microsoft.com/office/drawing/2014/chart" uri="{C3380CC4-5D6E-409C-BE32-E72D297353CC}">
                <c16:uniqueId val="{00000005-9D49-4B7E-8EBC-F92A97ED91A1}"/>
              </c:ext>
            </c:extLst>
          </c:dPt>
          <c:dPt>
            <c:idx val="3"/>
            <c:bubble3D val="0"/>
            <c:spPr>
              <a:solidFill>
                <a:srgbClr val="E3E3E3"/>
              </a:solidFill>
              <a:ln w="12700">
                <a:solidFill>
                  <a:srgbClr val="000000"/>
                </a:solidFill>
                <a:prstDash val="solid"/>
              </a:ln>
            </c:spPr>
            <c:extLst>
              <c:ext xmlns:c16="http://schemas.microsoft.com/office/drawing/2014/chart" uri="{C3380CC4-5D6E-409C-BE32-E72D297353CC}">
                <c16:uniqueId val="{00000007-9D49-4B7E-8EBC-F92A97ED91A1}"/>
              </c:ext>
            </c:extLst>
          </c:dPt>
          <c:dLbls>
            <c:dLbl>
              <c:idx val="0"/>
              <c:layout>
                <c:manualLayout>
                  <c:x val="5.2394649892033391E-3"/>
                  <c:y val="3.1495298901910898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9D49-4B7E-8EBC-F92A97ED91A1}"/>
                </c:ext>
              </c:extLst>
            </c:dLbl>
            <c:dLbl>
              <c:idx val="2"/>
              <c:layout>
                <c:manualLayout>
                  <c:x val="2.5828986119493361E-2"/>
                  <c:y val="-6.8714268620754346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9D49-4B7E-8EBC-F92A97ED91A1}"/>
                </c:ext>
              </c:extLst>
            </c:dLbl>
            <c:dLbl>
              <c:idx val="3"/>
              <c:layout>
                <c:manualLayout>
                  <c:x val="5.5475295334200571E-2"/>
                  <c:y val="-2.2604345139854896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9D49-4B7E-8EBC-F92A97ED91A1}"/>
                </c:ext>
              </c:extLst>
            </c:dLbl>
            <c:dLbl>
              <c:idx val="4"/>
              <c:layout>
                <c:manualLayout>
                  <c:xMode val="edge"/>
                  <c:yMode val="edge"/>
                  <c:x val="0.51694968732381252"/>
                  <c:y val="0.12075493948065205"/>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8-9D49-4B7E-8EBC-F92A97ED91A1}"/>
                </c:ext>
              </c:extLst>
            </c:dLbl>
            <c:numFmt formatCode="0%" sourceLinked="0"/>
            <c:spPr>
              <a:noFill/>
              <a:ln w="25400">
                <a:noFill/>
              </a:ln>
            </c:spPr>
            <c:txPr>
              <a:bodyPr/>
              <a:lstStyle/>
              <a:p>
                <a:pPr>
                  <a:defRPr sz="800" b="0" i="0" u="none" strike="noStrike" baseline="0">
                    <a:solidFill>
                      <a:srgbClr val="000000"/>
                    </a:solidFill>
                    <a:latin typeface="Arial"/>
                    <a:ea typeface="Arial"/>
                    <a:cs typeface="Arial"/>
                  </a:defRPr>
                </a:pPr>
                <a:endParaRPr lang="zh-CN"/>
              </a:p>
            </c:txP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('业务分部（原始）'!$I$5,'业务分部（原始）'!$I$8,'业务分部（原始）'!$I$11,'业务分部（原始）'!$I$14)</c:f>
              <c:strCache>
                <c:ptCount val="4"/>
                <c:pt idx="0">
                  <c:v>Construction</c:v>
                </c:pt>
                <c:pt idx="1">
                  <c:v>Supply of heat and electricity</c:v>
                </c:pt>
                <c:pt idx="2">
                  <c:v>Infrastructure investment</c:v>
                </c:pt>
                <c:pt idx="3">
                  <c:v>Others</c:v>
                </c:pt>
              </c:strCache>
            </c:strRef>
          </c:cat>
          <c:val>
            <c:numRef>
              <c:f>('业务分部（原始）'!$G$21,'业务分部（原始）'!$G$25,'业务分部（原始）'!$G$29,'业务分部（原始）'!$G$33)</c:f>
              <c:numCache>
                <c:formatCode>#,##0_);[Red]\(#,##0\)</c:formatCode>
                <c:ptCount val="4"/>
                <c:pt idx="0">
                  <c:v>0</c:v>
                </c:pt>
                <c:pt idx="1">
                  <c:v>0</c:v>
                </c:pt>
                <c:pt idx="2">
                  <c:v>0</c:v>
                </c:pt>
                <c:pt idx="3">
                  <c:v>0</c:v>
                </c:pt>
              </c:numCache>
            </c:numRef>
          </c:val>
          <c:extLst>
            <c:ext xmlns:c16="http://schemas.microsoft.com/office/drawing/2014/chart" uri="{C3380CC4-5D6E-409C-BE32-E72D297353CC}">
              <c16:uniqueId val="{00000009-9D49-4B7E-8EBC-F92A97ED91A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zh-CN"/>
    </a:p>
  </c:txPr>
  <c:printSettings>
    <c:headerFooter alignWithMargins="0"/>
    <c:pageMargins b="1" l="0.75" r="0.75" t="1" header="0.5" footer="0.5"/>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16913319238900634"/>
          <c:y val="0.24436090225563908"/>
          <c:w val="0.67653276955602537"/>
          <c:h val="0.47368421052631576"/>
        </c:manualLayout>
      </c:layout>
      <c:pie3DChart>
        <c:varyColors val="1"/>
        <c:ser>
          <c:idx val="0"/>
          <c:order val="0"/>
          <c:spPr>
            <a:ln w="12700">
              <a:solidFill>
                <a:srgbClr val="000000"/>
              </a:solidFill>
              <a:prstDash val="solid"/>
            </a:ln>
          </c:spPr>
          <c:dPt>
            <c:idx val="0"/>
            <c:bubble3D val="0"/>
            <c:spPr>
              <a:solidFill>
                <a:srgbClr val="CCFFCC"/>
              </a:solidFill>
              <a:ln w="12700">
                <a:solidFill>
                  <a:srgbClr val="000000"/>
                </a:solidFill>
                <a:prstDash val="solid"/>
              </a:ln>
            </c:spPr>
            <c:extLst>
              <c:ext xmlns:c16="http://schemas.microsoft.com/office/drawing/2014/chart" uri="{C3380CC4-5D6E-409C-BE32-E72D297353CC}">
                <c16:uniqueId val="{00000001-A00B-4F59-8840-93CBB42BC8E8}"/>
              </c:ext>
            </c:extLst>
          </c:dPt>
          <c:dPt>
            <c:idx val="1"/>
            <c:bubble3D val="0"/>
            <c:spPr>
              <a:solidFill>
                <a:srgbClr val="FFFF99"/>
              </a:solidFill>
              <a:ln w="12700">
                <a:solidFill>
                  <a:srgbClr val="000000"/>
                </a:solidFill>
                <a:prstDash val="solid"/>
              </a:ln>
            </c:spPr>
            <c:extLst>
              <c:ext xmlns:c16="http://schemas.microsoft.com/office/drawing/2014/chart" uri="{C3380CC4-5D6E-409C-BE32-E72D297353CC}">
                <c16:uniqueId val="{00000003-A00B-4F59-8840-93CBB42BC8E8}"/>
              </c:ext>
            </c:extLst>
          </c:dPt>
          <c:dPt>
            <c:idx val="2"/>
            <c:bubble3D val="0"/>
            <c:spPr>
              <a:solidFill>
                <a:srgbClr val="C0C0C0"/>
              </a:solidFill>
              <a:ln w="12700">
                <a:solidFill>
                  <a:srgbClr val="000000"/>
                </a:solidFill>
                <a:prstDash val="solid"/>
              </a:ln>
            </c:spPr>
            <c:extLst>
              <c:ext xmlns:c16="http://schemas.microsoft.com/office/drawing/2014/chart" uri="{C3380CC4-5D6E-409C-BE32-E72D297353CC}">
                <c16:uniqueId val="{00000005-A00B-4F59-8840-93CBB42BC8E8}"/>
              </c:ext>
            </c:extLst>
          </c:dPt>
          <c:dPt>
            <c:idx val="3"/>
            <c:bubble3D val="0"/>
            <c:spPr>
              <a:solidFill>
                <a:srgbClr val="E3E3E3"/>
              </a:solidFill>
              <a:ln w="12700">
                <a:solidFill>
                  <a:srgbClr val="000000"/>
                </a:solidFill>
                <a:prstDash val="solid"/>
              </a:ln>
            </c:spPr>
            <c:extLst>
              <c:ext xmlns:c16="http://schemas.microsoft.com/office/drawing/2014/chart" uri="{C3380CC4-5D6E-409C-BE32-E72D297353CC}">
                <c16:uniqueId val="{00000007-A00B-4F59-8840-93CBB42BC8E8}"/>
              </c:ext>
            </c:extLst>
          </c:dPt>
          <c:dLbls>
            <c:dLbl>
              <c:idx val="0"/>
              <c:layout>
                <c:manualLayout>
                  <c:x val="-4.392357932002687E-2"/>
                  <c:y val="2.0488228445128608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A00B-4F59-8840-93CBB42BC8E8}"/>
                </c:ext>
              </c:extLst>
            </c:dLbl>
            <c:dLbl>
              <c:idx val="1"/>
              <c:layout>
                <c:manualLayout>
                  <c:x val="-7.6417350579591911E-2"/>
                  <c:y val="-3.1281747676277324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A00B-4F59-8840-93CBB42BC8E8}"/>
                </c:ext>
              </c:extLst>
            </c:dLbl>
            <c:dLbl>
              <c:idx val="2"/>
              <c:layout>
                <c:manualLayout>
                  <c:x val="3.4880280556896529E-2"/>
                  <c:y val="-5.8198251534347697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A00B-4F59-8840-93CBB42BC8E8}"/>
                </c:ext>
              </c:extLst>
            </c:dLbl>
            <c:dLbl>
              <c:idx val="3"/>
              <c:layout>
                <c:manualLayout>
                  <c:x val="9.81056860492861E-2"/>
                  <c:y val="-8.1731888777060765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A00B-4F59-8840-93CBB42BC8E8}"/>
                </c:ext>
              </c:extLst>
            </c:dLbl>
            <c:dLbl>
              <c:idx val="4"/>
              <c:layout>
                <c:manualLayout>
                  <c:xMode val="edge"/>
                  <c:yMode val="edge"/>
                  <c:x val="0.5158562367864693"/>
                  <c:y val="0.12030075187969924"/>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8-A00B-4F59-8840-93CBB42BC8E8}"/>
                </c:ext>
              </c:extLst>
            </c:dLbl>
            <c:numFmt formatCode="0%" sourceLinked="0"/>
            <c:spPr>
              <a:noFill/>
              <a:ln w="25400">
                <a:noFill/>
              </a:ln>
            </c:spPr>
            <c:txPr>
              <a:bodyPr/>
              <a:lstStyle/>
              <a:p>
                <a:pPr>
                  <a:defRPr sz="800" b="0" i="0" u="none" strike="noStrike" baseline="0">
                    <a:solidFill>
                      <a:srgbClr val="000000"/>
                    </a:solidFill>
                    <a:latin typeface="Arial"/>
                    <a:ea typeface="Arial"/>
                    <a:cs typeface="Arial"/>
                  </a:defRPr>
                </a:pPr>
                <a:endParaRPr lang="zh-CN"/>
              </a:p>
            </c:txP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('业务分部（原始）'!$I$5,'业务分部（原始）'!$I$8,'业务分部（原始）'!$I$11,'业务分部（原始）'!$I$14)</c:f>
              <c:strCache>
                <c:ptCount val="4"/>
                <c:pt idx="0">
                  <c:v>Construction</c:v>
                </c:pt>
                <c:pt idx="1">
                  <c:v>Supply of heat and electricity</c:v>
                </c:pt>
                <c:pt idx="2">
                  <c:v>Infrastructure investment</c:v>
                </c:pt>
                <c:pt idx="3">
                  <c:v>Others</c:v>
                </c:pt>
              </c:strCache>
            </c:strRef>
          </c:cat>
          <c:val>
            <c:numRef>
              <c:f>('业务分部（原始）'!$G$5,'业务分部（原始）'!$G$8,'业务分部（原始）'!$G$11,'业务分部（原始）'!$G$14)</c:f>
              <c:numCache>
                <c:formatCode>#,##0_);[Red]\(#,##0\)</c:formatCode>
                <c:ptCount val="4"/>
                <c:pt idx="0">
                  <c:v>10481.86</c:v>
                </c:pt>
                <c:pt idx="1">
                  <c:v>376.209</c:v>
                </c:pt>
                <c:pt idx="2">
                  <c:v>63.253</c:v>
                </c:pt>
                <c:pt idx="3">
                  <c:v>100.083</c:v>
                </c:pt>
              </c:numCache>
            </c:numRef>
          </c:val>
          <c:extLst>
            <c:ext xmlns:c16="http://schemas.microsoft.com/office/drawing/2014/chart" uri="{C3380CC4-5D6E-409C-BE32-E72D297353CC}">
              <c16:uniqueId val="{00000009-A00B-4F59-8840-93CBB42BC8E8}"/>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zh-CN"/>
    </a:p>
  </c:txPr>
  <c:printSettings>
    <c:headerFooter alignWithMargins="0"/>
    <c:pageMargins b="1" l="0.75" r="0.75" t="1" header="0.5" footer="0.5"/>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1737289932809534"/>
          <c:y val="0.24528347082007448"/>
          <c:w val="0.66949221800952774"/>
          <c:h val="0.47169898234629709"/>
        </c:manualLayout>
      </c:layout>
      <c:pie3DChart>
        <c:varyColors val="1"/>
        <c:ser>
          <c:idx val="0"/>
          <c:order val="0"/>
          <c:spPr>
            <a:ln w="12700">
              <a:solidFill>
                <a:srgbClr val="000000"/>
              </a:solidFill>
              <a:prstDash val="solid"/>
            </a:ln>
          </c:spPr>
          <c:dPt>
            <c:idx val="0"/>
            <c:bubble3D val="0"/>
            <c:spPr>
              <a:solidFill>
                <a:srgbClr val="CCFFCC"/>
              </a:solidFill>
              <a:ln w="12700">
                <a:solidFill>
                  <a:srgbClr val="000000"/>
                </a:solidFill>
                <a:prstDash val="solid"/>
              </a:ln>
            </c:spPr>
            <c:extLst>
              <c:ext xmlns:c16="http://schemas.microsoft.com/office/drawing/2014/chart" uri="{C3380CC4-5D6E-409C-BE32-E72D297353CC}">
                <c16:uniqueId val="{00000001-94BB-4156-8510-CFF945E760F1}"/>
              </c:ext>
            </c:extLst>
          </c:dPt>
          <c:dPt>
            <c:idx val="1"/>
            <c:bubble3D val="0"/>
            <c:spPr>
              <a:solidFill>
                <a:srgbClr val="FFFF99"/>
              </a:solidFill>
              <a:ln w="12700">
                <a:solidFill>
                  <a:srgbClr val="000000"/>
                </a:solidFill>
                <a:prstDash val="solid"/>
              </a:ln>
            </c:spPr>
            <c:extLst>
              <c:ext xmlns:c16="http://schemas.microsoft.com/office/drawing/2014/chart" uri="{C3380CC4-5D6E-409C-BE32-E72D297353CC}">
                <c16:uniqueId val="{00000003-94BB-4156-8510-CFF945E760F1}"/>
              </c:ext>
            </c:extLst>
          </c:dPt>
          <c:dPt>
            <c:idx val="2"/>
            <c:bubble3D val="0"/>
            <c:spPr>
              <a:solidFill>
                <a:srgbClr val="C0C0C0"/>
              </a:solidFill>
              <a:ln w="12700">
                <a:solidFill>
                  <a:srgbClr val="000000"/>
                </a:solidFill>
                <a:prstDash val="solid"/>
              </a:ln>
            </c:spPr>
            <c:extLst>
              <c:ext xmlns:c16="http://schemas.microsoft.com/office/drawing/2014/chart" uri="{C3380CC4-5D6E-409C-BE32-E72D297353CC}">
                <c16:uniqueId val="{00000005-94BB-4156-8510-CFF945E760F1}"/>
              </c:ext>
            </c:extLst>
          </c:dPt>
          <c:dPt>
            <c:idx val="3"/>
            <c:bubble3D val="0"/>
            <c:spPr>
              <a:solidFill>
                <a:srgbClr val="E3E3E3"/>
              </a:solidFill>
              <a:ln w="12700">
                <a:solidFill>
                  <a:srgbClr val="000000"/>
                </a:solidFill>
                <a:prstDash val="solid"/>
              </a:ln>
            </c:spPr>
            <c:extLst>
              <c:ext xmlns:c16="http://schemas.microsoft.com/office/drawing/2014/chart" uri="{C3380CC4-5D6E-409C-BE32-E72D297353CC}">
                <c16:uniqueId val="{00000007-94BB-4156-8510-CFF945E760F1}"/>
              </c:ext>
            </c:extLst>
          </c:dPt>
          <c:dLbls>
            <c:dLbl>
              <c:idx val="0"/>
              <c:layout>
                <c:manualLayout>
                  <c:x val="7.7228961590879571E-3"/>
                  <c:y val="3.4135421716747806E-2"/>
                </c:manualLayout>
              </c:layout>
              <c:tx>
                <c:rich>
                  <a:bodyPr/>
                  <a:lstStyle/>
                  <a:p>
                    <a:pPr>
                      <a:defRPr sz="900" b="0" i="0" u="none" strike="noStrike" baseline="0">
                        <a:solidFill>
                          <a:srgbClr val="000000"/>
                        </a:solidFill>
                        <a:latin typeface="Arial"/>
                        <a:ea typeface="Arial"/>
                        <a:cs typeface="Arial"/>
                      </a:defRPr>
                    </a:pPr>
                    <a:r>
                      <a:rPr lang="zh-CN" altLang="en-US" sz="800" b="0" i="0" u="none" strike="noStrike" baseline="0">
                        <a:solidFill>
                          <a:srgbClr val="000000"/>
                        </a:solidFill>
                        <a:latin typeface="楷体_GB2312"/>
                        <a:ea typeface="楷体_GB2312"/>
                      </a:rPr>
                      <a:t>建筑工程 </a:t>
                    </a:r>
                    <a:r>
                      <a:rPr lang="en-US" altLang="zh-CN" sz="800" b="0" i="0" u="none" strike="noStrike" baseline="0">
                        <a:solidFill>
                          <a:srgbClr val="000000"/>
                        </a:solidFill>
                        <a:latin typeface="楷体_GB2312"/>
                        <a:ea typeface="楷体_GB2312"/>
                      </a:rPr>
                      <a:t>73%</a:t>
                    </a:r>
                  </a:p>
                </c:rich>
              </c:tx>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4BB-4156-8510-CFF945E760F1}"/>
                </c:ext>
              </c:extLst>
            </c:dLbl>
            <c:dLbl>
              <c:idx val="1"/>
              <c:tx>
                <c:rich>
                  <a:bodyPr/>
                  <a:lstStyle/>
                  <a:p>
                    <a:pPr>
                      <a:defRPr sz="900" b="0" i="0" u="none" strike="noStrike" baseline="0">
                        <a:solidFill>
                          <a:srgbClr val="000000"/>
                        </a:solidFill>
                        <a:latin typeface="Arial"/>
                        <a:ea typeface="Arial"/>
                        <a:cs typeface="Arial"/>
                      </a:defRPr>
                    </a:pPr>
                    <a:r>
                      <a:rPr lang="zh-CN" altLang="en-US" sz="800" b="0" i="0" u="none" strike="noStrike" baseline="0">
                        <a:solidFill>
                          <a:srgbClr val="000000"/>
                        </a:solidFill>
                        <a:latin typeface="楷体_GB2312"/>
                        <a:ea typeface="楷体_GB2312"/>
                      </a:rPr>
                      <a:t>供应热电 </a:t>
                    </a:r>
                    <a:r>
                      <a:rPr lang="en-US" altLang="zh-CN" sz="800" b="0" i="0" u="none" strike="noStrike" baseline="0">
                        <a:solidFill>
                          <a:srgbClr val="000000"/>
                        </a:solidFill>
                        <a:latin typeface="楷体_GB2312"/>
                        <a:ea typeface="楷体_GB2312"/>
                      </a:rPr>
                      <a:t>16%</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4BB-4156-8510-CFF945E760F1}"/>
                </c:ext>
              </c:extLst>
            </c:dLbl>
            <c:dLbl>
              <c:idx val="2"/>
              <c:layout>
                <c:manualLayout>
                  <c:x val="1.5216423152784157E-2"/>
                  <c:y val="-3.3599011508361261E-2"/>
                </c:manualLayout>
              </c:layout>
              <c:tx>
                <c:rich>
                  <a:bodyPr/>
                  <a:lstStyle/>
                  <a:p>
                    <a:pPr>
                      <a:defRPr sz="900" b="0" i="0" u="none" strike="noStrike" baseline="0">
                        <a:solidFill>
                          <a:srgbClr val="000000"/>
                        </a:solidFill>
                        <a:latin typeface="Arial"/>
                        <a:ea typeface="Arial"/>
                        <a:cs typeface="Arial"/>
                      </a:defRPr>
                    </a:pPr>
                    <a:r>
                      <a:rPr lang="zh-CN" altLang="en-US" sz="800" b="0" i="0" u="none" strike="noStrike" baseline="0">
                        <a:solidFill>
                          <a:srgbClr val="000000"/>
                        </a:solidFill>
                        <a:latin typeface="楷体_GB2312"/>
                        <a:ea typeface="楷体_GB2312"/>
                      </a:rPr>
                      <a:t>基建投资 </a:t>
                    </a:r>
                    <a:r>
                      <a:rPr lang="en-US" altLang="zh-CN" sz="800" b="0" i="0" u="none" strike="noStrike" baseline="0">
                        <a:solidFill>
                          <a:srgbClr val="000000"/>
                        </a:solidFill>
                        <a:latin typeface="楷体_GB2312"/>
                        <a:ea typeface="楷体_GB2312"/>
                      </a:rPr>
                      <a:t>7%</a:t>
                    </a:r>
                  </a:p>
                </c:rich>
              </c:tx>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4BB-4156-8510-CFF945E760F1}"/>
                </c:ext>
              </c:extLst>
            </c:dLbl>
            <c:dLbl>
              <c:idx val="3"/>
              <c:layout>
                <c:manualLayout>
                  <c:x val="4.7438253867714157E-2"/>
                  <c:y val="-8.189434982458766E-3"/>
                </c:manualLayout>
              </c:layout>
              <c:tx>
                <c:rich>
                  <a:bodyPr/>
                  <a:lstStyle/>
                  <a:p>
                    <a:pPr>
                      <a:defRPr sz="900" b="0" i="0" u="none" strike="noStrike" baseline="0">
                        <a:solidFill>
                          <a:srgbClr val="000000"/>
                        </a:solidFill>
                        <a:latin typeface="Arial"/>
                        <a:ea typeface="Arial"/>
                        <a:cs typeface="Arial"/>
                      </a:defRPr>
                    </a:pPr>
                    <a:r>
                      <a:rPr lang="zh-CN" altLang="en-US" sz="800" b="0" i="0" u="none" strike="noStrike" baseline="0">
                        <a:solidFill>
                          <a:srgbClr val="000000"/>
                        </a:solidFill>
                        <a:latin typeface="楷体_GB2312"/>
                        <a:ea typeface="楷体_GB2312"/>
                      </a:rPr>
                      <a:t>其他 </a:t>
                    </a:r>
                    <a:r>
                      <a:rPr lang="en-US" altLang="zh-CN" sz="800" b="0" i="0" u="none" strike="noStrike" baseline="0">
                        <a:solidFill>
                          <a:srgbClr val="000000"/>
                        </a:solidFill>
                        <a:latin typeface="楷体_GB2312"/>
                        <a:ea typeface="楷体_GB2312"/>
                      </a:rPr>
                      <a:t>4%</a:t>
                    </a:r>
                  </a:p>
                </c:rich>
              </c:tx>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4BB-4156-8510-CFF945E760F1}"/>
                </c:ext>
              </c:extLst>
            </c:dLbl>
            <c:dLbl>
              <c:idx val="4"/>
              <c:layout>
                <c:manualLayout>
                  <c:xMode val="edge"/>
                  <c:yMode val="edge"/>
                  <c:x val="0.51694968732381252"/>
                  <c:y val="0.12075493948065205"/>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8-94BB-4156-8510-CFF945E760F1}"/>
                </c:ext>
              </c:extLst>
            </c:dLbl>
            <c:numFmt formatCode="0%" sourceLinked="0"/>
            <c:spPr>
              <a:noFill/>
              <a:ln w="25400">
                <a:noFill/>
              </a:ln>
            </c:spPr>
            <c:txPr>
              <a:bodyPr/>
              <a:lstStyle/>
              <a:p>
                <a:pPr>
                  <a:defRPr sz="800" b="0" i="0" u="none" strike="noStrike" baseline="0">
                    <a:solidFill>
                      <a:srgbClr val="000000"/>
                    </a:solidFill>
                    <a:latin typeface="Arial"/>
                    <a:ea typeface="Arial"/>
                    <a:cs typeface="Arial"/>
                  </a:defRPr>
                </a:pPr>
                <a:endParaRPr lang="zh-CN"/>
              </a:p>
            </c:txP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('业务分部（原始）'!$I$5,'业务分部（原始）'!$I$8,'业务分部（原始）'!$I$11,'业务分部（原始）'!$I$14)</c:f>
              <c:strCache>
                <c:ptCount val="4"/>
                <c:pt idx="0">
                  <c:v>Construction</c:v>
                </c:pt>
                <c:pt idx="1">
                  <c:v>Supply of heat and electricity</c:v>
                </c:pt>
                <c:pt idx="2">
                  <c:v>Infrastructure investment</c:v>
                </c:pt>
                <c:pt idx="3">
                  <c:v>Others</c:v>
                </c:pt>
              </c:strCache>
            </c:strRef>
          </c:cat>
          <c:val>
            <c:numRef>
              <c:f>('业务分部（原始）'!$G$21,'业务分部（原始）'!$G$25,'业务分部（原始）'!$G$29,'业务分部（原始）'!$G$33)</c:f>
              <c:numCache>
                <c:formatCode>#,##0_);[Red]\(#,##0\)</c:formatCode>
                <c:ptCount val="4"/>
                <c:pt idx="0">
                  <c:v>0</c:v>
                </c:pt>
                <c:pt idx="1">
                  <c:v>0</c:v>
                </c:pt>
                <c:pt idx="2">
                  <c:v>0</c:v>
                </c:pt>
                <c:pt idx="3">
                  <c:v>0</c:v>
                </c:pt>
              </c:numCache>
            </c:numRef>
          </c:val>
          <c:extLst>
            <c:ext xmlns:c16="http://schemas.microsoft.com/office/drawing/2014/chart" uri="{C3380CC4-5D6E-409C-BE32-E72D297353CC}">
              <c16:uniqueId val="{00000009-94BB-4156-8510-CFF945E760F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zh-CN"/>
    </a:p>
  </c:txPr>
  <c:printSettings>
    <c:headerFooter alignWithMargins="0"/>
    <c:pageMargins b="1" l="0.75" r="0.75" t="1" header="0.5" footer="0.5"/>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17124735729386892"/>
          <c:y val="0.24436090225563908"/>
          <c:w val="0.67230443974630016"/>
          <c:h val="0.47368421052631576"/>
        </c:manualLayout>
      </c:layout>
      <c:pie3DChart>
        <c:varyColors val="1"/>
        <c:ser>
          <c:idx val="0"/>
          <c:order val="0"/>
          <c:spPr>
            <a:ln w="12700">
              <a:solidFill>
                <a:srgbClr val="000000"/>
              </a:solidFill>
              <a:prstDash val="solid"/>
            </a:ln>
          </c:spPr>
          <c:dPt>
            <c:idx val="0"/>
            <c:bubble3D val="0"/>
            <c:spPr>
              <a:solidFill>
                <a:srgbClr val="CCFFCC"/>
              </a:solidFill>
              <a:ln w="12700">
                <a:solidFill>
                  <a:srgbClr val="000000"/>
                </a:solidFill>
                <a:prstDash val="solid"/>
              </a:ln>
            </c:spPr>
            <c:extLst>
              <c:ext xmlns:c16="http://schemas.microsoft.com/office/drawing/2014/chart" uri="{C3380CC4-5D6E-409C-BE32-E72D297353CC}">
                <c16:uniqueId val="{00000001-EF1B-4E00-AFDC-9E23AEE9B51B}"/>
              </c:ext>
            </c:extLst>
          </c:dPt>
          <c:dPt>
            <c:idx val="1"/>
            <c:bubble3D val="0"/>
            <c:spPr>
              <a:solidFill>
                <a:srgbClr val="FFFF99"/>
              </a:solidFill>
              <a:ln w="12700">
                <a:solidFill>
                  <a:srgbClr val="000000"/>
                </a:solidFill>
                <a:prstDash val="solid"/>
              </a:ln>
            </c:spPr>
            <c:extLst>
              <c:ext xmlns:c16="http://schemas.microsoft.com/office/drawing/2014/chart" uri="{C3380CC4-5D6E-409C-BE32-E72D297353CC}">
                <c16:uniqueId val="{00000003-EF1B-4E00-AFDC-9E23AEE9B51B}"/>
              </c:ext>
            </c:extLst>
          </c:dPt>
          <c:dPt>
            <c:idx val="2"/>
            <c:bubble3D val="0"/>
            <c:spPr>
              <a:solidFill>
                <a:srgbClr val="C0C0C0"/>
              </a:solidFill>
              <a:ln w="12700">
                <a:solidFill>
                  <a:srgbClr val="000000"/>
                </a:solidFill>
                <a:prstDash val="solid"/>
              </a:ln>
            </c:spPr>
            <c:extLst>
              <c:ext xmlns:c16="http://schemas.microsoft.com/office/drawing/2014/chart" uri="{C3380CC4-5D6E-409C-BE32-E72D297353CC}">
                <c16:uniqueId val="{00000005-EF1B-4E00-AFDC-9E23AEE9B51B}"/>
              </c:ext>
            </c:extLst>
          </c:dPt>
          <c:dPt>
            <c:idx val="3"/>
            <c:bubble3D val="0"/>
            <c:spPr>
              <a:solidFill>
                <a:srgbClr val="E3E3E3"/>
              </a:solidFill>
              <a:ln w="12700">
                <a:solidFill>
                  <a:srgbClr val="000000"/>
                </a:solidFill>
                <a:prstDash val="solid"/>
              </a:ln>
            </c:spPr>
            <c:extLst>
              <c:ext xmlns:c16="http://schemas.microsoft.com/office/drawing/2014/chart" uri="{C3380CC4-5D6E-409C-BE32-E72D297353CC}">
                <c16:uniqueId val="{00000007-EF1B-4E00-AFDC-9E23AEE9B51B}"/>
              </c:ext>
            </c:extLst>
          </c:dPt>
          <c:dLbls>
            <c:dLbl>
              <c:idx val="0"/>
              <c:layout>
                <c:manualLayout>
                  <c:x val="-3.6887904868128187E-2"/>
                  <c:y val="1.8130365283286886E-2"/>
                </c:manualLayout>
              </c:layout>
              <c:tx>
                <c:rich>
                  <a:bodyPr/>
                  <a:lstStyle/>
                  <a:p>
                    <a:pPr>
                      <a:defRPr sz="900" b="0" i="0" u="none" strike="noStrike" baseline="0">
                        <a:solidFill>
                          <a:srgbClr val="000000"/>
                        </a:solidFill>
                        <a:latin typeface="Arial"/>
                        <a:ea typeface="Arial"/>
                        <a:cs typeface="Arial"/>
                      </a:defRPr>
                    </a:pPr>
                    <a:r>
                      <a:rPr lang="zh-CN" altLang="en-US" sz="800" b="0" i="0" u="none" strike="noStrike" baseline="0">
                        <a:solidFill>
                          <a:srgbClr val="000000"/>
                        </a:solidFill>
                        <a:latin typeface="楷体_GB2312"/>
                        <a:ea typeface="楷体_GB2312"/>
                      </a:rPr>
                      <a:t>建筑工程 </a:t>
                    </a:r>
                    <a:r>
                      <a:rPr lang="en-US" altLang="zh-CN" sz="800" b="0" i="0" u="none" strike="noStrike" baseline="0">
                        <a:solidFill>
                          <a:srgbClr val="000000"/>
                        </a:solidFill>
                        <a:latin typeface="楷体_GB2312"/>
                        <a:ea typeface="楷体_GB2312"/>
                      </a:rPr>
                      <a:t>95%</a:t>
                    </a:r>
                  </a:p>
                </c:rich>
              </c:tx>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F1B-4E00-AFDC-9E23AEE9B51B}"/>
                </c:ext>
              </c:extLst>
            </c:dLbl>
            <c:dLbl>
              <c:idx val="1"/>
              <c:layout>
                <c:manualLayout>
                  <c:x val="-8.693379500923909E-2"/>
                  <c:y val="-4.247626941369184E-3"/>
                </c:manualLayout>
              </c:layout>
              <c:tx>
                <c:rich>
                  <a:bodyPr/>
                  <a:lstStyle/>
                  <a:p>
                    <a:pPr>
                      <a:defRPr sz="900" b="0" i="0" u="none" strike="noStrike" baseline="0">
                        <a:solidFill>
                          <a:srgbClr val="000000"/>
                        </a:solidFill>
                        <a:latin typeface="Arial"/>
                        <a:ea typeface="Arial"/>
                        <a:cs typeface="Arial"/>
                      </a:defRPr>
                    </a:pPr>
                    <a:r>
                      <a:rPr lang="zh-CN" altLang="en-US" sz="800" b="0" i="0" u="none" strike="noStrike" baseline="0">
                        <a:solidFill>
                          <a:srgbClr val="000000"/>
                        </a:solidFill>
                        <a:latin typeface="楷体_GB2312"/>
                        <a:ea typeface="楷体_GB2312"/>
                      </a:rPr>
                      <a:t>供应热电 </a:t>
                    </a:r>
                    <a:r>
                      <a:rPr lang="en-US" altLang="zh-CN" sz="800" b="0" i="0" u="none" strike="noStrike" baseline="0">
                        <a:solidFill>
                          <a:srgbClr val="000000"/>
                        </a:solidFill>
                        <a:latin typeface="楷体_GB2312"/>
                        <a:ea typeface="楷体_GB2312"/>
                      </a:rPr>
                      <a:t>3%</a:t>
                    </a:r>
                  </a:p>
                </c:rich>
              </c:tx>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F1B-4E00-AFDC-9E23AEE9B51B}"/>
                </c:ext>
              </c:extLst>
            </c:dLbl>
            <c:dLbl>
              <c:idx val="2"/>
              <c:layout>
                <c:manualLayout>
                  <c:x val="2.4824846154272998E-2"/>
                  <c:y val="-3.4943658358494674E-2"/>
                </c:manualLayout>
              </c:layout>
              <c:tx>
                <c:rich>
                  <a:bodyPr/>
                  <a:lstStyle/>
                  <a:p>
                    <a:pPr>
                      <a:defRPr sz="900" b="0" i="0" u="none" strike="noStrike" baseline="0">
                        <a:solidFill>
                          <a:srgbClr val="000000"/>
                        </a:solidFill>
                        <a:latin typeface="Arial"/>
                        <a:ea typeface="Arial"/>
                        <a:cs typeface="Arial"/>
                      </a:defRPr>
                    </a:pPr>
                    <a:r>
                      <a:rPr lang="zh-CN" altLang="en-US" sz="800" b="0" i="0" u="none" strike="noStrike" baseline="0">
                        <a:solidFill>
                          <a:srgbClr val="000000"/>
                        </a:solidFill>
                        <a:latin typeface="楷体_GB2312"/>
                        <a:ea typeface="楷体_GB2312"/>
                      </a:rPr>
                      <a:t>基建投资 </a:t>
                    </a:r>
                    <a:r>
                      <a:rPr lang="en-US" altLang="zh-CN" sz="800" b="0" i="0" u="none" strike="noStrike" baseline="0">
                        <a:solidFill>
                          <a:srgbClr val="000000"/>
                        </a:solidFill>
                        <a:latin typeface="楷体_GB2312"/>
                        <a:ea typeface="楷体_GB2312"/>
                      </a:rPr>
                      <a:t>1%</a:t>
                    </a:r>
                  </a:p>
                </c:rich>
              </c:tx>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EF1B-4E00-AFDC-9E23AEE9B51B}"/>
                </c:ext>
              </c:extLst>
            </c:dLbl>
            <c:dLbl>
              <c:idx val="3"/>
              <c:layout>
                <c:manualLayout>
                  <c:x val="9.2549372131866203E-2"/>
                  <c:y val="-6.8778244824660079E-2"/>
                </c:manualLayout>
              </c:layout>
              <c:tx>
                <c:rich>
                  <a:bodyPr/>
                  <a:lstStyle/>
                  <a:p>
                    <a:pPr>
                      <a:defRPr sz="900" b="0" i="0" u="none" strike="noStrike" baseline="0">
                        <a:solidFill>
                          <a:srgbClr val="000000"/>
                        </a:solidFill>
                        <a:latin typeface="Arial"/>
                        <a:ea typeface="Arial"/>
                        <a:cs typeface="Arial"/>
                      </a:defRPr>
                    </a:pPr>
                    <a:r>
                      <a:rPr lang="zh-CN" altLang="en-US" sz="800" b="0" i="0" u="none" strike="noStrike" baseline="0">
                        <a:solidFill>
                          <a:srgbClr val="000000"/>
                        </a:solidFill>
                        <a:latin typeface="楷体_GB2312"/>
                        <a:ea typeface="楷体_GB2312"/>
                      </a:rPr>
                      <a:t>其他 </a:t>
                    </a:r>
                    <a:r>
                      <a:rPr lang="en-US" altLang="zh-CN" sz="800" b="0" i="0" u="none" strike="noStrike" baseline="0">
                        <a:solidFill>
                          <a:srgbClr val="000000"/>
                        </a:solidFill>
                        <a:latin typeface="楷体_GB2312"/>
                        <a:ea typeface="楷体_GB2312"/>
                      </a:rPr>
                      <a:t>1%</a:t>
                    </a:r>
                  </a:p>
                </c:rich>
              </c:tx>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EF1B-4E00-AFDC-9E23AEE9B51B}"/>
                </c:ext>
              </c:extLst>
            </c:dLbl>
            <c:dLbl>
              <c:idx val="4"/>
              <c:layout>
                <c:manualLayout>
                  <c:xMode val="edge"/>
                  <c:yMode val="edge"/>
                  <c:x val="0.5158562367864693"/>
                  <c:y val="0.12030075187969924"/>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8-EF1B-4E00-AFDC-9E23AEE9B51B}"/>
                </c:ext>
              </c:extLst>
            </c:dLbl>
            <c:numFmt formatCode="0%" sourceLinked="0"/>
            <c:spPr>
              <a:noFill/>
              <a:ln w="25400">
                <a:noFill/>
              </a:ln>
            </c:spPr>
            <c:txPr>
              <a:bodyPr/>
              <a:lstStyle/>
              <a:p>
                <a:pPr>
                  <a:defRPr sz="800" b="0" i="0" u="none" strike="noStrike" baseline="0">
                    <a:solidFill>
                      <a:srgbClr val="000000"/>
                    </a:solidFill>
                    <a:latin typeface="Arial"/>
                    <a:ea typeface="Arial"/>
                    <a:cs typeface="Arial"/>
                  </a:defRPr>
                </a:pPr>
                <a:endParaRPr lang="zh-CN"/>
              </a:p>
            </c:txP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('业务分部（原始）'!$I$5,'业务分部（原始）'!$I$8,'业务分部（原始）'!$I$11,'业务分部（原始）'!$I$14)</c:f>
              <c:strCache>
                <c:ptCount val="4"/>
                <c:pt idx="0">
                  <c:v>Construction</c:v>
                </c:pt>
                <c:pt idx="1">
                  <c:v>Supply of heat and electricity</c:v>
                </c:pt>
                <c:pt idx="2">
                  <c:v>Infrastructure investment</c:v>
                </c:pt>
                <c:pt idx="3">
                  <c:v>Others</c:v>
                </c:pt>
              </c:strCache>
            </c:strRef>
          </c:cat>
          <c:val>
            <c:numRef>
              <c:f>('业务分部（原始）'!$G$5,'业务分部（原始）'!$G$8,'业务分部（原始）'!$G$11,'业务分部（原始）'!$G$14)</c:f>
              <c:numCache>
                <c:formatCode>#,##0_);[Red]\(#,##0\)</c:formatCode>
                <c:ptCount val="4"/>
                <c:pt idx="0">
                  <c:v>10481.86</c:v>
                </c:pt>
                <c:pt idx="1">
                  <c:v>376.209</c:v>
                </c:pt>
                <c:pt idx="2">
                  <c:v>63.253</c:v>
                </c:pt>
                <c:pt idx="3">
                  <c:v>100.083</c:v>
                </c:pt>
              </c:numCache>
            </c:numRef>
          </c:val>
          <c:extLst>
            <c:ext xmlns:c16="http://schemas.microsoft.com/office/drawing/2014/chart" uri="{C3380CC4-5D6E-409C-BE32-E72D297353CC}">
              <c16:uniqueId val="{00000009-EF1B-4E00-AFDC-9E23AEE9B51B}"/>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zh-CN"/>
    </a:p>
  </c:txPr>
  <c:printSettings>
    <c:headerFooter alignWithMargins="0"/>
    <c:pageMargins b="1" l="0.75" r="0.75" t="1" header="0.5" footer="0.5"/>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1737289932809534"/>
          <c:y val="0.24528347082007448"/>
          <c:w val="0.66949221800952774"/>
          <c:h val="0.47169898234629709"/>
        </c:manualLayout>
      </c:layout>
      <c:pie3DChart>
        <c:varyColors val="1"/>
        <c:ser>
          <c:idx val="0"/>
          <c:order val="0"/>
          <c:spPr>
            <a:ln w="12700">
              <a:solidFill>
                <a:srgbClr val="000000"/>
              </a:solidFill>
              <a:prstDash val="solid"/>
            </a:ln>
          </c:spPr>
          <c:dPt>
            <c:idx val="0"/>
            <c:bubble3D val="0"/>
            <c:spPr>
              <a:solidFill>
                <a:srgbClr val="CCFFCC"/>
              </a:solidFill>
              <a:ln w="12700">
                <a:solidFill>
                  <a:srgbClr val="000000"/>
                </a:solidFill>
                <a:prstDash val="solid"/>
              </a:ln>
            </c:spPr>
            <c:extLst>
              <c:ext xmlns:c16="http://schemas.microsoft.com/office/drawing/2014/chart" uri="{C3380CC4-5D6E-409C-BE32-E72D297353CC}">
                <c16:uniqueId val="{00000001-323D-42C1-B04F-4FB1F60BBF39}"/>
              </c:ext>
            </c:extLst>
          </c:dPt>
          <c:dPt>
            <c:idx val="1"/>
            <c:bubble3D val="0"/>
            <c:spPr>
              <a:solidFill>
                <a:srgbClr val="FFFF99"/>
              </a:solidFill>
              <a:ln w="12700">
                <a:solidFill>
                  <a:srgbClr val="000000"/>
                </a:solidFill>
                <a:prstDash val="solid"/>
              </a:ln>
            </c:spPr>
            <c:extLst>
              <c:ext xmlns:c16="http://schemas.microsoft.com/office/drawing/2014/chart" uri="{C3380CC4-5D6E-409C-BE32-E72D297353CC}">
                <c16:uniqueId val="{00000003-323D-42C1-B04F-4FB1F60BBF39}"/>
              </c:ext>
            </c:extLst>
          </c:dPt>
          <c:dPt>
            <c:idx val="2"/>
            <c:bubble3D val="0"/>
            <c:spPr>
              <a:solidFill>
                <a:srgbClr val="C0C0C0"/>
              </a:solidFill>
              <a:ln w="12700">
                <a:solidFill>
                  <a:srgbClr val="000000"/>
                </a:solidFill>
                <a:prstDash val="solid"/>
              </a:ln>
            </c:spPr>
            <c:extLst>
              <c:ext xmlns:c16="http://schemas.microsoft.com/office/drawing/2014/chart" uri="{C3380CC4-5D6E-409C-BE32-E72D297353CC}">
                <c16:uniqueId val="{00000005-323D-42C1-B04F-4FB1F60BBF39}"/>
              </c:ext>
            </c:extLst>
          </c:dPt>
          <c:dPt>
            <c:idx val="3"/>
            <c:bubble3D val="0"/>
            <c:spPr>
              <a:solidFill>
                <a:srgbClr val="E3E3E3"/>
              </a:solidFill>
              <a:ln w="12700">
                <a:solidFill>
                  <a:srgbClr val="000000"/>
                </a:solidFill>
                <a:prstDash val="solid"/>
              </a:ln>
            </c:spPr>
            <c:extLst>
              <c:ext xmlns:c16="http://schemas.microsoft.com/office/drawing/2014/chart" uri="{C3380CC4-5D6E-409C-BE32-E72D297353CC}">
                <c16:uniqueId val="{00000007-323D-42C1-B04F-4FB1F60BBF39}"/>
              </c:ext>
            </c:extLst>
          </c:dPt>
          <c:dLbls>
            <c:dLbl>
              <c:idx val="0"/>
              <c:layout>
                <c:manualLayout>
                  <c:x val="-0.17696411332984532"/>
                  <c:y val="8.0551993065925823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323D-42C1-B04F-4FB1F60BBF39}"/>
                </c:ext>
              </c:extLst>
            </c:dLbl>
            <c:dLbl>
              <c:idx val="2"/>
              <c:layout>
                <c:manualLayout>
                  <c:x val="2.5828986119493361E-2"/>
                  <c:y val="-6.8714268620754346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323D-42C1-B04F-4FB1F60BBF39}"/>
                </c:ext>
              </c:extLst>
            </c:dLbl>
            <c:dLbl>
              <c:idx val="3"/>
              <c:layout>
                <c:manualLayout>
                  <c:x val="5.5475295334200571E-2"/>
                  <c:y val="-2.2604345139854896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323D-42C1-B04F-4FB1F60BBF39}"/>
                </c:ext>
              </c:extLst>
            </c:dLbl>
            <c:dLbl>
              <c:idx val="4"/>
              <c:layout>
                <c:manualLayout>
                  <c:xMode val="edge"/>
                  <c:yMode val="edge"/>
                  <c:x val="0.51694968732381252"/>
                  <c:y val="0.12075493948065205"/>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8-323D-42C1-B04F-4FB1F60BBF39}"/>
                </c:ext>
              </c:extLst>
            </c:dLbl>
            <c:numFmt formatCode="0%" sourceLinked="0"/>
            <c:spPr>
              <a:noFill/>
              <a:ln w="25400">
                <a:noFill/>
              </a:ln>
            </c:spPr>
            <c:txPr>
              <a:bodyPr/>
              <a:lstStyle/>
              <a:p>
                <a:pPr>
                  <a:defRPr sz="800" b="0" i="0" u="none" strike="noStrike" baseline="0">
                    <a:solidFill>
                      <a:srgbClr val="000000"/>
                    </a:solidFill>
                    <a:latin typeface="Arial"/>
                    <a:ea typeface="Arial"/>
                    <a:cs typeface="Arial"/>
                  </a:defRPr>
                </a:pPr>
                <a:endParaRPr lang="zh-CN"/>
              </a:p>
            </c:txP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('业务分部（原始）'!$I$5,'业务分部（原始）'!$I$8,'业务分部（原始）'!$I$11,'业务分部（原始）'!$I$14)</c:f>
              <c:strCache>
                <c:ptCount val="4"/>
                <c:pt idx="0">
                  <c:v>Construction</c:v>
                </c:pt>
                <c:pt idx="1">
                  <c:v>Supply of heat and electricity</c:v>
                </c:pt>
                <c:pt idx="2">
                  <c:v>Infrastructure investment</c:v>
                </c:pt>
                <c:pt idx="3">
                  <c:v>Others</c:v>
                </c:pt>
              </c:strCache>
            </c:strRef>
          </c:cat>
          <c:val>
            <c:numRef>
              <c:f>('业务分部（原始）'!$G$21,'业务分部（原始）'!$G$25,'业务分部（原始）'!$G$29,'业务分部（原始）'!$G$33)</c:f>
              <c:numCache>
                <c:formatCode>#,##0_);[Red]\(#,##0\)</c:formatCode>
                <c:ptCount val="4"/>
                <c:pt idx="0">
                  <c:v>0</c:v>
                </c:pt>
                <c:pt idx="1">
                  <c:v>0</c:v>
                </c:pt>
                <c:pt idx="2">
                  <c:v>0</c:v>
                </c:pt>
                <c:pt idx="3">
                  <c:v>0</c:v>
                </c:pt>
              </c:numCache>
            </c:numRef>
          </c:val>
          <c:extLst>
            <c:ext xmlns:c16="http://schemas.microsoft.com/office/drawing/2014/chart" uri="{C3380CC4-5D6E-409C-BE32-E72D297353CC}">
              <c16:uniqueId val="{00000009-323D-42C1-B04F-4FB1F60BBF39}"/>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zh-CN"/>
    </a:p>
  </c:txPr>
  <c:printSettings>
    <c:headerFooter alignWithMargins="0"/>
    <c:pageMargins b="1" l="0.75" r="0.75" t="1" header="0.5" footer="0.5"/>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16913319238900634"/>
          <c:y val="0.24436090225563908"/>
          <c:w val="0.67653276955602537"/>
          <c:h val="0.47368421052631576"/>
        </c:manualLayout>
      </c:layout>
      <c:pie3DChart>
        <c:varyColors val="1"/>
        <c:ser>
          <c:idx val="0"/>
          <c:order val="0"/>
          <c:spPr>
            <a:ln w="12700">
              <a:solidFill>
                <a:srgbClr val="000000"/>
              </a:solidFill>
              <a:prstDash val="solid"/>
            </a:ln>
          </c:spPr>
          <c:dPt>
            <c:idx val="0"/>
            <c:bubble3D val="0"/>
            <c:spPr>
              <a:solidFill>
                <a:srgbClr val="CCFFCC"/>
              </a:solidFill>
              <a:ln w="12700">
                <a:solidFill>
                  <a:srgbClr val="000000"/>
                </a:solidFill>
                <a:prstDash val="solid"/>
              </a:ln>
            </c:spPr>
            <c:extLst>
              <c:ext xmlns:c16="http://schemas.microsoft.com/office/drawing/2014/chart" uri="{C3380CC4-5D6E-409C-BE32-E72D297353CC}">
                <c16:uniqueId val="{00000001-1687-47D0-8A67-B02C50AB1581}"/>
              </c:ext>
            </c:extLst>
          </c:dPt>
          <c:dPt>
            <c:idx val="1"/>
            <c:bubble3D val="0"/>
            <c:spPr>
              <a:solidFill>
                <a:srgbClr val="FFFF99"/>
              </a:solidFill>
              <a:ln w="12700">
                <a:solidFill>
                  <a:srgbClr val="000000"/>
                </a:solidFill>
                <a:prstDash val="solid"/>
              </a:ln>
            </c:spPr>
            <c:extLst>
              <c:ext xmlns:c16="http://schemas.microsoft.com/office/drawing/2014/chart" uri="{C3380CC4-5D6E-409C-BE32-E72D297353CC}">
                <c16:uniqueId val="{00000003-1687-47D0-8A67-B02C50AB1581}"/>
              </c:ext>
            </c:extLst>
          </c:dPt>
          <c:dPt>
            <c:idx val="2"/>
            <c:bubble3D val="0"/>
            <c:spPr>
              <a:solidFill>
                <a:srgbClr val="C0C0C0"/>
              </a:solidFill>
              <a:ln w="12700">
                <a:solidFill>
                  <a:srgbClr val="000000"/>
                </a:solidFill>
                <a:prstDash val="solid"/>
              </a:ln>
            </c:spPr>
            <c:extLst>
              <c:ext xmlns:c16="http://schemas.microsoft.com/office/drawing/2014/chart" uri="{C3380CC4-5D6E-409C-BE32-E72D297353CC}">
                <c16:uniqueId val="{00000005-1687-47D0-8A67-B02C50AB1581}"/>
              </c:ext>
            </c:extLst>
          </c:dPt>
          <c:dPt>
            <c:idx val="3"/>
            <c:bubble3D val="0"/>
            <c:spPr>
              <a:solidFill>
                <a:srgbClr val="E3E3E3"/>
              </a:solidFill>
              <a:ln w="12700">
                <a:solidFill>
                  <a:srgbClr val="000000"/>
                </a:solidFill>
                <a:prstDash val="solid"/>
              </a:ln>
            </c:spPr>
            <c:extLst>
              <c:ext xmlns:c16="http://schemas.microsoft.com/office/drawing/2014/chart" uri="{C3380CC4-5D6E-409C-BE32-E72D297353CC}">
                <c16:uniqueId val="{00000007-1687-47D0-8A67-B02C50AB1581}"/>
              </c:ext>
            </c:extLst>
          </c:dPt>
          <c:dLbls>
            <c:dLbl>
              <c:idx val="0"/>
              <c:layout>
                <c:manualLayout>
                  <c:x val="-4.392357932002687E-2"/>
                  <c:y val="2.0488228445128608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1687-47D0-8A67-B02C50AB1581}"/>
                </c:ext>
              </c:extLst>
            </c:dLbl>
            <c:dLbl>
              <c:idx val="1"/>
              <c:layout>
                <c:manualLayout>
                  <c:x val="-7.6417350579591911E-2"/>
                  <c:y val="-3.1281747676277324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1687-47D0-8A67-B02C50AB1581}"/>
                </c:ext>
              </c:extLst>
            </c:dLbl>
            <c:dLbl>
              <c:idx val="2"/>
              <c:layout>
                <c:manualLayout>
                  <c:x val="3.4880280556896529E-2"/>
                  <c:y val="-5.8198251534347697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1687-47D0-8A67-B02C50AB1581}"/>
                </c:ext>
              </c:extLst>
            </c:dLbl>
            <c:dLbl>
              <c:idx val="3"/>
              <c:layout>
                <c:manualLayout>
                  <c:x val="9.81056860492861E-2"/>
                  <c:y val="-8.1731888777060765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1687-47D0-8A67-B02C50AB1581}"/>
                </c:ext>
              </c:extLst>
            </c:dLbl>
            <c:dLbl>
              <c:idx val="4"/>
              <c:layout>
                <c:manualLayout>
                  <c:xMode val="edge"/>
                  <c:yMode val="edge"/>
                  <c:x val="0.5158562367864693"/>
                  <c:y val="0.12030075187969924"/>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8-1687-47D0-8A67-B02C50AB1581}"/>
                </c:ext>
              </c:extLst>
            </c:dLbl>
            <c:numFmt formatCode="0%" sourceLinked="0"/>
            <c:spPr>
              <a:noFill/>
              <a:ln w="25400">
                <a:noFill/>
              </a:ln>
            </c:spPr>
            <c:txPr>
              <a:bodyPr/>
              <a:lstStyle/>
              <a:p>
                <a:pPr>
                  <a:defRPr sz="800" b="0" i="0" u="none" strike="noStrike" baseline="0">
                    <a:solidFill>
                      <a:srgbClr val="000000"/>
                    </a:solidFill>
                    <a:latin typeface="Arial"/>
                    <a:ea typeface="Arial"/>
                    <a:cs typeface="Arial"/>
                  </a:defRPr>
                </a:pPr>
                <a:endParaRPr lang="zh-CN"/>
              </a:p>
            </c:txP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('业务分部（原始）'!$I$5,'业务分部（原始）'!$I$8,'业务分部（原始）'!$I$11,'业务分部（原始）'!$I$14)</c:f>
              <c:strCache>
                <c:ptCount val="4"/>
                <c:pt idx="0">
                  <c:v>Construction</c:v>
                </c:pt>
                <c:pt idx="1">
                  <c:v>Supply of heat and electricity</c:v>
                </c:pt>
                <c:pt idx="2">
                  <c:v>Infrastructure investment</c:v>
                </c:pt>
                <c:pt idx="3">
                  <c:v>Others</c:v>
                </c:pt>
              </c:strCache>
            </c:strRef>
          </c:cat>
          <c:val>
            <c:numRef>
              <c:f>('业务分部（原始）'!$G$5,'业务分部（原始）'!$G$8,'业务分部（原始）'!$G$11,'业务分部（原始）'!$G$14)</c:f>
              <c:numCache>
                <c:formatCode>#,##0_);[Red]\(#,##0\)</c:formatCode>
                <c:ptCount val="4"/>
                <c:pt idx="0">
                  <c:v>10481.86</c:v>
                </c:pt>
                <c:pt idx="1">
                  <c:v>376.209</c:v>
                </c:pt>
                <c:pt idx="2">
                  <c:v>63.253</c:v>
                </c:pt>
                <c:pt idx="3">
                  <c:v>100.083</c:v>
                </c:pt>
              </c:numCache>
            </c:numRef>
          </c:val>
          <c:extLst>
            <c:ext xmlns:c16="http://schemas.microsoft.com/office/drawing/2014/chart" uri="{C3380CC4-5D6E-409C-BE32-E72D297353CC}">
              <c16:uniqueId val="{00000009-1687-47D0-8A67-B02C50AB158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zh-CN"/>
    </a:p>
  </c:txPr>
  <c:printSettings>
    <c:headerFooter alignWithMargins="0"/>
    <c:pageMargins b="1" l="0.75" r="0.75" t="1" header="0.5" footer="0.5"/>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235155550929362E-2"/>
          <c:y val="0.1072961373390558"/>
          <c:w val="0.93595650229644178"/>
          <c:h val="0.71673819742489275"/>
        </c:manualLayout>
      </c:layout>
      <c:barChart>
        <c:barDir val="col"/>
        <c:grouping val="clustered"/>
        <c:varyColors val="0"/>
        <c:ser>
          <c:idx val="0"/>
          <c:order val="0"/>
          <c:spPr>
            <a:solidFill>
              <a:srgbClr val="CCFFCC"/>
            </a:solidFill>
            <a:ln w="12700">
              <a:solidFill>
                <a:srgbClr val="000000"/>
              </a:solidFill>
              <a:prstDash val="solid"/>
            </a:ln>
          </c:spPr>
          <c:invertIfNegative val="0"/>
          <c:dPt>
            <c:idx val="3"/>
            <c:invertIfNegative val="0"/>
            <c:bubble3D val="0"/>
            <c:spPr>
              <a:solidFill>
                <a:srgbClr val="C0C0C0"/>
              </a:solidFill>
              <a:ln w="12700">
                <a:solidFill>
                  <a:srgbClr val="000000"/>
                </a:solidFill>
                <a:prstDash val="solid"/>
              </a:ln>
            </c:spPr>
            <c:extLst>
              <c:ext xmlns:c16="http://schemas.microsoft.com/office/drawing/2014/chart" uri="{C3380CC4-5D6E-409C-BE32-E72D297353CC}">
                <c16:uniqueId val="{00000001-AA3C-4876-9BC1-D3E650B7C678}"/>
              </c:ext>
            </c:extLst>
          </c:dPt>
          <c:dPt>
            <c:idx val="4"/>
            <c:invertIfNegative val="0"/>
            <c:bubble3D val="0"/>
            <c:spPr>
              <a:solidFill>
                <a:srgbClr val="C0C0C0"/>
              </a:solidFill>
              <a:ln w="12700">
                <a:solidFill>
                  <a:srgbClr val="000000"/>
                </a:solidFill>
                <a:prstDash val="solid"/>
              </a:ln>
            </c:spPr>
            <c:extLst>
              <c:ext xmlns:c16="http://schemas.microsoft.com/office/drawing/2014/chart" uri="{C3380CC4-5D6E-409C-BE32-E72D297353CC}">
                <c16:uniqueId val="{00000003-AA3C-4876-9BC1-D3E650B7C678}"/>
              </c:ext>
            </c:extLst>
          </c:dPt>
          <c:dLbls>
            <c:spPr>
              <a:noFill/>
              <a:ln w="25400">
                <a:noFill/>
              </a:ln>
            </c:spPr>
            <c:txPr>
              <a:bodyPr/>
              <a:lstStyle/>
              <a:p>
                <a:pPr>
                  <a:defRPr sz="800" b="0" i="0" u="none" strike="noStrike" baseline="0">
                    <a:solidFill>
                      <a:srgbClr val="000000"/>
                    </a:solidFill>
                    <a:latin typeface="Arial"/>
                    <a:ea typeface="Arial"/>
                    <a:cs typeface="Arial"/>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'P&amp;L (2)'!$C$2:$G$2</c:f>
              <c:strCache>
                <c:ptCount val="5"/>
                <c:pt idx="0">
                  <c:v>2006A</c:v>
                </c:pt>
                <c:pt idx="1">
                  <c:v>2007A</c:v>
                </c:pt>
                <c:pt idx="2">
                  <c:v>2008A</c:v>
                </c:pt>
                <c:pt idx="3">
                  <c:v>2009E</c:v>
                </c:pt>
                <c:pt idx="4">
                  <c:v>2010E</c:v>
                </c:pt>
              </c:strCache>
            </c:strRef>
          </c:cat>
          <c:val>
            <c:numRef>
              <c:f>'P&amp;L (2)'!$C$38:$G$38</c:f>
              <c:numCache>
                <c:formatCode>#,##0_);\(#,##0\)</c:formatCode>
                <c:ptCount val="5"/>
                <c:pt idx="0">
                  <c:v>0</c:v>
                </c:pt>
                <c:pt idx="1">
                  <c:v>0</c:v>
                </c:pt>
                <c:pt idx="2">
                  <c:v>0</c:v>
                </c:pt>
                <c:pt idx="3">
                  <c:v>0</c:v>
                </c:pt>
                <c:pt idx="4">
                  <c:v>0</c:v>
                </c:pt>
              </c:numCache>
            </c:numRef>
          </c:val>
          <c:extLst>
            <c:ext xmlns:c16="http://schemas.microsoft.com/office/drawing/2014/chart" uri="{C3380CC4-5D6E-409C-BE32-E72D297353CC}">
              <c16:uniqueId val="{00000004-AA3C-4876-9BC1-D3E650B7C678}"/>
            </c:ext>
          </c:extLst>
        </c:ser>
        <c:dLbls>
          <c:showLegendKey val="0"/>
          <c:showVal val="0"/>
          <c:showCatName val="0"/>
          <c:showSerName val="0"/>
          <c:showPercent val="0"/>
          <c:showBubbleSize val="0"/>
        </c:dLbls>
        <c:gapWidth val="150"/>
        <c:axId val="609092352"/>
        <c:axId val="609093888"/>
      </c:barChart>
      <c:catAx>
        <c:axId val="60909235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zh-CN"/>
          </a:p>
        </c:txPr>
        <c:crossAx val="609093888"/>
        <c:crosses val="autoZero"/>
        <c:auto val="1"/>
        <c:lblAlgn val="ctr"/>
        <c:lblOffset val="100"/>
        <c:tickLblSkip val="1"/>
        <c:tickMarkSkip val="1"/>
        <c:noMultiLvlLbl val="0"/>
      </c:catAx>
      <c:valAx>
        <c:axId val="609093888"/>
        <c:scaling>
          <c:orientation val="minMax"/>
        </c:scaling>
        <c:delete val="0"/>
        <c:axPos val="l"/>
        <c:numFmt formatCode="#,##0_);\(#,##0\)"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zh-CN"/>
          </a:p>
        </c:txPr>
        <c:crossAx val="609092352"/>
        <c:crosses val="autoZero"/>
        <c:crossBetween val="between"/>
      </c:valAx>
      <c:spPr>
        <a:noFill/>
        <a:ln w="25400">
          <a:noFill/>
        </a:ln>
      </c:spPr>
    </c:plotArea>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zh-CN"/>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6" Type="http://schemas.openxmlformats.org/officeDocument/2006/relationships/chart" Target="../charts/chart31.xml"/><Relationship Id="rId5" Type="http://schemas.openxmlformats.org/officeDocument/2006/relationships/chart" Target="../charts/chart30.xml"/><Relationship Id="rId4" Type="http://schemas.openxmlformats.org/officeDocument/2006/relationships/chart" Target="../charts/chart2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0</xdr:col>
      <xdr:colOff>54123</xdr:colOff>
      <xdr:row>0</xdr:row>
      <xdr:rowOff>0</xdr:rowOff>
    </xdr:from>
    <xdr:to>
      <xdr:col>3</xdr:col>
      <xdr:colOff>211558</xdr:colOff>
      <xdr:row>3</xdr:row>
      <xdr:rowOff>12055</xdr:rowOff>
    </xdr:to>
    <xdr:pic>
      <xdr:nvPicPr>
        <xdr:cNvPr id="2" name="图片 1" descr=" ">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a:stretch>
          <a:fillRect/>
        </a:stretch>
      </xdr:blipFill>
      <xdr:spPr>
        <a:xfrm>
          <a:off x="54906" y="19050"/>
          <a:ext cx="1313343" cy="533400"/>
        </a:xfrm>
        <a:prstGeom prst="rect">
          <a:avLst/>
        </a:prstGeom>
        <a:noFill/>
        <a:ln w="9525" cap="flat" cmpd="sng">
          <a:noFill/>
          <a:prstDash val="solid"/>
          <a:miter/>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54123</xdr:colOff>
      <xdr:row>0</xdr:row>
      <xdr:rowOff>0</xdr:rowOff>
    </xdr:from>
    <xdr:to>
      <xdr:col>3</xdr:col>
      <xdr:colOff>231321</xdr:colOff>
      <xdr:row>3</xdr:row>
      <xdr:rowOff>12055</xdr:rowOff>
    </xdr:to>
    <xdr:pic>
      <xdr:nvPicPr>
        <xdr:cNvPr id="2" name="图片 1" descr=" ">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rcRect/>
        <a:stretch>
          <a:fillRect/>
        </a:stretch>
      </xdr:blipFill>
      <xdr:spPr>
        <a:xfrm>
          <a:off x="54906" y="19050"/>
          <a:ext cx="1313343" cy="533400"/>
        </a:xfrm>
        <a:prstGeom prst="rect">
          <a:avLst/>
        </a:prstGeom>
        <a:noFill/>
        <a:ln w="9525" cap="flat" cmpd="sng">
          <a:noFill/>
          <a:prstDash val="solid"/>
          <a:miter/>
        </a:ln>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92249</xdr:colOff>
      <xdr:row>0</xdr:row>
      <xdr:rowOff>0</xdr:rowOff>
    </xdr:from>
    <xdr:to>
      <xdr:col>3</xdr:col>
      <xdr:colOff>175571</xdr:colOff>
      <xdr:row>3</xdr:row>
      <xdr:rowOff>12402</xdr:rowOff>
    </xdr:to>
    <xdr:pic>
      <xdr:nvPicPr>
        <xdr:cNvPr id="2" name="图片 1" descr=" ">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93029" y="19050"/>
          <a:ext cx="1237372" cy="495300"/>
        </a:xfrm>
        <a:prstGeom prst="rect">
          <a:avLst/>
        </a:prstGeom>
        <a:noFill/>
        <a:ln w="9525" cap="flat" cmpd="sng">
          <a:noFill/>
          <a:prstDash val="solid"/>
          <a:miter/>
        </a:ln>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34</xdr:col>
      <xdr:colOff>412742</xdr:colOff>
      <xdr:row>87</xdr:row>
      <xdr:rowOff>4969</xdr:rowOff>
    </xdr:from>
    <xdr:to>
      <xdr:col>38</xdr:col>
      <xdr:colOff>618779</xdr:colOff>
      <xdr:row>99</xdr:row>
      <xdr:rowOff>121478</xdr:rowOff>
    </xdr:to>
    <xdr:graphicFrame macro="">
      <xdr:nvGraphicFramePr>
        <xdr:cNvPr id="2" name="图表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34</xdr:col>
      <xdr:colOff>456675</xdr:colOff>
      <xdr:row>131</xdr:row>
      <xdr:rowOff>147638</xdr:rowOff>
    </xdr:from>
    <xdr:to>
      <xdr:col>39</xdr:col>
      <xdr:colOff>578440</xdr:colOff>
      <xdr:row>145</xdr:row>
      <xdr:rowOff>147638</xdr:rowOff>
    </xdr:to>
    <xdr:graphicFrame macro="">
      <xdr:nvGraphicFramePr>
        <xdr:cNvPr id="2" name="图表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32</xdr:col>
      <xdr:colOff>617499</xdr:colOff>
      <xdr:row>33</xdr:row>
      <xdr:rowOff>75654</xdr:rowOff>
    </xdr:from>
    <xdr:to>
      <xdr:col>36</xdr:col>
      <xdr:colOff>33928</xdr:colOff>
      <xdr:row>47</xdr:row>
      <xdr:rowOff>38100</xdr:rowOff>
    </xdr:to>
    <xdr:graphicFrame macro="">
      <xdr:nvGraphicFramePr>
        <xdr:cNvPr id="2" name="图表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36</xdr:col>
      <xdr:colOff>118749</xdr:colOff>
      <xdr:row>33</xdr:row>
      <xdr:rowOff>75654</xdr:rowOff>
    </xdr:from>
    <xdr:to>
      <xdr:col>39</xdr:col>
      <xdr:colOff>221383</xdr:colOff>
      <xdr:row>47</xdr:row>
      <xdr:rowOff>38100</xdr:rowOff>
    </xdr:to>
    <xdr:graphicFrame macro="">
      <xdr:nvGraphicFramePr>
        <xdr:cNvPr id="3" name="图表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677722</xdr:colOff>
      <xdr:row>48</xdr:row>
      <xdr:rowOff>0</xdr:rowOff>
    </xdr:from>
    <xdr:to>
      <xdr:col>37</xdr:col>
      <xdr:colOff>488570</xdr:colOff>
      <xdr:row>61</xdr:row>
      <xdr:rowOff>114101</xdr:rowOff>
    </xdr:to>
    <xdr:graphicFrame macro="">
      <xdr:nvGraphicFramePr>
        <xdr:cNvPr id="4" name="图表 3">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0</xdr:colOff>
      <xdr:row>14</xdr:row>
      <xdr:rowOff>0</xdr:rowOff>
    </xdr:from>
    <xdr:to>
      <xdr:col>37</xdr:col>
      <xdr:colOff>494508</xdr:colOff>
      <xdr:row>27</xdr:row>
      <xdr:rowOff>88676</xdr:rowOff>
    </xdr:to>
    <xdr:graphicFrame macro="">
      <xdr:nvGraphicFramePr>
        <xdr:cNvPr id="5" name="图表 4">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39</xdr:col>
      <xdr:colOff>308749</xdr:colOff>
      <xdr:row>33</xdr:row>
      <xdr:rowOff>75654</xdr:rowOff>
    </xdr:from>
    <xdr:to>
      <xdr:col>42</xdr:col>
      <xdr:colOff>411383</xdr:colOff>
      <xdr:row>47</xdr:row>
      <xdr:rowOff>38100</xdr:rowOff>
    </xdr:to>
    <xdr:graphicFrame macro="">
      <xdr:nvGraphicFramePr>
        <xdr:cNvPr id="6" name="图表 5">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63</xdr:col>
      <xdr:colOff>205128</xdr:colOff>
      <xdr:row>214</xdr:row>
      <xdr:rowOff>75374</xdr:rowOff>
    </xdr:from>
    <xdr:to>
      <xdr:col>74</xdr:col>
      <xdr:colOff>13617</xdr:colOff>
      <xdr:row>231</xdr:row>
      <xdr:rowOff>24848</xdr:rowOff>
    </xdr:to>
    <xdr:graphicFrame macro="">
      <xdr:nvGraphicFramePr>
        <xdr:cNvPr id="4" name="图表 3">
          <a:extLst>
            <a:ext uri="{FF2B5EF4-FFF2-40B4-BE49-F238E27FC236}">
              <a16:creationId xmlns:a16="http://schemas.microsoft.com/office/drawing/2014/main" id="{00000000-0008-0000-0F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70</xdr:col>
      <xdr:colOff>500892</xdr:colOff>
      <xdr:row>213</xdr:row>
      <xdr:rowOff>113399</xdr:rowOff>
    </xdr:from>
    <xdr:to>
      <xdr:col>76</xdr:col>
      <xdr:colOff>460863</xdr:colOff>
      <xdr:row>230</xdr:row>
      <xdr:rowOff>24847</xdr:rowOff>
    </xdr:to>
    <xdr:graphicFrame macro="">
      <xdr:nvGraphicFramePr>
        <xdr:cNvPr id="5" name="图表 4">
          <a:extLst>
            <a:ext uri="{FF2B5EF4-FFF2-40B4-BE49-F238E27FC236}">
              <a16:creationId xmlns:a16="http://schemas.microsoft.com/office/drawing/2014/main" id="{00000000-0008-0000-0F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63</xdr:col>
      <xdr:colOff>166433</xdr:colOff>
      <xdr:row>231</xdr:row>
      <xdr:rowOff>24848</xdr:rowOff>
    </xdr:from>
    <xdr:to>
      <xdr:col>72</xdr:col>
      <xdr:colOff>412160</xdr:colOff>
      <xdr:row>247</xdr:row>
      <xdr:rowOff>37348</xdr:rowOff>
    </xdr:to>
    <xdr:graphicFrame macro="">
      <xdr:nvGraphicFramePr>
        <xdr:cNvPr id="6" name="图表 5">
          <a:extLst>
            <a:ext uri="{FF2B5EF4-FFF2-40B4-BE49-F238E27FC236}">
              <a16:creationId xmlns:a16="http://schemas.microsoft.com/office/drawing/2014/main" id="{00000000-0008-0000-0F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70</xdr:col>
      <xdr:colOff>500892</xdr:colOff>
      <xdr:row>230</xdr:row>
      <xdr:rowOff>113399</xdr:rowOff>
    </xdr:from>
    <xdr:to>
      <xdr:col>76</xdr:col>
      <xdr:colOff>460863</xdr:colOff>
      <xdr:row>247</xdr:row>
      <xdr:rowOff>24847</xdr:rowOff>
    </xdr:to>
    <xdr:graphicFrame macro="">
      <xdr:nvGraphicFramePr>
        <xdr:cNvPr id="7" name="图表 6">
          <a:extLst>
            <a:ext uri="{FF2B5EF4-FFF2-40B4-BE49-F238E27FC236}">
              <a16:creationId xmlns:a16="http://schemas.microsoft.com/office/drawing/2014/main" id="{00000000-0008-0000-0F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77</xdr:col>
      <xdr:colOff>57650</xdr:colOff>
      <xdr:row>213</xdr:row>
      <xdr:rowOff>113399</xdr:rowOff>
    </xdr:from>
    <xdr:to>
      <xdr:col>83</xdr:col>
      <xdr:colOff>11616</xdr:colOff>
      <xdr:row>229</xdr:row>
      <xdr:rowOff>62872</xdr:rowOff>
    </xdr:to>
    <xdr:graphicFrame macro="">
      <xdr:nvGraphicFramePr>
        <xdr:cNvPr id="13" name="图表 11">
          <a:extLst>
            <a:ext uri="{FF2B5EF4-FFF2-40B4-BE49-F238E27FC236}">
              <a16:creationId xmlns:a16="http://schemas.microsoft.com/office/drawing/2014/main" id="{00000000-0008-0000-0F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77</xdr:col>
      <xdr:colOff>95679</xdr:colOff>
      <xdr:row>230</xdr:row>
      <xdr:rowOff>113399</xdr:rowOff>
    </xdr:from>
    <xdr:to>
      <xdr:col>83</xdr:col>
      <xdr:colOff>49645</xdr:colOff>
      <xdr:row>246</xdr:row>
      <xdr:rowOff>24847</xdr:rowOff>
    </xdr:to>
    <xdr:graphicFrame macro="">
      <xdr:nvGraphicFramePr>
        <xdr:cNvPr id="14" name="图表 12">
          <a:extLst>
            <a:ext uri="{FF2B5EF4-FFF2-40B4-BE49-F238E27FC236}">
              <a16:creationId xmlns:a16="http://schemas.microsoft.com/office/drawing/2014/main" id="{00000000-0008-0000-0F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1</xdr:row>
      <xdr:rowOff>0</xdr:rowOff>
    </xdr:from>
    <xdr:to>
      <xdr:col>12</xdr:col>
      <xdr:colOff>355753</xdr:colOff>
      <xdr:row>14</xdr:row>
      <xdr:rowOff>63251</xdr:rowOff>
    </xdr:to>
    <xdr:grpSp>
      <xdr:nvGrpSpPr>
        <xdr:cNvPr id="2" name=" ">
          <a:extLst>
            <a:ext uri="{FF2B5EF4-FFF2-40B4-BE49-F238E27FC236}">
              <a16:creationId xmlns:a16="http://schemas.microsoft.com/office/drawing/2014/main" id="{00000000-0008-0000-1B00-000002000000}"/>
            </a:ext>
          </a:extLst>
        </xdr:cNvPr>
        <xdr:cNvGrpSpPr/>
      </xdr:nvGrpSpPr>
      <xdr:grpSpPr>
        <a:xfrm>
          <a:off x="3905250" y="152400"/>
          <a:ext cx="4270528" cy="2044451"/>
          <a:chOff x="3956050" y="158750"/>
          <a:chExt cx="4320000" cy="2160000"/>
        </a:xfrm>
      </xdr:grpSpPr>
      <xdr:grpSp>
        <xdr:nvGrpSpPr>
          <xdr:cNvPr id="3" name=" ">
            <a:extLst>
              <a:ext uri="{FF2B5EF4-FFF2-40B4-BE49-F238E27FC236}">
                <a16:creationId xmlns:a16="http://schemas.microsoft.com/office/drawing/2014/main" id="{00000000-0008-0000-1B00-000003000000}"/>
              </a:ext>
            </a:extLst>
          </xdr:cNvPr>
          <xdr:cNvGrpSpPr/>
        </xdr:nvGrpSpPr>
        <xdr:grpSpPr>
          <a:xfrm>
            <a:off x="3956050" y="158750"/>
            <a:ext cx="4320000" cy="2160000"/>
            <a:chOff x="3956050" y="158750"/>
            <a:chExt cx="4320000" cy="2160000"/>
          </a:xfrm>
        </xdr:grpSpPr>
        <xdr:graphicFrame macro="">
          <xdr:nvGraphicFramePr>
            <xdr:cNvPr id="4" name="图表 1">
              <a:extLst>
                <a:ext uri="{FF2B5EF4-FFF2-40B4-BE49-F238E27FC236}">
                  <a16:creationId xmlns:a16="http://schemas.microsoft.com/office/drawing/2014/main" id="{00000000-0008-0000-1B00-000004000000}"/>
                </a:ext>
              </a:extLst>
            </xdr:cNvPr>
            <xdr:cNvGraphicFramePr/>
          </xdr:nvGraphicFramePr>
          <xdr:xfrm>
            <a:off x="3956050" y="158750"/>
            <a:ext cx="4320000" cy="2160000"/>
          </xdr:xfrm>
          <a:graphic>
            <a:graphicData uri="http://schemas.openxmlformats.org/drawingml/2006/chart">
              <c:chart xmlns:c="http://schemas.openxmlformats.org/drawingml/2006/chart" xmlns:r="http://schemas.openxmlformats.org/officeDocument/2006/relationships" r:id="rId1"/>
            </a:graphicData>
          </a:graphic>
        </xdr:graphicFrame>
        <xdr:cxnSp macro="">
          <xdr:nvCxnSpPr>
            <xdr:cNvPr id="5" name="straightConnector1">
              <a:extLst>
                <a:ext uri="{FF2B5EF4-FFF2-40B4-BE49-F238E27FC236}">
                  <a16:creationId xmlns:a16="http://schemas.microsoft.com/office/drawing/2014/main" id="{00000000-0008-0000-1B00-000005000000}"/>
                </a:ext>
              </a:extLst>
            </xdr:cNvPr>
            <xdr:cNvCxnSpPr/>
          </xdr:nvCxnSpPr>
          <xdr:spPr>
            <a:xfrm flipV="1">
              <a:off x="7543800" y="1797050"/>
              <a:ext cx="323850" cy="88900"/>
            </a:xfrm>
            <a:prstGeom prst="straightConnector1">
              <a:avLst/>
            </a:prstGeom>
            <a:solidFill>
              <a:srgbClr val="FFFFFF"/>
            </a:solidFill>
            <a:ln w="19050" cap="flat" cmpd="sng">
              <a:solidFill>
                <a:srgbClr val="640000"/>
              </a:solidFill>
              <a:prstDash val="sysDash"/>
              <a:round/>
              <a:headEnd type="none" w="med" len="med"/>
              <a:tailEnd type="triangle" w="sm" len="med"/>
            </a:ln>
            <a:effectLst/>
          </xdr:spPr>
          <xdr:style>
            <a:lnRef idx="2">
              <a:schemeClr val="accent1">
                <a:shade val="50000"/>
              </a:schemeClr>
            </a:lnRef>
            <a:fillRef idx="1">
              <a:schemeClr val="accent1"/>
            </a:fillRef>
            <a:effectRef idx="0">
              <a:schemeClr val="accent1"/>
            </a:effectRef>
            <a:fontRef idx="minor">
              <a:schemeClr val="dk1"/>
            </a:fontRef>
          </xdr:style>
        </xdr:cxnSp>
      </xdr:grpSp>
      <xdr:sp macro="" textlink="">
        <xdr:nvSpPr>
          <xdr:cNvPr id="6" name=" ">
            <a:extLst>
              <a:ext uri="{FF2B5EF4-FFF2-40B4-BE49-F238E27FC236}">
                <a16:creationId xmlns:a16="http://schemas.microsoft.com/office/drawing/2014/main" id="{00000000-0008-0000-1B00-000006000000}"/>
              </a:ext>
            </a:extLst>
          </xdr:cNvPr>
          <xdr:cNvSpPr txBox="1"/>
        </xdr:nvSpPr>
        <xdr:spPr>
          <a:xfrm>
            <a:off x="7067550" y="1524000"/>
            <a:ext cx="850900" cy="2286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800" b="1">
                <a:solidFill>
                  <a:srgbClr val="000000"/>
                </a:solidFill>
                <a:latin typeface="Calibri" panose="00000000000000000000" charset="0"/>
                <a:ea typeface="Calibri" panose="00000000000000000000" charset="0"/>
              </a:rPr>
              <a:t>2020e </a:t>
            </a:r>
            <a:r>
              <a:rPr lang="en-US" altLang="zh-CN" sz="800">
                <a:solidFill>
                  <a:srgbClr val="000000"/>
                </a:solidFill>
                <a:latin typeface="Calibri" panose="00000000000000000000" charset="0"/>
                <a:ea typeface="Calibri" panose="00000000000000000000" charset="0"/>
              </a:rPr>
              <a:t>14%</a:t>
            </a:r>
          </a:p>
        </xdr:txBody>
      </xdr:sp>
      <xdr:sp macro="" textlink="">
        <xdr:nvSpPr>
          <xdr:cNvPr id="7" name=" ">
            <a:extLst>
              <a:ext uri="{FF2B5EF4-FFF2-40B4-BE49-F238E27FC236}">
                <a16:creationId xmlns:a16="http://schemas.microsoft.com/office/drawing/2014/main" id="{00000000-0008-0000-1B00-000007000000}"/>
              </a:ext>
            </a:extLst>
          </xdr:cNvPr>
          <xdr:cNvSpPr txBox="1"/>
        </xdr:nvSpPr>
        <xdr:spPr>
          <a:xfrm>
            <a:off x="7289800" y="1371600"/>
            <a:ext cx="723900" cy="24765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800" b="1">
                <a:solidFill>
                  <a:srgbClr val="000000"/>
                </a:solidFill>
                <a:latin typeface="Calibri" panose="00000000000000000000" charset="0"/>
                <a:ea typeface="Calibri" panose="00000000000000000000" charset="0"/>
              </a:rPr>
              <a:t>2021e </a:t>
            </a:r>
            <a:r>
              <a:rPr lang="en-US" altLang="zh-CN" sz="800">
                <a:solidFill>
                  <a:srgbClr val="000000"/>
                </a:solidFill>
                <a:latin typeface="Calibri" panose="00000000000000000000" charset="0"/>
                <a:ea typeface="Calibri" panose="00000000000000000000" charset="0"/>
              </a:rPr>
              <a:t>15%</a:t>
            </a:r>
          </a:p>
        </xdr:txBody>
      </xdr:sp>
    </xdr:grpSp>
    <xdr:clientData/>
  </xdr:twoCellAnchor>
  <xdr:twoCellAnchor>
    <xdr:from>
      <xdr:col>6</xdr:col>
      <xdr:colOff>0</xdr:colOff>
      <xdr:row>17</xdr:row>
      <xdr:rowOff>0</xdr:rowOff>
    </xdr:from>
    <xdr:to>
      <xdr:col>12</xdr:col>
      <xdr:colOff>374349</xdr:colOff>
      <xdr:row>31</xdr:row>
      <xdr:rowOff>0</xdr:rowOff>
    </xdr:to>
    <xdr:grpSp>
      <xdr:nvGrpSpPr>
        <xdr:cNvPr id="8" name=" ">
          <a:extLst>
            <a:ext uri="{FF2B5EF4-FFF2-40B4-BE49-F238E27FC236}">
              <a16:creationId xmlns:a16="http://schemas.microsoft.com/office/drawing/2014/main" id="{00000000-0008-0000-1B00-000008000000}"/>
            </a:ext>
          </a:extLst>
        </xdr:cNvPr>
        <xdr:cNvGrpSpPr/>
      </xdr:nvGrpSpPr>
      <xdr:grpSpPr>
        <a:xfrm>
          <a:off x="3905250" y="2590800"/>
          <a:ext cx="4289124" cy="2133600"/>
          <a:chOff x="3956050" y="158750"/>
          <a:chExt cx="4320000" cy="2160000"/>
        </a:xfrm>
      </xdr:grpSpPr>
      <xdr:grpSp>
        <xdr:nvGrpSpPr>
          <xdr:cNvPr id="9" name=" ">
            <a:extLst>
              <a:ext uri="{FF2B5EF4-FFF2-40B4-BE49-F238E27FC236}">
                <a16:creationId xmlns:a16="http://schemas.microsoft.com/office/drawing/2014/main" id="{00000000-0008-0000-1B00-000009000000}"/>
              </a:ext>
            </a:extLst>
          </xdr:cNvPr>
          <xdr:cNvGrpSpPr/>
        </xdr:nvGrpSpPr>
        <xdr:grpSpPr>
          <a:xfrm>
            <a:off x="3956050" y="158750"/>
            <a:ext cx="4320000" cy="2160000"/>
            <a:chOff x="3956050" y="158750"/>
            <a:chExt cx="4320000" cy="2160000"/>
          </a:xfrm>
        </xdr:grpSpPr>
        <xdr:graphicFrame macro="">
          <xdr:nvGraphicFramePr>
            <xdr:cNvPr id="10" name="图表 5">
              <a:extLst>
                <a:ext uri="{FF2B5EF4-FFF2-40B4-BE49-F238E27FC236}">
                  <a16:creationId xmlns:a16="http://schemas.microsoft.com/office/drawing/2014/main" id="{00000000-0008-0000-1B00-00000A000000}"/>
                </a:ext>
              </a:extLst>
            </xdr:cNvPr>
            <xdr:cNvGraphicFramePr/>
          </xdr:nvGraphicFramePr>
          <xdr:xfrm>
            <a:off x="3956050" y="158750"/>
            <a:ext cx="4320000" cy="2160000"/>
          </xdr:xfrm>
          <a:graphic>
            <a:graphicData uri="http://schemas.openxmlformats.org/drawingml/2006/chart">
              <c:chart xmlns:c="http://schemas.openxmlformats.org/drawingml/2006/chart" xmlns:r="http://schemas.openxmlformats.org/officeDocument/2006/relationships" r:id="rId2"/>
            </a:graphicData>
          </a:graphic>
        </xdr:graphicFrame>
        <xdr:cxnSp macro="">
          <xdr:nvCxnSpPr>
            <xdr:cNvPr id="11" name="straightConnector1">
              <a:extLst>
                <a:ext uri="{FF2B5EF4-FFF2-40B4-BE49-F238E27FC236}">
                  <a16:creationId xmlns:a16="http://schemas.microsoft.com/office/drawing/2014/main" id="{00000000-0008-0000-1B00-00000B000000}"/>
                </a:ext>
              </a:extLst>
            </xdr:cNvPr>
            <xdr:cNvCxnSpPr/>
          </xdr:nvCxnSpPr>
          <xdr:spPr>
            <a:xfrm flipV="1">
              <a:off x="7601077" y="1806575"/>
              <a:ext cx="323850" cy="88900"/>
            </a:xfrm>
            <a:prstGeom prst="straightConnector1">
              <a:avLst/>
            </a:prstGeom>
            <a:solidFill>
              <a:srgbClr val="FFFFFF"/>
            </a:solidFill>
            <a:ln w="19050" cap="flat" cmpd="sng">
              <a:solidFill>
                <a:srgbClr val="640000"/>
              </a:solidFill>
              <a:prstDash val="sysDash"/>
              <a:round/>
              <a:headEnd type="none" w="med" len="med"/>
              <a:tailEnd type="triangle" w="sm" len="med"/>
            </a:ln>
            <a:effectLst/>
          </xdr:spPr>
          <xdr:style>
            <a:lnRef idx="2">
              <a:schemeClr val="accent1">
                <a:shade val="50000"/>
              </a:schemeClr>
            </a:lnRef>
            <a:fillRef idx="1">
              <a:schemeClr val="accent1"/>
            </a:fillRef>
            <a:effectRef idx="0">
              <a:schemeClr val="accent1"/>
            </a:effectRef>
            <a:fontRef idx="minor">
              <a:schemeClr val="dk1"/>
            </a:fontRef>
          </xdr:style>
        </xdr:cxnSp>
      </xdr:grpSp>
      <xdr:sp macro="" textlink="">
        <xdr:nvSpPr>
          <xdr:cNvPr id="12" name=" ">
            <a:extLst>
              <a:ext uri="{FF2B5EF4-FFF2-40B4-BE49-F238E27FC236}">
                <a16:creationId xmlns:a16="http://schemas.microsoft.com/office/drawing/2014/main" id="{00000000-0008-0000-1B00-00000C000000}"/>
              </a:ext>
            </a:extLst>
          </xdr:cNvPr>
          <xdr:cNvSpPr txBox="1"/>
        </xdr:nvSpPr>
        <xdr:spPr>
          <a:xfrm>
            <a:off x="7029281" y="1563614"/>
            <a:ext cx="850900" cy="2286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800" b="1">
                <a:solidFill>
                  <a:srgbClr val="000000"/>
                </a:solidFill>
                <a:latin typeface="Calibri" panose="00000000000000000000" charset="0"/>
                <a:ea typeface="Calibri" panose="00000000000000000000" charset="0"/>
              </a:rPr>
              <a:t>2020e </a:t>
            </a:r>
            <a:r>
              <a:rPr lang="en-US" altLang="zh-CN" sz="800">
                <a:solidFill>
                  <a:srgbClr val="000000"/>
                </a:solidFill>
                <a:latin typeface="Calibri" panose="00000000000000000000" charset="0"/>
                <a:ea typeface="Calibri" panose="00000000000000000000" charset="0"/>
              </a:rPr>
              <a:t>14%</a:t>
            </a:r>
          </a:p>
        </xdr:txBody>
      </xdr:sp>
      <xdr:sp macro="" textlink="">
        <xdr:nvSpPr>
          <xdr:cNvPr id="13" name=" ">
            <a:extLst>
              <a:ext uri="{FF2B5EF4-FFF2-40B4-BE49-F238E27FC236}">
                <a16:creationId xmlns:a16="http://schemas.microsoft.com/office/drawing/2014/main" id="{00000000-0008-0000-1B00-00000D000000}"/>
              </a:ext>
            </a:extLst>
          </xdr:cNvPr>
          <xdr:cNvSpPr txBox="1"/>
        </xdr:nvSpPr>
        <xdr:spPr>
          <a:xfrm>
            <a:off x="7385472" y="1460353"/>
            <a:ext cx="723900" cy="24765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800" b="1">
                <a:solidFill>
                  <a:srgbClr val="000000"/>
                </a:solidFill>
                <a:latin typeface="Calibri" panose="00000000000000000000" charset="0"/>
                <a:ea typeface="Calibri" panose="00000000000000000000" charset="0"/>
              </a:rPr>
              <a:t>2021e </a:t>
            </a:r>
            <a:r>
              <a:rPr lang="en-US" altLang="zh-CN" sz="800">
                <a:solidFill>
                  <a:srgbClr val="000000"/>
                </a:solidFill>
                <a:latin typeface="Calibri" panose="00000000000000000000" charset="0"/>
                <a:ea typeface="Calibri" panose="00000000000000000000" charset="0"/>
              </a:rPr>
              <a:t>14%</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426651</xdr:colOff>
      <xdr:row>9</xdr:row>
      <xdr:rowOff>12402</xdr:rowOff>
    </xdr:from>
    <xdr:to>
      <xdr:col>4</xdr:col>
      <xdr:colOff>233117</xdr:colOff>
      <xdr:row>25</xdr:row>
      <xdr:rowOff>0</xdr:rowOff>
    </xdr:to>
    <xdr:graphicFrame macro="">
      <xdr:nvGraphicFramePr>
        <xdr:cNvPr id="2" name="图表 1">
          <a:extLst>
            <a:ext uri="{FF2B5EF4-FFF2-40B4-BE49-F238E27FC236}">
              <a16:creationId xmlns:a16="http://schemas.microsoft.com/office/drawing/2014/main" id="{00000000-0008-0000-2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1936612</xdr:colOff>
      <xdr:row>9</xdr:row>
      <xdr:rowOff>12402</xdr:rowOff>
    </xdr:from>
    <xdr:to>
      <xdr:col>6</xdr:col>
      <xdr:colOff>721334</xdr:colOff>
      <xdr:row>24</xdr:row>
      <xdr:rowOff>75654</xdr:rowOff>
    </xdr:to>
    <xdr:graphicFrame macro="">
      <xdr:nvGraphicFramePr>
        <xdr:cNvPr id="3" name="图表 2">
          <a:extLst>
            <a:ext uri="{FF2B5EF4-FFF2-40B4-BE49-F238E27FC236}">
              <a16:creationId xmlns:a16="http://schemas.microsoft.com/office/drawing/2014/main" id="{00000000-0008-0000-2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26</xdr:col>
      <xdr:colOff>122519</xdr:colOff>
      <xdr:row>20</xdr:row>
      <xdr:rowOff>126875</xdr:rowOff>
    </xdr:from>
    <xdr:to>
      <xdr:col>35</xdr:col>
      <xdr:colOff>378868</xdr:colOff>
      <xdr:row>42</xdr:row>
      <xdr:rowOff>0</xdr:rowOff>
    </xdr:to>
    <xdr:graphicFrame macro="">
      <xdr:nvGraphicFramePr>
        <xdr:cNvPr id="2" name="图表 1">
          <a:extLst>
            <a:ext uri="{FF2B5EF4-FFF2-40B4-BE49-F238E27FC236}">
              <a16:creationId xmlns:a16="http://schemas.microsoft.com/office/drawing/2014/main" id="{00000000-0008-0000-2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665376</xdr:colOff>
      <xdr:row>23</xdr:row>
      <xdr:rowOff>12303</xdr:rowOff>
    </xdr:from>
    <xdr:to>
      <xdr:col>31</xdr:col>
      <xdr:colOff>531546</xdr:colOff>
      <xdr:row>25</xdr:row>
      <xdr:rowOff>50750</xdr:rowOff>
    </xdr:to>
    <xdr:sp macro="" textlink="">
      <xdr:nvSpPr>
        <xdr:cNvPr id="3" name=" ">
          <a:extLst>
            <a:ext uri="{FF2B5EF4-FFF2-40B4-BE49-F238E27FC236}">
              <a16:creationId xmlns:a16="http://schemas.microsoft.com/office/drawing/2014/main" id="{00000000-0008-0000-2400-000003000000}"/>
            </a:ext>
          </a:extLst>
        </xdr:cNvPr>
        <xdr:cNvSpPr txBox="1"/>
      </xdr:nvSpPr>
      <xdr:spPr>
        <a:xfrm>
          <a:off x="29898976" y="4391025"/>
          <a:ext cx="1238248" cy="428625"/>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27432" tIns="22860" rIns="27432" bIns="22860" anchor="ctr" upright="1"/>
        <a:lstStyle/>
        <a:p>
          <a:pPr algn="ctr"/>
          <a:r>
            <a:rPr lang="en-US" altLang="zh-CN" sz="900" b="1">
              <a:solidFill>
                <a:srgbClr val="000000"/>
              </a:solidFill>
              <a:latin typeface="Arial" panose="00000000000000000000" charset="0"/>
              <a:ea typeface="Arial" panose="00000000000000000000" charset="0"/>
            </a:rPr>
            <a:t>Revenue</a:t>
          </a:r>
        </a:p>
        <a:p>
          <a:pPr algn="ctr"/>
          <a:r>
            <a:rPr lang="en-US" altLang="zh-CN" sz="900" b="1">
              <a:solidFill>
                <a:srgbClr val="000000"/>
              </a:solidFill>
              <a:latin typeface="Arial" panose="00000000000000000000" charset="0"/>
              <a:ea typeface="Arial" panose="00000000000000000000" charset="0"/>
            </a:rPr>
            <a:t>(2008)</a:t>
          </a:r>
        </a:p>
      </xdr:txBody>
    </xdr:sp>
    <xdr:clientData/>
  </xdr:twoCellAnchor>
  <xdr:twoCellAnchor>
    <xdr:from>
      <xdr:col>34</xdr:col>
      <xdr:colOff>665376</xdr:colOff>
      <xdr:row>24</xdr:row>
      <xdr:rowOff>101500</xdr:rowOff>
    </xdr:from>
    <xdr:to>
      <xdr:col>41</xdr:col>
      <xdr:colOff>360019</xdr:colOff>
      <xdr:row>37</xdr:row>
      <xdr:rowOff>101500</xdr:rowOff>
    </xdr:to>
    <xdr:graphicFrame macro="">
      <xdr:nvGraphicFramePr>
        <xdr:cNvPr id="4" name="图表 3">
          <a:extLst>
            <a:ext uri="{FF2B5EF4-FFF2-40B4-BE49-F238E27FC236}">
              <a16:creationId xmlns:a16="http://schemas.microsoft.com/office/drawing/2014/main" id="{00000000-0008-0000-2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36</xdr:col>
      <xdr:colOff>474056</xdr:colOff>
      <xdr:row>23</xdr:row>
      <xdr:rowOff>25375</xdr:rowOff>
    </xdr:from>
    <xdr:to>
      <xdr:col>38</xdr:col>
      <xdr:colOff>341170</xdr:colOff>
      <xdr:row>24</xdr:row>
      <xdr:rowOff>139179</xdr:rowOff>
    </xdr:to>
    <xdr:sp macro="" textlink="">
      <xdr:nvSpPr>
        <xdr:cNvPr id="5" name=" ">
          <a:extLst>
            <a:ext uri="{FF2B5EF4-FFF2-40B4-BE49-F238E27FC236}">
              <a16:creationId xmlns:a16="http://schemas.microsoft.com/office/drawing/2014/main" id="{00000000-0008-0000-2400-000005000000}"/>
            </a:ext>
          </a:extLst>
        </xdr:cNvPr>
        <xdr:cNvSpPr txBox="1"/>
      </xdr:nvSpPr>
      <xdr:spPr>
        <a:xfrm>
          <a:off x="34509076" y="4410075"/>
          <a:ext cx="1238248" cy="3048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27432" tIns="22860" rIns="27432" bIns="22860" anchor="ctr" upright="1"/>
        <a:lstStyle/>
        <a:p>
          <a:pPr algn="ctr"/>
          <a:r>
            <a:rPr lang="en-US" altLang="zh-CN" sz="900" b="1">
              <a:solidFill>
                <a:srgbClr val="000000"/>
              </a:solidFill>
              <a:latin typeface="Arial" panose="00000000000000000000" charset="0"/>
              <a:ea typeface="Arial" panose="00000000000000000000" charset="0"/>
            </a:rPr>
            <a:t>Segment Profit</a:t>
          </a:r>
        </a:p>
        <a:p>
          <a:pPr algn="ctr"/>
          <a:r>
            <a:rPr lang="en-US" altLang="zh-CN" sz="900" b="1">
              <a:solidFill>
                <a:srgbClr val="000000"/>
              </a:solidFill>
              <a:latin typeface="Arial" panose="00000000000000000000" charset="0"/>
              <a:ea typeface="Arial" panose="00000000000000000000" charset="0"/>
            </a:rPr>
            <a:t>(2008)</a:t>
          </a:r>
        </a:p>
      </xdr:txBody>
    </xdr:sp>
    <xdr:clientData/>
  </xdr:twoCellAnchor>
  <xdr:twoCellAnchor>
    <xdr:from>
      <xdr:col>33</xdr:col>
      <xdr:colOff>360019</xdr:colOff>
      <xdr:row>3</xdr:row>
      <xdr:rowOff>0</xdr:rowOff>
    </xdr:from>
    <xdr:to>
      <xdr:col>40</xdr:col>
      <xdr:colOff>65029</xdr:colOff>
      <xdr:row>16</xdr:row>
      <xdr:rowOff>152251</xdr:rowOff>
    </xdr:to>
    <xdr:graphicFrame macro="">
      <xdr:nvGraphicFramePr>
        <xdr:cNvPr id="6" name="图表 5">
          <a:extLst>
            <a:ext uri="{FF2B5EF4-FFF2-40B4-BE49-F238E27FC236}">
              <a16:creationId xmlns:a16="http://schemas.microsoft.com/office/drawing/2014/main" id="{00000000-0008-0000-2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0</xdr:colOff>
      <xdr:row>3</xdr:row>
      <xdr:rowOff>0</xdr:rowOff>
    </xdr:from>
    <xdr:to>
      <xdr:col>33</xdr:col>
      <xdr:colOff>397717</xdr:colOff>
      <xdr:row>17</xdr:row>
      <xdr:rowOff>0</xdr:rowOff>
    </xdr:to>
    <xdr:graphicFrame macro="">
      <xdr:nvGraphicFramePr>
        <xdr:cNvPr id="7" name="图表 6">
          <a:extLst>
            <a:ext uri="{FF2B5EF4-FFF2-40B4-BE49-F238E27FC236}">
              <a16:creationId xmlns:a16="http://schemas.microsoft.com/office/drawing/2014/main" id="{00000000-0008-0000-2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0</xdr:colOff>
      <xdr:row>2</xdr:row>
      <xdr:rowOff>50750</xdr:rowOff>
    </xdr:from>
    <xdr:to>
      <xdr:col>31</xdr:col>
      <xdr:colOff>54662</xdr:colOff>
      <xdr:row>3</xdr:row>
      <xdr:rowOff>76125</xdr:rowOff>
    </xdr:to>
    <xdr:sp macro="" textlink="">
      <xdr:nvSpPr>
        <xdr:cNvPr id="8" name=" ">
          <a:extLst>
            <a:ext uri="{FF2B5EF4-FFF2-40B4-BE49-F238E27FC236}">
              <a16:creationId xmlns:a16="http://schemas.microsoft.com/office/drawing/2014/main" id="{00000000-0008-0000-2400-000008000000}"/>
            </a:ext>
          </a:extLst>
        </xdr:cNvPr>
        <xdr:cNvSpPr txBox="1"/>
      </xdr:nvSpPr>
      <xdr:spPr>
        <a:xfrm>
          <a:off x="29232224" y="457200"/>
          <a:ext cx="1428752" cy="219075"/>
        </a:xfrm>
        <a:prstGeom prst="rect">
          <a:avLst/>
        </a:prstGeom>
        <a:solidFill>
          <a:srgbClr val="00008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27432" tIns="18288" rIns="27432" bIns="18288" anchor="ctr" upright="1"/>
        <a:lstStyle/>
        <a:p>
          <a:pPr algn="ctr"/>
          <a:r>
            <a:rPr lang="en-US" altLang="zh-CN" sz="1000" b="1">
              <a:solidFill>
                <a:srgbClr val="FFFFFF"/>
              </a:solidFill>
              <a:latin typeface="宋体" panose="00000000000000000000" charset="0"/>
              <a:ea typeface="宋体" panose="00000000000000000000" charset="0"/>
            </a:rPr>
            <a:t>收入结构</a:t>
          </a:r>
          <a:r>
            <a:rPr lang="en-US" altLang="zh-CN" sz="1000" b="1">
              <a:solidFill>
                <a:srgbClr val="FFFFFF"/>
              </a:solidFill>
              <a:latin typeface="arial" panose="00000000000000000000" charset="0"/>
              <a:ea typeface="arial" panose="00000000000000000000" charset="0"/>
            </a:rPr>
            <a:t> (2008)</a:t>
          </a:r>
        </a:p>
      </xdr:txBody>
    </xdr:sp>
    <xdr:clientData/>
  </xdr:twoCellAnchor>
  <xdr:twoCellAnchor>
    <xdr:from>
      <xdr:col>35</xdr:col>
      <xdr:colOff>436358</xdr:colOff>
      <xdr:row>2</xdr:row>
      <xdr:rowOff>50750</xdr:rowOff>
    </xdr:from>
    <xdr:to>
      <xdr:col>37</xdr:col>
      <xdr:colOff>492906</xdr:colOff>
      <xdr:row>3</xdr:row>
      <xdr:rowOff>76125</xdr:rowOff>
    </xdr:to>
    <xdr:sp macro="" textlink="">
      <xdr:nvSpPr>
        <xdr:cNvPr id="9" name=" ">
          <a:extLst>
            <a:ext uri="{FF2B5EF4-FFF2-40B4-BE49-F238E27FC236}">
              <a16:creationId xmlns:a16="http://schemas.microsoft.com/office/drawing/2014/main" id="{00000000-0008-0000-2400-000009000000}"/>
            </a:ext>
          </a:extLst>
        </xdr:cNvPr>
        <xdr:cNvSpPr txBox="1"/>
      </xdr:nvSpPr>
      <xdr:spPr>
        <a:xfrm>
          <a:off x="33785176" y="457200"/>
          <a:ext cx="1428748" cy="219075"/>
        </a:xfrm>
        <a:prstGeom prst="rect">
          <a:avLst/>
        </a:prstGeom>
        <a:solidFill>
          <a:srgbClr val="00008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27432" tIns="18288" rIns="27432" bIns="18288" anchor="ctr" upright="1"/>
        <a:lstStyle/>
        <a:p>
          <a:pPr algn="ctr"/>
          <a:r>
            <a:rPr lang="en-US" altLang="zh-CN" sz="1000" b="1">
              <a:solidFill>
                <a:srgbClr val="FFFFFF"/>
              </a:solidFill>
              <a:latin typeface="宋体" panose="00000000000000000000" charset="0"/>
              <a:ea typeface="宋体" panose="00000000000000000000" charset="0"/>
            </a:rPr>
            <a:t>分部利润结构</a:t>
          </a:r>
          <a:r>
            <a:rPr lang="en-US" altLang="zh-CN" sz="1000" b="1">
              <a:solidFill>
                <a:srgbClr val="FFFFFF"/>
              </a:solidFill>
              <a:latin typeface="arial" panose="00000000000000000000" charset="0"/>
              <a:ea typeface="arial" panose="00000000000000000000" charset="0"/>
            </a:rPr>
            <a:t> (2008)</a:t>
          </a:r>
        </a:p>
      </xdr:txBody>
    </xdr:sp>
    <xdr:clientData/>
  </xdr:twoCellAnchor>
  <xdr:twoCellAnchor>
    <xdr:from>
      <xdr:col>27</xdr:col>
      <xdr:colOff>0</xdr:colOff>
      <xdr:row>46</xdr:row>
      <xdr:rowOff>0</xdr:rowOff>
    </xdr:from>
    <xdr:to>
      <xdr:col>33</xdr:col>
      <xdr:colOff>388293</xdr:colOff>
      <xdr:row>59</xdr:row>
      <xdr:rowOff>11980</xdr:rowOff>
    </xdr:to>
    <xdr:graphicFrame macro="">
      <xdr:nvGraphicFramePr>
        <xdr:cNvPr id="10" name="图表 9">
          <a:extLst>
            <a:ext uri="{FF2B5EF4-FFF2-40B4-BE49-F238E27FC236}">
              <a16:creationId xmlns:a16="http://schemas.microsoft.com/office/drawing/2014/main" id="{00000000-0008-0000-2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122519</xdr:colOff>
      <xdr:row>45</xdr:row>
      <xdr:rowOff>126875</xdr:rowOff>
    </xdr:from>
    <xdr:to>
      <xdr:col>27</xdr:col>
      <xdr:colOff>160218</xdr:colOff>
      <xdr:row>59</xdr:row>
      <xdr:rowOff>0</xdr:rowOff>
    </xdr:to>
    <xdr:graphicFrame macro="">
      <xdr:nvGraphicFramePr>
        <xdr:cNvPr id="11" name="图表 10">
          <a:extLst>
            <a:ext uri="{FF2B5EF4-FFF2-40B4-BE49-F238E27FC236}">
              <a16:creationId xmlns:a16="http://schemas.microsoft.com/office/drawing/2014/main" id="{00000000-0008-0000-2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597519</xdr:colOff>
      <xdr:row>38</xdr:row>
      <xdr:rowOff>12303</xdr:rowOff>
    </xdr:from>
    <xdr:to>
      <xdr:col>43</xdr:col>
      <xdr:colOff>169642</xdr:colOff>
      <xdr:row>59</xdr:row>
      <xdr:rowOff>113816</xdr:rowOff>
    </xdr:to>
    <xdr:graphicFrame macro="">
      <xdr:nvGraphicFramePr>
        <xdr:cNvPr id="12" name="图表 11">
          <a:extLst>
            <a:ext uri="{FF2B5EF4-FFF2-40B4-BE49-F238E27FC236}">
              <a16:creationId xmlns:a16="http://schemas.microsoft.com/office/drawing/2014/main" id="{00000000-0008-0000-24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37</xdr:col>
      <xdr:colOff>455207</xdr:colOff>
      <xdr:row>40</xdr:row>
      <xdr:rowOff>88428</xdr:rowOff>
    </xdr:from>
    <xdr:to>
      <xdr:col>39</xdr:col>
      <xdr:colOff>322320</xdr:colOff>
      <xdr:row>42</xdr:row>
      <xdr:rowOff>139179</xdr:rowOff>
    </xdr:to>
    <xdr:sp macro="" textlink="">
      <xdr:nvSpPr>
        <xdr:cNvPr id="13" name=" ">
          <a:extLst>
            <a:ext uri="{FF2B5EF4-FFF2-40B4-BE49-F238E27FC236}">
              <a16:creationId xmlns:a16="http://schemas.microsoft.com/office/drawing/2014/main" id="{00000000-0008-0000-2400-00000D000000}"/>
            </a:ext>
          </a:extLst>
        </xdr:cNvPr>
        <xdr:cNvSpPr txBox="1"/>
      </xdr:nvSpPr>
      <xdr:spPr>
        <a:xfrm>
          <a:off x="35175824" y="7762875"/>
          <a:ext cx="1238252" cy="428625"/>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27432" tIns="18288" rIns="27432" bIns="18288" anchor="ctr" upright="1"/>
        <a:lstStyle/>
        <a:p>
          <a:pPr algn="ctr"/>
          <a:r>
            <a:rPr lang="en-US" altLang="zh-CN" sz="900" b="1">
              <a:solidFill>
                <a:srgbClr val="000000"/>
              </a:solidFill>
              <a:latin typeface="楷体_GB2312" panose="00000000000000000000" charset="0"/>
              <a:ea typeface="楷体_GB2312" panose="00000000000000000000" charset="0"/>
            </a:rPr>
            <a:t>收入</a:t>
          </a:r>
        </a:p>
        <a:p>
          <a:pPr algn="ctr"/>
          <a:r>
            <a:rPr lang="en-US" altLang="zh-CN" sz="900" b="1">
              <a:solidFill>
                <a:srgbClr val="000000"/>
              </a:solidFill>
              <a:latin typeface="Arial" panose="00000000000000000000" charset="0"/>
              <a:ea typeface="Arial" panose="00000000000000000000" charset="0"/>
            </a:rPr>
            <a:t>(2008)</a:t>
          </a:r>
        </a:p>
      </xdr:txBody>
    </xdr:sp>
    <xdr:clientData/>
  </xdr:twoCellAnchor>
  <xdr:twoCellAnchor>
    <xdr:from>
      <xdr:col>42</xdr:col>
      <xdr:colOff>455207</xdr:colOff>
      <xdr:row>42</xdr:row>
      <xdr:rowOff>0</xdr:rowOff>
    </xdr:from>
    <xdr:to>
      <xdr:col>49</xdr:col>
      <xdr:colOff>150793</xdr:colOff>
      <xdr:row>55</xdr:row>
      <xdr:rowOff>25375</xdr:rowOff>
    </xdr:to>
    <xdr:graphicFrame macro="">
      <xdr:nvGraphicFramePr>
        <xdr:cNvPr id="14" name="图表 13">
          <a:extLst>
            <a:ext uri="{FF2B5EF4-FFF2-40B4-BE49-F238E27FC236}">
              <a16:creationId xmlns:a16="http://schemas.microsoft.com/office/drawing/2014/main" id="{00000000-0008-0000-24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44</xdr:col>
      <xdr:colOff>264830</xdr:colOff>
      <xdr:row>41</xdr:row>
      <xdr:rowOff>0</xdr:rowOff>
    </xdr:from>
    <xdr:to>
      <xdr:col>46</xdr:col>
      <xdr:colOff>131001</xdr:colOff>
      <xdr:row>42</xdr:row>
      <xdr:rowOff>113803</xdr:rowOff>
    </xdr:to>
    <xdr:sp macro="" textlink="">
      <xdr:nvSpPr>
        <xdr:cNvPr id="15" name=" ">
          <a:extLst>
            <a:ext uri="{FF2B5EF4-FFF2-40B4-BE49-F238E27FC236}">
              <a16:creationId xmlns:a16="http://schemas.microsoft.com/office/drawing/2014/main" id="{00000000-0008-0000-2400-00000F000000}"/>
            </a:ext>
          </a:extLst>
        </xdr:cNvPr>
        <xdr:cNvSpPr txBox="1"/>
      </xdr:nvSpPr>
      <xdr:spPr>
        <a:xfrm>
          <a:off x="39785924" y="7858125"/>
          <a:ext cx="1238252" cy="3048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27432" tIns="18288" rIns="27432" bIns="18288" anchor="ctr" upright="1"/>
        <a:lstStyle/>
        <a:p>
          <a:pPr algn="ctr"/>
          <a:r>
            <a:rPr lang="en-US" altLang="zh-CN" sz="900" b="1">
              <a:solidFill>
                <a:srgbClr val="000000"/>
              </a:solidFill>
              <a:latin typeface="楷体_GB2312" panose="00000000000000000000" charset="0"/>
              <a:ea typeface="楷体_GB2312" panose="00000000000000000000" charset="0"/>
            </a:rPr>
            <a:t>分部利润</a:t>
          </a:r>
        </a:p>
        <a:p>
          <a:pPr algn="ctr"/>
          <a:r>
            <a:rPr lang="en-US" altLang="zh-CN" sz="900" b="1">
              <a:solidFill>
                <a:srgbClr val="000000"/>
              </a:solidFill>
              <a:latin typeface="Arial" panose="00000000000000000000" charset="0"/>
              <a:ea typeface="Arial" panose="00000000000000000000" charset="0"/>
            </a:rPr>
            <a:t>(2008)</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14</xdr:col>
      <xdr:colOff>550490</xdr:colOff>
      <xdr:row>6</xdr:row>
      <xdr:rowOff>126875</xdr:rowOff>
    </xdr:from>
    <xdr:to>
      <xdr:col>16</xdr:col>
      <xdr:colOff>417320</xdr:colOff>
      <xdr:row>8</xdr:row>
      <xdr:rowOff>0</xdr:rowOff>
    </xdr:to>
    <xdr:sp macro="" textlink="">
      <xdr:nvSpPr>
        <xdr:cNvPr id="2" name=" ">
          <a:extLst>
            <a:ext uri="{FF2B5EF4-FFF2-40B4-BE49-F238E27FC236}">
              <a16:creationId xmlns:a16="http://schemas.microsoft.com/office/drawing/2014/main" id="{00000000-0008-0000-2500-000002000000}"/>
            </a:ext>
          </a:extLst>
        </xdr:cNvPr>
        <xdr:cNvSpPr txBox="1"/>
      </xdr:nvSpPr>
      <xdr:spPr>
        <a:xfrm>
          <a:off x="12753975" y="1219200"/>
          <a:ext cx="1238250" cy="428625"/>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27432" tIns="22860" rIns="27432" bIns="22860" anchor="ctr" upright="1"/>
        <a:lstStyle/>
        <a:p>
          <a:pPr algn="ctr"/>
          <a:r>
            <a:rPr lang="en-US" altLang="zh-CN" sz="900" b="1">
              <a:solidFill>
                <a:srgbClr val="000000"/>
              </a:solidFill>
              <a:latin typeface="Arial" panose="00000000000000000000" charset="0"/>
              <a:ea typeface="Arial" panose="00000000000000000000" charset="0"/>
            </a:rPr>
            <a:t>Revenue</a:t>
          </a:r>
        </a:p>
        <a:p>
          <a:pPr algn="ctr"/>
          <a:r>
            <a:rPr lang="en-US" altLang="zh-CN" sz="900" b="1">
              <a:solidFill>
                <a:srgbClr val="000000"/>
              </a:solidFill>
              <a:latin typeface="Arial" panose="00000000000000000000" charset="0"/>
              <a:ea typeface="Arial" panose="00000000000000000000" charset="0"/>
            </a:rPr>
            <a:t>(2008)</a:t>
          </a:r>
        </a:p>
      </xdr:txBody>
    </xdr:sp>
    <xdr:clientData/>
  </xdr:twoCellAnchor>
  <xdr:twoCellAnchor>
    <xdr:from>
      <xdr:col>19</xdr:col>
      <xdr:colOff>550490</xdr:colOff>
      <xdr:row>7</xdr:row>
      <xdr:rowOff>227818</xdr:rowOff>
    </xdr:from>
    <xdr:to>
      <xdr:col>26</xdr:col>
      <xdr:colOff>245133</xdr:colOff>
      <xdr:row>20</xdr:row>
      <xdr:rowOff>152251</xdr:rowOff>
    </xdr:to>
    <xdr:graphicFrame macro="">
      <xdr:nvGraphicFramePr>
        <xdr:cNvPr id="3" name="图表 2">
          <a:extLst>
            <a:ext uri="{FF2B5EF4-FFF2-40B4-BE49-F238E27FC236}">
              <a16:creationId xmlns:a16="http://schemas.microsoft.com/office/drawing/2014/main" id="{00000000-0008-0000-2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359642</xdr:colOff>
      <xdr:row>6</xdr:row>
      <xdr:rowOff>152251</xdr:rowOff>
    </xdr:from>
    <xdr:to>
      <xdr:col>23</xdr:col>
      <xdr:colOff>226472</xdr:colOff>
      <xdr:row>7</xdr:row>
      <xdr:rowOff>265546</xdr:rowOff>
    </xdr:to>
    <xdr:sp macro="" textlink="">
      <xdr:nvSpPr>
        <xdr:cNvPr id="4" name=" ">
          <a:extLst>
            <a:ext uri="{FF2B5EF4-FFF2-40B4-BE49-F238E27FC236}">
              <a16:creationId xmlns:a16="http://schemas.microsoft.com/office/drawing/2014/main" id="{00000000-0008-0000-2500-000004000000}"/>
            </a:ext>
          </a:extLst>
        </xdr:cNvPr>
        <xdr:cNvSpPr txBox="1"/>
      </xdr:nvSpPr>
      <xdr:spPr>
        <a:xfrm>
          <a:off x="17364076" y="1238250"/>
          <a:ext cx="1238248" cy="3048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27432" tIns="22860" rIns="27432" bIns="22860" anchor="ctr" upright="1"/>
        <a:lstStyle/>
        <a:p>
          <a:pPr algn="ctr"/>
          <a:r>
            <a:rPr lang="en-US" altLang="zh-CN" sz="900" b="1">
              <a:solidFill>
                <a:srgbClr val="000000"/>
              </a:solidFill>
              <a:latin typeface="Arial" panose="00000000000000000000" charset="0"/>
              <a:ea typeface="Arial" panose="00000000000000000000" charset="0"/>
            </a:rPr>
            <a:t>Gross Profit</a:t>
          </a:r>
        </a:p>
        <a:p>
          <a:pPr algn="ctr"/>
          <a:r>
            <a:rPr lang="en-US" altLang="zh-CN" sz="900" b="1">
              <a:solidFill>
                <a:srgbClr val="000000"/>
              </a:solidFill>
              <a:latin typeface="Arial" panose="00000000000000000000" charset="0"/>
              <a:ea typeface="Arial" panose="00000000000000000000" charset="0"/>
            </a:rPr>
            <a:t>(2008)</a:t>
          </a:r>
        </a:p>
      </xdr:txBody>
    </xdr:sp>
    <xdr:clientData/>
  </xdr:twoCellAnchor>
  <xdr:twoCellAnchor>
    <xdr:from>
      <xdr:col>12</xdr:col>
      <xdr:colOff>359642</xdr:colOff>
      <xdr:row>7</xdr:row>
      <xdr:rowOff>214758</xdr:rowOff>
    </xdr:from>
    <xdr:to>
      <xdr:col>19</xdr:col>
      <xdr:colOff>64464</xdr:colOff>
      <xdr:row>20</xdr:row>
      <xdr:rowOff>152251</xdr:rowOff>
    </xdr:to>
    <xdr:graphicFrame macro="">
      <xdr:nvGraphicFramePr>
        <xdr:cNvPr id="5" name="图表 4">
          <a:extLst>
            <a:ext uri="{FF2B5EF4-FFF2-40B4-BE49-F238E27FC236}">
              <a16:creationId xmlns:a16="http://schemas.microsoft.com/office/drawing/2014/main" id="{00000000-0008-0000-2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550490</xdr:colOff>
      <xdr:row>25</xdr:row>
      <xdr:rowOff>126875</xdr:rowOff>
    </xdr:from>
    <xdr:to>
      <xdr:col>17</xdr:col>
      <xdr:colOff>417320</xdr:colOff>
      <xdr:row>28</xdr:row>
      <xdr:rowOff>0</xdr:rowOff>
    </xdr:to>
    <xdr:sp macro="" textlink="">
      <xdr:nvSpPr>
        <xdr:cNvPr id="6" name=" ">
          <a:extLst>
            <a:ext uri="{FF2B5EF4-FFF2-40B4-BE49-F238E27FC236}">
              <a16:creationId xmlns:a16="http://schemas.microsoft.com/office/drawing/2014/main" id="{00000000-0008-0000-2500-000006000000}"/>
            </a:ext>
          </a:extLst>
        </xdr:cNvPr>
        <xdr:cNvSpPr txBox="1"/>
      </xdr:nvSpPr>
      <xdr:spPr>
        <a:xfrm>
          <a:off x="13439775" y="5143500"/>
          <a:ext cx="1238250" cy="428625"/>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27432" tIns="18288" rIns="27432" bIns="18288" anchor="ctr" upright="1"/>
        <a:lstStyle/>
        <a:p>
          <a:pPr algn="ctr"/>
          <a:r>
            <a:rPr lang="en-US" altLang="zh-CN" sz="900" b="1">
              <a:solidFill>
                <a:srgbClr val="000000"/>
              </a:solidFill>
              <a:latin typeface="楷体_GB2312" panose="00000000000000000000" charset="0"/>
              <a:ea typeface="楷体_GB2312" panose="00000000000000000000" charset="0"/>
            </a:rPr>
            <a:t>收入</a:t>
          </a:r>
        </a:p>
        <a:p>
          <a:pPr algn="ctr"/>
          <a:r>
            <a:rPr lang="en-US" altLang="zh-CN" sz="900" b="1">
              <a:solidFill>
                <a:srgbClr val="000000"/>
              </a:solidFill>
              <a:latin typeface="Arial" panose="00000000000000000000" charset="0"/>
              <a:ea typeface="Arial" panose="00000000000000000000" charset="0"/>
            </a:rPr>
            <a:t>(2008)</a:t>
          </a:r>
        </a:p>
      </xdr:txBody>
    </xdr:sp>
    <xdr:clientData/>
  </xdr:twoCellAnchor>
  <xdr:twoCellAnchor>
    <xdr:from>
      <xdr:col>20</xdr:col>
      <xdr:colOff>550490</xdr:colOff>
      <xdr:row>27</xdr:row>
      <xdr:rowOff>37678</xdr:rowOff>
    </xdr:from>
    <xdr:to>
      <xdr:col>27</xdr:col>
      <xdr:colOff>245133</xdr:colOff>
      <xdr:row>40</xdr:row>
      <xdr:rowOff>88428</xdr:rowOff>
    </xdr:to>
    <xdr:graphicFrame macro="">
      <xdr:nvGraphicFramePr>
        <xdr:cNvPr id="7" name="图表 6">
          <a:extLst>
            <a:ext uri="{FF2B5EF4-FFF2-40B4-BE49-F238E27FC236}">
              <a16:creationId xmlns:a16="http://schemas.microsoft.com/office/drawing/2014/main" id="{00000000-0008-0000-2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359642</xdr:colOff>
      <xdr:row>25</xdr:row>
      <xdr:rowOff>152251</xdr:rowOff>
    </xdr:from>
    <xdr:to>
      <xdr:col>24</xdr:col>
      <xdr:colOff>226472</xdr:colOff>
      <xdr:row>27</xdr:row>
      <xdr:rowOff>76125</xdr:rowOff>
    </xdr:to>
    <xdr:sp macro="" textlink="">
      <xdr:nvSpPr>
        <xdr:cNvPr id="8" name=" ">
          <a:extLst>
            <a:ext uri="{FF2B5EF4-FFF2-40B4-BE49-F238E27FC236}">
              <a16:creationId xmlns:a16="http://schemas.microsoft.com/office/drawing/2014/main" id="{00000000-0008-0000-2500-000008000000}"/>
            </a:ext>
          </a:extLst>
        </xdr:cNvPr>
        <xdr:cNvSpPr txBox="1"/>
      </xdr:nvSpPr>
      <xdr:spPr>
        <a:xfrm>
          <a:off x="18049876" y="5162550"/>
          <a:ext cx="1238248" cy="3048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27432" tIns="18288" rIns="27432" bIns="18288" anchor="ctr" upright="1"/>
        <a:lstStyle/>
        <a:p>
          <a:pPr algn="ctr"/>
          <a:r>
            <a:rPr lang="en-US" altLang="zh-CN" sz="900" b="1">
              <a:solidFill>
                <a:srgbClr val="000000"/>
              </a:solidFill>
              <a:latin typeface="楷体_GB2312" panose="00000000000000000000" charset="0"/>
              <a:ea typeface="楷体_GB2312" panose="00000000000000000000" charset="0"/>
            </a:rPr>
            <a:t>毛利率</a:t>
          </a:r>
        </a:p>
        <a:p>
          <a:pPr algn="ctr"/>
          <a:r>
            <a:rPr lang="en-US" altLang="zh-CN" sz="900" b="1">
              <a:solidFill>
                <a:srgbClr val="000000"/>
              </a:solidFill>
              <a:latin typeface="Arial" panose="00000000000000000000" charset="0"/>
              <a:ea typeface="Arial" panose="00000000000000000000" charset="0"/>
            </a:rPr>
            <a:t>(2008)</a:t>
          </a:r>
        </a:p>
      </xdr:txBody>
    </xdr:sp>
    <xdr:clientData/>
  </xdr:twoCellAnchor>
  <xdr:twoCellAnchor>
    <xdr:from>
      <xdr:col>13</xdr:col>
      <xdr:colOff>359642</xdr:colOff>
      <xdr:row>27</xdr:row>
      <xdr:rowOff>25375</xdr:rowOff>
    </xdr:from>
    <xdr:to>
      <xdr:col>20</xdr:col>
      <xdr:colOff>64464</xdr:colOff>
      <xdr:row>40</xdr:row>
      <xdr:rowOff>88428</xdr:rowOff>
    </xdr:to>
    <xdr:graphicFrame macro="">
      <xdr:nvGraphicFramePr>
        <xdr:cNvPr id="9" name="图表 8">
          <a:extLst>
            <a:ext uri="{FF2B5EF4-FFF2-40B4-BE49-F238E27FC236}">
              <a16:creationId xmlns:a16="http://schemas.microsoft.com/office/drawing/2014/main" id="{00000000-0008-0000-25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331651</xdr:colOff>
      <xdr:row>43</xdr:row>
      <xdr:rowOff>202505</xdr:rowOff>
    </xdr:from>
    <xdr:to>
      <xdr:col>17</xdr:col>
      <xdr:colOff>197633</xdr:colOff>
      <xdr:row>45</xdr:row>
      <xdr:rowOff>126875</xdr:rowOff>
    </xdr:to>
    <xdr:sp macro="" textlink="">
      <xdr:nvSpPr>
        <xdr:cNvPr id="10" name=" ">
          <a:extLst>
            <a:ext uri="{FF2B5EF4-FFF2-40B4-BE49-F238E27FC236}">
              <a16:creationId xmlns:a16="http://schemas.microsoft.com/office/drawing/2014/main" id="{00000000-0008-0000-2500-00000A000000}"/>
            </a:ext>
          </a:extLst>
        </xdr:cNvPr>
        <xdr:cNvSpPr txBox="1"/>
      </xdr:nvSpPr>
      <xdr:spPr>
        <a:xfrm>
          <a:off x="13220700" y="8648700"/>
          <a:ext cx="1238250" cy="428625"/>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27432" tIns="22860" rIns="27432" bIns="22860" anchor="ctr" upright="1"/>
        <a:lstStyle/>
        <a:p>
          <a:pPr algn="ctr"/>
          <a:r>
            <a:rPr lang="en-US" altLang="zh-CN" sz="900" b="1">
              <a:solidFill>
                <a:srgbClr val="000000"/>
              </a:solidFill>
              <a:latin typeface="Arial" panose="00000000000000000000" charset="0"/>
              <a:ea typeface="Arial" panose="00000000000000000000" charset="0"/>
            </a:rPr>
            <a:t>Revenue</a:t>
          </a:r>
        </a:p>
        <a:p>
          <a:pPr algn="ctr"/>
          <a:r>
            <a:rPr lang="en-US" altLang="zh-CN" sz="900" b="1">
              <a:solidFill>
                <a:srgbClr val="000000"/>
              </a:solidFill>
              <a:latin typeface="Arial" panose="00000000000000000000" charset="0"/>
              <a:ea typeface="Arial" panose="00000000000000000000" charset="0"/>
            </a:rPr>
            <a:t>(2008)</a:t>
          </a:r>
        </a:p>
      </xdr:txBody>
    </xdr:sp>
    <xdr:clientData/>
  </xdr:twoCellAnchor>
  <xdr:twoCellAnchor>
    <xdr:from>
      <xdr:col>18</xdr:col>
      <xdr:colOff>342678</xdr:colOff>
      <xdr:row>45</xdr:row>
      <xdr:rowOff>0</xdr:rowOff>
    </xdr:from>
    <xdr:to>
      <xdr:col>25</xdr:col>
      <xdr:colOff>35624</xdr:colOff>
      <xdr:row>58</xdr:row>
      <xdr:rowOff>50750</xdr:rowOff>
    </xdr:to>
    <xdr:graphicFrame macro="">
      <xdr:nvGraphicFramePr>
        <xdr:cNvPr id="11" name="图表 10">
          <a:extLst>
            <a:ext uri="{FF2B5EF4-FFF2-40B4-BE49-F238E27FC236}">
              <a16:creationId xmlns:a16="http://schemas.microsoft.com/office/drawing/2014/main" id="{00000000-0008-0000-25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664998</xdr:colOff>
      <xdr:row>43</xdr:row>
      <xdr:rowOff>252809</xdr:rowOff>
    </xdr:from>
    <xdr:to>
      <xdr:col>22</xdr:col>
      <xdr:colOff>530981</xdr:colOff>
      <xdr:row>45</xdr:row>
      <xdr:rowOff>50750</xdr:rowOff>
    </xdr:to>
    <xdr:sp macro="" textlink="">
      <xdr:nvSpPr>
        <xdr:cNvPr id="12" name=" ">
          <a:extLst>
            <a:ext uri="{FF2B5EF4-FFF2-40B4-BE49-F238E27FC236}">
              <a16:creationId xmlns:a16="http://schemas.microsoft.com/office/drawing/2014/main" id="{00000000-0008-0000-2500-00000C000000}"/>
            </a:ext>
          </a:extLst>
        </xdr:cNvPr>
        <xdr:cNvSpPr txBox="1"/>
      </xdr:nvSpPr>
      <xdr:spPr>
        <a:xfrm>
          <a:off x="16983076" y="8696325"/>
          <a:ext cx="1238248" cy="3048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27432" tIns="22860" rIns="27432" bIns="22860" anchor="ctr" upright="1"/>
        <a:lstStyle/>
        <a:p>
          <a:pPr algn="ctr"/>
          <a:r>
            <a:rPr lang="en-US" altLang="zh-CN" sz="900" b="1">
              <a:solidFill>
                <a:srgbClr val="000000"/>
              </a:solidFill>
              <a:latin typeface="Arial" panose="00000000000000000000" charset="0"/>
              <a:ea typeface="Arial" panose="00000000000000000000" charset="0"/>
            </a:rPr>
            <a:t>Gross Profit</a:t>
          </a:r>
        </a:p>
        <a:p>
          <a:pPr algn="ctr"/>
          <a:r>
            <a:rPr lang="en-US" altLang="zh-CN" sz="900" b="1">
              <a:solidFill>
                <a:srgbClr val="000000"/>
              </a:solidFill>
              <a:latin typeface="Arial" panose="00000000000000000000" charset="0"/>
              <a:ea typeface="Arial" panose="00000000000000000000" charset="0"/>
            </a:rPr>
            <a:t>(2008)</a:t>
          </a:r>
        </a:p>
      </xdr:txBody>
    </xdr:sp>
    <xdr:clientData/>
  </xdr:twoCellAnchor>
  <xdr:twoCellAnchor>
    <xdr:from>
      <xdr:col>13</xdr:col>
      <xdr:colOff>26294</xdr:colOff>
      <xdr:row>44</xdr:row>
      <xdr:rowOff>139179</xdr:rowOff>
    </xdr:from>
    <xdr:to>
      <xdr:col>19</xdr:col>
      <xdr:colOff>417320</xdr:colOff>
      <xdr:row>58</xdr:row>
      <xdr:rowOff>12303</xdr:rowOff>
    </xdr:to>
    <xdr:graphicFrame macro="">
      <xdr:nvGraphicFramePr>
        <xdr:cNvPr id="13" name="图表 12">
          <a:extLst>
            <a:ext uri="{FF2B5EF4-FFF2-40B4-BE49-F238E27FC236}">
              <a16:creationId xmlns:a16="http://schemas.microsoft.com/office/drawing/2014/main" id="{00000000-0008-0000-25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79</xdr:row>
      <xdr:rowOff>0</xdr:rowOff>
    </xdr:from>
    <xdr:to>
      <xdr:col>16</xdr:col>
      <xdr:colOff>369443</xdr:colOff>
      <xdr:row>94</xdr:row>
      <xdr:rowOff>75902</xdr:rowOff>
    </xdr:to>
    <xdr:graphicFrame macro="">
      <xdr:nvGraphicFramePr>
        <xdr:cNvPr id="2" name="图表 1">
          <a:extLst>
            <a:ext uri="{FF2B5EF4-FFF2-40B4-BE49-F238E27FC236}">
              <a16:creationId xmlns:a16="http://schemas.microsoft.com/office/drawing/2014/main" id="{00000000-0008-0000-2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502127</xdr:colOff>
      <xdr:row>80</xdr:row>
      <xdr:rowOff>0</xdr:rowOff>
    </xdr:from>
    <xdr:to>
      <xdr:col>3</xdr:col>
      <xdr:colOff>454854</xdr:colOff>
      <xdr:row>81</xdr:row>
      <xdr:rowOff>38025</xdr:rowOff>
    </xdr:to>
    <xdr:sp macro="" textlink="">
      <xdr:nvSpPr>
        <xdr:cNvPr id="3" name=" ">
          <a:extLst>
            <a:ext uri="{FF2B5EF4-FFF2-40B4-BE49-F238E27FC236}">
              <a16:creationId xmlns:a16="http://schemas.microsoft.com/office/drawing/2014/main" id="{00000000-0008-0000-2900-000003000000}"/>
            </a:ext>
          </a:extLst>
        </xdr:cNvPr>
        <xdr:cNvSpPr txBox="1"/>
      </xdr:nvSpPr>
      <xdr:spPr>
        <a:xfrm>
          <a:off x="1943100" y="8915400"/>
          <a:ext cx="781050" cy="200025"/>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27432" tIns="22860" rIns="0" bIns="0" anchor="t" upright="1"/>
        <a:lstStyle/>
        <a:p>
          <a:pPr algn="l"/>
          <a:r>
            <a:rPr lang="en-US" altLang="zh-CN" sz="800">
              <a:solidFill>
                <a:srgbClr val="000000"/>
              </a:solidFill>
              <a:latin typeface="Arial" panose="00000000000000000000" charset="0"/>
              <a:ea typeface="Arial" panose="00000000000000000000" charset="0"/>
            </a:rPr>
            <a:t>Mn RMB</a:t>
          </a:r>
        </a:p>
      </xdr:txBody>
    </xdr:sp>
    <xdr:clientData/>
  </xdr:twoCellAnchor>
  <xdr:twoCellAnchor>
    <xdr:from>
      <xdr:col>5</xdr:col>
      <xdr:colOff>311718</xdr:colOff>
      <xdr:row>83</xdr:row>
      <xdr:rowOff>25003</xdr:rowOff>
    </xdr:from>
    <xdr:to>
      <xdr:col>6</xdr:col>
      <xdr:colOff>530133</xdr:colOff>
      <xdr:row>84</xdr:row>
      <xdr:rowOff>0</xdr:rowOff>
    </xdr:to>
    <xdr:sp macro="" textlink="">
      <xdr:nvSpPr>
        <xdr:cNvPr id="4" name="rightArrow">
          <a:extLst>
            <a:ext uri="{FF2B5EF4-FFF2-40B4-BE49-F238E27FC236}">
              <a16:creationId xmlns:a16="http://schemas.microsoft.com/office/drawing/2014/main" id="{00000000-0008-0000-2900-000004000000}"/>
            </a:ext>
          </a:extLst>
        </xdr:cNvPr>
        <xdr:cNvSpPr/>
      </xdr:nvSpPr>
      <xdr:spPr>
        <a:xfrm rot="20291916">
          <a:off x="4305300" y="9391650"/>
          <a:ext cx="1076325" cy="85725"/>
        </a:xfrm>
        <a:prstGeom prst="rightArrow">
          <a:avLst/>
        </a:prstGeom>
        <a:solidFill>
          <a:srgbClr val="CCFFCB"/>
        </a:solidFill>
        <a:ln w="9525" cap="flat" cmpd="sng">
          <a:solidFill>
            <a:srgbClr val="00000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4</xdr:col>
      <xdr:colOff>216765</xdr:colOff>
      <xdr:row>82</xdr:row>
      <xdr:rowOff>12402</xdr:rowOff>
    </xdr:from>
    <xdr:to>
      <xdr:col>6</xdr:col>
      <xdr:colOff>571366</xdr:colOff>
      <xdr:row>84</xdr:row>
      <xdr:rowOff>0</xdr:rowOff>
    </xdr:to>
    <xdr:sp macro="" textlink="">
      <xdr:nvSpPr>
        <xdr:cNvPr id="5" name=" ">
          <a:extLst>
            <a:ext uri="{FF2B5EF4-FFF2-40B4-BE49-F238E27FC236}">
              <a16:creationId xmlns:a16="http://schemas.microsoft.com/office/drawing/2014/main" id="{00000000-0008-0000-2900-000005000000}"/>
            </a:ext>
          </a:extLst>
        </xdr:cNvPr>
        <xdr:cNvSpPr txBox="1"/>
      </xdr:nvSpPr>
      <xdr:spPr>
        <a:xfrm>
          <a:off x="3333750" y="9229725"/>
          <a:ext cx="2085975" cy="24765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27432" tIns="22860" rIns="0" bIns="0" anchor="t" upright="1"/>
        <a:lstStyle/>
        <a:p>
          <a:pPr algn="l"/>
          <a:r>
            <a:rPr lang="en-US" altLang="zh-CN" sz="800">
              <a:solidFill>
                <a:srgbClr val="000000"/>
              </a:solidFill>
              <a:latin typeface="Arial" panose="00000000000000000000" charset="0"/>
              <a:ea typeface="Arial" panose="00000000000000000000" charset="0"/>
            </a:rPr>
            <a:t>CAGR(2008-2010) = 27.0%</a:t>
          </a: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7.x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40.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42.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drawing" Target="../drawings/drawing12.xml"/></Relationships>
</file>

<file path=xl/worksheets/_rels/sheet44.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M66"/>
  <sheetViews>
    <sheetView workbookViewId="0">
      <selection activeCell="F12" sqref="F12"/>
    </sheetView>
  </sheetViews>
  <sheetFormatPr defaultColWidth="8.25" defaultRowHeight="13.5" customHeight="1" x14ac:dyDescent="0.4"/>
  <cols>
    <col min="1" max="2" width="2.8125" style="1" customWidth="1"/>
    <col min="3" max="3" width="8.8125" style="1" customWidth="1"/>
    <col min="4" max="4" width="10.25" style="1" customWidth="1"/>
    <col min="5" max="13" width="8.8125" style="1" customWidth="1"/>
    <col min="14" max="14" width="2.8125" style="1" customWidth="1"/>
    <col min="15" max="16384" width="8.25" style="1"/>
  </cols>
  <sheetData>
    <row r="5" spans="1:6" ht="30" customHeight="1" x14ac:dyDescent="0.4">
      <c r="C5" s="2" t="s">
        <v>1824</v>
      </c>
    </row>
    <row r="6" spans="1:6" ht="30" customHeight="1" x14ac:dyDescent="0.4">
      <c r="C6" s="3" t="s">
        <v>1823</v>
      </c>
      <c r="D6" s="4">
        <f ca="1">TODAY()</f>
        <v>46120</v>
      </c>
    </row>
    <row r="7" spans="1:6" ht="15" customHeight="1" x14ac:dyDescent="0.4">
      <c r="C7" s="5"/>
    </row>
    <row r="8" spans="1:6" ht="15" customHeight="1" x14ac:dyDescent="0.4">
      <c r="C8" s="5"/>
    </row>
    <row r="9" spans="1:6" ht="15" customHeight="1" x14ac:dyDescent="0.4">
      <c r="C9" s="5"/>
    </row>
    <row r="10" spans="1:6" ht="15" customHeight="1" x14ac:dyDescent="0.4">
      <c r="C10" s="5"/>
    </row>
    <row r="11" spans="1:6" ht="15" customHeight="1" x14ac:dyDescent="0.4">
      <c r="A11" s="6"/>
      <c r="B11" s="7"/>
      <c r="C11" s="8" t="s">
        <v>2893</v>
      </c>
      <c r="D11" s="9"/>
      <c r="F11" s="8" t="s">
        <v>2917</v>
      </c>
    </row>
    <row r="12" spans="1:6" ht="15" customHeight="1" x14ac:dyDescent="0.4">
      <c r="C12" s="10" t="s">
        <v>2894</v>
      </c>
      <c r="F12" s="10" t="s">
        <v>2921</v>
      </c>
    </row>
    <row r="13" spans="1:6" ht="15" customHeight="1" x14ac:dyDescent="0.4">
      <c r="C13" s="11" t="s">
        <v>2895</v>
      </c>
      <c r="F13" s="11" t="s">
        <v>2918</v>
      </c>
    </row>
    <row r="14" spans="1:6" ht="13.5" customHeight="1" x14ac:dyDescent="0.4">
      <c r="C14" s="12"/>
    </row>
    <row r="15" spans="1:6" ht="13.5" customHeight="1" x14ac:dyDescent="0.4">
      <c r="C15" s="13" t="s">
        <v>1822</v>
      </c>
    </row>
    <row r="17" spans="1:13" ht="13.5" customHeight="1" x14ac:dyDescent="0.4">
      <c r="A17" s="1734" t="s">
        <v>1821</v>
      </c>
      <c r="B17" s="1735"/>
      <c r="C17" s="1735"/>
      <c r="D17" s="1735"/>
      <c r="E17" s="1735"/>
      <c r="F17" s="1735"/>
      <c r="G17" s="1735"/>
      <c r="H17" s="1735"/>
      <c r="I17" s="1735"/>
      <c r="J17" s="1735"/>
      <c r="K17" s="1735"/>
      <c r="L17" s="1735"/>
      <c r="M17" s="1735"/>
    </row>
    <row r="18" spans="1:13" ht="13.5" customHeight="1" x14ac:dyDescent="0.4">
      <c r="A18" s="1735"/>
      <c r="B18" s="1735"/>
      <c r="C18" s="1735"/>
      <c r="D18" s="1735"/>
      <c r="E18" s="1735"/>
      <c r="F18" s="1735"/>
      <c r="G18" s="1735"/>
      <c r="H18" s="1735"/>
      <c r="I18" s="1735"/>
      <c r="J18" s="1735"/>
      <c r="K18" s="1735"/>
      <c r="L18" s="1735"/>
      <c r="M18" s="1735"/>
    </row>
    <row r="19" spans="1:13" ht="13.5" customHeight="1" x14ac:dyDescent="0.4">
      <c r="A19" s="1735"/>
      <c r="B19" s="1735"/>
      <c r="C19" s="1735"/>
      <c r="D19" s="1735"/>
      <c r="E19" s="1735"/>
      <c r="F19" s="1735"/>
      <c r="G19" s="1735"/>
      <c r="H19" s="1735"/>
      <c r="I19" s="1735"/>
      <c r="J19" s="1735"/>
      <c r="K19" s="1735"/>
      <c r="L19" s="1735"/>
      <c r="M19" s="1735"/>
    </row>
    <row r="20" spans="1:13" ht="13.5" customHeight="1" x14ac:dyDescent="0.4">
      <c r="A20" s="1735"/>
      <c r="B20" s="1735"/>
      <c r="C20" s="1735"/>
      <c r="D20" s="1735"/>
      <c r="E20" s="1735"/>
      <c r="F20" s="1735"/>
      <c r="G20" s="1735"/>
      <c r="H20" s="1735"/>
      <c r="I20" s="1735"/>
      <c r="J20" s="1735"/>
      <c r="K20" s="1735"/>
      <c r="L20" s="1735"/>
      <c r="M20" s="1735"/>
    </row>
    <row r="21" spans="1:13" ht="13.5" customHeight="1" x14ac:dyDescent="0.4">
      <c r="A21" s="1735"/>
      <c r="B21" s="1735"/>
      <c r="C21" s="1735"/>
      <c r="D21" s="1735"/>
      <c r="E21" s="1735"/>
      <c r="F21" s="1735"/>
      <c r="G21" s="1735"/>
      <c r="H21" s="1735"/>
      <c r="I21" s="1735"/>
      <c r="J21" s="1735"/>
      <c r="K21" s="1735"/>
      <c r="L21" s="1735"/>
      <c r="M21" s="1735"/>
    </row>
    <row r="22" spans="1:13" ht="13.5" customHeight="1" x14ac:dyDescent="0.4">
      <c r="A22" s="1735"/>
      <c r="B22" s="1735"/>
      <c r="C22" s="1735"/>
      <c r="D22" s="1735"/>
      <c r="E22" s="1735"/>
      <c r="F22" s="1735"/>
      <c r="G22" s="1735"/>
      <c r="H22" s="1735"/>
      <c r="I22" s="1735"/>
      <c r="J22" s="1735"/>
      <c r="K22" s="1735"/>
      <c r="L22" s="1735"/>
      <c r="M22" s="1735"/>
    </row>
    <row r="23" spans="1:13" ht="13.5" customHeight="1" x14ac:dyDescent="0.4">
      <c r="A23" s="1735"/>
      <c r="B23" s="1735"/>
      <c r="C23" s="1735"/>
      <c r="D23" s="1735"/>
      <c r="E23" s="1735"/>
      <c r="F23" s="1735"/>
      <c r="G23" s="1735"/>
      <c r="H23" s="1735"/>
      <c r="I23" s="1735"/>
      <c r="J23" s="1735"/>
      <c r="K23" s="1735"/>
      <c r="L23" s="1735"/>
      <c r="M23" s="1735"/>
    </row>
    <row r="24" spans="1:13" ht="13.5" customHeight="1" x14ac:dyDescent="0.4">
      <c r="A24" s="1735"/>
      <c r="B24" s="1735"/>
      <c r="C24" s="1735"/>
      <c r="D24" s="1735"/>
      <c r="E24" s="1735"/>
      <c r="F24" s="1735"/>
      <c r="G24" s="1735"/>
      <c r="H24" s="1735"/>
      <c r="I24" s="1735"/>
      <c r="J24" s="1735"/>
      <c r="K24" s="1735"/>
      <c r="L24" s="1735"/>
      <c r="M24" s="1735"/>
    </row>
    <row r="25" spans="1:13" ht="13.5" customHeight="1" x14ac:dyDescent="0.4">
      <c r="A25" s="1735"/>
      <c r="B25" s="1735"/>
      <c r="C25" s="1735"/>
      <c r="D25" s="1735"/>
      <c r="E25" s="1735"/>
      <c r="F25" s="1735"/>
      <c r="G25" s="1735"/>
      <c r="H25" s="1735"/>
      <c r="I25" s="1735"/>
      <c r="J25" s="1735"/>
      <c r="K25" s="1735"/>
      <c r="L25" s="1735"/>
      <c r="M25" s="1735"/>
    </row>
    <row r="26" spans="1:13" ht="13.5" customHeight="1" x14ac:dyDescent="0.4">
      <c r="A26" s="1735"/>
      <c r="B26" s="1735"/>
      <c r="C26" s="1735"/>
      <c r="D26" s="1735"/>
      <c r="E26" s="1735"/>
      <c r="F26" s="1735"/>
      <c r="G26" s="1735"/>
      <c r="H26" s="1735"/>
      <c r="I26" s="1735"/>
      <c r="J26" s="1735"/>
      <c r="K26" s="1735"/>
      <c r="L26" s="1735"/>
      <c r="M26" s="1735"/>
    </row>
    <row r="27" spans="1:13" ht="13.5" customHeight="1" x14ac:dyDescent="0.4">
      <c r="A27" s="1735"/>
      <c r="B27" s="1735"/>
      <c r="C27" s="1735"/>
      <c r="D27" s="1735"/>
      <c r="E27" s="1735"/>
      <c r="F27" s="1735"/>
      <c r="G27" s="1735"/>
      <c r="H27" s="1735"/>
      <c r="I27" s="1735"/>
      <c r="J27" s="1735"/>
      <c r="K27" s="1735"/>
      <c r="L27" s="1735"/>
      <c r="M27" s="1735"/>
    </row>
    <row r="28" spans="1:13" ht="13.5" customHeight="1" x14ac:dyDescent="0.4">
      <c r="A28" s="1735"/>
      <c r="B28" s="1735"/>
      <c r="C28" s="1735"/>
      <c r="D28" s="1735"/>
      <c r="E28" s="1735"/>
      <c r="F28" s="1735"/>
      <c r="G28" s="1735"/>
      <c r="H28" s="1735"/>
      <c r="I28" s="1735"/>
      <c r="J28" s="1735"/>
      <c r="K28" s="1735"/>
      <c r="L28" s="1735"/>
      <c r="M28" s="1735"/>
    </row>
    <row r="29" spans="1:13" ht="13.5" customHeight="1" x14ac:dyDescent="0.4">
      <c r="A29" s="1735"/>
      <c r="B29" s="1735"/>
      <c r="C29" s="1735"/>
      <c r="D29" s="1735"/>
      <c r="E29" s="1735"/>
      <c r="F29" s="1735"/>
      <c r="G29" s="1735"/>
      <c r="H29" s="1735"/>
      <c r="I29" s="1735"/>
      <c r="J29" s="1735"/>
      <c r="K29" s="1735"/>
      <c r="L29" s="1735"/>
      <c r="M29" s="1735"/>
    </row>
    <row r="30" spans="1:13" ht="13.5" customHeight="1" x14ac:dyDescent="0.4">
      <c r="A30" s="1735"/>
      <c r="B30" s="1735"/>
      <c r="C30" s="1735"/>
      <c r="D30" s="1735"/>
      <c r="E30" s="1735"/>
      <c r="F30" s="1735"/>
      <c r="G30" s="1735"/>
      <c r="H30" s="1735"/>
      <c r="I30" s="1735"/>
      <c r="J30" s="1735"/>
      <c r="K30" s="1735"/>
      <c r="L30" s="1735"/>
      <c r="M30" s="1735"/>
    </row>
    <row r="31" spans="1:13" ht="13.5" customHeight="1" x14ac:dyDescent="0.4">
      <c r="A31" s="1735"/>
      <c r="B31" s="1735"/>
      <c r="C31" s="1735"/>
      <c r="D31" s="1735"/>
      <c r="E31" s="1735"/>
      <c r="F31" s="1735"/>
      <c r="G31" s="1735"/>
      <c r="H31" s="1735"/>
      <c r="I31" s="1735"/>
      <c r="J31" s="1735"/>
      <c r="K31" s="1735"/>
      <c r="L31" s="1735"/>
      <c r="M31" s="1735"/>
    </row>
    <row r="32" spans="1:13" ht="13.5" customHeight="1" x14ac:dyDescent="0.4">
      <c r="A32" s="1735"/>
      <c r="B32" s="1735"/>
      <c r="C32" s="1735"/>
      <c r="D32" s="1735"/>
      <c r="E32" s="1735"/>
      <c r="F32" s="1735"/>
      <c r="G32" s="1735"/>
      <c r="H32" s="1735"/>
      <c r="I32" s="1735"/>
      <c r="J32" s="1735"/>
      <c r="K32" s="1735"/>
      <c r="L32" s="1735"/>
      <c r="M32" s="1735"/>
    </row>
    <row r="33" spans="1:13" ht="13.5" customHeight="1" x14ac:dyDescent="0.4">
      <c r="A33" s="1735"/>
      <c r="B33" s="1735"/>
      <c r="C33" s="1735"/>
      <c r="D33" s="1735"/>
      <c r="E33" s="1735"/>
      <c r="F33" s="1735"/>
      <c r="G33" s="1735"/>
      <c r="H33" s="1735"/>
      <c r="I33" s="1735"/>
      <c r="J33" s="1735"/>
      <c r="K33" s="1735"/>
      <c r="L33" s="1735"/>
      <c r="M33" s="1735"/>
    </row>
    <row r="34" spans="1:13" ht="13.5" customHeight="1" x14ac:dyDescent="0.4">
      <c r="A34" s="1735"/>
      <c r="B34" s="1735"/>
      <c r="C34" s="1735"/>
      <c r="D34" s="1735"/>
      <c r="E34" s="1735"/>
      <c r="F34" s="1735"/>
      <c r="G34" s="1735"/>
      <c r="H34" s="1735"/>
      <c r="I34" s="1735"/>
      <c r="J34" s="1735"/>
      <c r="K34" s="1735"/>
      <c r="L34" s="1735"/>
      <c r="M34" s="1735"/>
    </row>
    <row r="35" spans="1:13" ht="13.5" customHeight="1" x14ac:dyDescent="0.4">
      <c r="A35" s="1735"/>
      <c r="B35" s="1735"/>
      <c r="C35" s="1735"/>
      <c r="D35" s="1735"/>
      <c r="E35" s="1735"/>
      <c r="F35" s="1735"/>
      <c r="G35" s="1735"/>
      <c r="H35" s="1735"/>
      <c r="I35" s="1735"/>
      <c r="J35" s="1735"/>
      <c r="K35" s="1735"/>
      <c r="L35" s="1735"/>
      <c r="M35" s="1735"/>
    </row>
    <row r="36" spans="1:13" ht="13.5" customHeight="1" x14ac:dyDescent="0.4">
      <c r="A36" s="1735"/>
      <c r="B36" s="1735"/>
      <c r="C36" s="1735"/>
      <c r="D36" s="1735"/>
      <c r="E36" s="1735"/>
      <c r="F36" s="1735"/>
      <c r="G36" s="1735"/>
      <c r="H36" s="1735"/>
      <c r="I36" s="1735"/>
      <c r="J36" s="1735"/>
      <c r="K36" s="1735"/>
      <c r="L36" s="1735"/>
      <c r="M36" s="1735"/>
    </row>
    <row r="37" spans="1:13" ht="13.5" customHeight="1" x14ac:dyDescent="0.4">
      <c r="A37" s="1735"/>
      <c r="B37" s="1735"/>
      <c r="C37" s="1735"/>
      <c r="D37" s="1735"/>
      <c r="E37" s="1735"/>
      <c r="F37" s="1735"/>
      <c r="G37" s="1735"/>
      <c r="H37" s="1735"/>
      <c r="I37" s="1735"/>
      <c r="J37" s="1735"/>
      <c r="K37" s="1735"/>
      <c r="L37" s="1735"/>
      <c r="M37" s="1735"/>
    </row>
    <row r="38" spans="1:13" ht="13.5" customHeight="1" x14ac:dyDescent="0.4">
      <c r="A38" s="1735"/>
      <c r="B38" s="1735"/>
      <c r="C38" s="1735"/>
      <c r="D38" s="1735"/>
      <c r="E38" s="1735"/>
      <c r="F38" s="1735"/>
      <c r="G38" s="1735"/>
      <c r="H38" s="1735"/>
      <c r="I38" s="1735"/>
      <c r="J38" s="1735"/>
      <c r="K38" s="1735"/>
      <c r="L38" s="1735"/>
      <c r="M38" s="1735"/>
    </row>
    <row r="39" spans="1:13" ht="13.5" customHeight="1" x14ac:dyDescent="0.4">
      <c r="A39" s="1735"/>
      <c r="B39" s="1735"/>
      <c r="C39" s="1735"/>
      <c r="D39" s="1735"/>
      <c r="E39" s="1735"/>
      <c r="F39" s="1735"/>
      <c r="G39" s="1735"/>
      <c r="H39" s="1735"/>
      <c r="I39" s="1735"/>
      <c r="J39" s="1735"/>
      <c r="K39" s="1735"/>
      <c r="L39" s="1735"/>
      <c r="M39" s="1735"/>
    </row>
    <row r="40" spans="1:13" ht="13.5" customHeight="1" x14ac:dyDescent="0.4">
      <c r="A40" s="1735"/>
      <c r="B40" s="1735"/>
      <c r="C40" s="1735"/>
      <c r="D40" s="1735"/>
      <c r="E40" s="1735"/>
      <c r="F40" s="1735"/>
      <c r="G40" s="1735"/>
      <c r="H40" s="1735"/>
      <c r="I40" s="1735"/>
      <c r="J40" s="1735"/>
      <c r="K40" s="1735"/>
      <c r="L40" s="1735"/>
      <c r="M40" s="1735"/>
    </row>
    <row r="41" spans="1:13" ht="13.5" customHeight="1" x14ac:dyDescent="0.4">
      <c r="A41" s="1735"/>
      <c r="B41" s="1735"/>
      <c r="C41" s="1735"/>
      <c r="D41" s="1735"/>
      <c r="E41" s="1735"/>
      <c r="F41" s="1735"/>
      <c r="G41" s="1735"/>
      <c r="H41" s="1735"/>
      <c r="I41" s="1735"/>
      <c r="J41" s="1735"/>
      <c r="K41" s="1735"/>
      <c r="L41" s="1735"/>
      <c r="M41" s="1735"/>
    </row>
    <row r="42" spans="1:13" ht="13.5" customHeight="1" x14ac:dyDescent="0.4">
      <c r="A42" s="1735"/>
      <c r="B42" s="1735"/>
      <c r="C42" s="1735"/>
      <c r="D42" s="1735"/>
      <c r="E42" s="1735"/>
      <c r="F42" s="1735"/>
      <c r="G42" s="1735"/>
      <c r="H42" s="1735"/>
      <c r="I42" s="1735"/>
      <c r="J42" s="1735"/>
      <c r="K42" s="1735"/>
      <c r="L42" s="1735"/>
      <c r="M42" s="1735"/>
    </row>
    <row r="43" spans="1:13" ht="13.5" customHeight="1" x14ac:dyDescent="0.4">
      <c r="A43" s="1735"/>
      <c r="B43" s="1735"/>
      <c r="C43" s="1735"/>
      <c r="D43" s="1735"/>
      <c r="E43" s="1735"/>
      <c r="F43" s="1735"/>
      <c r="G43" s="1735"/>
      <c r="H43" s="1735"/>
      <c r="I43" s="1735"/>
      <c r="J43" s="1735"/>
      <c r="K43" s="1735"/>
      <c r="L43" s="1735"/>
      <c r="M43" s="1735"/>
    </row>
    <row r="44" spans="1:13" ht="13.5" customHeight="1" x14ac:dyDescent="0.4">
      <c r="A44" s="1735"/>
      <c r="B44" s="1735"/>
      <c r="C44" s="1735"/>
      <c r="D44" s="1735"/>
      <c r="E44" s="1735"/>
      <c r="F44" s="1735"/>
      <c r="G44" s="1735"/>
      <c r="H44" s="1735"/>
      <c r="I44" s="1735"/>
      <c r="J44" s="1735"/>
      <c r="K44" s="1735"/>
      <c r="L44" s="1735"/>
      <c r="M44" s="1735"/>
    </row>
    <row r="45" spans="1:13" ht="13.5" customHeight="1" x14ac:dyDescent="0.4">
      <c r="A45" s="1735"/>
      <c r="B45" s="1735"/>
      <c r="C45" s="1735"/>
      <c r="D45" s="1735"/>
      <c r="E45" s="1735"/>
      <c r="F45" s="1735"/>
      <c r="G45" s="1735"/>
      <c r="H45" s="1735"/>
      <c r="I45" s="1735"/>
      <c r="J45" s="1735"/>
      <c r="K45" s="1735"/>
      <c r="L45" s="1735"/>
      <c r="M45" s="1735"/>
    </row>
    <row r="46" spans="1:13" ht="13.5" customHeight="1" x14ac:dyDescent="0.4">
      <c r="A46" s="1735"/>
      <c r="B46" s="1735"/>
      <c r="C46" s="1735"/>
      <c r="D46" s="1735"/>
      <c r="E46" s="1735"/>
      <c r="F46" s="1735"/>
      <c r="G46" s="1735"/>
      <c r="H46" s="1735"/>
      <c r="I46" s="1735"/>
      <c r="J46" s="1735"/>
      <c r="K46" s="1735"/>
      <c r="L46" s="1735"/>
      <c r="M46" s="1735"/>
    </row>
    <row r="47" spans="1:13" ht="13.5" customHeight="1" x14ac:dyDescent="0.4">
      <c r="A47" s="1735"/>
      <c r="B47" s="1735"/>
      <c r="C47" s="1735"/>
      <c r="D47" s="1735"/>
      <c r="E47" s="1735"/>
      <c r="F47" s="1735"/>
      <c r="G47" s="1735"/>
      <c r="H47" s="1735"/>
      <c r="I47" s="1735"/>
      <c r="J47" s="1735"/>
      <c r="K47" s="1735"/>
      <c r="L47" s="1735"/>
      <c r="M47" s="1735"/>
    </row>
    <row r="48" spans="1:13" ht="13.5" customHeight="1" x14ac:dyDescent="0.4">
      <c r="A48" s="1735"/>
      <c r="B48" s="1735"/>
      <c r="C48" s="1735"/>
      <c r="D48" s="1735"/>
      <c r="E48" s="1735"/>
      <c r="F48" s="1735"/>
      <c r="G48" s="1735"/>
      <c r="H48" s="1735"/>
      <c r="I48" s="1735"/>
      <c r="J48" s="1735"/>
      <c r="K48" s="1735"/>
      <c r="L48" s="1735"/>
      <c r="M48" s="1735"/>
    </row>
    <row r="49" spans="1:13" ht="13.5" customHeight="1" x14ac:dyDescent="0.4">
      <c r="A49" s="1735"/>
      <c r="B49" s="1735"/>
      <c r="C49" s="1735"/>
      <c r="D49" s="1735"/>
      <c r="E49" s="1735"/>
      <c r="F49" s="1735"/>
      <c r="G49" s="1735"/>
      <c r="H49" s="1735"/>
      <c r="I49" s="1735"/>
      <c r="J49" s="1735"/>
      <c r="K49" s="1735"/>
      <c r="L49" s="1735"/>
      <c r="M49" s="1735"/>
    </row>
    <row r="50" spans="1:13" ht="13.5" customHeight="1" x14ac:dyDescent="0.4">
      <c r="A50" s="1735"/>
      <c r="B50" s="1735"/>
      <c r="C50" s="1735"/>
      <c r="D50" s="1735"/>
      <c r="E50" s="1735"/>
      <c r="F50" s="1735"/>
      <c r="G50" s="1735"/>
      <c r="H50" s="1735"/>
      <c r="I50" s="1735"/>
      <c r="J50" s="1735"/>
      <c r="K50" s="1735"/>
      <c r="L50" s="1735"/>
      <c r="M50" s="1735"/>
    </row>
    <row r="51" spans="1:13" ht="13.5" customHeight="1" x14ac:dyDescent="0.4">
      <c r="A51" s="1735"/>
      <c r="B51" s="1735"/>
      <c r="C51" s="1735"/>
      <c r="D51" s="1735"/>
      <c r="E51" s="1735"/>
      <c r="F51" s="1735"/>
      <c r="G51" s="1735"/>
      <c r="H51" s="1735"/>
      <c r="I51" s="1735"/>
      <c r="J51" s="1735"/>
      <c r="K51" s="1735"/>
      <c r="L51" s="1735"/>
      <c r="M51" s="1735"/>
    </row>
    <row r="52" spans="1:13" ht="13.5" customHeight="1" x14ac:dyDescent="0.4">
      <c r="A52" s="1735"/>
      <c r="B52" s="1735"/>
      <c r="C52" s="1735"/>
      <c r="D52" s="1735"/>
      <c r="E52" s="1735"/>
      <c r="F52" s="1735"/>
      <c r="G52" s="1735"/>
      <c r="H52" s="1735"/>
      <c r="I52" s="1735"/>
      <c r="J52" s="1735"/>
      <c r="K52" s="1735"/>
      <c r="L52" s="1735"/>
      <c r="M52" s="1735"/>
    </row>
    <row r="53" spans="1:13" ht="13.5" customHeight="1" x14ac:dyDescent="0.4">
      <c r="A53" s="1735"/>
      <c r="B53" s="1735"/>
      <c r="C53" s="1735"/>
      <c r="D53" s="1735"/>
      <c r="E53" s="1735"/>
      <c r="F53" s="1735"/>
      <c r="G53" s="1735"/>
      <c r="H53" s="1735"/>
      <c r="I53" s="1735"/>
      <c r="J53" s="1735"/>
      <c r="K53" s="1735"/>
      <c r="L53" s="1735"/>
      <c r="M53" s="1735"/>
    </row>
    <row r="54" spans="1:13" ht="13.5" customHeight="1" x14ac:dyDescent="0.4">
      <c r="A54" s="1735"/>
      <c r="B54" s="1735"/>
      <c r="C54" s="1735"/>
      <c r="D54" s="1735"/>
      <c r="E54" s="1735"/>
      <c r="F54" s="1735"/>
      <c r="G54" s="1735"/>
      <c r="H54" s="1735"/>
      <c r="I54" s="1735"/>
      <c r="J54" s="1735"/>
      <c r="K54" s="1735"/>
      <c r="L54" s="1735"/>
      <c r="M54" s="1735"/>
    </row>
    <row r="55" spans="1:13" ht="13.5" customHeight="1" x14ac:dyDescent="0.4">
      <c r="A55" s="1735"/>
      <c r="B55" s="1735"/>
      <c r="C55" s="1735"/>
      <c r="D55" s="1735"/>
      <c r="E55" s="1735"/>
      <c r="F55" s="1735"/>
      <c r="G55" s="1735"/>
      <c r="H55" s="1735"/>
      <c r="I55" s="1735"/>
      <c r="J55" s="1735"/>
      <c r="K55" s="1735"/>
      <c r="L55" s="1735"/>
      <c r="M55" s="1735"/>
    </row>
    <row r="56" spans="1:13" ht="13.5" customHeight="1" x14ac:dyDescent="0.4">
      <c r="A56" s="1735"/>
      <c r="B56" s="1735"/>
      <c r="C56" s="1735"/>
      <c r="D56" s="1735"/>
      <c r="E56" s="1735"/>
      <c r="F56" s="1735"/>
      <c r="G56" s="1735"/>
      <c r="H56" s="1735"/>
      <c r="I56" s="1735"/>
      <c r="J56" s="1735"/>
      <c r="K56" s="1735"/>
      <c r="L56" s="1735"/>
      <c r="M56" s="1735"/>
    </row>
    <row r="57" spans="1:13" ht="13.5" customHeight="1" x14ac:dyDescent="0.4">
      <c r="A57" s="1735"/>
      <c r="B57" s="1735"/>
      <c r="C57" s="1735"/>
      <c r="D57" s="1735"/>
      <c r="E57" s="1735"/>
      <c r="F57" s="1735"/>
      <c r="G57" s="1735"/>
      <c r="H57" s="1735"/>
      <c r="I57" s="1735"/>
      <c r="J57" s="1735"/>
      <c r="K57" s="1735"/>
      <c r="L57" s="1735"/>
      <c r="M57" s="1735"/>
    </row>
    <row r="58" spans="1:13" ht="13.5" customHeight="1" x14ac:dyDescent="0.4">
      <c r="A58" s="1735"/>
      <c r="B58" s="1735"/>
      <c r="C58" s="1735"/>
      <c r="D58" s="1735"/>
      <c r="E58" s="1735"/>
      <c r="F58" s="1735"/>
      <c r="G58" s="1735"/>
      <c r="H58" s="1735"/>
      <c r="I58" s="1735"/>
      <c r="J58" s="1735"/>
      <c r="K58" s="1735"/>
      <c r="L58" s="1735"/>
      <c r="M58" s="1735"/>
    </row>
    <row r="59" spans="1:13" ht="13.5" customHeight="1" x14ac:dyDescent="0.4">
      <c r="A59" s="1735"/>
      <c r="B59" s="1735"/>
      <c r="C59" s="1735"/>
      <c r="D59" s="1735"/>
      <c r="E59" s="1735"/>
      <c r="F59" s="1735"/>
      <c r="G59" s="1735"/>
      <c r="H59" s="1735"/>
      <c r="I59" s="1735"/>
      <c r="J59" s="1735"/>
      <c r="K59" s="1735"/>
      <c r="L59" s="1735"/>
      <c r="M59" s="1735"/>
    </row>
    <row r="60" spans="1:13" ht="13.5" customHeight="1" x14ac:dyDescent="0.4">
      <c r="A60" s="1735"/>
      <c r="B60" s="1735"/>
      <c r="C60" s="1735"/>
      <c r="D60" s="1735"/>
      <c r="E60" s="1735"/>
      <c r="F60" s="1735"/>
      <c r="G60" s="1735"/>
      <c r="H60" s="1735"/>
      <c r="I60" s="1735"/>
      <c r="J60" s="1735"/>
      <c r="K60" s="1735"/>
      <c r="L60" s="1735"/>
      <c r="M60" s="1735"/>
    </row>
    <row r="61" spans="1:13" ht="13.5" customHeight="1" x14ac:dyDescent="0.4">
      <c r="A61" s="1735"/>
      <c r="B61" s="1735"/>
      <c r="C61" s="1735"/>
      <c r="D61" s="1735"/>
      <c r="E61" s="1735"/>
      <c r="F61" s="1735"/>
      <c r="G61" s="1735"/>
      <c r="H61" s="1735"/>
      <c r="I61" s="1735"/>
      <c r="J61" s="1735"/>
      <c r="K61" s="1735"/>
      <c r="L61" s="1735"/>
      <c r="M61" s="1735"/>
    </row>
    <row r="62" spans="1:13" ht="13.5" customHeight="1" x14ac:dyDescent="0.4">
      <c r="A62" s="1735"/>
      <c r="B62" s="1735"/>
      <c r="C62" s="1735"/>
      <c r="D62" s="1735"/>
      <c r="E62" s="1735"/>
      <c r="F62" s="1735"/>
      <c r="G62" s="1735"/>
      <c r="H62" s="1735"/>
      <c r="I62" s="1735"/>
      <c r="J62" s="1735"/>
      <c r="K62" s="1735"/>
      <c r="L62" s="1735"/>
      <c r="M62" s="1735"/>
    </row>
    <row r="63" spans="1:13" ht="13.5" customHeight="1" x14ac:dyDescent="0.4">
      <c r="A63" s="1735"/>
      <c r="B63" s="1735"/>
      <c r="C63" s="1735"/>
      <c r="D63" s="1735"/>
      <c r="E63" s="1735"/>
      <c r="F63" s="1735"/>
      <c r="G63" s="1735"/>
      <c r="H63" s="1735"/>
      <c r="I63" s="1735"/>
      <c r="J63" s="1735"/>
      <c r="K63" s="1735"/>
      <c r="L63" s="1735"/>
      <c r="M63" s="1735"/>
    </row>
    <row r="64" spans="1:13" ht="13.5" customHeight="1" x14ac:dyDescent="0.4">
      <c r="A64" s="1735"/>
      <c r="B64" s="1735"/>
      <c r="C64" s="1735"/>
      <c r="D64" s="1735"/>
      <c r="E64" s="1735"/>
      <c r="F64" s="1735"/>
      <c r="G64" s="1735"/>
      <c r="H64" s="1735"/>
      <c r="I64" s="1735"/>
      <c r="J64" s="1735"/>
      <c r="K64" s="1735"/>
      <c r="L64" s="1735"/>
      <c r="M64" s="1735"/>
    </row>
    <row r="65" spans="1:13" ht="13.5" customHeight="1" x14ac:dyDescent="0.4">
      <c r="A65" s="1735"/>
      <c r="B65" s="1735"/>
      <c r="C65" s="1735"/>
      <c r="D65" s="1735"/>
      <c r="E65" s="1735"/>
      <c r="F65" s="1735"/>
      <c r="G65" s="1735"/>
      <c r="H65" s="1735"/>
      <c r="I65" s="1735"/>
      <c r="J65" s="1735"/>
      <c r="K65" s="1735"/>
      <c r="L65" s="1735"/>
      <c r="M65" s="1735"/>
    </row>
    <row r="66" spans="1:13" s="7" customFormat="1" ht="5.25" customHeight="1" x14ac:dyDescent="0.4"/>
  </sheetData>
  <sheetProtection password="CA50" sheet="1" objects="1" scenarios="1" selectLockedCells="1"/>
  <mergeCells count="1">
    <mergeCell ref="A17:M65"/>
  </mergeCells>
  <phoneticPr fontId="51" type="noConversion"/>
  <pageMargins left="0.7" right="0.7" top="0.75" bottom="0.75" header="0.3" footer="0.3"/>
  <pageSetup paperSize="9" scale="76"/>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5:M66"/>
  <sheetViews>
    <sheetView workbookViewId="0">
      <selection activeCell="F12" sqref="F12"/>
    </sheetView>
  </sheetViews>
  <sheetFormatPr defaultColWidth="8.25" defaultRowHeight="13.5" customHeight="1" x14ac:dyDescent="0.4"/>
  <cols>
    <col min="1" max="2" width="2.8125" style="1" customWidth="1"/>
    <col min="3" max="13" width="8.8125" style="1" customWidth="1"/>
    <col min="14" max="14" width="2.8125" style="1" customWidth="1"/>
    <col min="15" max="16384" width="8.25" style="1"/>
  </cols>
  <sheetData>
    <row r="5" spans="1:6" ht="30" customHeight="1" x14ac:dyDescent="0.4">
      <c r="C5" s="14" t="s">
        <v>1828</v>
      </c>
    </row>
    <row r="6" spans="1:6" ht="30" customHeight="1" x14ac:dyDescent="0.4">
      <c r="C6" s="5" t="s">
        <v>1827</v>
      </c>
      <c r="D6" s="4">
        <f ca="1">'Header(C)'!D6</f>
        <v>46120</v>
      </c>
    </row>
    <row r="7" spans="1:6" ht="15" customHeight="1" x14ac:dyDescent="0.4">
      <c r="C7" s="5"/>
    </row>
    <row r="8" spans="1:6" ht="15" customHeight="1" x14ac:dyDescent="0.4">
      <c r="C8" s="5"/>
    </row>
    <row r="9" spans="1:6" ht="15" customHeight="1" x14ac:dyDescent="0.4">
      <c r="C9" s="5"/>
    </row>
    <row r="10" spans="1:6" ht="15" customHeight="1" x14ac:dyDescent="0.4">
      <c r="C10" s="5"/>
    </row>
    <row r="11" spans="1:6" ht="15" customHeight="1" x14ac:dyDescent="0.4">
      <c r="A11" s="6"/>
      <c r="B11" s="7"/>
      <c r="C11" s="15" t="s">
        <v>2896</v>
      </c>
      <c r="D11" s="16"/>
      <c r="F11" s="15" t="s">
        <v>2919</v>
      </c>
    </row>
    <row r="12" spans="1:6" ht="15" customHeight="1" x14ac:dyDescent="0.4">
      <c r="C12" s="10" t="s">
        <v>2894</v>
      </c>
      <c r="F12" s="10" t="s">
        <v>2921</v>
      </c>
    </row>
    <row r="13" spans="1:6" ht="15" customHeight="1" x14ac:dyDescent="0.4">
      <c r="C13" s="11" t="s">
        <v>2895</v>
      </c>
      <c r="F13" s="10" t="s">
        <v>2918</v>
      </c>
    </row>
    <row r="14" spans="1:6" ht="13.5" customHeight="1" x14ac:dyDescent="0.4">
      <c r="C14" s="12"/>
    </row>
    <row r="15" spans="1:6" s="17" customFormat="1" ht="13.5" customHeight="1" x14ac:dyDescent="0.4">
      <c r="C15" s="17" t="s">
        <v>1826</v>
      </c>
    </row>
    <row r="16" spans="1:6" s="17" customFormat="1" ht="13.5" customHeight="1" x14ac:dyDescent="0.4"/>
    <row r="17" spans="1:13" s="17" customFormat="1" ht="13.5" customHeight="1" x14ac:dyDescent="0.4">
      <c r="A17" s="1736" t="s">
        <v>1825</v>
      </c>
      <c r="B17" s="1737"/>
      <c r="C17" s="1737"/>
      <c r="D17" s="1737"/>
      <c r="E17" s="1737"/>
      <c r="F17" s="1737"/>
      <c r="G17" s="1737"/>
      <c r="H17" s="1737"/>
      <c r="I17" s="1737"/>
      <c r="J17" s="1737"/>
      <c r="K17" s="1737"/>
      <c r="L17" s="1737"/>
      <c r="M17" s="1737"/>
    </row>
    <row r="18" spans="1:13" s="17" customFormat="1" ht="13.5" customHeight="1" x14ac:dyDescent="0.4">
      <c r="A18" s="1737"/>
      <c r="B18" s="1737"/>
      <c r="C18" s="1737"/>
      <c r="D18" s="1737"/>
      <c r="E18" s="1737"/>
      <c r="F18" s="1737"/>
      <c r="G18" s="1737"/>
      <c r="H18" s="1737"/>
      <c r="I18" s="1737"/>
      <c r="J18" s="1737"/>
      <c r="K18" s="1737"/>
      <c r="L18" s="1737"/>
      <c r="M18" s="1737"/>
    </row>
    <row r="19" spans="1:13" s="17" customFormat="1" ht="13.5" customHeight="1" x14ac:dyDescent="0.4">
      <c r="A19" s="1737"/>
      <c r="B19" s="1737"/>
      <c r="C19" s="1737"/>
      <c r="D19" s="1737"/>
      <c r="E19" s="1737"/>
      <c r="F19" s="1737"/>
      <c r="G19" s="1737"/>
      <c r="H19" s="1737"/>
      <c r="I19" s="1737"/>
      <c r="J19" s="1737"/>
      <c r="K19" s="1737"/>
      <c r="L19" s="1737"/>
      <c r="M19" s="1737"/>
    </row>
    <row r="20" spans="1:13" s="17" customFormat="1" ht="13.5" customHeight="1" x14ac:dyDescent="0.4">
      <c r="A20" s="1737"/>
      <c r="B20" s="1737"/>
      <c r="C20" s="1737"/>
      <c r="D20" s="1737"/>
      <c r="E20" s="1737"/>
      <c r="F20" s="1737"/>
      <c r="G20" s="1737"/>
      <c r="H20" s="1737"/>
      <c r="I20" s="1737"/>
      <c r="J20" s="1737"/>
      <c r="K20" s="1737"/>
      <c r="L20" s="1737"/>
      <c r="M20" s="1737"/>
    </row>
    <row r="21" spans="1:13" s="17" customFormat="1" ht="13.5" customHeight="1" x14ac:dyDescent="0.4">
      <c r="A21" s="1737"/>
      <c r="B21" s="1737"/>
      <c r="C21" s="1737"/>
      <c r="D21" s="1737"/>
      <c r="E21" s="1737"/>
      <c r="F21" s="1737"/>
      <c r="G21" s="1737"/>
      <c r="H21" s="1737"/>
      <c r="I21" s="1737"/>
      <c r="J21" s="1737"/>
      <c r="K21" s="1737"/>
      <c r="L21" s="1737"/>
      <c r="M21" s="1737"/>
    </row>
    <row r="22" spans="1:13" s="17" customFormat="1" ht="13.5" customHeight="1" x14ac:dyDescent="0.4">
      <c r="A22" s="1737"/>
      <c r="B22" s="1737"/>
      <c r="C22" s="1737"/>
      <c r="D22" s="1737"/>
      <c r="E22" s="1737"/>
      <c r="F22" s="1737"/>
      <c r="G22" s="1737"/>
      <c r="H22" s="1737"/>
      <c r="I22" s="1737"/>
      <c r="J22" s="1737"/>
      <c r="K22" s="1737"/>
      <c r="L22" s="1737"/>
      <c r="M22" s="1737"/>
    </row>
    <row r="23" spans="1:13" s="17" customFormat="1" ht="13.5" customHeight="1" x14ac:dyDescent="0.4">
      <c r="A23" s="1737"/>
      <c r="B23" s="1737"/>
      <c r="C23" s="1737"/>
      <c r="D23" s="1737"/>
      <c r="E23" s="1737"/>
      <c r="F23" s="1737"/>
      <c r="G23" s="1737"/>
      <c r="H23" s="1737"/>
      <c r="I23" s="1737"/>
      <c r="J23" s="1737"/>
      <c r="K23" s="1737"/>
      <c r="L23" s="1737"/>
      <c r="M23" s="1737"/>
    </row>
    <row r="24" spans="1:13" s="17" customFormat="1" ht="13.5" customHeight="1" x14ac:dyDescent="0.4">
      <c r="A24" s="1737"/>
      <c r="B24" s="1737"/>
      <c r="C24" s="1737"/>
      <c r="D24" s="1737"/>
      <c r="E24" s="1737"/>
      <c r="F24" s="1737"/>
      <c r="G24" s="1737"/>
      <c r="H24" s="1737"/>
      <c r="I24" s="1737"/>
      <c r="J24" s="1737"/>
      <c r="K24" s="1737"/>
      <c r="L24" s="1737"/>
      <c r="M24" s="1737"/>
    </row>
    <row r="25" spans="1:13" s="17" customFormat="1" ht="13.5" customHeight="1" x14ac:dyDescent="0.4">
      <c r="A25" s="1737"/>
      <c r="B25" s="1737"/>
      <c r="C25" s="1737"/>
      <c r="D25" s="1737"/>
      <c r="E25" s="1737"/>
      <c r="F25" s="1737"/>
      <c r="G25" s="1737"/>
      <c r="H25" s="1737"/>
      <c r="I25" s="1737"/>
      <c r="J25" s="1737"/>
      <c r="K25" s="1737"/>
      <c r="L25" s="1737"/>
      <c r="M25" s="1737"/>
    </row>
    <row r="26" spans="1:13" s="17" customFormat="1" ht="13.5" customHeight="1" x14ac:dyDescent="0.4">
      <c r="A26" s="1737"/>
      <c r="B26" s="1737"/>
      <c r="C26" s="1737"/>
      <c r="D26" s="1737"/>
      <c r="E26" s="1737"/>
      <c r="F26" s="1737"/>
      <c r="G26" s="1737"/>
      <c r="H26" s="1737"/>
      <c r="I26" s="1737"/>
      <c r="J26" s="1737"/>
      <c r="K26" s="1737"/>
      <c r="L26" s="1737"/>
      <c r="M26" s="1737"/>
    </row>
    <row r="27" spans="1:13" s="17" customFormat="1" ht="13.5" customHeight="1" x14ac:dyDescent="0.4">
      <c r="A27" s="1737"/>
      <c r="B27" s="1737"/>
      <c r="C27" s="1737"/>
      <c r="D27" s="1737"/>
      <c r="E27" s="1737"/>
      <c r="F27" s="1737"/>
      <c r="G27" s="1737"/>
      <c r="H27" s="1737"/>
      <c r="I27" s="1737"/>
      <c r="J27" s="1737"/>
      <c r="K27" s="1737"/>
      <c r="L27" s="1737"/>
      <c r="M27" s="1737"/>
    </row>
    <row r="28" spans="1:13" s="17" customFormat="1" ht="13.5" customHeight="1" x14ac:dyDescent="0.4">
      <c r="A28" s="1737"/>
      <c r="B28" s="1737"/>
      <c r="C28" s="1737"/>
      <c r="D28" s="1737"/>
      <c r="E28" s="1737"/>
      <c r="F28" s="1737"/>
      <c r="G28" s="1737"/>
      <c r="H28" s="1737"/>
      <c r="I28" s="1737"/>
      <c r="J28" s="1737"/>
      <c r="K28" s="1737"/>
      <c r="L28" s="1737"/>
      <c r="M28" s="1737"/>
    </row>
    <row r="29" spans="1:13" s="17" customFormat="1" ht="13.5" customHeight="1" x14ac:dyDescent="0.4">
      <c r="A29" s="1737"/>
      <c r="B29" s="1737"/>
      <c r="C29" s="1737"/>
      <c r="D29" s="1737"/>
      <c r="E29" s="1737"/>
      <c r="F29" s="1737"/>
      <c r="G29" s="1737"/>
      <c r="H29" s="1737"/>
      <c r="I29" s="1737"/>
      <c r="J29" s="1737"/>
      <c r="K29" s="1737"/>
      <c r="L29" s="1737"/>
      <c r="M29" s="1737"/>
    </row>
    <row r="30" spans="1:13" s="17" customFormat="1" ht="13.5" customHeight="1" x14ac:dyDescent="0.4">
      <c r="A30" s="1737"/>
      <c r="B30" s="1737"/>
      <c r="C30" s="1737"/>
      <c r="D30" s="1737"/>
      <c r="E30" s="1737"/>
      <c r="F30" s="1737"/>
      <c r="G30" s="1737"/>
      <c r="H30" s="1737"/>
      <c r="I30" s="1737"/>
      <c r="J30" s="1737"/>
      <c r="K30" s="1737"/>
      <c r="L30" s="1737"/>
      <c r="M30" s="1737"/>
    </row>
    <row r="31" spans="1:13" s="17" customFormat="1" ht="13.5" customHeight="1" x14ac:dyDescent="0.4">
      <c r="A31" s="1737"/>
      <c r="B31" s="1737"/>
      <c r="C31" s="1737"/>
      <c r="D31" s="1737"/>
      <c r="E31" s="1737"/>
      <c r="F31" s="1737"/>
      <c r="G31" s="1737"/>
      <c r="H31" s="1737"/>
      <c r="I31" s="1737"/>
      <c r="J31" s="1737"/>
      <c r="K31" s="1737"/>
      <c r="L31" s="1737"/>
      <c r="M31" s="1737"/>
    </row>
    <row r="32" spans="1:13" s="17" customFormat="1" ht="13.5" customHeight="1" x14ac:dyDescent="0.4">
      <c r="A32" s="1737"/>
      <c r="B32" s="1737"/>
      <c r="C32" s="1737"/>
      <c r="D32" s="1737"/>
      <c r="E32" s="1737"/>
      <c r="F32" s="1737"/>
      <c r="G32" s="1737"/>
      <c r="H32" s="1737"/>
      <c r="I32" s="1737"/>
      <c r="J32" s="1737"/>
      <c r="K32" s="1737"/>
      <c r="L32" s="1737"/>
      <c r="M32" s="1737"/>
    </row>
    <row r="33" spans="1:13" s="17" customFormat="1" ht="13.5" customHeight="1" x14ac:dyDescent="0.4">
      <c r="A33" s="1737"/>
      <c r="B33" s="1737"/>
      <c r="C33" s="1737"/>
      <c r="D33" s="1737"/>
      <c r="E33" s="1737"/>
      <c r="F33" s="1737"/>
      <c r="G33" s="1737"/>
      <c r="H33" s="1737"/>
      <c r="I33" s="1737"/>
      <c r="J33" s="1737"/>
      <c r="K33" s="1737"/>
      <c r="L33" s="1737"/>
      <c r="M33" s="1737"/>
    </row>
    <row r="34" spans="1:13" s="17" customFormat="1" ht="13.5" customHeight="1" x14ac:dyDescent="0.4">
      <c r="A34" s="1737"/>
      <c r="B34" s="1737"/>
      <c r="C34" s="1737"/>
      <c r="D34" s="1737"/>
      <c r="E34" s="1737"/>
      <c r="F34" s="1737"/>
      <c r="G34" s="1737"/>
      <c r="H34" s="1737"/>
      <c r="I34" s="1737"/>
      <c r="J34" s="1737"/>
      <c r="K34" s="1737"/>
      <c r="L34" s="1737"/>
      <c r="M34" s="1737"/>
    </row>
    <row r="35" spans="1:13" s="17" customFormat="1" ht="13.5" customHeight="1" x14ac:dyDescent="0.4">
      <c r="A35" s="1737"/>
      <c r="B35" s="1737"/>
      <c r="C35" s="1737"/>
      <c r="D35" s="1737"/>
      <c r="E35" s="1737"/>
      <c r="F35" s="1737"/>
      <c r="G35" s="1737"/>
      <c r="H35" s="1737"/>
      <c r="I35" s="1737"/>
      <c r="J35" s="1737"/>
      <c r="K35" s="1737"/>
      <c r="L35" s="1737"/>
      <c r="M35" s="1737"/>
    </row>
    <row r="36" spans="1:13" s="17" customFormat="1" ht="13.5" customHeight="1" x14ac:dyDescent="0.4">
      <c r="A36" s="1737"/>
      <c r="B36" s="1737"/>
      <c r="C36" s="1737"/>
      <c r="D36" s="1737"/>
      <c r="E36" s="1737"/>
      <c r="F36" s="1737"/>
      <c r="G36" s="1737"/>
      <c r="H36" s="1737"/>
      <c r="I36" s="1737"/>
      <c r="J36" s="1737"/>
      <c r="K36" s="1737"/>
      <c r="L36" s="1737"/>
      <c r="M36" s="1737"/>
    </row>
    <row r="37" spans="1:13" s="17" customFormat="1" ht="13.5" customHeight="1" x14ac:dyDescent="0.4">
      <c r="A37" s="1737"/>
      <c r="B37" s="1737"/>
      <c r="C37" s="1737"/>
      <c r="D37" s="1737"/>
      <c r="E37" s="1737"/>
      <c r="F37" s="1737"/>
      <c r="G37" s="1737"/>
      <c r="H37" s="1737"/>
      <c r="I37" s="1737"/>
      <c r="J37" s="1737"/>
      <c r="K37" s="1737"/>
      <c r="L37" s="1737"/>
      <c r="M37" s="1737"/>
    </row>
    <row r="38" spans="1:13" s="17" customFormat="1" ht="13.5" customHeight="1" x14ac:dyDescent="0.4">
      <c r="A38" s="1737"/>
      <c r="B38" s="1737"/>
      <c r="C38" s="1737"/>
      <c r="D38" s="1737"/>
      <c r="E38" s="1737"/>
      <c r="F38" s="1737"/>
      <c r="G38" s="1737"/>
      <c r="H38" s="1737"/>
      <c r="I38" s="1737"/>
      <c r="J38" s="1737"/>
      <c r="K38" s="1737"/>
      <c r="L38" s="1737"/>
      <c r="M38" s="1737"/>
    </row>
    <row r="39" spans="1:13" s="17" customFormat="1" ht="13.5" customHeight="1" x14ac:dyDescent="0.4">
      <c r="A39" s="1737"/>
      <c r="B39" s="1737"/>
      <c r="C39" s="1737"/>
      <c r="D39" s="1737"/>
      <c r="E39" s="1737"/>
      <c r="F39" s="1737"/>
      <c r="G39" s="1737"/>
      <c r="H39" s="1737"/>
      <c r="I39" s="1737"/>
      <c r="J39" s="1737"/>
      <c r="K39" s="1737"/>
      <c r="L39" s="1737"/>
      <c r="M39" s="1737"/>
    </row>
    <row r="40" spans="1:13" s="17" customFormat="1" ht="13.5" customHeight="1" x14ac:dyDescent="0.4">
      <c r="A40" s="1737"/>
      <c r="B40" s="1737"/>
      <c r="C40" s="1737"/>
      <c r="D40" s="1737"/>
      <c r="E40" s="1737"/>
      <c r="F40" s="1737"/>
      <c r="G40" s="1737"/>
      <c r="H40" s="1737"/>
      <c r="I40" s="1737"/>
      <c r="J40" s="1737"/>
      <c r="K40" s="1737"/>
      <c r="L40" s="1737"/>
      <c r="M40" s="1737"/>
    </row>
    <row r="41" spans="1:13" s="17" customFormat="1" ht="13.5" customHeight="1" x14ac:dyDescent="0.4">
      <c r="A41" s="1737"/>
      <c r="B41" s="1737"/>
      <c r="C41" s="1737"/>
      <c r="D41" s="1737"/>
      <c r="E41" s="1737"/>
      <c r="F41" s="1737"/>
      <c r="G41" s="1737"/>
      <c r="H41" s="1737"/>
      <c r="I41" s="1737"/>
      <c r="J41" s="1737"/>
      <c r="K41" s="1737"/>
      <c r="L41" s="1737"/>
      <c r="M41" s="1737"/>
    </row>
    <row r="42" spans="1:13" s="17" customFormat="1" ht="13.5" customHeight="1" x14ac:dyDescent="0.4">
      <c r="A42" s="1737"/>
      <c r="B42" s="1737"/>
      <c r="C42" s="1737"/>
      <c r="D42" s="1737"/>
      <c r="E42" s="1737"/>
      <c r="F42" s="1737"/>
      <c r="G42" s="1737"/>
      <c r="H42" s="1737"/>
      <c r="I42" s="1737"/>
      <c r="J42" s="1737"/>
      <c r="K42" s="1737"/>
      <c r="L42" s="1737"/>
      <c r="M42" s="1737"/>
    </row>
    <row r="43" spans="1:13" s="17" customFormat="1" ht="13.5" customHeight="1" x14ac:dyDescent="0.4">
      <c r="A43" s="1737"/>
      <c r="B43" s="1737"/>
      <c r="C43" s="1737"/>
      <c r="D43" s="1737"/>
      <c r="E43" s="1737"/>
      <c r="F43" s="1737"/>
      <c r="G43" s="1737"/>
      <c r="H43" s="1737"/>
      <c r="I43" s="1737"/>
      <c r="J43" s="1737"/>
      <c r="K43" s="1737"/>
      <c r="L43" s="1737"/>
      <c r="M43" s="1737"/>
    </row>
    <row r="44" spans="1:13" s="17" customFormat="1" ht="13.5" customHeight="1" x14ac:dyDescent="0.4">
      <c r="A44" s="1737"/>
      <c r="B44" s="1737"/>
      <c r="C44" s="1737"/>
      <c r="D44" s="1737"/>
      <c r="E44" s="1737"/>
      <c r="F44" s="1737"/>
      <c r="G44" s="1737"/>
      <c r="H44" s="1737"/>
      <c r="I44" s="1737"/>
      <c r="J44" s="1737"/>
      <c r="K44" s="1737"/>
      <c r="L44" s="1737"/>
      <c r="M44" s="1737"/>
    </row>
    <row r="45" spans="1:13" s="17" customFormat="1" ht="13.5" customHeight="1" x14ac:dyDescent="0.4">
      <c r="A45" s="1737"/>
      <c r="B45" s="1737"/>
      <c r="C45" s="1737"/>
      <c r="D45" s="1737"/>
      <c r="E45" s="1737"/>
      <c r="F45" s="1737"/>
      <c r="G45" s="1737"/>
      <c r="H45" s="1737"/>
      <c r="I45" s="1737"/>
      <c r="J45" s="1737"/>
      <c r="K45" s="1737"/>
      <c r="L45" s="1737"/>
      <c r="M45" s="1737"/>
    </row>
    <row r="46" spans="1:13" s="17" customFormat="1" ht="13.5" customHeight="1" x14ac:dyDescent="0.4">
      <c r="A46" s="1737"/>
      <c r="B46" s="1737"/>
      <c r="C46" s="1737"/>
      <c r="D46" s="1737"/>
      <c r="E46" s="1737"/>
      <c r="F46" s="1737"/>
      <c r="G46" s="1737"/>
      <c r="H46" s="1737"/>
      <c r="I46" s="1737"/>
      <c r="J46" s="1737"/>
      <c r="K46" s="1737"/>
      <c r="L46" s="1737"/>
      <c r="M46" s="1737"/>
    </row>
    <row r="47" spans="1:13" s="17" customFormat="1" ht="13.5" customHeight="1" x14ac:dyDescent="0.4">
      <c r="A47" s="1737"/>
      <c r="B47" s="1737"/>
      <c r="C47" s="1737"/>
      <c r="D47" s="1737"/>
      <c r="E47" s="1737"/>
      <c r="F47" s="1737"/>
      <c r="G47" s="1737"/>
      <c r="H47" s="1737"/>
      <c r="I47" s="1737"/>
      <c r="J47" s="1737"/>
      <c r="K47" s="1737"/>
      <c r="L47" s="1737"/>
      <c r="M47" s="1737"/>
    </row>
    <row r="48" spans="1:13" s="17" customFormat="1" ht="13.5" customHeight="1" x14ac:dyDescent="0.4">
      <c r="A48" s="1737"/>
      <c r="B48" s="1737"/>
      <c r="C48" s="1737"/>
      <c r="D48" s="1737"/>
      <c r="E48" s="1737"/>
      <c r="F48" s="1737"/>
      <c r="G48" s="1737"/>
      <c r="H48" s="1737"/>
      <c r="I48" s="1737"/>
      <c r="J48" s="1737"/>
      <c r="K48" s="1737"/>
      <c r="L48" s="1737"/>
      <c r="M48" s="1737"/>
    </row>
    <row r="49" spans="1:13" s="17" customFormat="1" ht="13.5" customHeight="1" x14ac:dyDescent="0.4">
      <c r="A49" s="1737"/>
      <c r="B49" s="1737"/>
      <c r="C49" s="1737"/>
      <c r="D49" s="1737"/>
      <c r="E49" s="1737"/>
      <c r="F49" s="1737"/>
      <c r="G49" s="1737"/>
      <c r="H49" s="1737"/>
      <c r="I49" s="1737"/>
      <c r="J49" s="1737"/>
      <c r="K49" s="1737"/>
      <c r="L49" s="1737"/>
      <c r="M49" s="1737"/>
    </row>
    <row r="50" spans="1:13" s="17" customFormat="1" ht="13.5" customHeight="1" x14ac:dyDescent="0.4">
      <c r="A50" s="1737"/>
      <c r="B50" s="1737"/>
      <c r="C50" s="1737"/>
      <c r="D50" s="1737"/>
      <c r="E50" s="1737"/>
      <c r="F50" s="1737"/>
      <c r="G50" s="1737"/>
      <c r="H50" s="1737"/>
      <c r="I50" s="1737"/>
      <c r="J50" s="1737"/>
      <c r="K50" s="1737"/>
      <c r="L50" s="1737"/>
      <c r="M50" s="1737"/>
    </row>
    <row r="51" spans="1:13" s="17" customFormat="1" ht="13.5" customHeight="1" x14ac:dyDescent="0.4">
      <c r="A51" s="1737"/>
      <c r="B51" s="1737"/>
      <c r="C51" s="1737"/>
      <c r="D51" s="1737"/>
      <c r="E51" s="1737"/>
      <c r="F51" s="1737"/>
      <c r="G51" s="1737"/>
      <c r="H51" s="1737"/>
      <c r="I51" s="1737"/>
      <c r="J51" s="1737"/>
      <c r="K51" s="1737"/>
      <c r="L51" s="1737"/>
      <c r="M51" s="1737"/>
    </row>
    <row r="52" spans="1:13" s="17" customFormat="1" ht="13.5" customHeight="1" x14ac:dyDescent="0.4">
      <c r="A52" s="1737"/>
      <c r="B52" s="1737"/>
      <c r="C52" s="1737"/>
      <c r="D52" s="1737"/>
      <c r="E52" s="1737"/>
      <c r="F52" s="1737"/>
      <c r="G52" s="1737"/>
      <c r="H52" s="1737"/>
      <c r="I52" s="1737"/>
      <c r="J52" s="1737"/>
      <c r="K52" s="1737"/>
      <c r="L52" s="1737"/>
      <c r="M52" s="1737"/>
    </row>
    <row r="53" spans="1:13" s="17" customFormat="1" ht="13.5" customHeight="1" x14ac:dyDescent="0.4">
      <c r="A53" s="1737"/>
      <c r="B53" s="1737"/>
      <c r="C53" s="1737"/>
      <c r="D53" s="1737"/>
      <c r="E53" s="1737"/>
      <c r="F53" s="1737"/>
      <c r="G53" s="1737"/>
      <c r="H53" s="1737"/>
      <c r="I53" s="1737"/>
      <c r="J53" s="1737"/>
      <c r="K53" s="1737"/>
      <c r="L53" s="1737"/>
      <c r="M53" s="1737"/>
    </row>
    <row r="54" spans="1:13" s="17" customFormat="1" ht="13.5" customHeight="1" x14ac:dyDescent="0.4">
      <c r="A54" s="1737"/>
      <c r="B54" s="1737"/>
      <c r="C54" s="1737"/>
      <c r="D54" s="1737"/>
      <c r="E54" s="1737"/>
      <c r="F54" s="1737"/>
      <c r="G54" s="1737"/>
      <c r="H54" s="1737"/>
      <c r="I54" s="1737"/>
      <c r="J54" s="1737"/>
      <c r="K54" s="1737"/>
      <c r="L54" s="1737"/>
      <c r="M54" s="1737"/>
    </row>
    <row r="55" spans="1:13" s="17" customFormat="1" ht="13.5" customHeight="1" x14ac:dyDescent="0.4">
      <c r="A55" s="1737"/>
      <c r="B55" s="1737"/>
      <c r="C55" s="1737"/>
      <c r="D55" s="1737"/>
      <c r="E55" s="1737"/>
      <c r="F55" s="1737"/>
      <c r="G55" s="1737"/>
      <c r="H55" s="1737"/>
      <c r="I55" s="1737"/>
      <c r="J55" s="1737"/>
      <c r="K55" s="1737"/>
      <c r="L55" s="1737"/>
      <c r="M55" s="1737"/>
    </row>
    <row r="56" spans="1:13" s="17" customFormat="1" ht="13.5" customHeight="1" x14ac:dyDescent="0.4">
      <c r="A56" s="1737"/>
      <c r="B56" s="1737"/>
      <c r="C56" s="1737"/>
      <c r="D56" s="1737"/>
      <c r="E56" s="1737"/>
      <c r="F56" s="1737"/>
      <c r="G56" s="1737"/>
      <c r="H56" s="1737"/>
      <c r="I56" s="1737"/>
      <c r="J56" s="1737"/>
      <c r="K56" s="1737"/>
      <c r="L56" s="1737"/>
      <c r="M56" s="1737"/>
    </row>
    <row r="57" spans="1:13" s="17" customFormat="1" ht="13.5" customHeight="1" x14ac:dyDescent="0.4">
      <c r="A57" s="1737"/>
      <c r="B57" s="1737"/>
      <c r="C57" s="1737"/>
      <c r="D57" s="1737"/>
      <c r="E57" s="1737"/>
      <c r="F57" s="1737"/>
      <c r="G57" s="1737"/>
      <c r="H57" s="1737"/>
      <c r="I57" s="1737"/>
      <c r="J57" s="1737"/>
      <c r="K57" s="1737"/>
      <c r="L57" s="1737"/>
      <c r="M57" s="1737"/>
    </row>
    <row r="58" spans="1:13" s="17" customFormat="1" ht="13.5" customHeight="1" x14ac:dyDescent="0.4">
      <c r="A58" s="1737"/>
      <c r="B58" s="1737"/>
      <c r="C58" s="1737"/>
      <c r="D58" s="1737"/>
      <c r="E58" s="1737"/>
      <c r="F58" s="1737"/>
      <c r="G58" s="1737"/>
      <c r="H58" s="1737"/>
      <c r="I58" s="1737"/>
      <c r="J58" s="1737"/>
      <c r="K58" s="1737"/>
      <c r="L58" s="1737"/>
      <c r="M58" s="1737"/>
    </row>
    <row r="59" spans="1:13" s="17" customFormat="1" ht="13.5" customHeight="1" x14ac:dyDescent="0.4">
      <c r="A59" s="1737"/>
      <c r="B59" s="1737"/>
      <c r="C59" s="1737"/>
      <c r="D59" s="1737"/>
      <c r="E59" s="1737"/>
      <c r="F59" s="1737"/>
      <c r="G59" s="1737"/>
      <c r="H59" s="1737"/>
      <c r="I59" s="1737"/>
      <c r="J59" s="1737"/>
      <c r="K59" s="1737"/>
      <c r="L59" s="1737"/>
      <c r="M59" s="1737"/>
    </row>
    <row r="60" spans="1:13" s="17" customFormat="1" ht="13.5" customHeight="1" x14ac:dyDescent="0.4">
      <c r="A60" s="1737"/>
      <c r="B60" s="1737"/>
      <c r="C60" s="1737"/>
      <c r="D60" s="1737"/>
      <c r="E60" s="1737"/>
      <c r="F60" s="1737"/>
      <c r="G60" s="1737"/>
      <c r="H60" s="1737"/>
      <c r="I60" s="1737"/>
      <c r="J60" s="1737"/>
      <c r="K60" s="1737"/>
      <c r="L60" s="1737"/>
      <c r="M60" s="1737"/>
    </row>
    <row r="61" spans="1:13" s="17" customFormat="1" ht="13.5" customHeight="1" x14ac:dyDescent="0.4">
      <c r="A61" s="1737"/>
      <c r="B61" s="1737"/>
      <c r="C61" s="1737"/>
      <c r="D61" s="1737"/>
      <c r="E61" s="1737"/>
      <c r="F61" s="1737"/>
      <c r="G61" s="1737"/>
      <c r="H61" s="1737"/>
      <c r="I61" s="1737"/>
      <c r="J61" s="1737"/>
      <c r="K61" s="1737"/>
      <c r="L61" s="1737"/>
      <c r="M61" s="1737"/>
    </row>
    <row r="62" spans="1:13" s="17" customFormat="1" ht="13.5" customHeight="1" x14ac:dyDescent="0.4">
      <c r="A62" s="1737"/>
      <c r="B62" s="1737"/>
      <c r="C62" s="1737"/>
      <c r="D62" s="1737"/>
      <c r="E62" s="1737"/>
      <c r="F62" s="1737"/>
      <c r="G62" s="1737"/>
      <c r="H62" s="1737"/>
      <c r="I62" s="1737"/>
      <c r="J62" s="1737"/>
      <c r="K62" s="1737"/>
      <c r="L62" s="1737"/>
      <c r="M62" s="1737"/>
    </row>
    <row r="63" spans="1:13" s="17" customFormat="1" ht="13.5" customHeight="1" x14ac:dyDescent="0.4">
      <c r="A63" s="1737"/>
      <c r="B63" s="1737"/>
      <c r="C63" s="1737"/>
      <c r="D63" s="1737"/>
      <c r="E63" s="1737"/>
      <c r="F63" s="1737"/>
      <c r="G63" s="1737"/>
      <c r="H63" s="1737"/>
      <c r="I63" s="1737"/>
      <c r="J63" s="1737"/>
      <c r="K63" s="1737"/>
      <c r="L63" s="1737"/>
      <c r="M63" s="1737"/>
    </row>
    <row r="64" spans="1:13" s="17" customFormat="1" ht="13.5" customHeight="1" x14ac:dyDescent="0.4">
      <c r="A64" s="1737"/>
      <c r="B64" s="1737"/>
      <c r="C64" s="1737"/>
      <c r="D64" s="1737"/>
      <c r="E64" s="1737"/>
      <c r="F64" s="1737"/>
      <c r="G64" s="1737"/>
      <c r="H64" s="1737"/>
      <c r="I64" s="1737"/>
      <c r="J64" s="1737"/>
      <c r="K64" s="1737"/>
      <c r="L64" s="1737"/>
      <c r="M64" s="1737"/>
    </row>
    <row r="65" spans="1:13" s="17" customFormat="1" ht="75.75" customHeight="1" x14ac:dyDescent="0.4">
      <c r="A65" s="1737"/>
      <c r="B65" s="1737"/>
      <c r="C65" s="1737"/>
      <c r="D65" s="1737"/>
      <c r="E65" s="1737"/>
      <c r="F65" s="1737"/>
      <c r="G65" s="1737"/>
      <c r="H65" s="1737"/>
      <c r="I65" s="1737"/>
      <c r="J65" s="1737"/>
      <c r="K65" s="1737"/>
      <c r="L65" s="1737"/>
      <c r="M65" s="1737"/>
    </row>
    <row r="66" spans="1:13" s="7" customFormat="1" ht="5.25" customHeight="1" x14ac:dyDescent="0.4"/>
  </sheetData>
  <sheetProtection password="CA50" sheet="1" objects="1" scenarios="1" selectLockedCells="1"/>
  <mergeCells count="1">
    <mergeCell ref="A17:M65"/>
  </mergeCells>
  <phoneticPr fontId="51" type="noConversion"/>
  <pageMargins left="0.7" right="0.7" top="0.75" bottom="0.75" header="0.3" footer="0.3"/>
  <pageSetup paperSize="9" scale="77"/>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5:M66"/>
  <sheetViews>
    <sheetView workbookViewId="0">
      <selection activeCell="F12" sqref="F12"/>
    </sheetView>
  </sheetViews>
  <sheetFormatPr defaultColWidth="8.25" defaultRowHeight="12.75" x14ac:dyDescent="0.4"/>
  <cols>
    <col min="1" max="2" width="2.8125" style="1" customWidth="1"/>
    <col min="3" max="13" width="8.8125" style="1" customWidth="1"/>
    <col min="14" max="14" width="2.8125" style="1" customWidth="1"/>
    <col min="15" max="16384" width="8.25" style="1"/>
  </cols>
  <sheetData>
    <row r="5" spans="1:6" ht="22.5" x14ac:dyDescent="0.4">
      <c r="C5" s="14" t="s">
        <v>1828</v>
      </c>
    </row>
    <row r="6" spans="1:6" x14ac:dyDescent="0.4">
      <c r="C6" s="5" t="s">
        <v>1827</v>
      </c>
      <c r="D6" s="4">
        <f ca="1">'Header(C)'!D6</f>
        <v>46120</v>
      </c>
    </row>
    <row r="7" spans="1:6" x14ac:dyDescent="0.4">
      <c r="C7" s="5"/>
    </row>
    <row r="8" spans="1:6" x14ac:dyDescent="0.4">
      <c r="C8" s="5"/>
    </row>
    <row r="9" spans="1:6" x14ac:dyDescent="0.4">
      <c r="C9" s="5"/>
    </row>
    <row r="10" spans="1:6" x14ac:dyDescent="0.4">
      <c r="C10" s="5"/>
    </row>
    <row r="11" spans="1:6" ht="13.15" x14ac:dyDescent="0.4">
      <c r="A11" s="6"/>
      <c r="B11" s="7"/>
      <c r="C11" s="15" t="s">
        <v>2896</v>
      </c>
      <c r="D11" s="16"/>
      <c r="F11" s="15" t="s">
        <v>2919</v>
      </c>
    </row>
    <row r="12" spans="1:6" x14ac:dyDescent="0.4">
      <c r="C12" s="10" t="s">
        <v>2894</v>
      </c>
      <c r="F12" s="10" t="s">
        <v>2921</v>
      </c>
    </row>
    <row r="13" spans="1:6" x14ac:dyDescent="0.4">
      <c r="C13" s="11" t="s">
        <v>2895</v>
      </c>
      <c r="F13" s="10" t="s">
        <v>2918</v>
      </c>
    </row>
    <row r="14" spans="1:6" x14ac:dyDescent="0.4">
      <c r="C14" s="12"/>
    </row>
    <row r="15" spans="1:6" s="17" customFormat="1" ht="10.15" x14ac:dyDescent="0.4">
      <c r="C15" s="17" t="s">
        <v>1826</v>
      </c>
    </row>
    <row r="16" spans="1:6" s="17" customFormat="1" ht="10.15" x14ac:dyDescent="0.4"/>
    <row r="17" spans="1:13" s="17" customFormat="1" ht="14.25" customHeight="1" x14ac:dyDescent="0.4">
      <c r="A17" s="1738" t="s">
        <v>1829</v>
      </c>
      <c r="B17" s="1737"/>
      <c r="C17" s="1737"/>
      <c r="D17" s="1737"/>
      <c r="E17" s="1737"/>
      <c r="F17" s="1737"/>
      <c r="G17" s="1737"/>
      <c r="H17" s="1737"/>
      <c r="I17" s="1737"/>
      <c r="J17" s="1737"/>
      <c r="K17" s="1737"/>
      <c r="L17" s="1737"/>
      <c r="M17" s="1737"/>
    </row>
    <row r="18" spans="1:13" s="17" customFormat="1" ht="14.25" customHeight="1" x14ac:dyDescent="0.4">
      <c r="A18" s="1737"/>
      <c r="B18" s="1737"/>
      <c r="C18" s="1737"/>
      <c r="D18" s="1737"/>
      <c r="E18" s="1737"/>
      <c r="F18" s="1737"/>
      <c r="G18" s="1737"/>
      <c r="H18" s="1737"/>
      <c r="I18" s="1737"/>
      <c r="J18" s="1737"/>
      <c r="K18" s="1737"/>
      <c r="L18" s="1737"/>
      <c r="M18" s="1737"/>
    </row>
    <row r="19" spans="1:13" s="17" customFormat="1" ht="14.25" customHeight="1" x14ac:dyDescent="0.4">
      <c r="A19" s="1737"/>
      <c r="B19" s="1737"/>
      <c r="C19" s="1737"/>
      <c r="D19" s="1737"/>
      <c r="E19" s="1737"/>
      <c r="F19" s="1737"/>
      <c r="G19" s="1737"/>
      <c r="H19" s="1737"/>
      <c r="I19" s="1737"/>
      <c r="J19" s="1737"/>
      <c r="K19" s="1737"/>
      <c r="L19" s="1737"/>
      <c r="M19" s="1737"/>
    </row>
    <row r="20" spans="1:13" s="17" customFormat="1" ht="14.25" customHeight="1" x14ac:dyDescent="0.4">
      <c r="A20" s="1737"/>
      <c r="B20" s="1737"/>
      <c r="C20" s="1737"/>
      <c r="D20" s="1737"/>
      <c r="E20" s="1737"/>
      <c r="F20" s="1737"/>
      <c r="G20" s="1737"/>
      <c r="H20" s="1737"/>
      <c r="I20" s="1737"/>
      <c r="J20" s="1737"/>
      <c r="K20" s="1737"/>
      <c r="L20" s="1737"/>
      <c r="M20" s="1737"/>
    </row>
    <row r="21" spans="1:13" s="17" customFormat="1" ht="14.25" customHeight="1" x14ac:dyDescent="0.4">
      <c r="A21" s="1737"/>
      <c r="B21" s="1737"/>
      <c r="C21" s="1737"/>
      <c r="D21" s="1737"/>
      <c r="E21" s="1737"/>
      <c r="F21" s="1737"/>
      <c r="G21" s="1737"/>
      <c r="H21" s="1737"/>
      <c r="I21" s="1737"/>
      <c r="J21" s="1737"/>
      <c r="K21" s="1737"/>
      <c r="L21" s="1737"/>
      <c r="M21" s="1737"/>
    </row>
    <row r="22" spans="1:13" s="17" customFormat="1" ht="14.25" customHeight="1" x14ac:dyDescent="0.4">
      <c r="A22" s="1737"/>
      <c r="B22" s="1737"/>
      <c r="C22" s="1737"/>
      <c r="D22" s="1737"/>
      <c r="E22" s="1737"/>
      <c r="F22" s="1737"/>
      <c r="G22" s="1737"/>
      <c r="H22" s="1737"/>
      <c r="I22" s="1737"/>
      <c r="J22" s="1737"/>
      <c r="K22" s="1737"/>
      <c r="L22" s="1737"/>
      <c r="M22" s="1737"/>
    </row>
    <row r="23" spans="1:13" s="17" customFormat="1" ht="14.25" customHeight="1" x14ac:dyDescent="0.4">
      <c r="A23" s="1737"/>
      <c r="B23" s="1737"/>
      <c r="C23" s="1737"/>
      <c r="D23" s="1737"/>
      <c r="E23" s="1737"/>
      <c r="F23" s="1737"/>
      <c r="G23" s="1737"/>
      <c r="H23" s="1737"/>
      <c r="I23" s="1737"/>
      <c r="J23" s="1737"/>
      <c r="K23" s="1737"/>
      <c r="L23" s="1737"/>
      <c r="M23" s="1737"/>
    </row>
    <row r="24" spans="1:13" s="17" customFormat="1" ht="14.25" customHeight="1" x14ac:dyDescent="0.4">
      <c r="A24" s="1737"/>
      <c r="B24" s="1737"/>
      <c r="C24" s="1737"/>
      <c r="D24" s="1737"/>
      <c r="E24" s="1737"/>
      <c r="F24" s="1737"/>
      <c r="G24" s="1737"/>
      <c r="H24" s="1737"/>
      <c r="I24" s="1737"/>
      <c r="J24" s="1737"/>
      <c r="K24" s="1737"/>
      <c r="L24" s="1737"/>
      <c r="M24" s="1737"/>
    </row>
    <row r="25" spans="1:13" s="17" customFormat="1" ht="14.25" customHeight="1" x14ac:dyDescent="0.4">
      <c r="A25" s="1737"/>
      <c r="B25" s="1737"/>
      <c r="C25" s="1737"/>
      <c r="D25" s="1737"/>
      <c r="E25" s="1737"/>
      <c r="F25" s="1737"/>
      <c r="G25" s="1737"/>
      <c r="H25" s="1737"/>
      <c r="I25" s="1737"/>
      <c r="J25" s="1737"/>
      <c r="K25" s="1737"/>
      <c r="L25" s="1737"/>
      <c r="M25" s="1737"/>
    </row>
    <row r="26" spans="1:13" s="17" customFormat="1" ht="14.25" customHeight="1" x14ac:dyDescent="0.4">
      <c r="A26" s="1737"/>
      <c r="B26" s="1737"/>
      <c r="C26" s="1737"/>
      <c r="D26" s="1737"/>
      <c r="E26" s="1737"/>
      <c r="F26" s="1737"/>
      <c r="G26" s="1737"/>
      <c r="H26" s="1737"/>
      <c r="I26" s="1737"/>
      <c r="J26" s="1737"/>
      <c r="K26" s="1737"/>
      <c r="L26" s="1737"/>
      <c r="M26" s="1737"/>
    </row>
    <row r="27" spans="1:13" s="17" customFormat="1" ht="14.25" customHeight="1" x14ac:dyDescent="0.4">
      <c r="A27" s="1737"/>
      <c r="B27" s="1737"/>
      <c r="C27" s="1737"/>
      <c r="D27" s="1737"/>
      <c r="E27" s="1737"/>
      <c r="F27" s="1737"/>
      <c r="G27" s="1737"/>
      <c r="H27" s="1737"/>
      <c r="I27" s="1737"/>
      <c r="J27" s="1737"/>
      <c r="K27" s="1737"/>
      <c r="L27" s="1737"/>
      <c r="M27" s="1737"/>
    </row>
    <row r="28" spans="1:13" s="17" customFormat="1" ht="14.25" customHeight="1" x14ac:dyDescent="0.4">
      <c r="A28" s="1737"/>
      <c r="B28" s="1737"/>
      <c r="C28" s="1737"/>
      <c r="D28" s="1737"/>
      <c r="E28" s="1737"/>
      <c r="F28" s="1737"/>
      <c r="G28" s="1737"/>
      <c r="H28" s="1737"/>
      <c r="I28" s="1737"/>
      <c r="J28" s="1737"/>
      <c r="K28" s="1737"/>
      <c r="L28" s="1737"/>
      <c r="M28" s="1737"/>
    </row>
    <row r="29" spans="1:13" s="17" customFormat="1" ht="14.25" customHeight="1" x14ac:dyDescent="0.4">
      <c r="A29" s="1737"/>
      <c r="B29" s="1737"/>
      <c r="C29" s="1737"/>
      <c r="D29" s="1737"/>
      <c r="E29" s="1737"/>
      <c r="F29" s="1737"/>
      <c r="G29" s="1737"/>
      <c r="H29" s="1737"/>
      <c r="I29" s="1737"/>
      <c r="J29" s="1737"/>
      <c r="K29" s="1737"/>
      <c r="L29" s="1737"/>
      <c r="M29" s="1737"/>
    </row>
    <row r="30" spans="1:13" s="17" customFormat="1" ht="14.25" customHeight="1" x14ac:dyDescent="0.4">
      <c r="A30" s="1737"/>
      <c r="B30" s="1737"/>
      <c r="C30" s="1737"/>
      <c r="D30" s="1737"/>
      <c r="E30" s="1737"/>
      <c r="F30" s="1737"/>
      <c r="G30" s="1737"/>
      <c r="H30" s="1737"/>
      <c r="I30" s="1737"/>
      <c r="J30" s="1737"/>
      <c r="K30" s="1737"/>
      <c r="L30" s="1737"/>
      <c r="M30" s="1737"/>
    </row>
    <row r="31" spans="1:13" s="17" customFormat="1" ht="14.25" customHeight="1" x14ac:dyDescent="0.4">
      <c r="A31" s="1737"/>
      <c r="B31" s="1737"/>
      <c r="C31" s="1737"/>
      <c r="D31" s="1737"/>
      <c r="E31" s="1737"/>
      <c r="F31" s="1737"/>
      <c r="G31" s="1737"/>
      <c r="H31" s="1737"/>
      <c r="I31" s="1737"/>
      <c r="J31" s="1737"/>
      <c r="K31" s="1737"/>
      <c r="L31" s="1737"/>
      <c r="M31" s="1737"/>
    </row>
    <row r="32" spans="1:13" s="17" customFormat="1" ht="14.25" customHeight="1" x14ac:dyDescent="0.4">
      <c r="A32" s="1737"/>
      <c r="B32" s="1737"/>
      <c r="C32" s="1737"/>
      <c r="D32" s="1737"/>
      <c r="E32" s="1737"/>
      <c r="F32" s="1737"/>
      <c r="G32" s="1737"/>
      <c r="H32" s="1737"/>
      <c r="I32" s="1737"/>
      <c r="J32" s="1737"/>
      <c r="K32" s="1737"/>
      <c r="L32" s="1737"/>
      <c r="M32" s="1737"/>
    </row>
    <row r="33" spans="1:13" s="17" customFormat="1" ht="14.25" customHeight="1" x14ac:dyDescent="0.4">
      <c r="A33" s="1737"/>
      <c r="B33" s="1737"/>
      <c r="C33" s="1737"/>
      <c r="D33" s="1737"/>
      <c r="E33" s="1737"/>
      <c r="F33" s="1737"/>
      <c r="G33" s="1737"/>
      <c r="H33" s="1737"/>
      <c r="I33" s="1737"/>
      <c r="J33" s="1737"/>
      <c r="K33" s="1737"/>
      <c r="L33" s="1737"/>
      <c r="M33" s="1737"/>
    </row>
    <row r="34" spans="1:13" s="17" customFormat="1" ht="14.25" customHeight="1" x14ac:dyDescent="0.4">
      <c r="A34" s="1737"/>
      <c r="B34" s="1737"/>
      <c r="C34" s="1737"/>
      <c r="D34" s="1737"/>
      <c r="E34" s="1737"/>
      <c r="F34" s="1737"/>
      <c r="G34" s="1737"/>
      <c r="H34" s="1737"/>
      <c r="I34" s="1737"/>
      <c r="J34" s="1737"/>
      <c r="K34" s="1737"/>
      <c r="L34" s="1737"/>
      <c r="M34" s="1737"/>
    </row>
    <row r="35" spans="1:13" s="17" customFormat="1" ht="14.25" customHeight="1" x14ac:dyDescent="0.4">
      <c r="A35" s="1737"/>
      <c r="B35" s="1737"/>
      <c r="C35" s="1737"/>
      <c r="D35" s="1737"/>
      <c r="E35" s="1737"/>
      <c r="F35" s="1737"/>
      <c r="G35" s="1737"/>
      <c r="H35" s="1737"/>
      <c r="I35" s="1737"/>
      <c r="J35" s="1737"/>
      <c r="K35" s="1737"/>
      <c r="L35" s="1737"/>
      <c r="M35" s="1737"/>
    </row>
    <row r="36" spans="1:13" s="17" customFormat="1" ht="14.25" customHeight="1" x14ac:dyDescent="0.4">
      <c r="A36" s="1737"/>
      <c r="B36" s="1737"/>
      <c r="C36" s="1737"/>
      <c r="D36" s="1737"/>
      <c r="E36" s="1737"/>
      <c r="F36" s="1737"/>
      <c r="G36" s="1737"/>
      <c r="H36" s="1737"/>
      <c r="I36" s="1737"/>
      <c r="J36" s="1737"/>
      <c r="K36" s="1737"/>
      <c r="L36" s="1737"/>
      <c r="M36" s="1737"/>
    </row>
    <row r="37" spans="1:13" s="17" customFormat="1" ht="14.25" customHeight="1" x14ac:dyDescent="0.4">
      <c r="A37" s="1737"/>
      <c r="B37" s="1737"/>
      <c r="C37" s="1737"/>
      <c r="D37" s="1737"/>
      <c r="E37" s="1737"/>
      <c r="F37" s="1737"/>
      <c r="G37" s="1737"/>
      <c r="H37" s="1737"/>
      <c r="I37" s="1737"/>
      <c r="J37" s="1737"/>
      <c r="K37" s="1737"/>
      <c r="L37" s="1737"/>
      <c r="M37" s="1737"/>
    </row>
    <row r="38" spans="1:13" s="17" customFormat="1" ht="14.25" customHeight="1" x14ac:dyDescent="0.4">
      <c r="A38" s="1737"/>
      <c r="B38" s="1737"/>
      <c r="C38" s="1737"/>
      <c r="D38" s="1737"/>
      <c r="E38" s="1737"/>
      <c r="F38" s="1737"/>
      <c r="G38" s="1737"/>
      <c r="H38" s="1737"/>
      <c r="I38" s="1737"/>
      <c r="J38" s="1737"/>
      <c r="K38" s="1737"/>
      <c r="L38" s="1737"/>
      <c r="M38" s="1737"/>
    </row>
    <row r="39" spans="1:13" s="17" customFormat="1" ht="14.25" customHeight="1" x14ac:dyDescent="0.4">
      <c r="A39" s="1737"/>
      <c r="B39" s="1737"/>
      <c r="C39" s="1737"/>
      <c r="D39" s="1737"/>
      <c r="E39" s="1737"/>
      <c r="F39" s="1737"/>
      <c r="G39" s="1737"/>
      <c r="H39" s="1737"/>
      <c r="I39" s="1737"/>
      <c r="J39" s="1737"/>
      <c r="K39" s="1737"/>
      <c r="L39" s="1737"/>
      <c r="M39" s="1737"/>
    </row>
    <row r="40" spans="1:13" s="17" customFormat="1" ht="14.25" customHeight="1" x14ac:dyDescent="0.4">
      <c r="A40" s="1737"/>
      <c r="B40" s="1737"/>
      <c r="C40" s="1737"/>
      <c r="D40" s="1737"/>
      <c r="E40" s="1737"/>
      <c r="F40" s="1737"/>
      <c r="G40" s="1737"/>
      <c r="H40" s="1737"/>
      <c r="I40" s="1737"/>
      <c r="J40" s="1737"/>
      <c r="K40" s="1737"/>
      <c r="L40" s="1737"/>
      <c r="M40" s="1737"/>
    </row>
    <row r="41" spans="1:13" s="17" customFormat="1" ht="14.25" customHeight="1" x14ac:dyDescent="0.4">
      <c r="A41" s="1737"/>
      <c r="B41" s="1737"/>
      <c r="C41" s="1737"/>
      <c r="D41" s="1737"/>
      <c r="E41" s="1737"/>
      <c r="F41" s="1737"/>
      <c r="G41" s="1737"/>
      <c r="H41" s="1737"/>
      <c r="I41" s="1737"/>
      <c r="J41" s="1737"/>
      <c r="K41" s="1737"/>
      <c r="L41" s="1737"/>
      <c r="M41" s="1737"/>
    </row>
    <row r="42" spans="1:13" s="17" customFormat="1" ht="14.25" customHeight="1" x14ac:dyDescent="0.4">
      <c r="A42" s="1737"/>
      <c r="B42" s="1737"/>
      <c r="C42" s="1737"/>
      <c r="D42" s="1737"/>
      <c r="E42" s="1737"/>
      <c r="F42" s="1737"/>
      <c r="G42" s="1737"/>
      <c r="H42" s="1737"/>
      <c r="I42" s="1737"/>
      <c r="J42" s="1737"/>
      <c r="K42" s="1737"/>
      <c r="L42" s="1737"/>
      <c r="M42" s="1737"/>
    </row>
    <row r="43" spans="1:13" s="17" customFormat="1" ht="14.25" customHeight="1" x14ac:dyDescent="0.4">
      <c r="A43" s="1737"/>
      <c r="B43" s="1737"/>
      <c r="C43" s="1737"/>
      <c r="D43" s="1737"/>
      <c r="E43" s="1737"/>
      <c r="F43" s="1737"/>
      <c r="G43" s="1737"/>
      <c r="H43" s="1737"/>
      <c r="I43" s="1737"/>
      <c r="J43" s="1737"/>
      <c r="K43" s="1737"/>
      <c r="L43" s="1737"/>
      <c r="M43" s="1737"/>
    </row>
    <row r="44" spans="1:13" s="17" customFormat="1" ht="14.25" customHeight="1" x14ac:dyDescent="0.4">
      <c r="A44" s="1737"/>
      <c r="B44" s="1737"/>
      <c r="C44" s="1737"/>
      <c r="D44" s="1737"/>
      <c r="E44" s="1737"/>
      <c r="F44" s="1737"/>
      <c r="G44" s="1737"/>
      <c r="H44" s="1737"/>
      <c r="I44" s="1737"/>
      <c r="J44" s="1737"/>
      <c r="K44" s="1737"/>
      <c r="L44" s="1737"/>
      <c r="M44" s="1737"/>
    </row>
    <row r="45" spans="1:13" s="17" customFormat="1" ht="14.25" customHeight="1" x14ac:dyDescent="0.4">
      <c r="A45" s="1737"/>
      <c r="B45" s="1737"/>
      <c r="C45" s="1737"/>
      <c r="D45" s="1737"/>
      <c r="E45" s="1737"/>
      <c r="F45" s="1737"/>
      <c r="G45" s="1737"/>
      <c r="H45" s="1737"/>
      <c r="I45" s="1737"/>
      <c r="J45" s="1737"/>
      <c r="K45" s="1737"/>
      <c r="L45" s="1737"/>
      <c r="M45" s="1737"/>
    </row>
    <row r="46" spans="1:13" s="17" customFormat="1" ht="14.25" customHeight="1" x14ac:dyDescent="0.4">
      <c r="A46" s="1737"/>
      <c r="B46" s="1737"/>
      <c r="C46" s="1737"/>
      <c r="D46" s="1737"/>
      <c r="E46" s="1737"/>
      <c r="F46" s="1737"/>
      <c r="G46" s="1737"/>
      <c r="H46" s="1737"/>
      <c r="I46" s="1737"/>
      <c r="J46" s="1737"/>
      <c r="K46" s="1737"/>
      <c r="L46" s="1737"/>
      <c r="M46" s="1737"/>
    </row>
    <row r="47" spans="1:13" s="17" customFormat="1" ht="14.25" customHeight="1" x14ac:dyDescent="0.4">
      <c r="A47" s="1737"/>
      <c r="B47" s="1737"/>
      <c r="C47" s="1737"/>
      <c r="D47" s="1737"/>
      <c r="E47" s="1737"/>
      <c r="F47" s="1737"/>
      <c r="G47" s="1737"/>
      <c r="H47" s="1737"/>
      <c r="I47" s="1737"/>
      <c r="J47" s="1737"/>
      <c r="K47" s="1737"/>
      <c r="L47" s="1737"/>
      <c r="M47" s="1737"/>
    </row>
    <row r="48" spans="1:13" s="17" customFormat="1" ht="14.25" customHeight="1" x14ac:dyDescent="0.4">
      <c r="A48" s="1737"/>
      <c r="B48" s="1737"/>
      <c r="C48" s="1737"/>
      <c r="D48" s="1737"/>
      <c r="E48" s="1737"/>
      <c r="F48" s="1737"/>
      <c r="G48" s="1737"/>
      <c r="H48" s="1737"/>
      <c r="I48" s="1737"/>
      <c r="J48" s="1737"/>
      <c r="K48" s="1737"/>
      <c r="L48" s="1737"/>
      <c r="M48" s="1737"/>
    </row>
    <row r="49" spans="1:13" s="17" customFormat="1" ht="14.25" customHeight="1" x14ac:dyDescent="0.4">
      <c r="A49" s="1737"/>
      <c r="B49" s="1737"/>
      <c r="C49" s="1737"/>
      <c r="D49" s="1737"/>
      <c r="E49" s="1737"/>
      <c r="F49" s="1737"/>
      <c r="G49" s="1737"/>
      <c r="H49" s="1737"/>
      <c r="I49" s="1737"/>
      <c r="J49" s="1737"/>
      <c r="K49" s="1737"/>
      <c r="L49" s="1737"/>
      <c r="M49" s="1737"/>
    </row>
    <row r="50" spans="1:13" s="17" customFormat="1" ht="14.25" customHeight="1" x14ac:dyDescent="0.4">
      <c r="A50" s="1737"/>
      <c r="B50" s="1737"/>
      <c r="C50" s="1737"/>
      <c r="D50" s="1737"/>
      <c r="E50" s="1737"/>
      <c r="F50" s="1737"/>
      <c r="G50" s="1737"/>
      <c r="H50" s="1737"/>
      <c r="I50" s="1737"/>
      <c r="J50" s="1737"/>
      <c r="K50" s="1737"/>
      <c r="L50" s="1737"/>
      <c r="M50" s="1737"/>
    </row>
    <row r="51" spans="1:13" s="17" customFormat="1" ht="14.25" customHeight="1" x14ac:dyDescent="0.4">
      <c r="A51" s="1737"/>
      <c r="B51" s="1737"/>
      <c r="C51" s="1737"/>
      <c r="D51" s="1737"/>
      <c r="E51" s="1737"/>
      <c r="F51" s="1737"/>
      <c r="G51" s="1737"/>
      <c r="H51" s="1737"/>
      <c r="I51" s="1737"/>
      <c r="J51" s="1737"/>
      <c r="K51" s="1737"/>
      <c r="L51" s="1737"/>
      <c r="M51" s="1737"/>
    </row>
    <row r="52" spans="1:13" s="17" customFormat="1" ht="14.25" customHeight="1" x14ac:dyDescent="0.4">
      <c r="A52" s="1737"/>
      <c r="B52" s="1737"/>
      <c r="C52" s="1737"/>
      <c r="D52" s="1737"/>
      <c r="E52" s="1737"/>
      <c r="F52" s="1737"/>
      <c r="G52" s="1737"/>
      <c r="H52" s="1737"/>
      <c r="I52" s="1737"/>
      <c r="J52" s="1737"/>
      <c r="K52" s="1737"/>
      <c r="L52" s="1737"/>
      <c r="M52" s="1737"/>
    </row>
    <row r="53" spans="1:13" s="17" customFormat="1" ht="14.25" customHeight="1" x14ac:dyDescent="0.4">
      <c r="A53" s="1737"/>
      <c r="B53" s="1737"/>
      <c r="C53" s="1737"/>
      <c r="D53" s="1737"/>
      <c r="E53" s="1737"/>
      <c r="F53" s="1737"/>
      <c r="G53" s="1737"/>
      <c r="H53" s="1737"/>
      <c r="I53" s="1737"/>
      <c r="J53" s="1737"/>
      <c r="K53" s="1737"/>
      <c r="L53" s="1737"/>
      <c r="M53" s="1737"/>
    </row>
    <row r="54" spans="1:13" s="17" customFormat="1" ht="14.25" customHeight="1" x14ac:dyDescent="0.4">
      <c r="A54" s="1737"/>
      <c r="B54" s="1737"/>
      <c r="C54" s="1737"/>
      <c r="D54" s="1737"/>
      <c r="E54" s="1737"/>
      <c r="F54" s="1737"/>
      <c r="G54" s="1737"/>
      <c r="H54" s="1737"/>
      <c r="I54" s="1737"/>
      <c r="J54" s="1737"/>
      <c r="K54" s="1737"/>
      <c r="L54" s="1737"/>
      <c r="M54" s="1737"/>
    </row>
    <row r="55" spans="1:13" s="17" customFormat="1" ht="14.25" customHeight="1" x14ac:dyDescent="0.4">
      <c r="A55" s="1737"/>
      <c r="B55" s="1737"/>
      <c r="C55" s="1737"/>
      <c r="D55" s="1737"/>
      <c r="E55" s="1737"/>
      <c r="F55" s="1737"/>
      <c r="G55" s="1737"/>
      <c r="H55" s="1737"/>
      <c r="I55" s="1737"/>
      <c r="J55" s="1737"/>
      <c r="K55" s="1737"/>
      <c r="L55" s="1737"/>
      <c r="M55" s="1737"/>
    </row>
    <row r="56" spans="1:13" s="17" customFormat="1" ht="14.25" customHeight="1" x14ac:dyDescent="0.4">
      <c r="A56" s="1737"/>
      <c r="B56" s="1737"/>
      <c r="C56" s="1737"/>
      <c r="D56" s="1737"/>
      <c r="E56" s="1737"/>
      <c r="F56" s="1737"/>
      <c r="G56" s="1737"/>
      <c r="H56" s="1737"/>
      <c r="I56" s="1737"/>
      <c r="J56" s="1737"/>
      <c r="K56" s="1737"/>
      <c r="L56" s="1737"/>
      <c r="M56" s="1737"/>
    </row>
    <row r="57" spans="1:13" s="17" customFormat="1" ht="14.25" customHeight="1" x14ac:dyDescent="0.4">
      <c r="A57" s="1737"/>
      <c r="B57" s="1737"/>
      <c r="C57" s="1737"/>
      <c r="D57" s="1737"/>
      <c r="E57" s="1737"/>
      <c r="F57" s="1737"/>
      <c r="G57" s="1737"/>
      <c r="H57" s="1737"/>
      <c r="I57" s="1737"/>
      <c r="J57" s="1737"/>
      <c r="K57" s="1737"/>
      <c r="L57" s="1737"/>
      <c r="M57" s="1737"/>
    </row>
    <row r="58" spans="1:13" s="17" customFormat="1" ht="14.25" customHeight="1" x14ac:dyDescent="0.4">
      <c r="A58" s="1737"/>
      <c r="B58" s="1737"/>
      <c r="C58" s="1737"/>
      <c r="D58" s="1737"/>
      <c r="E58" s="1737"/>
      <c r="F58" s="1737"/>
      <c r="G58" s="1737"/>
      <c r="H58" s="1737"/>
      <c r="I58" s="1737"/>
      <c r="J58" s="1737"/>
      <c r="K58" s="1737"/>
      <c r="L58" s="1737"/>
      <c r="M58" s="1737"/>
    </row>
    <row r="59" spans="1:13" s="17" customFormat="1" ht="14.25" customHeight="1" x14ac:dyDescent="0.4">
      <c r="A59" s="1737"/>
      <c r="B59" s="1737"/>
      <c r="C59" s="1737"/>
      <c r="D59" s="1737"/>
      <c r="E59" s="1737"/>
      <c r="F59" s="1737"/>
      <c r="G59" s="1737"/>
      <c r="H59" s="1737"/>
      <c r="I59" s="1737"/>
      <c r="J59" s="1737"/>
      <c r="K59" s="1737"/>
      <c r="L59" s="1737"/>
      <c r="M59" s="1737"/>
    </row>
    <row r="60" spans="1:13" s="17" customFormat="1" ht="14.25" customHeight="1" x14ac:dyDescent="0.4">
      <c r="A60" s="1737"/>
      <c r="B60" s="1737"/>
      <c r="C60" s="1737"/>
      <c r="D60" s="1737"/>
      <c r="E60" s="1737"/>
      <c r="F60" s="1737"/>
      <c r="G60" s="1737"/>
      <c r="H60" s="1737"/>
      <c r="I60" s="1737"/>
      <c r="J60" s="1737"/>
      <c r="K60" s="1737"/>
      <c r="L60" s="1737"/>
      <c r="M60" s="1737"/>
    </row>
    <row r="61" spans="1:13" s="17" customFormat="1" ht="14.25" customHeight="1" x14ac:dyDescent="0.4">
      <c r="A61" s="1737"/>
      <c r="B61" s="1737"/>
      <c r="C61" s="1737"/>
      <c r="D61" s="1737"/>
      <c r="E61" s="1737"/>
      <c r="F61" s="1737"/>
      <c r="G61" s="1737"/>
      <c r="H61" s="1737"/>
      <c r="I61" s="1737"/>
      <c r="J61" s="1737"/>
      <c r="K61" s="1737"/>
      <c r="L61" s="1737"/>
      <c r="M61" s="1737"/>
    </row>
    <row r="62" spans="1:13" s="17" customFormat="1" ht="14.25" customHeight="1" x14ac:dyDescent="0.4">
      <c r="A62" s="1737"/>
      <c r="B62" s="1737"/>
      <c r="C62" s="1737"/>
      <c r="D62" s="1737"/>
      <c r="E62" s="1737"/>
      <c r="F62" s="1737"/>
      <c r="G62" s="1737"/>
      <c r="H62" s="1737"/>
      <c r="I62" s="1737"/>
      <c r="J62" s="1737"/>
      <c r="K62" s="1737"/>
      <c r="L62" s="1737"/>
      <c r="M62" s="1737"/>
    </row>
    <row r="63" spans="1:13" s="17" customFormat="1" ht="14.25" customHeight="1" x14ac:dyDescent="0.4">
      <c r="A63" s="1737"/>
      <c r="B63" s="1737"/>
      <c r="C63" s="1737"/>
      <c r="D63" s="1737"/>
      <c r="E63" s="1737"/>
      <c r="F63" s="1737"/>
      <c r="G63" s="1737"/>
      <c r="H63" s="1737"/>
      <c r="I63" s="1737"/>
      <c r="J63" s="1737"/>
      <c r="K63" s="1737"/>
      <c r="L63" s="1737"/>
      <c r="M63" s="1737"/>
    </row>
    <row r="64" spans="1:13" s="17" customFormat="1" ht="14.25" customHeight="1" x14ac:dyDescent="0.4">
      <c r="A64" s="1737"/>
      <c r="B64" s="1737"/>
      <c r="C64" s="1737"/>
      <c r="D64" s="1737"/>
      <c r="E64" s="1737"/>
      <c r="F64" s="1737"/>
      <c r="G64" s="1737"/>
      <c r="H64" s="1737"/>
      <c r="I64" s="1737"/>
      <c r="J64" s="1737"/>
      <c r="K64" s="1737"/>
      <c r="L64" s="1737"/>
      <c r="M64" s="1737"/>
    </row>
    <row r="65" spans="1:13" s="17" customFormat="1" ht="302.25" customHeight="1" x14ac:dyDescent="0.4">
      <c r="A65" s="1737"/>
      <c r="B65" s="1737"/>
      <c r="C65" s="1737"/>
      <c r="D65" s="1737"/>
      <c r="E65" s="1737"/>
      <c r="F65" s="1737"/>
      <c r="G65" s="1737"/>
      <c r="H65" s="1737"/>
      <c r="I65" s="1737"/>
      <c r="J65" s="1737"/>
      <c r="K65" s="1737"/>
      <c r="L65" s="1737"/>
      <c r="M65" s="1737"/>
    </row>
    <row r="66" spans="1:13" s="7" customFormat="1" ht="4.5" customHeight="1" x14ac:dyDescent="0.4"/>
  </sheetData>
  <sheetProtection password="CA50" sheet="1" objects="1" scenarios="1" selectLockedCells="1"/>
  <mergeCells count="1">
    <mergeCell ref="A17:M65"/>
  </mergeCells>
  <phoneticPr fontId="51" type="noConversion"/>
  <pageMargins left="0.7" right="0.7" top="0.75" bottom="0.75" header="0.3" footer="0.3"/>
  <pageSetup paperSize="9" scale="61"/>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40000"/>
  </sheetPr>
  <dimension ref="A1:CL502"/>
  <sheetViews>
    <sheetView zoomScale="130" zoomScaleNormal="130" workbookViewId="0">
      <pane xSplit="3" ySplit="13" topLeftCell="D92" activePane="bottomRight" state="frozen"/>
      <selection pane="topRight"/>
      <selection pane="bottomLeft"/>
      <selection pane="bottomRight" activeCell="AA103" sqref="AA103"/>
    </sheetView>
  </sheetViews>
  <sheetFormatPr defaultColWidth="9" defaultRowHeight="15" outlineLevelRow="1" outlineLevelCol="1" x14ac:dyDescent="0.4"/>
  <cols>
    <col min="1" max="1" width="12.0625" style="18" customWidth="1"/>
    <col min="2" max="2" width="40.5625" style="19" hidden="1" customWidth="1" outlineLevel="1"/>
    <col min="3" max="3" width="18.5625" style="19" customWidth="1" collapsed="1"/>
    <col min="4" max="4" width="19.5625" style="20" bestFit="1" customWidth="1"/>
    <col min="5" max="5" width="6.1875" style="20" bestFit="1" customWidth="1" outlineLevel="1"/>
    <col min="6" max="6" width="4.125" style="20" bestFit="1" customWidth="1" outlineLevel="1"/>
    <col min="7" max="7" width="3.125" style="20" bestFit="1" customWidth="1" outlineLevel="1"/>
    <col min="8" max="8" width="4.25" style="20" bestFit="1" customWidth="1" outlineLevel="1"/>
    <col min="9" max="10" width="4.25" style="20" bestFit="1" customWidth="1"/>
    <col min="11" max="17" width="5.4375" style="21" bestFit="1" customWidth="1"/>
    <col min="18" max="18" width="5.8125" style="21" bestFit="1" customWidth="1"/>
    <col min="19" max="28" width="5.8125" style="20" bestFit="1" customWidth="1"/>
    <col min="29" max="52" width="9" style="20"/>
    <col min="53" max="58" width="9" style="19"/>
    <col min="59" max="59" width="7.0625" style="19" bestFit="1" customWidth="1"/>
    <col min="60" max="78" width="9" style="19"/>
    <col min="79" max="79" width="9.8125" style="19" bestFit="1" customWidth="1"/>
    <col min="80" max="80" width="3" style="19" bestFit="1" customWidth="1"/>
    <col min="81" max="82" width="4.25" style="19" bestFit="1" customWidth="1"/>
    <col min="83" max="83" width="9" style="19"/>
    <col min="84" max="84" width="9.6875" style="19" bestFit="1" customWidth="1"/>
    <col min="85" max="85" width="5.6875" style="19" bestFit="1" customWidth="1"/>
    <col min="86" max="86" width="7" style="19" bestFit="1" customWidth="1"/>
    <col min="87" max="87" width="10.4375" style="19" bestFit="1" customWidth="1"/>
    <col min="88" max="88" width="5.6875" style="19" bestFit="1" customWidth="1"/>
    <col min="89" max="89" width="5.5" style="19" bestFit="1" customWidth="1"/>
    <col min="90" max="90" width="7.1875" style="19" bestFit="1" customWidth="1"/>
    <col min="91" max="16384" width="9" style="20"/>
  </cols>
  <sheetData>
    <row r="1" spans="1:90" ht="15.7" customHeight="1" x14ac:dyDescent="0.4">
      <c r="A1" s="22" t="s">
        <v>863</v>
      </c>
      <c r="B1" s="23" t="s">
        <v>1310</v>
      </c>
      <c r="C1" s="24" t="s">
        <v>864</v>
      </c>
      <c r="D1" s="25" t="s">
        <v>865</v>
      </c>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G1" s="27" t="s">
        <v>1311</v>
      </c>
      <c r="CA1" s="27" t="s">
        <v>1312</v>
      </c>
      <c r="CB1" s="27" t="s">
        <v>478</v>
      </c>
      <c r="CC1" s="27" t="s">
        <v>1992</v>
      </c>
      <c r="CD1" s="27" t="s">
        <v>866</v>
      </c>
      <c r="CF1" s="28" t="s">
        <v>1993</v>
      </c>
      <c r="CG1" s="27">
        <v>1</v>
      </c>
      <c r="CH1" s="27" t="s">
        <v>1994</v>
      </c>
      <c r="CI1" s="27" t="s">
        <v>1995</v>
      </c>
      <c r="CJ1" s="27">
        <v>1</v>
      </c>
      <c r="CK1" s="27" t="s">
        <v>1996</v>
      </c>
      <c r="CL1" s="27" t="s">
        <v>1997</v>
      </c>
    </row>
    <row r="2" spans="1:90" ht="15.7" customHeight="1" x14ac:dyDescent="0.4">
      <c r="A2" s="22" t="s">
        <v>867</v>
      </c>
      <c r="B2" s="23" t="s">
        <v>1313</v>
      </c>
      <c r="C2" s="24" t="s">
        <v>868</v>
      </c>
      <c r="D2" s="25" t="s">
        <v>869</v>
      </c>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G2" s="27" t="s">
        <v>1314</v>
      </c>
      <c r="CA2" s="27" t="s">
        <v>1315</v>
      </c>
      <c r="CB2" s="27" t="s">
        <v>870</v>
      </c>
      <c r="CC2" s="27" t="s">
        <v>1998</v>
      </c>
      <c r="CD2" s="27" t="s">
        <v>871</v>
      </c>
      <c r="CG2" s="27">
        <v>2</v>
      </c>
      <c r="CH2" s="27" t="s">
        <v>1999</v>
      </c>
      <c r="CI2" s="27" t="s">
        <v>2000</v>
      </c>
      <c r="CJ2" s="27">
        <v>3</v>
      </c>
      <c r="CK2" s="27" t="s">
        <v>1419</v>
      </c>
      <c r="CL2" s="27" t="s">
        <v>876</v>
      </c>
    </row>
    <row r="3" spans="1:90" ht="15.7" customHeight="1" outlineLevel="1" x14ac:dyDescent="0.4">
      <c r="A3" s="22" t="s">
        <v>872</v>
      </c>
      <c r="B3" s="29" t="s">
        <v>1316</v>
      </c>
      <c r="C3" s="30" t="s">
        <v>873</v>
      </c>
      <c r="D3" s="31" t="s">
        <v>874</v>
      </c>
      <c r="E3" s="32"/>
      <c r="F3" s="32"/>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G3" s="27" t="s">
        <v>1317</v>
      </c>
      <c r="CA3" s="27" t="s">
        <v>1318</v>
      </c>
      <c r="CB3" s="27" t="s">
        <v>479</v>
      </c>
      <c r="CC3" s="27" t="s">
        <v>2001</v>
      </c>
      <c r="CD3" s="27" t="s">
        <v>875</v>
      </c>
      <c r="CG3" s="27">
        <v>3</v>
      </c>
      <c r="CH3" s="27" t="s">
        <v>2002</v>
      </c>
      <c r="CI3" s="27" t="s">
        <v>2003</v>
      </c>
      <c r="CJ3" s="27">
        <v>5</v>
      </c>
      <c r="CK3" s="27" t="s">
        <v>1420</v>
      </c>
      <c r="CL3" s="27" t="s">
        <v>881</v>
      </c>
    </row>
    <row r="4" spans="1:90" ht="15.7" customHeight="1" outlineLevel="1" x14ac:dyDescent="0.4">
      <c r="A4" s="22" t="s">
        <v>563</v>
      </c>
      <c r="B4" s="34" t="s">
        <v>1319</v>
      </c>
      <c r="C4" s="35" t="s">
        <v>562</v>
      </c>
      <c r="D4" s="36" t="s">
        <v>2916</v>
      </c>
      <c r="E4" s="37"/>
      <c r="F4" s="37"/>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G4" s="27" t="s">
        <v>1320</v>
      </c>
      <c r="CA4" s="27" t="s">
        <v>1321</v>
      </c>
      <c r="CB4" s="27" t="s">
        <v>480</v>
      </c>
      <c r="CC4" s="27" t="s">
        <v>2004</v>
      </c>
      <c r="CD4" s="27" t="s">
        <v>877</v>
      </c>
      <c r="CG4" s="27">
        <v>4</v>
      </c>
      <c r="CH4" s="27" t="s">
        <v>1416</v>
      </c>
      <c r="CI4" s="27" t="s">
        <v>2005</v>
      </c>
      <c r="CJ4" s="27">
        <v>6</v>
      </c>
      <c r="CK4" s="27" t="s">
        <v>199</v>
      </c>
      <c r="CL4" s="27" t="s">
        <v>885</v>
      </c>
    </row>
    <row r="5" spans="1:90" ht="15.7" customHeight="1" outlineLevel="1" x14ac:dyDescent="0.4">
      <c r="A5" s="22" t="s">
        <v>878</v>
      </c>
      <c r="B5" s="34" t="s">
        <v>1323</v>
      </c>
      <c r="C5" s="35" t="s">
        <v>879</v>
      </c>
      <c r="D5" s="36" t="s">
        <v>1820</v>
      </c>
      <c r="E5" s="37"/>
      <c r="F5" s="37"/>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G5" s="27" t="s">
        <v>1324</v>
      </c>
      <c r="CA5" s="27" t="s">
        <v>1325</v>
      </c>
      <c r="CD5" s="27" t="s">
        <v>880</v>
      </c>
      <c r="CG5" s="27">
        <v>5</v>
      </c>
      <c r="CH5" s="27" t="s">
        <v>1417</v>
      </c>
      <c r="CI5" s="27" t="s">
        <v>1418</v>
      </c>
      <c r="CJ5" s="27"/>
      <c r="CK5" s="27"/>
      <c r="CL5" s="27"/>
    </row>
    <row r="6" spans="1:90" ht="15.7" customHeight="1" outlineLevel="1" x14ac:dyDescent="0.4">
      <c r="A6" s="22" t="s">
        <v>882</v>
      </c>
      <c r="B6" s="34" t="s">
        <v>1326</v>
      </c>
      <c r="C6" s="35" t="s">
        <v>883</v>
      </c>
      <c r="D6" s="38">
        <v>11.63</v>
      </c>
      <c r="E6" s="37"/>
      <c r="F6" s="37"/>
      <c r="G6" s="33"/>
      <c r="H6" s="33"/>
      <c r="I6" s="33"/>
      <c r="J6" s="33"/>
      <c r="K6" s="39"/>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G6" s="27" t="s">
        <v>1327</v>
      </c>
      <c r="CA6" s="27" t="s">
        <v>1328</v>
      </c>
      <c r="CD6" s="27" t="s">
        <v>884</v>
      </c>
      <c r="CJ6" s="27"/>
      <c r="CK6" s="27"/>
      <c r="CL6" s="27"/>
    </row>
    <row r="7" spans="1:90" hidden="1" outlineLevel="1" x14ac:dyDescent="0.4">
      <c r="A7" s="40" t="s">
        <v>1421</v>
      </c>
      <c r="B7" s="41" t="s">
        <v>1422</v>
      </c>
      <c r="C7" s="42" t="s">
        <v>1423</v>
      </c>
      <c r="D7" s="1739" t="s">
        <v>2006</v>
      </c>
      <c r="E7" s="1740"/>
      <c r="F7" s="1740"/>
      <c r="G7" s="1740"/>
      <c r="H7" s="1740"/>
      <c r="I7" s="1740"/>
      <c r="J7" s="1740"/>
      <c r="K7" s="1740"/>
      <c r="L7" s="1740"/>
      <c r="M7" s="1740"/>
      <c r="N7" s="1740"/>
      <c r="O7" s="1740"/>
      <c r="P7" s="1740"/>
      <c r="Q7" s="1740"/>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G7" s="27" t="s">
        <v>1331</v>
      </c>
      <c r="CA7" s="27" t="s">
        <v>1322</v>
      </c>
      <c r="CD7" s="27" t="s">
        <v>559</v>
      </c>
    </row>
    <row r="8" spans="1:90" hidden="1" outlineLevel="1" x14ac:dyDescent="0.4">
      <c r="A8" s="40" t="s">
        <v>1424</v>
      </c>
      <c r="B8" s="41" t="s">
        <v>1425</v>
      </c>
      <c r="C8" s="42" t="s">
        <v>1426</v>
      </c>
      <c r="D8" s="1739" t="s">
        <v>2007</v>
      </c>
      <c r="E8" s="1740"/>
      <c r="F8" s="1740"/>
      <c r="G8" s="1740"/>
      <c r="H8" s="1740"/>
      <c r="I8" s="1740"/>
      <c r="J8" s="1740"/>
      <c r="K8" s="1740"/>
      <c r="L8" s="1740"/>
      <c r="M8" s="1740"/>
      <c r="N8" s="1740"/>
      <c r="O8" s="1740"/>
      <c r="P8" s="1740"/>
      <c r="Q8" s="1740"/>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G8" s="27" t="s">
        <v>1333</v>
      </c>
      <c r="CA8" s="27" t="s">
        <v>1329</v>
      </c>
      <c r="CD8" s="27" t="s">
        <v>561</v>
      </c>
    </row>
    <row r="9" spans="1:90" ht="15.7" customHeight="1" outlineLevel="1" x14ac:dyDescent="0.4">
      <c r="A9" s="22" t="s">
        <v>886</v>
      </c>
      <c r="B9" s="34" t="s">
        <v>1330</v>
      </c>
      <c r="C9" s="35" t="s">
        <v>887</v>
      </c>
      <c r="D9" s="36"/>
      <c r="E9" s="36"/>
      <c r="F9" s="36"/>
      <c r="G9" s="36"/>
      <c r="H9" s="36"/>
      <c r="I9" s="36"/>
      <c r="J9" s="36"/>
      <c r="K9" s="43" t="s">
        <v>902</v>
      </c>
      <c r="L9" s="43" t="s">
        <v>906</v>
      </c>
      <c r="M9" s="43" t="s">
        <v>909</v>
      </c>
      <c r="N9" s="43" t="s">
        <v>912</v>
      </c>
      <c r="O9" s="43" t="s">
        <v>916</v>
      </c>
      <c r="P9" s="43" t="s">
        <v>928</v>
      </c>
      <c r="Q9" s="43" t="s">
        <v>920</v>
      </c>
      <c r="R9" s="43" t="s">
        <v>924</v>
      </c>
      <c r="S9" s="43" t="s">
        <v>932</v>
      </c>
      <c r="T9" s="43" t="s">
        <v>935</v>
      </c>
      <c r="U9" s="43" t="s">
        <v>938</v>
      </c>
      <c r="V9" s="43" t="s">
        <v>1838</v>
      </c>
      <c r="W9" s="43" t="s">
        <v>2176</v>
      </c>
      <c r="X9" s="43" t="s">
        <v>2650</v>
      </c>
      <c r="Y9" s="43" t="s">
        <v>2840</v>
      </c>
      <c r="Z9" s="43" t="s">
        <v>2875</v>
      </c>
      <c r="AA9" s="43" t="s">
        <v>2881</v>
      </c>
      <c r="AB9" s="43" t="s">
        <v>2920</v>
      </c>
      <c r="AC9" s="36"/>
      <c r="AD9" s="36"/>
      <c r="AE9" s="36"/>
      <c r="AF9" s="36"/>
      <c r="AG9" s="36"/>
      <c r="AH9" s="36"/>
      <c r="AI9" s="36"/>
      <c r="AJ9" s="36"/>
      <c r="AK9" s="36"/>
      <c r="AL9" s="36"/>
      <c r="AM9" s="36"/>
      <c r="AN9" s="36"/>
      <c r="AO9" s="36"/>
      <c r="AP9" s="36"/>
      <c r="AQ9" s="36"/>
      <c r="AR9" s="36"/>
      <c r="AS9" s="36"/>
      <c r="AT9" s="36"/>
      <c r="AU9" s="36"/>
      <c r="AV9" s="36"/>
      <c r="AW9" s="36"/>
      <c r="AX9" s="36"/>
      <c r="AY9" s="36"/>
      <c r="AZ9" s="36"/>
      <c r="BG9" s="27" t="s">
        <v>1335</v>
      </c>
      <c r="CD9" s="27" t="s">
        <v>588</v>
      </c>
    </row>
    <row r="10" spans="1:90" ht="15.7" customHeight="1" outlineLevel="1" x14ac:dyDescent="0.4">
      <c r="A10" s="22" t="s">
        <v>888</v>
      </c>
      <c r="B10" s="34" t="s">
        <v>1332</v>
      </c>
      <c r="C10" s="35" t="s">
        <v>889</v>
      </c>
      <c r="D10" s="36"/>
      <c r="E10" s="36"/>
      <c r="F10" s="36"/>
      <c r="G10" s="36"/>
      <c r="H10" s="36"/>
      <c r="I10" s="36"/>
      <c r="J10" s="36"/>
      <c r="K10" s="43" t="s">
        <v>478</v>
      </c>
      <c r="L10" s="43" t="s">
        <v>478</v>
      </c>
      <c r="M10" s="43" t="s">
        <v>478</v>
      </c>
      <c r="N10" s="43" t="s">
        <v>478</v>
      </c>
      <c r="O10" s="43" t="s">
        <v>478</v>
      </c>
      <c r="P10" s="43" t="s">
        <v>478</v>
      </c>
      <c r="Q10" s="43" t="s">
        <v>478</v>
      </c>
      <c r="R10" s="43" t="s">
        <v>478</v>
      </c>
      <c r="S10" s="43" t="s">
        <v>478</v>
      </c>
      <c r="T10" s="43" t="s">
        <v>478</v>
      </c>
      <c r="U10" s="43" t="s">
        <v>478</v>
      </c>
      <c r="V10" s="43" t="s">
        <v>478</v>
      </c>
      <c r="W10" s="43" t="s">
        <v>478</v>
      </c>
      <c r="X10" s="43" t="s">
        <v>478</v>
      </c>
      <c r="Y10" s="43" t="s">
        <v>478</v>
      </c>
      <c r="Z10" s="43" t="s">
        <v>478</v>
      </c>
      <c r="AA10" s="43" t="s">
        <v>478</v>
      </c>
      <c r="AB10" s="43" t="s">
        <v>478</v>
      </c>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G10" s="27" t="s">
        <v>1338</v>
      </c>
      <c r="CD10" s="27" t="s">
        <v>589</v>
      </c>
    </row>
    <row r="11" spans="1:90" ht="15.7" customHeight="1" outlineLevel="1" x14ac:dyDescent="0.4">
      <c r="A11" s="22" t="s">
        <v>890</v>
      </c>
      <c r="B11" s="34" t="s">
        <v>1334</v>
      </c>
      <c r="C11" s="35" t="s">
        <v>891</v>
      </c>
      <c r="D11" s="36"/>
      <c r="E11" s="36"/>
      <c r="F11" s="36"/>
      <c r="G11" s="36"/>
      <c r="H11" s="36"/>
      <c r="I11" s="36"/>
      <c r="J11" s="36"/>
      <c r="K11" s="43" t="s">
        <v>595</v>
      </c>
      <c r="L11" s="43" t="s">
        <v>595</v>
      </c>
      <c r="M11" s="43" t="s">
        <v>595</v>
      </c>
      <c r="N11" s="43" t="s">
        <v>595</v>
      </c>
      <c r="O11" s="43" t="s">
        <v>595</v>
      </c>
      <c r="P11" s="43" t="s">
        <v>595</v>
      </c>
      <c r="Q11" s="43" t="s">
        <v>595</v>
      </c>
      <c r="R11" s="43" t="s">
        <v>595</v>
      </c>
      <c r="S11" s="43" t="s">
        <v>595</v>
      </c>
      <c r="T11" s="43" t="s">
        <v>595</v>
      </c>
      <c r="U11" s="43" t="s">
        <v>595</v>
      </c>
      <c r="V11" s="43" t="s">
        <v>595</v>
      </c>
      <c r="W11" s="43" t="s">
        <v>595</v>
      </c>
      <c r="X11" s="43" t="s">
        <v>595</v>
      </c>
      <c r="Y11" s="43" t="s">
        <v>595</v>
      </c>
      <c r="Z11" s="43" t="s">
        <v>595</v>
      </c>
      <c r="AA11" s="43" t="s">
        <v>97</v>
      </c>
      <c r="AB11" s="43" t="s">
        <v>97</v>
      </c>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G11" s="27" t="s">
        <v>1340</v>
      </c>
      <c r="CA11" s="27" t="s">
        <v>896</v>
      </c>
      <c r="CD11" s="27" t="s">
        <v>590</v>
      </c>
    </row>
    <row r="12" spans="1:90" ht="15.7" customHeight="1" outlineLevel="1" x14ac:dyDescent="0.4">
      <c r="A12" s="22" t="s">
        <v>892</v>
      </c>
      <c r="B12" s="34" t="s">
        <v>1336</v>
      </c>
      <c r="C12" s="35" t="s">
        <v>893</v>
      </c>
      <c r="D12" s="36"/>
      <c r="E12" s="36"/>
      <c r="F12" s="36"/>
      <c r="G12" s="36"/>
      <c r="H12" s="36"/>
      <c r="I12" s="36"/>
      <c r="J12" s="36"/>
      <c r="K12" s="43" t="s">
        <v>1337</v>
      </c>
      <c r="L12" s="43" t="s">
        <v>1337</v>
      </c>
      <c r="M12" s="43" t="s">
        <v>1337</v>
      </c>
      <c r="N12" s="43" t="s">
        <v>1337</v>
      </c>
      <c r="O12" s="43" t="s">
        <v>1337</v>
      </c>
      <c r="P12" s="43" t="s">
        <v>1337</v>
      </c>
      <c r="Q12" s="43" t="s">
        <v>1337</v>
      </c>
      <c r="R12" s="43" t="s">
        <v>1337</v>
      </c>
      <c r="S12" s="43" t="s">
        <v>1337</v>
      </c>
      <c r="T12" s="44" t="s">
        <v>1812</v>
      </c>
      <c r="U12" s="44" t="s">
        <v>1812</v>
      </c>
      <c r="V12" s="44" t="s">
        <v>1812</v>
      </c>
      <c r="W12" s="44" t="s">
        <v>1812</v>
      </c>
      <c r="X12" s="44" t="s">
        <v>1812</v>
      </c>
      <c r="Y12" s="44" t="s">
        <v>1812</v>
      </c>
      <c r="Z12" s="44" t="s">
        <v>1812</v>
      </c>
      <c r="AA12" s="44" t="s">
        <v>1812</v>
      </c>
      <c r="AB12" s="44" t="s">
        <v>1812</v>
      </c>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G12" s="27" t="s">
        <v>1341</v>
      </c>
      <c r="CA12" s="27" t="s">
        <v>898</v>
      </c>
      <c r="CD12" s="27" t="s">
        <v>592</v>
      </c>
    </row>
    <row r="13" spans="1:90" ht="15.7" customHeight="1" outlineLevel="1" x14ac:dyDescent="0.4">
      <c r="A13" s="22" t="s">
        <v>894</v>
      </c>
      <c r="B13" s="45" t="s">
        <v>1339</v>
      </c>
      <c r="C13" s="46" t="s">
        <v>895</v>
      </c>
      <c r="D13" s="47"/>
      <c r="E13" s="47"/>
      <c r="F13" s="47"/>
      <c r="G13" s="47"/>
      <c r="H13" s="47"/>
      <c r="I13" s="47"/>
      <c r="J13" s="47"/>
      <c r="K13" s="48" t="s">
        <v>596</v>
      </c>
      <c r="L13" s="48" t="s">
        <v>596</v>
      </c>
      <c r="M13" s="48" t="s">
        <v>596</v>
      </c>
      <c r="N13" s="48" t="s">
        <v>596</v>
      </c>
      <c r="O13" s="48" t="s">
        <v>596</v>
      </c>
      <c r="P13" s="48" t="s">
        <v>596</v>
      </c>
      <c r="Q13" s="48" t="s">
        <v>596</v>
      </c>
      <c r="R13" s="48" t="s">
        <v>596</v>
      </c>
      <c r="S13" s="48" t="s">
        <v>596</v>
      </c>
      <c r="T13" s="48" t="s">
        <v>596</v>
      </c>
      <c r="U13" s="48" t="s">
        <v>596</v>
      </c>
      <c r="V13" s="48" t="s">
        <v>596</v>
      </c>
      <c r="W13" s="48" t="s">
        <v>596</v>
      </c>
      <c r="X13" s="48" t="s">
        <v>596</v>
      </c>
      <c r="Y13" s="48" t="s">
        <v>596</v>
      </c>
      <c r="Z13" s="48" t="s">
        <v>596</v>
      </c>
      <c r="AA13" s="48" t="s">
        <v>596</v>
      </c>
      <c r="AB13" s="48" t="s">
        <v>596</v>
      </c>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G13" s="27" t="s">
        <v>1343</v>
      </c>
      <c r="CA13" s="27" t="s">
        <v>200</v>
      </c>
      <c r="CD13" s="27" t="s">
        <v>593</v>
      </c>
    </row>
    <row r="14" spans="1:90" ht="15.7" customHeight="1" x14ac:dyDescent="0.4">
      <c r="A14" s="49" t="s">
        <v>597</v>
      </c>
      <c r="B14" s="49" t="s">
        <v>897</v>
      </c>
      <c r="C14" s="50"/>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G14" s="27" t="s">
        <v>1344</v>
      </c>
      <c r="CA14" s="27" t="s">
        <v>560</v>
      </c>
      <c r="CD14" s="27" t="s">
        <v>594</v>
      </c>
    </row>
    <row r="15" spans="1:90" ht="15.7" customHeight="1" x14ac:dyDescent="0.4">
      <c r="A15" s="22"/>
      <c r="B15" s="51" t="s">
        <v>1342</v>
      </c>
      <c r="C15" s="51" t="s">
        <v>598</v>
      </c>
      <c r="D15" s="52"/>
      <c r="E15" s="52"/>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G15" s="27" t="s">
        <v>1345</v>
      </c>
      <c r="CA15" s="27" t="s">
        <v>587</v>
      </c>
      <c r="CD15" s="27" t="s">
        <v>192</v>
      </c>
    </row>
    <row r="16" spans="1:90" ht="15.7" customHeight="1" x14ac:dyDescent="0.4">
      <c r="A16" s="22"/>
      <c r="B16" s="53"/>
      <c r="C16" s="5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G16" s="27" t="s">
        <v>1346</v>
      </c>
      <c r="CA16" s="27" t="s">
        <v>13</v>
      </c>
      <c r="CD16" s="27" t="s">
        <v>902</v>
      </c>
    </row>
    <row r="17" spans="1:82" ht="15.7" customHeight="1" x14ac:dyDescent="0.35">
      <c r="A17" s="22" t="s">
        <v>899</v>
      </c>
      <c r="B17" s="54" t="s">
        <v>262</v>
      </c>
      <c r="C17" s="54" t="s">
        <v>262</v>
      </c>
      <c r="D17" s="37"/>
      <c r="E17" s="37"/>
      <c r="F17" s="37"/>
      <c r="G17" s="55"/>
      <c r="H17" s="55"/>
      <c r="I17" s="55"/>
      <c r="J17" s="55"/>
      <c r="K17" s="56">
        <f>PL!H4</f>
        <v>11982.870999999999</v>
      </c>
      <c r="L17" s="56">
        <f>PL!I4</f>
        <v>16379.311</v>
      </c>
      <c r="M17" s="56">
        <f>PL!J4</f>
        <v>21910.66</v>
      </c>
      <c r="N17" s="56">
        <f>PL!K4</f>
        <v>27285.62</v>
      </c>
      <c r="O17" s="56">
        <f>PL!L4</f>
        <v>34439.574999999997</v>
      </c>
      <c r="P17" s="56">
        <f>PL!M4</f>
        <v>38001.875999999997</v>
      </c>
      <c r="Q17" s="56">
        <f>PL!N4</f>
        <v>46207.508000000002</v>
      </c>
      <c r="R17" s="56">
        <f>PL!O4</f>
        <v>50152.523999999998</v>
      </c>
      <c r="S17" s="56">
        <f>PL!P4</f>
        <v>55626.304000000004</v>
      </c>
      <c r="T17" s="56">
        <f>PL!Q4</f>
        <v>61669.678</v>
      </c>
      <c r="U17" s="56">
        <f>PL!R4</f>
        <v>62458.008999999998</v>
      </c>
      <c r="V17" s="56">
        <f>PL!S4</f>
        <v>77309.614000000001</v>
      </c>
      <c r="W17" s="56">
        <f>PL!T4</f>
        <v>101975.265</v>
      </c>
      <c r="X17" s="56">
        <f>PL!U4</f>
        <v>113734.01300000001</v>
      </c>
      <c r="Y17" s="56">
        <f>PL!V4</f>
        <v>105322.671</v>
      </c>
      <c r="Z17" s="56">
        <f>PL!W4</f>
        <v>100448.5</v>
      </c>
      <c r="AA17" s="56">
        <f>PL!X4</f>
        <v>103560.45987128874</v>
      </c>
      <c r="AB17" s="56">
        <f>PL!Y4</f>
        <v>114194.84012038677</v>
      </c>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57"/>
      <c r="BG17" s="27" t="s">
        <v>1347</v>
      </c>
      <c r="CA17" s="27" t="s">
        <v>905</v>
      </c>
      <c r="CD17" s="27" t="s">
        <v>906</v>
      </c>
    </row>
    <row r="18" spans="1:82" ht="15.7" customHeight="1" x14ac:dyDescent="0.35">
      <c r="A18" s="22" t="s">
        <v>900</v>
      </c>
      <c r="B18" s="58" t="s">
        <v>901</v>
      </c>
      <c r="C18" s="58" t="s">
        <v>901</v>
      </c>
      <c r="D18" s="33"/>
      <c r="E18" s="33"/>
      <c r="F18" s="33"/>
      <c r="G18" s="59"/>
      <c r="H18" s="59"/>
      <c r="I18" s="59"/>
      <c r="J18" s="59"/>
      <c r="K18" s="60">
        <f>-PL!H19</f>
        <v>-10667.017</v>
      </c>
      <c r="L18" s="60">
        <f>-PL!I19</f>
        <v>-14581.127</v>
      </c>
      <c r="M18" s="60">
        <f>-PL!J19</f>
        <v>-19192.442999999999</v>
      </c>
      <c r="N18" s="60">
        <f>-PL!K19</f>
        <v>-23539.674999999999</v>
      </c>
      <c r="O18" s="60">
        <f>-PL!L19</f>
        <v>-29696.483</v>
      </c>
      <c r="P18" s="60">
        <f>-PL!M19</f>
        <v>-32888.760999999999</v>
      </c>
      <c r="Q18" s="60">
        <f>-PL!N19</f>
        <v>-40224.629999999997</v>
      </c>
      <c r="R18" s="60">
        <f>-PL!O19</f>
        <v>-42537.493999999999</v>
      </c>
      <c r="S18" s="60">
        <f>-PL!P19</f>
        <v>-46929.883000000002</v>
      </c>
      <c r="T18" s="60">
        <f>-PL!Q19</f>
        <v>-52433.974999999999</v>
      </c>
      <c r="U18" s="60">
        <f>-PL!R19</f>
        <v>-53173.85</v>
      </c>
      <c r="V18" s="60">
        <f>-PL!S19</f>
        <v>-65326.870999999999</v>
      </c>
      <c r="W18" s="60">
        <f>-PL!T19</f>
        <v>-87956.732000000004</v>
      </c>
      <c r="X18" s="60">
        <f>-PL!U19</f>
        <v>-97395.103000000003</v>
      </c>
      <c r="Y18" s="60">
        <f>-PL!V19</f>
        <v>-88993.099000000002</v>
      </c>
      <c r="Z18" s="60">
        <f>-PL!W19</f>
        <v>-84466.8</v>
      </c>
      <c r="AA18" s="60">
        <f>-PL!X19</f>
        <v>-86487.429737971892</v>
      </c>
      <c r="AB18" s="60">
        <f>-PL!Y19</f>
        <v>-95642.559061195643</v>
      </c>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61"/>
      <c r="BG18" s="27" t="s">
        <v>1348</v>
      </c>
      <c r="CA18" s="27" t="s">
        <v>591</v>
      </c>
      <c r="CD18" s="27" t="s">
        <v>909</v>
      </c>
    </row>
    <row r="19" spans="1:82" ht="15.7" customHeight="1" x14ac:dyDescent="0.35">
      <c r="A19" s="22" t="s">
        <v>903</v>
      </c>
      <c r="B19" s="54" t="s">
        <v>904</v>
      </c>
      <c r="C19" s="54" t="s">
        <v>904</v>
      </c>
      <c r="D19" s="37"/>
      <c r="E19" s="37"/>
      <c r="F19" s="37"/>
      <c r="G19" s="55"/>
      <c r="H19" s="55"/>
      <c r="I19" s="55"/>
      <c r="J19" s="55"/>
      <c r="K19" s="56">
        <f t="shared" ref="K19:Y19" si="0">K17+K18</f>
        <v>1315.8539999999994</v>
      </c>
      <c r="L19" s="56">
        <f t="shared" si="0"/>
        <v>1798.1839999999993</v>
      </c>
      <c r="M19" s="56">
        <f t="shared" si="0"/>
        <v>2718.2170000000006</v>
      </c>
      <c r="N19" s="56">
        <f t="shared" si="0"/>
        <v>3745.9449999999997</v>
      </c>
      <c r="O19" s="56">
        <f t="shared" si="0"/>
        <v>4743.0919999999969</v>
      </c>
      <c r="P19" s="56">
        <f t="shared" si="0"/>
        <v>5113.114999999998</v>
      </c>
      <c r="Q19" s="56">
        <f t="shared" si="0"/>
        <v>5982.8780000000042</v>
      </c>
      <c r="R19" s="56">
        <f t="shared" si="0"/>
        <v>7615.0299999999988</v>
      </c>
      <c r="S19" s="56">
        <f t="shared" si="0"/>
        <v>8696.4210000000021</v>
      </c>
      <c r="T19" s="56">
        <f t="shared" si="0"/>
        <v>9235.7030000000013</v>
      </c>
      <c r="U19" s="56">
        <f t="shared" si="0"/>
        <v>9284.1589999999997</v>
      </c>
      <c r="V19" s="56">
        <f t="shared" si="0"/>
        <v>11982.743000000002</v>
      </c>
      <c r="W19" s="56">
        <f t="shared" si="0"/>
        <v>14018.532999999996</v>
      </c>
      <c r="X19" s="56">
        <f t="shared" si="0"/>
        <v>16338.910000000003</v>
      </c>
      <c r="Y19" s="56">
        <f t="shared" si="0"/>
        <v>16329.572</v>
      </c>
      <c r="Z19" s="56">
        <f t="shared" ref="Z19:AA19" si="1">Z17+Z18</f>
        <v>15981.699999999997</v>
      </c>
      <c r="AA19" s="56">
        <f t="shared" si="1"/>
        <v>17073.030133316846</v>
      </c>
      <c r="AB19" s="56">
        <f t="shared" ref="AB19" si="2">AB17+AB18</f>
        <v>18552.281059191126</v>
      </c>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57"/>
      <c r="BG19" s="27" t="s">
        <v>1349</v>
      </c>
      <c r="CD19" s="27" t="s">
        <v>912</v>
      </c>
    </row>
    <row r="20" spans="1:82" ht="15.7" customHeight="1" x14ac:dyDescent="0.35">
      <c r="A20" s="22" t="s">
        <v>907</v>
      </c>
      <c r="B20" s="58" t="s">
        <v>908</v>
      </c>
      <c r="C20" s="58" t="s">
        <v>908</v>
      </c>
      <c r="D20" s="33"/>
      <c r="E20" s="33"/>
      <c r="F20" s="33"/>
      <c r="G20" s="59"/>
      <c r="H20" s="59"/>
      <c r="I20" s="59"/>
      <c r="J20" s="59"/>
      <c r="K20" s="60">
        <f>PL!H61+PL!H88</f>
        <v>188.88900000000001</v>
      </c>
      <c r="L20" s="60">
        <f>PL!I61+PL!I88</f>
        <v>422.315</v>
      </c>
      <c r="M20" s="60">
        <f>PL!J61+PL!J88</f>
        <v>371.09000000000003</v>
      </c>
      <c r="N20" s="60">
        <f>PL!K61+PL!K88</f>
        <v>436.54199999999997</v>
      </c>
      <c r="O20" s="60">
        <f>PL!L61+PL!L88</f>
        <v>475.339</v>
      </c>
      <c r="P20" s="60">
        <f>PL!M61+PL!M88</f>
        <v>1159.441</v>
      </c>
      <c r="Q20" s="60">
        <f>PL!N61+PL!N88</f>
        <v>1260.1199999999999</v>
      </c>
      <c r="R20" s="60">
        <f>PL!O61+PL!O88</f>
        <v>747.678</v>
      </c>
      <c r="S20" s="60">
        <f>PL!P61+PL!P88</f>
        <v>-360.25</v>
      </c>
      <c r="T20" s="60">
        <f>PL!Q61+PL!Q88</f>
        <v>636.75599999999997</v>
      </c>
      <c r="U20" s="60">
        <f>PL!R61+PL!R88</f>
        <v>979.16600000000005</v>
      </c>
      <c r="V20" s="60">
        <f>PL!S61+PL!S88</f>
        <v>1197.192</v>
      </c>
      <c r="W20" s="60">
        <f>PL!T61+PL!T88</f>
        <v>1577.2049999999999</v>
      </c>
      <c r="X20" s="60">
        <f>PL!U61+PL!U88</f>
        <v>647.33900000000006</v>
      </c>
      <c r="Y20" s="60">
        <f>PL!V61+PL!V88</f>
        <v>211.69300000000001</v>
      </c>
      <c r="Z20" s="60">
        <f>PL!W61+PL!W88</f>
        <v>248.70599999999999</v>
      </c>
      <c r="AA20" s="60">
        <f ca="1">PL!X61+PL!X88</f>
        <v>293.32769134484329</v>
      </c>
      <c r="AB20" s="60">
        <f ca="1">PL!Y61+PL!Y88</f>
        <v>281.47053400396635</v>
      </c>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61"/>
      <c r="BG20" s="27" t="s">
        <v>1350</v>
      </c>
      <c r="CA20" s="27" t="s">
        <v>915</v>
      </c>
      <c r="CB20" s="27" t="s">
        <v>595</v>
      </c>
      <c r="CC20" s="27" t="s">
        <v>596</v>
      </c>
      <c r="CD20" s="27" t="s">
        <v>916</v>
      </c>
    </row>
    <row r="21" spans="1:82" ht="15.7" customHeight="1" x14ac:dyDescent="0.35">
      <c r="A21" s="22" t="s">
        <v>910</v>
      </c>
      <c r="B21" s="54" t="s">
        <v>911</v>
      </c>
      <c r="C21" s="54" t="s">
        <v>911</v>
      </c>
      <c r="D21" s="37"/>
      <c r="E21" s="37"/>
      <c r="F21" s="55">
        <f>F22+F23+F24+F2</f>
        <v>0</v>
      </c>
      <c r="G21" s="55"/>
      <c r="H21" s="55"/>
      <c r="I21" s="55"/>
      <c r="J21" s="55"/>
      <c r="K21" s="56">
        <f>-PL!H79</f>
        <v>-497.88800000000003</v>
      </c>
      <c r="L21" s="56">
        <f>-PL!I79</f>
        <v>-577.15699999999993</v>
      </c>
      <c r="M21" s="56">
        <f>-PL!J79</f>
        <v>-740.07399999999996</v>
      </c>
      <c r="N21" s="56">
        <f>-PL!K79</f>
        <v>-1042.4579999999999</v>
      </c>
      <c r="O21" s="56">
        <f>-PL!L79</f>
        <v>-1033.1400000000001</v>
      </c>
      <c r="P21" s="56">
        <f>-PL!M79</f>
        <v>-1007.396</v>
      </c>
      <c r="Q21" s="56">
        <f>-PL!N79</f>
        <v>-1106.0840000000001</v>
      </c>
      <c r="R21" s="56">
        <f>-PL!O79</f>
        <v>-1394.6680000000001</v>
      </c>
      <c r="S21" s="56">
        <f>-PL!P79</f>
        <v>-1396.5940000000001</v>
      </c>
      <c r="T21" s="56">
        <f>-PL!Q79</f>
        <v>-1681.8</v>
      </c>
      <c r="U21" s="56">
        <f>-PL!R79</f>
        <v>-1920.393</v>
      </c>
      <c r="V21" s="56">
        <f>-PL!S79</f>
        <v>-2278.6089999999999</v>
      </c>
      <c r="W21" s="56">
        <f>-PL!T79</f>
        <v>-2434.7640000000001</v>
      </c>
      <c r="X21" s="56">
        <f>-PL!U79</f>
        <v>-2622.9009999999998</v>
      </c>
      <c r="Y21" s="56">
        <f>-PL!V79</f>
        <v>-2582.0259999999998</v>
      </c>
      <c r="Z21" s="56">
        <f>-PL!W79</f>
        <v>-2651.7429999999999</v>
      </c>
      <c r="AA21" s="56">
        <f>-PL!X79</f>
        <v>-2231.7279102262723</v>
      </c>
      <c r="AB21" s="56">
        <f>-PL!Y79</f>
        <v>-2460.8988045943347</v>
      </c>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57"/>
      <c r="BG21" s="27" t="s">
        <v>1351</v>
      </c>
      <c r="CB21" s="27" t="s">
        <v>97</v>
      </c>
      <c r="CC21" s="27" t="s">
        <v>919</v>
      </c>
      <c r="CD21" s="27" t="s">
        <v>920</v>
      </c>
    </row>
    <row r="22" spans="1:82" ht="15.7" customHeight="1" x14ac:dyDescent="0.35">
      <c r="A22" s="22" t="s">
        <v>913</v>
      </c>
      <c r="B22" s="58" t="s">
        <v>914</v>
      </c>
      <c r="C22" s="58" t="s">
        <v>914</v>
      </c>
      <c r="D22" s="33"/>
      <c r="E22" s="33"/>
      <c r="F22" s="33"/>
      <c r="G22" s="59"/>
      <c r="H22" s="59"/>
      <c r="I22" s="59"/>
      <c r="J22" s="59"/>
      <c r="K22" s="60">
        <f>-PL!H81</f>
        <v>-4.7359999999999998</v>
      </c>
      <c r="L22" s="60">
        <f>-PL!I81</f>
        <v>-15.523</v>
      </c>
      <c r="M22" s="60">
        <f>-PL!J81</f>
        <v>-5.5049999999999999</v>
      </c>
      <c r="N22" s="60">
        <f>-PL!K81</f>
        <v>-82.945999999999998</v>
      </c>
      <c r="O22" s="60">
        <f>-PL!L81</f>
        <v>-133.87100000000001</v>
      </c>
      <c r="P22" s="60">
        <f>-PL!M81</f>
        <v>0</v>
      </c>
      <c r="Q22" s="60">
        <f>-PL!N81</f>
        <v>0</v>
      </c>
      <c r="R22" s="60">
        <f>-PL!O81</f>
        <v>0</v>
      </c>
      <c r="S22" s="60">
        <f>-PL!P81</f>
        <v>0</v>
      </c>
      <c r="T22" s="60">
        <f>-PL!Q81</f>
        <v>0</v>
      </c>
      <c r="U22" s="60">
        <f>-PL!R81</f>
        <v>0</v>
      </c>
      <c r="V22" s="60">
        <f>-PL!S81</f>
        <v>0</v>
      </c>
      <c r="W22" s="60">
        <f>-PL!T81</f>
        <v>0</v>
      </c>
      <c r="X22" s="60">
        <f>-PL!U81</f>
        <v>0</v>
      </c>
      <c r="Y22" s="60">
        <f>-PL!V81</f>
        <v>0</v>
      </c>
      <c r="Z22" s="60">
        <f>-PL!W81</f>
        <v>0</v>
      </c>
      <c r="AA22" s="60">
        <f>-PL!X81</f>
        <v>0</v>
      </c>
      <c r="AB22" s="60">
        <f>-PL!Y81</f>
        <v>0</v>
      </c>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61"/>
      <c r="BG22" s="27" t="s">
        <v>1352</v>
      </c>
      <c r="CB22" s="27" t="s">
        <v>98</v>
      </c>
      <c r="CC22" s="27" t="s">
        <v>923</v>
      </c>
      <c r="CD22" s="27" t="s">
        <v>924</v>
      </c>
    </row>
    <row r="23" spans="1:82" ht="15.7" customHeight="1" x14ac:dyDescent="0.35">
      <c r="A23" s="22" t="s">
        <v>917</v>
      </c>
      <c r="B23" s="58" t="s">
        <v>918</v>
      </c>
      <c r="C23" s="58" t="s">
        <v>918</v>
      </c>
      <c r="D23" s="33"/>
      <c r="E23" s="33"/>
      <c r="F23" s="33"/>
      <c r="G23" s="59"/>
      <c r="H23" s="59"/>
      <c r="I23" s="59"/>
      <c r="J23" s="59"/>
      <c r="K23" s="60">
        <f>-PL!H83</f>
        <v>-466.76600000000002</v>
      </c>
      <c r="L23" s="60">
        <f>-PL!I83</f>
        <v>-538.67999999999995</v>
      </c>
      <c r="M23" s="60">
        <f>-PL!J83</f>
        <v>-704.13900000000001</v>
      </c>
      <c r="N23" s="60">
        <f>-PL!K83</f>
        <v>-959.51199999999994</v>
      </c>
      <c r="O23" s="60">
        <f>-PL!L83</f>
        <v>-899.26900000000001</v>
      </c>
      <c r="P23" s="60">
        <f>-PL!M83</f>
        <v>0</v>
      </c>
      <c r="Q23" s="60">
        <f>-PL!N83</f>
        <v>0</v>
      </c>
      <c r="R23" s="60">
        <f>-PL!O83</f>
        <v>0</v>
      </c>
      <c r="S23" s="60">
        <f>-PL!P83</f>
        <v>0</v>
      </c>
      <c r="T23" s="60">
        <f>-PL!Q83</f>
        <v>0</v>
      </c>
      <c r="U23" s="60">
        <f>-PL!R83</f>
        <v>0</v>
      </c>
      <c r="V23" s="60">
        <f>-PL!S83</f>
        <v>0</v>
      </c>
      <c r="W23" s="60">
        <f>-PL!T83</f>
        <v>0</v>
      </c>
      <c r="X23" s="60">
        <f>-PL!U83</f>
        <v>0</v>
      </c>
      <c r="Y23" s="60">
        <f>-PL!V83</f>
        <v>0</v>
      </c>
      <c r="Z23" s="60">
        <f>-PL!W83</f>
        <v>0</v>
      </c>
      <c r="AA23" s="60">
        <f>-PL!X83</f>
        <v>0</v>
      </c>
      <c r="AB23" s="60">
        <f>-PL!Y83</f>
        <v>0</v>
      </c>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61"/>
      <c r="BG23" s="27" t="s">
        <v>1353</v>
      </c>
      <c r="CC23" s="27" t="s">
        <v>927</v>
      </c>
      <c r="CD23" s="27" t="s">
        <v>928</v>
      </c>
    </row>
    <row r="24" spans="1:82" ht="15.7" customHeight="1" x14ac:dyDescent="0.35">
      <c r="A24" s="22" t="s">
        <v>921</v>
      </c>
      <c r="B24" s="58" t="s">
        <v>922</v>
      </c>
      <c r="C24" s="58" t="s">
        <v>922</v>
      </c>
      <c r="D24" s="33"/>
      <c r="E24" s="33"/>
      <c r="F24" s="33"/>
      <c r="G24" s="59"/>
      <c r="H24" s="59"/>
      <c r="I24" s="59"/>
      <c r="J24" s="59"/>
      <c r="K24" s="60"/>
      <c r="L24" s="60"/>
      <c r="M24" s="60"/>
      <c r="N24" s="60"/>
      <c r="O24" s="60"/>
      <c r="P24" s="60"/>
      <c r="Q24" s="60"/>
      <c r="R24" s="60"/>
      <c r="S24" s="60"/>
      <c r="T24" s="60"/>
      <c r="U24" s="60"/>
      <c r="V24" s="60"/>
      <c r="W24" s="60"/>
      <c r="X24" s="60"/>
      <c r="Y24" s="60"/>
      <c r="Z24" s="60"/>
      <c r="AA24" s="60"/>
      <c r="AB24" s="60"/>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61"/>
      <c r="BG24" s="27" t="s">
        <v>1354</v>
      </c>
      <c r="CC24" s="27" t="s">
        <v>931</v>
      </c>
      <c r="CD24" s="27" t="s">
        <v>932</v>
      </c>
    </row>
    <row r="25" spans="1:82" ht="15.7" customHeight="1" x14ac:dyDescent="0.35">
      <c r="A25" s="22" t="s">
        <v>925</v>
      </c>
      <c r="B25" s="58" t="s">
        <v>926</v>
      </c>
      <c r="C25" s="58" t="s">
        <v>926</v>
      </c>
      <c r="D25" s="33"/>
      <c r="E25" s="33"/>
      <c r="F25" s="33"/>
      <c r="G25" s="59"/>
      <c r="H25" s="59"/>
      <c r="I25" s="59"/>
      <c r="J25" s="59"/>
      <c r="K25" s="60">
        <f t="shared" ref="K25:X25" si="3">K21-K22-K23</f>
        <v>-26.386000000000024</v>
      </c>
      <c r="L25" s="60">
        <f t="shared" si="3"/>
        <v>-22.953999999999951</v>
      </c>
      <c r="M25" s="60">
        <f t="shared" si="3"/>
        <v>-30.42999999999995</v>
      </c>
      <c r="N25" s="60">
        <f t="shared" si="3"/>
        <v>0</v>
      </c>
      <c r="O25" s="60">
        <f t="shared" si="3"/>
        <v>0</v>
      </c>
      <c r="P25" s="60">
        <f t="shared" si="3"/>
        <v>-1007.396</v>
      </c>
      <c r="Q25" s="60">
        <f t="shared" si="3"/>
        <v>-1106.0840000000001</v>
      </c>
      <c r="R25" s="60">
        <f t="shared" si="3"/>
        <v>-1394.6680000000001</v>
      </c>
      <c r="S25" s="60">
        <f t="shared" si="3"/>
        <v>-1396.5940000000001</v>
      </c>
      <c r="T25" s="60">
        <f t="shared" si="3"/>
        <v>-1681.8</v>
      </c>
      <c r="U25" s="60">
        <f t="shared" si="3"/>
        <v>-1920.393</v>
      </c>
      <c r="V25" s="60">
        <f t="shared" si="3"/>
        <v>-2278.6089999999999</v>
      </c>
      <c r="W25" s="60">
        <f t="shared" si="3"/>
        <v>-2434.7640000000001</v>
      </c>
      <c r="X25" s="60">
        <f t="shared" si="3"/>
        <v>-2622.9009999999998</v>
      </c>
      <c r="Y25" s="60">
        <f t="shared" ref="Y25:Z25" si="4">Y21-Y22-Y23</f>
        <v>-2582.0259999999998</v>
      </c>
      <c r="Z25" s="60">
        <f t="shared" si="4"/>
        <v>-2651.7429999999999</v>
      </c>
      <c r="AA25" s="60">
        <f t="shared" ref="AA25:AB25" si="5">AA21-AA22-AA23</f>
        <v>-2231.7279102262723</v>
      </c>
      <c r="AB25" s="60">
        <f t="shared" si="5"/>
        <v>-2460.8988045943347</v>
      </c>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61"/>
      <c r="BG25" s="27" t="s">
        <v>1355</v>
      </c>
      <c r="CD25" s="27" t="s">
        <v>935</v>
      </c>
    </row>
    <row r="26" spans="1:82" ht="15.7" customHeight="1" x14ac:dyDescent="0.35">
      <c r="A26" s="22" t="s">
        <v>929</v>
      </c>
      <c r="B26" s="54" t="s">
        <v>930</v>
      </c>
      <c r="C26" s="54" t="s">
        <v>930</v>
      </c>
      <c r="D26" s="37"/>
      <c r="E26" s="37"/>
      <c r="F26" s="37"/>
      <c r="G26" s="55"/>
      <c r="H26" s="55"/>
      <c r="I26" s="55"/>
      <c r="J26" s="55"/>
      <c r="K26" s="56">
        <f t="shared" ref="K26:X26" si="6">K19+K21+K20</f>
        <v>1006.8549999999993</v>
      </c>
      <c r="L26" s="56">
        <f t="shared" si="6"/>
        <v>1643.3419999999994</v>
      </c>
      <c r="M26" s="56">
        <f t="shared" si="6"/>
        <v>2349.2330000000006</v>
      </c>
      <c r="N26" s="56">
        <f t="shared" si="6"/>
        <v>3140.029</v>
      </c>
      <c r="O26" s="56">
        <f t="shared" si="6"/>
        <v>4185.2909999999965</v>
      </c>
      <c r="P26" s="56">
        <f t="shared" si="6"/>
        <v>5265.159999999998</v>
      </c>
      <c r="Q26" s="56">
        <f t="shared" si="6"/>
        <v>6136.9140000000043</v>
      </c>
      <c r="R26" s="56">
        <f t="shared" si="6"/>
        <v>6968.0399999999991</v>
      </c>
      <c r="S26" s="56">
        <f t="shared" si="6"/>
        <v>6939.577000000002</v>
      </c>
      <c r="T26" s="56">
        <f t="shared" si="6"/>
        <v>8190.6590000000015</v>
      </c>
      <c r="U26" s="56">
        <f t="shared" si="6"/>
        <v>8342.9319999999989</v>
      </c>
      <c r="V26" s="56">
        <f t="shared" si="6"/>
        <v>10901.326000000001</v>
      </c>
      <c r="W26" s="56">
        <f t="shared" si="6"/>
        <v>13160.973999999997</v>
      </c>
      <c r="X26" s="56">
        <f t="shared" si="6"/>
        <v>14363.348000000004</v>
      </c>
      <c r="Y26" s="56">
        <f t="shared" ref="Y26:Z26" si="7">Y19+Y21+Y20</f>
        <v>13959.239</v>
      </c>
      <c r="Z26" s="56">
        <f t="shared" si="7"/>
        <v>13578.662999999997</v>
      </c>
      <c r="AA26" s="56">
        <f t="shared" ref="AA26:AB26" ca="1" si="8">AA19+AA21+AA20</f>
        <v>15134.629914435416</v>
      </c>
      <c r="AB26" s="56">
        <f t="shared" ca="1" si="8"/>
        <v>16372.852788600758</v>
      </c>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57"/>
      <c r="BG26" s="27" t="s">
        <v>1356</v>
      </c>
      <c r="CD26" s="27" t="s">
        <v>938</v>
      </c>
    </row>
    <row r="27" spans="1:82" ht="15.7" customHeight="1" x14ac:dyDescent="0.35">
      <c r="A27" s="22" t="s">
        <v>933</v>
      </c>
      <c r="B27" s="58" t="s">
        <v>934</v>
      </c>
      <c r="C27" s="58" t="s">
        <v>934</v>
      </c>
      <c r="D27" s="33"/>
      <c r="E27" s="33"/>
      <c r="F27" s="33"/>
      <c r="G27" s="59"/>
      <c r="H27" s="59"/>
      <c r="I27" s="59"/>
      <c r="J27" s="59"/>
      <c r="K27" s="60">
        <f t="shared" ref="K27:Y27" si="9">K28-K29</f>
        <v>-15.552</v>
      </c>
      <c r="L27" s="60">
        <f t="shared" si="9"/>
        <v>-192.69</v>
      </c>
      <c r="M27" s="60">
        <f t="shared" si="9"/>
        <v>-239.375</v>
      </c>
      <c r="N27" s="60">
        <f t="shared" si="9"/>
        <v>-418.44</v>
      </c>
      <c r="O27" s="60">
        <f t="shared" si="9"/>
        <v>-455.82900000000001</v>
      </c>
      <c r="P27" s="60">
        <f t="shared" si="9"/>
        <v>-629.10500000000002</v>
      </c>
      <c r="Q27" s="60">
        <f t="shared" si="9"/>
        <v>-688.15899999999999</v>
      </c>
      <c r="R27" s="60">
        <f t="shared" si="9"/>
        <v>-1069.7540000000001</v>
      </c>
      <c r="S27" s="60">
        <f t="shared" si="9"/>
        <v>-1781.7170000000001</v>
      </c>
      <c r="T27" s="60">
        <f t="shared" si="9"/>
        <v>-2278.9850000000001</v>
      </c>
      <c r="U27" s="60">
        <f t="shared" si="9"/>
        <v>-2679.9769999999999</v>
      </c>
      <c r="V27" s="60">
        <f t="shared" si="9"/>
        <v>-2668.2020000000002</v>
      </c>
      <c r="W27" s="60">
        <f t="shared" si="9"/>
        <v>-2991.4189999999999</v>
      </c>
      <c r="X27" s="60">
        <f t="shared" si="9"/>
        <v>-3204.3090000000002</v>
      </c>
      <c r="Y27" s="60">
        <f t="shared" si="9"/>
        <v>-2948.3119999999999</v>
      </c>
      <c r="Z27" s="60">
        <f t="shared" ref="Z27:AA27" si="10">Z28-Z29</f>
        <v>-2469.6680000000001</v>
      </c>
      <c r="AA27" s="60">
        <f t="shared" si="10"/>
        <v>-2600.4000129371916</v>
      </c>
      <c r="AB27" s="60">
        <f t="shared" ref="AB27" si="11">AB28-AB29</f>
        <v>-2740.1340407071784</v>
      </c>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61"/>
      <c r="BG27" s="27" t="s">
        <v>1357</v>
      </c>
    </row>
    <row r="28" spans="1:82" ht="15.7" customHeight="1" x14ac:dyDescent="0.35">
      <c r="A28" s="22" t="s">
        <v>936</v>
      </c>
      <c r="B28" s="58" t="s">
        <v>937</v>
      </c>
      <c r="C28" s="58" t="s">
        <v>937</v>
      </c>
      <c r="D28" s="33"/>
      <c r="E28" s="33"/>
      <c r="F28" s="33"/>
      <c r="G28" s="59"/>
      <c r="H28" s="59"/>
      <c r="I28" s="59"/>
      <c r="J28" s="59"/>
      <c r="K28" s="60">
        <f>-PL!H90</f>
        <v>-15.552</v>
      </c>
      <c r="L28" s="60">
        <f>-PL!I90</f>
        <v>-192.69</v>
      </c>
      <c r="M28" s="60">
        <f>-PL!J90</f>
        <v>-239.375</v>
      </c>
      <c r="N28" s="60">
        <f>-PL!K90</f>
        <v>-418.44</v>
      </c>
      <c r="O28" s="60">
        <f>-PL!L90</f>
        <v>-455.82900000000001</v>
      </c>
      <c r="P28" s="60">
        <f>-PL!M90</f>
        <v>-629.10500000000002</v>
      </c>
      <c r="Q28" s="60">
        <f>-PL!N90</f>
        <v>-688.15899999999999</v>
      </c>
      <c r="R28" s="60">
        <f>-PL!O90</f>
        <v>-1069.7540000000001</v>
      </c>
      <c r="S28" s="60">
        <f>-PL!P90</f>
        <v>-1781.7170000000001</v>
      </c>
      <c r="T28" s="60">
        <f>-PL!Q90</f>
        <v>-2278.9850000000001</v>
      </c>
      <c r="U28" s="60">
        <f>-PL!R90</f>
        <v>-2679.9769999999999</v>
      </c>
      <c r="V28" s="60">
        <f>-PL!S90</f>
        <v>-2668.2020000000002</v>
      </c>
      <c r="W28" s="60">
        <f>-PL!T90</f>
        <v>-2991.4189999999999</v>
      </c>
      <c r="X28" s="60">
        <f>-PL!U90</f>
        <v>-3204.3090000000002</v>
      </c>
      <c r="Y28" s="60">
        <f>-PL!V90</f>
        <v>-2948.3119999999999</v>
      </c>
      <c r="Z28" s="60">
        <f>-PL!W90</f>
        <v>-2469.6680000000001</v>
      </c>
      <c r="AA28" s="60">
        <f>-PL!X90</f>
        <v>-2600.4000129371916</v>
      </c>
      <c r="AB28" s="60">
        <f>-PL!Y90</f>
        <v>-2740.1340407071784</v>
      </c>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61"/>
      <c r="BG28" s="27" t="s">
        <v>1358</v>
      </c>
    </row>
    <row r="29" spans="1:82" ht="15.7" customHeight="1" x14ac:dyDescent="0.35">
      <c r="A29" s="22" t="s">
        <v>939</v>
      </c>
      <c r="B29" s="58" t="s">
        <v>940</v>
      </c>
      <c r="C29" s="58" t="s">
        <v>940</v>
      </c>
      <c r="D29" s="33"/>
      <c r="E29" s="33"/>
      <c r="F29" s="33"/>
      <c r="G29" s="59"/>
      <c r="H29" s="59"/>
      <c r="I29" s="59"/>
      <c r="J29" s="59"/>
      <c r="K29" s="60">
        <v>0</v>
      </c>
      <c r="L29" s="60">
        <v>0</v>
      </c>
      <c r="M29" s="60">
        <v>0</v>
      </c>
      <c r="N29" s="60">
        <v>0</v>
      </c>
      <c r="O29" s="60">
        <v>0</v>
      </c>
      <c r="P29" s="60">
        <v>0</v>
      </c>
      <c r="Q29" s="60">
        <v>0</v>
      </c>
      <c r="R29" s="60">
        <v>0</v>
      </c>
      <c r="S29" s="60">
        <v>0</v>
      </c>
      <c r="T29" s="60">
        <v>0</v>
      </c>
      <c r="U29" s="60">
        <v>0</v>
      </c>
      <c r="V29" s="60">
        <v>0</v>
      </c>
      <c r="W29" s="60">
        <v>0</v>
      </c>
      <c r="X29" s="60">
        <v>0</v>
      </c>
      <c r="Y29" s="60">
        <v>0</v>
      </c>
      <c r="Z29" s="60">
        <v>0</v>
      </c>
      <c r="AA29" s="60">
        <v>0</v>
      </c>
      <c r="AB29" s="60">
        <v>0</v>
      </c>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61"/>
      <c r="BG29" s="27" t="s">
        <v>1359</v>
      </c>
    </row>
    <row r="30" spans="1:82" ht="15.7" customHeight="1" x14ac:dyDescent="0.35">
      <c r="A30" s="22" t="s">
        <v>941</v>
      </c>
      <c r="B30" s="58" t="s">
        <v>942</v>
      </c>
      <c r="C30" s="58" t="s">
        <v>942</v>
      </c>
      <c r="D30" s="33"/>
      <c r="E30" s="33"/>
      <c r="F30" s="33"/>
      <c r="G30" s="59"/>
      <c r="H30" s="59"/>
      <c r="I30" s="59"/>
      <c r="J30" s="59"/>
      <c r="K30" s="60">
        <v>0</v>
      </c>
      <c r="L30" s="60">
        <v>0</v>
      </c>
      <c r="M30" s="60">
        <v>0</v>
      </c>
      <c r="N30" s="60">
        <v>0</v>
      </c>
      <c r="O30" s="60">
        <v>0</v>
      </c>
      <c r="P30" s="60">
        <v>0</v>
      </c>
      <c r="Q30" s="60">
        <v>0</v>
      </c>
      <c r="R30" s="60">
        <v>0</v>
      </c>
      <c r="S30" s="60">
        <v>0</v>
      </c>
      <c r="T30" s="60">
        <v>0</v>
      </c>
      <c r="U30" s="60">
        <v>0</v>
      </c>
      <c r="V30" s="60">
        <v>0</v>
      </c>
      <c r="W30" s="60">
        <v>0</v>
      </c>
      <c r="X30" s="60">
        <v>0</v>
      </c>
      <c r="Y30" s="60">
        <v>0</v>
      </c>
      <c r="Z30" s="60">
        <v>0</v>
      </c>
      <c r="AA30" s="60">
        <v>0</v>
      </c>
      <c r="AB30" s="60">
        <v>0</v>
      </c>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61"/>
      <c r="BG30" s="27" t="s">
        <v>1360</v>
      </c>
      <c r="CA30" s="27" t="s">
        <v>1361</v>
      </c>
    </row>
    <row r="31" spans="1:82" ht="15.7" customHeight="1" x14ac:dyDescent="0.35">
      <c r="A31" s="22" t="s">
        <v>943</v>
      </c>
      <c r="B31" s="58" t="s">
        <v>944</v>
      </c>
      <c r="C31" s="58" t="s">
        <v>944</v>
      </c>
      <c r="D31" s="33"/>
      <c r="E31" s="33"/>
      <c r="F31" s="33"/>
      <c r="G31" s="59"/>
      <c r="H31" s="59"/>
      <c r="I31" s="59"/>
      <c r="J31" s="59"/>
      <c r="K31" s="60">
        <f>PL!H100</f>
        <v>342.16399999999999</v>
      </c>
      <c r="L31" s="60">
        <f>PL!I100</f>
        <v>393.649</v>
      </c>
      <c r="M31" s="60">
        <f>PL!J100</f>
        <v>431.53899999999999</v>
      </c>
      <c r="N31" s="60">
        <f>PL!K100</f>
        <v>452.16899999999998</v>
      </c>
      <c r="O31" s="60">
        <f>PL!L100</f>
        <v>318.13200000000001</v>
      </c>
      <c r="P31" s="60">
        <f>PL!M100</f>
        <v>496.19</v>
      </c>
      <c r="Q31" s="60">
        <f>PL!N100</f>
        <v>562.96500000000003</v>
      </c>
      <c r="R31" s="60">
        <f>PL!O100</f>
        <v>891.68000000000006</v>
      </c>
      <c r="S31" s="60">
        <f>PL!P100</f>
        <v>1047.645</v>
      </c>
      <c r="T31" s="60">
        <f>PL!Q100</f>
        <v>1372.797</v>
      </c>
      <c r="U31" s="60">
        <f>PL!R100</f>
        <v>2581.5209999999997</v>
      </c>
      <c r="V31" s="60">
        <f>PL!S100</f>
        <v>1152.0540000000001</v>
      </c>
      <c r="W31" s="60">
        <f>PL!T100</f>
        <v>609.13000000000011</v>
      </c>
      <c r="X31" s="60">
        <f>PL!U100</f>
        <v>944.50800000000004</v>
      </c>
      <c r="Y31" s="60">
        <f>PL!V100</f>
        <v>828.31200000000001</v>
      </c>
      <c r="Z31" s="60">
        <f>PL!W100</f>
        <v>858.47699999999998</v>
      </c>
      <c r="AA31" s="60">
        <f>PL!X100</f>
        <v>889.74053198432478</v>
      </c>
      <c r="AB31" s="60">
        <f>PL!Y100</f>
        <v>922.14260167220471</v>
      </c>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61"/>
      <c r="BG31" s="27" t="s">
        <v>1362</v>
      </c>
    </row>
    <row r="32" spans="1:82" ht="15.7" customHeight="1" x14ac:dyDescent="0.35">
      <c r="A32" s="22" t="s">
        <v>945</v>
      </c>
      <c r="B32" s="58" t="s">
        <v>946</v>
      </c>
      <c r="C32" s="58" t="s">
        <v>946</v>
      </c>
      <c r="D32" s="33"/>
      <c r="E32" s="33"/>
      <c r="F32" s="33"/>
      <c r="G32" s="59"/>
      <c r="H32" s="59"/>
      <c r="I32" s="59"/>
      <c r="J32" s="59"/>
      <c r="K32" s="60">
        <f>PL!H100</f>
        <v>342.16399999999999</v>
      </c>
      <c r="L32" s="60">
        <f>PL!I100</f>
        <v>393.649</v>
      </c>
      <c r="M32" s="60">
        <f>PL!J100</f>
        <v>431.53899999999999</v>
      </c>
      <c r="N32" s="60">
        <f>PL!K100</f>
        <v>452.16899999999998</v>
      </c>
      <c r="O32" s="60">
        <f>PL!L100</f>
        <v>318.13200000000001</v>
      </c>
      <c r="P32" s="60">
        <f>PL!M100</f>
        <v>496.19</v>
      </c>
      <c r="Q32" s="60">
        <f>PL!N100</f>
        <v>562.96500000000003</v>
      </c>
      <c r="R32" s="60">
        <f>PL!O100</f>
        <v>891.68000000000006</v>
      </c>
      <c r="S32" s="60">
        <f>PL!P100</f>
        <v>1047.645</v>
      </c>
      <c r="T32" s="60">
        <f>PL!Q100</f>
        <v>1372.797</v>
      </c>
      <c r="U32" s="60">
        <f>PL!R100</f>
        <v>2581.5209999999997</v>
      </c>
      <c r="V32" s="60">
        <f>PL!S100</f>
        <v>1152.0540000000001</v>
      </c>
      <c r="W32" s="60">
        <f>PL!T100</f>
        <v>609.13000000000011</v>
      </c>
      <c r="X32" s="60">
        <f>PL!U100</f>
        <v>944.50800000000004</v>
      </c>
      <c r="Y32" s="60">
        <f>PL!V100</f>
        <v>828.31200000000001</v>
      </c>
      <c r="Z32" s="60">
        <f>PL!W100</f>
        <v>858.47699999999998</v>
      </c>
      <c r="AA32" s="60">
        <f>PL!X100</f>
        <v>889.74053198432478</v>
      </c>
      <c r="AB32" s="60">
        <f>PL!Y100</f>
        <v>922.14260167220471</v>
      </c>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61"/>
      <c r="BG32" s="27" t="s">
        <v>1363</v>
      </c>
    </row>
    <row r="33" spans="1:59" ht="15.7" customHeight="1" x14ac:dyDescent="0.35">
      <c r="A33" s="22" t="s">
        <v>947</v>
      </c>
      <c r="B33" s="54" t="s">
        <v>948</v>
      </c>
      <c r="C33" s="54" t="s">
        <v>948</v>
      </c>
      <c r="D33" s="37"/>
      <c r="E33" s="37"/>
      <c r="F33" s="37"/>
      <c r="G33" s="55"/>
      <c r="H33" s="55"/>
      <c r="I33" s="55"/>
      <c r="J33" s="55"/>
      <c r="K33" s="56">
        <f t="shared" ref="K33:X33" si="12">K26+K28+K31</f>
        <v>1333.4669999999992</v>
      </c>
      <c r="L33" s="56">
        <f t="shared" si="12"/>
        <v>1844.3009999999995</v>
      </c>
      <c r="M33" s="56">
        <f t="shared" si="12"/>
        <v>2541.3970000000008</v>
      </c>
      <c r="N33" s="56">
        <f t="shared" si="12"/>
        <v>3173.7579999999998</v>
      </c>
      <c r="O33" s="56">
        <f t="shared" si="12"/>
        <v>4047.5939999999964</v>
      </c>
      <c r="P33" s="56">
        <f t="shared" si="12"/>
        <v>5132.2449999999981</v>
      </c>
      <c r="Q33" s="56">
        <f t="shared" si="12"/>
        <v>6011.7200000000048</v>
      </c>
      <c r="R33" s="56">
        <f t="shared" si="12"/>
        <v>6789.9659999999994</v>
      </c>
      <c r="S33" s="56">
        <f t="shared" si="12"/>
        <v>6205.5050000000028</v>
      </c>
      <c r="T33" s="56">
        <f t="shared" si="12"/>
        <v>7284.4710000000014</v>
      </c>
      <c r="U33" s="56">
        <f t="shared" si="12"/>
        <v>8244.4759999999987</v>
      </c>
      <c r="V33" s="56">
        <f t="shared" si="12"/>
        <v>9385.1779999999999</v>
      </c>
      <c r="W33" s="56">
        <f t="shared" si="12"/>
        <v>10778.684999999998</v>
      </c>
      <c r="X33" s="56">
        <f t="shared" si="12"/>
        <v>12103.547000000004</v>
      </c>
      <c r="Y33" s="56">
        <f t="shared" ref="Y33:Z33" si="13">Y26+Y28+Y31</f>
        <v>11839.239</v>
      </c>
      <c r="Z33" s="56">
        <f t="shared" si="13"/>
        <v>11967.471999999998</v>
      </c>
      <c r="AA33" s="56">
        <f ca="1">AA26+AA28+AA31</f>
        <v>13423.970433482549</v>
      </c>
      <c r="AB33" s="56">
        <f t="shared" ref="AB33" ca="1" si="14">AB26+AB28+AB31</f>
        <v>14554.861349565785</v>
      </c>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57"/>
      <c r="BG33" s="27" t="s">
        <v>1364</v>
      </c>
    </row>
    <row r="34" spans="1:59" ht="15.7" customHeight="1" x14ac:dyDescent="0.35">
      <c r="A34" s="22" t="s">
        <v>949</v>
      </c>
      <c r="B34" s="58" t="s">
        <v>950</v>
      </c>
      <c r="C34" s="58" t="s">
        <v>950</v>
      </c>
      <c r="D34" s="33"/>
      <c r="E34" s="33"/>
      <c r="F34" s="33"/>
      <c r="G34" s="59"/>
      <c r="H34" s="59"/>
      <c r="I34" s="59"/>
      <c r="J34" s="59"/>
      <c r="K34" s="60">
        <f>-PL!H105</f>
        <v>-213.21799999999999</v>
      </c>
      <c r="L34" s="60">
        <f>-PL!I105</f>
        <v>-334.12200000000001</v>
      </c>
      <c r="M34" s="60">
        <f>-PL!J105</f>
        <v>404.89600000000002</v>
      </c>
      <c r="N34" s="60">
        <f>-PL!K105</f>
        <v>-503.07100000000003</v>
      </c>
      <c r="O34" s="60">
        <f>-PL!L105</f>
        <v>-659.71600000000001</v>
      </c>
      <c r="P34" s="60">
        <f>-PL!M105</f>
        <v>-659.56200000000001</v>
      </c>
      <c r="Q34" s="60">
        <f>-PL!N105</f>
        <v>-1004.504</v>
      </c>
      <c r="R34" s="60">
        <f>-PL!O105</f>
        <v>-1255.662</v>
      </c>
      <c r="S34" s="60">
        <f>-PL!P105</f>
        <v>-1648.8720000000001</v>
      </c>
      <c r="T34" s="60">
        <f>-PL!Q105</f>
        <v>-1560.8910000000001</v>
      </c>
      <c r="U34" s="60">
        <f>-PL!R105</f>
        <v>-1760.3019999999999</v>
      </c>
      <c r="V34" s="60">
        <f>-PL!S105</f>
        <v>-1949.2940000000001</v>
      </c>
      <c r="W34" s="60">
        <f>-PL!T105</f>
        <v>-2309.221</v>
      </c>
      <c r="X34" s="60">
        <f>-PL!U105</f>
        <v>-2390.5990000000002</v>
      </c>
      <c r="Y34" s="60">
        <f>-PL!V105</f>
        <v>-2618.9569999999999</v>
      </c>
      <c r="Z34" s="60">
        <f>-PL!W105</f>
        <v>-2962.098</v>
      </c>
      <c r="AA34" s="60">
        <f ca="1">-PL!X105</f>
        <v>-3322.5994573522125</v>
      </c>
      <c r="AB34" s="60">
        <f ca="1">-PL!Y105</f>
        <v>-3602.5090089056498</v>
      </c>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61"/>
      <c r="BG34" s="27" t="s">
        <v>1365</v>
      </c>
    </row>
    <row r="35" spans="1:59" ht="15.7" customHeight="1" x14ac:dyDescent="0.35">
      <c r="A35" s="22" t="s">
        <v>951</v>
      </c>
      <c r="B35" s="58" t="s">
        <v>952</v>
      </c>
      <c r="C35" s="58" t="s">
        <v>952</v>
      </c>
      <c r="D35" s="33"/>
      <c r="E35" s="33"/>
      <c r="F35" s="33"/>
      <c r="G35" s="59"/>
      <c r="H35" s="59"/>
      <c r="I35" s="59"/>
      <c r="J35" s="59"/>
      <c r="K35" s="60">
        <f>-PL!H109</f>
        <v>-83.971000000000004</v>
      </c>
      <c r="L35" s="60">
        <f>-PL!I109</f>
        <v>-2.774</v>
      </c>
      <c r="M35" s="60">
        <f>-PL!J109</f>
        <v>-5.0419999999999998</v>
      </c>
      <c r="N35" s="60">
        <f>-PL!K109</f>
        <v>78.864000000000004</v>
      </c>
      <c r="O35" s="60">
        <f>-PL!L109</f>
        <v>69.531999999999996</v>
      </c>
      <c r="P35" s="60">
        <f>-PL!M109</f>
        <v>51.442999999999998</v>
      </c>
      <c r="Q35" s="60">
        <f>-PL!N109</f>
        <v>122.85</v>
      </c>
      <c r="R35" s="60">
        <f>-PL!O109</f>
        <v>-44.213000000000001</v>
      </c>
      <c r="S35" s="60">
        <f>-PL!P109</f>
        <v>-39.484999999999999</v>
      </c>
      <c r="T35" s="60">
        <f>-PL!Q109</f>
        <v>-50.206000000000003</v>
      </c>
      <c r="U35" s="60">
        <f>-PL!R109</f>
        <v>-61.56</v>
      </c>
      <c r="V35" s="60">
        <f>-PL!S109</f>
        <v>-169.87299999999999</v>
      </c>
      <c r="W35" s="60">
        <f>-PL!T109</f>
        <v>-216.76400000000001</v>
      </c>
      <c r="X35" s="60">
        <f>-PL!U109</f>
        <v>-244.11500000000001</v>
      </c>
      <c r="Y35" s="60">
        <f>-PL!V109</f>
        <v>-315.654</v>
      </c>
      <c r="Z35" s="60">
        <f>-PL!W109</f>
        <v>-188.12200000000001</v>
      </c>
      <c r="AA35" s="60">
        <f ca="1">-PL!X109</f>
        <v>-211.0173448400468</v>
      </c>
      <c r="AB35" s="60">
        <f ca="1">-PL!Y109</f>
        <v>-228.79432070557715</v>
      </c>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61"/>
      <c r="BG35" s="27" t="s">
        <v>1366</v>
      </c>
    </row>
    <row r="36" spans="1:59" ht="15.7" customHeight="1" x14ac:dyDescent="0.35">
      <c r="A36" s="22" t="s">
        <v>953</v>
      </c>
      <c r="B36" s="58" t="s">
        <v>954</v>
      </c>
      <c r="C36" s="58" t="s">
        <v>954</v>
      </c>
      <c r="D36" s="33"/>
      <c r="E36" s="33"/>
      <c r="F36" s="33"/>
      <c r="G36" s="59"/>
      <c r="H36" s="59"/>
      <c r="I36" s="59"/>
      <c r="J36" s="59"/>
      <c r="K36" s="60"/>
      <c r="L36" s="60"/>
      <c r="M36" s="60"/>
      <c r="N36" s="60"/>
      <c r="O36" s="60"/>
      <c r="P36" s="60"/>
      <c r="Q36" s="60"/>
      <c r="R36" s="60"/>
      <c r="S36" s="60"/>
      <c r="T36" s="60"/>
      <c r="U36" s="60"/>
      <c r="V36" s="60"/>
      <c r="W36" s="60"/>
      <c r="X36" s="60"/>
      <c r="Y36" s="60"/>
      <c r="Z36" s="60"/>
      <c r="AA36" s="60"/>
      <c r="AB36" s="60"/>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61"/>
      <c r="BG36" s="27" t="s">
        <v>1367</v>
      </c>
    </row>
    <row r="37" spans="1:59" ht="15.7" customHeight="1" x14ac:dyDescent="0.35">
      <c r="A37" s="22" t="s">
        <v>955</v>
      </c>
      <c r="B37" s="54" t="s">
        <v>774</v>
      </c>
      <c r="C37" s="54" t="s">
        <v>774</v>
      </c>
      <c r="D37" s="37"/>
      <c r="E37" s="37"/>
      <c r="F37" s="37"/>
      <c r="G37" s="55"/>
      <c r="H37" s="55"/>
      <c r="I37" s="55"/>
      <c r="J37" s="55"/>
      <c r="K37" s="56">
        <f>PL!H112</f>
        <v>1036.2779999999993</v>
      </c>
      <c r="L37" s="56">
        <f>PL!I112</f>
        <v>1507.4049999999995</v>
      </c>
      <c r="M37" s="56">
        <f>PL!J112</f>
        <v>2941.2510000000011</v>
      </c>
      <c r="N37" s="56">
        <f>PL!K112</f>
        <v>2749.5510000000004</v>
      </c>
      <c r="O37" s="56">
        <f>PL!L112</f>
        <v>3457.4099999999967</v>
      </c>
      <c r="P37" s="56">
        <f>PL!M112</f>
        <v>4524.1259999999984</v>
      </c>
      <c r="Q37" s="56">
        <f>PL!N112</f>
        <v>5130.0660000000053</v>
      </c>
      <c r="R37" s="56">
        <f>PL!O112</f>
        <v>5490.0909999999994</v>
      </c>
      <c r="S37" s="56">
        <f>PL!P112</f>
        <v>4500.1480000000029</v>
      </c>
      <c r="T37" s="56">
        <f>PL!Q112</f>
        <v>5413.2080000000014</v>
      </c>
      <c r="U37" s="56">
        <f>PL!R112</f>
        <v>6015.3679999999986</v>
      </c>
      <c r="V37" s="56">
        <f>PL!S112</f>
        <v>6800.8790000000008</v>
      </c>
      <c r="W37" s="56">
        <f>PL!T112</f>
        <v>7956.8759999999957</v>
      </c>
      <c r="X37" s="56">
        <f>PL!U112</f>
        <v>9164.0450000000037</v>
      </c>
      <c r="Y37" s="56">
        <f>PL!V112</f>
        <v>8565.3309999999983</v>
      </c>
      <c r="Z37" s="56">
        <f>PL!W112</f>
        <v>8588.4439999999995</v>
      </c>
      <c r="AA37" s="56">
        <f ca="1">PL!X112</f>
        <v>9661.5456312902897</v>
      </c>
      <c r="AB37" s="56">
        <f ca="1">PL!Y112</f>
        <v>10494.750019954554</v>
      </c>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57"/>
    </row>
    <row r="38" spans="1:59" ht="15.7" customHeight="1" x14ac:dyDescent="0.35">
      <c r="A38" s="22" t="s">
        <v>956</v>
      </c>
      <c r="B38" s="58" t="s">
        <v>957</v>
      </c>
      <c r="C38" s="58" t="s">
        <v>957</v>
      </c>
      <c r="D38" s="33"/>
      <c r="E38" s="33"/>
      <c r="F38" s="33"/>
      <c r="G38" s="59"/>
      <c r="H38" s="59"/>
      <c r="I38" s="59"/>
      <c r="J38" s="59"/>
      <c r="K38" s="60"/>
      <c r="L38" s="60"/>
      <c r="M38" s="60"/>
      <c r="N38" s="60"/>
      <c r="O38" s="60"/>
      <c r="P38" s="60"/>
      <c r="Q38" s="60"/>
      <c r="R38" s="60"/>
      <c r="S38" s="60"/>
      <c r="T38" s="60"/>
      <c r="U38" s="60"/>
      <c r="V38" s="60"/>
      <c r="W38" s="60"/>
      <c r="X38" s="60"/>
      <c r="Y38" s="60"/>
      <c r="Z38" s="60"/>
      <c r="AA38" s="60"/>
      <c r="AB38" s="60"/>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61"/>
    </row>
    <row r="39" spans="1:59" ht="15.7" customHeight="1" x14ac:dyDescent="0.35">
      <c r="A39" s="22" t="s">
        <v>958</v>
      </c>
      <c r="B39" s="54" t="s">
        <v>959</v>
      </c>
      <c r="C39" s="54" t="s">
        <v>959</v>
      </c>
      <c r="D39" s="37"/>
      <c r="E39" s="37"/>
      <c r="F39" s="37"/>
      <c r="G39" s="55"/>
      <c r="H39" s="55"/>
      <c r="I39" s="55"/>
      <c r="J39" s="55"/>
      <c r="K39" s="56">
        <f>PL!H118</f>
        <v>1036.2779999999993</v>
      </c>
      <c r="L39" s="56">
        <f>PL!I118</f>
        <v>1507.4049999999995</v>
      </c>
      <c r="M39" s="56">
        <f>PL!J118</f>
        <v>2131.4590000000003</v>
      </c>
      <c r="N39" s="56">
        <f>PL!K118</f>
        <v>2749.5510000000004</v>
      </c>
      <c r="O39" s="56">
        <f>PL!L118</f>
        <v>3457.4099999999967</v>
      </c>
      <c r="P39" s="56">
        <f>PL!M118</f>
        <v>4153</v>
      </c>
      <c r="Q39" s="56">
        <f>PL!N118</f>
        <v>4153.5460000000003</v>
      </c>
      <c r="R39" s="56">
        <f>PL!O118</f>
        <v>5072.5209999999997</v>
      </c>
      <c r="S39" s="56">
        <f>PL!P118</f>
        <v>5323.9759999999997</v>
      </c>
      <c r="T39" s="56">
        <f>PL!Q118</f>
        <v>5413.2080000000014</v>
      </c>
      <c r="U39" s="56">
        <f>PL!R118</f>
        <v>5593.6783368006209</v>
      </c>
      <c r="V39" s="56">
        <f>PL!S118</f>
        <v>6800.8790000000008</v>
      </c>
      <c r="W39" s="56">
        <f>PL!T118</f>
        <v>7956.8759999999957</v>
      </c>
      <c r="X39" s="56">
        <f>PL!U118</f>
        <v>9164.0450000000037</v>
      </c>
      <c r="Y39" s="56">
        <f>PL!V118</f>
        <v>8565.3309999999983</v>
      </c>
      <c r="Z39" s="56">
        <f>PL!W118</f>
        <v>8587.4439999999995</v>
      </c>
      <c r="AA39" s="56">
        <f ca="1">PL!X118</f>
        <v>9660.5456312902897</v>
      </c>
      <c r="AB39" s="56">
        <f ca="1">PL!Y118</f>
        <v>10493.750019954554</v>
      </c>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57"/>
    </row>
    <row r="40" spans="1:59" ht="15.7" customHeight="1" x14ac:dyDescent="0.35">
      <c r="A40" s="22" t="s">
        <v>960</v>
      </c>
      <c r="B40" s="62" t="s">
        <v>961</v>
      </c>
      <c r="C40" s="62" t="s">
        <v>961</v>
      </c>
      <c r="D40" s="63"/>
      <c r="E40" s="63"/>
      <c r="F40" s="63"/>
      <c r="G40" s="64"/>
      <c r="H40" s="64"/>
      <c r="I40" s="64"/>
      <c r="J40" s="64"/>
      <c r="K40" s="65">
        <f>PL!H129</f>
        <v>251.56100000000001</v>
      </c>
      <c r="L40" s="65">
        <f>PL!I129</f>
        <v>430.38200000000001</v>
      </c>
      <c r="M40" s="65">
        <f>PL!J129</f>
        <v>622.1</v>
      </c>
      <c r="N40" s="65">
        <f>PL!K129</f>
        <v>816.63599999999997</v>
      </c>
      <c r="O40" s="65">
        <f>PL!L129</f>
        <v>895.25099999999998</v>
      </c>
      <c r="P40" s="65">
        <f>PL!M129</f>
        <v>1338</v>
      </c>
      <c r="Q40" s="65">
        <f>PL!N129</f>
        <v>1481.0000000000002</v>
      </c>
      <c r="R40" s="65">
        <f>PL!O129</f>
        <v>1767.2048338</v>
      </c>
      <c r="S40" s="65">
        <f>PL!P129</f>
        <v>1363.2723003600001</v>
      </c>
      <c r="T40" s="65">
        <f>PL!Q129</f>
        <v>1615.7301337599999</v>
      </c>
      <c r="U40" s="65">
        <f>PL!R129</f>
        <v>1817.69640048</v>
      </c>
      <c r="V40" s="65">
        <f>PL!S129</f>
        <v>2041.1141400000001</v>
      </c>
      <c r="W40" s="65">
        <f>PL!T129</f>
        <v>2418.0560159999995</v>
      </c>
      <c r="X40" s="65">
        <f>PL!U129</f>
        <v>2821.0653520000001</v>
      </c>
      <c r="Y40" s="65">
        <f>PL!V129</f>
        <v>2911.0069605617996</v>
      </c>
      <c r="Z40" s="65">
        <f>PL!W129</f>
        <v>2964.644122875</v>
      </c>
      <c r="AA40" s="65">
        <f ca="1">PL!X129</f>
        <v>3381.5409709516011</v>
      </c>
      <c r="AB40" s="65">
        <f ca="1">PL!Y129</f>
        <v>3673.1625069840934</v>
      </c>
      <c r="AC40" s="63"/>
      <c r="AD40" s="63"/>
      <c r="AE40" s="63"/>
      <c r="AF40" s="63"/>
      <c r="AG40" s="63"/>
      <c r="AH40" s="63"/>
      <c r="AI40" s="63"/>
      <c r="AJ40" s="63"/>
      <c r="AK40" s="63"/>
      <c r="AL40" s="63"/>
      <c r="AM40" s="63"/>
      <c r="AN40" s="63"/>
      <c r="AO40" s="63"/>
      <c r="AP40" s="63"/>
      <c r="AQ40" s="63"/>
      <c r="AR40" s="63"/>
      <c r="AS40" s="63"/>
      <c r="AT40" s="63"/>
      <c r="AU40" s="63"/>
      <c r="AV40" s="63"/>
      <c r="AW40" s="63"/>
      <c r="AX40" s="63"/>
      <c r="AY40" s="63"/>
      <c r="AZ40" s="63"/>
      <c r="BA40" s="57"/>
    </row>
    <row r="41" spans="1:59" ht="15.7" customHeight="1" x14ac:dyDescent="0.35">
      <c r="A41" s="22"/>
      <c r="B41" s="50"/>
      <c r="C41" s="50"/>
      <c r="D41" s="33"/>
      <c r="E41" s="33"/>
      <c r="F41" s="33"/>
      <c r="G41" s="59"/>
      <c r="H41" s="59"/>
      <c r="I41" s="59"/>
      <c r="J41" s="59"/>
      <c r="K41" s="60"/>
      <c r="L41" s="60"/>
      <c r="M41" s="60"/>
      <c r="N41" s="60"/>
      <c r="O41" s="66"/>
      <c r="P41" s="67"/>
      <c r="Q41" s="66"/>
      <c r="R41" s="66"/>
      <c r="S41" s="66"/>
      <c r="T41" s="66"/>
      <c r="U41" s="66"/>
      <c r="V41" s="66"/>
      <c r="W41" s="66"/>
      <c r="X41" s="66"/>
      <c r="Y41" s="66"/>
      <c r="Z41" s="66"/>
      <c r="AA41" s="66"/>
      <c r="AB41" s="66"/>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row>
    <row r="42" spans="1:59" ht="15.7" customHeight="1" x14ac:dyDescent="0.35">
      <c r="A42" s="22"/>
      <c r="B42" s="51" t="s">
        <v>1368</v>
      </c>
      <c r="C42" s="51" t="s">
        <v>481</v>
      </c>
      <c r="D42" s="52"/>
      <c r="E42" s="52"/>
      <c r="F42" s="52"/>
      <c r="G42" s="68"/>
      <c r="H42" s="68"/>
      <c r="I42" s="68"/>
      <c r="J42" s="68"/>
      <c r="K42" s="69"/>
      <c r="L42" s="69"/>
      <c r="M42" s="69"/>
      <c r="N42" s="69"/>
      <c r="O42" s="70"/>
      <c r="P42" s="71"/>
      <c r="Q42" s="70"/>
      <c r="R42" s="70"/>
      <c r="S42" s="70"/>
      <c r="T42" s="70"/>
      <c r="U42" s="70"/>
      <c r="V42" s="70"/>
      <c r="W42" s="70"/>
      <c r="X42" s="70"/>
      <c r="Y42" s="70"/>
      <c r="Z42" s="70"/>
      <c r="AA42" s="70"/>
      <c r="AB42" s="70"/>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row>
    <row r="43" spans="1:59" ht="15.7" customHeight="1" x14ac:dyDescent="0.35">
      <c r="A43" s="22"/>
      <c r="B43" s="53"/>
      <c r="C43" s="53"/>
      <c r="D43" s="33"/>
      <c r="E43" s="33"/>
      <c r="F43" s="33"/>
      <c r="G43" s="59"/>
      <c r="H43" s="59"/>
      <c r="I43" s="59"/>
      <c r="J43" s="59"/>
      <c r="K43" s="60"/>
      <c r="L43" s="60"/>
      <c r="M43" s="60"/>
      <c r="N43" s="60"/>
      <c r="O43" s="60"/>
      <c r="P43" s="60"/>
      <c r="Q43" s="60"/>
      <c r="R43" s="60"/>
      <c r="S43" s="60"/>
      <c r="T43" s="60"/>
      <c r="U43" s="60"/>
      <c r="V43" s="60"/>
      <c r="W43" s="60"/>
      <c r="X43" s="60"/>
      <c r="Y43" s="60"/>
      <c r="Z43" s="60"/>
      <c r="AA43" s="60"/>
      <c r="AB43" s="60"/>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row>
    <row r="44" spans="1:59" ht="15.7" customHeight="1" x14ac:dyDescent="0.35">
      <c r="A44" s="22" t="s">
        <v>962</v>
      </c>
      <c r="B44" s="72" t="s">
        <v>963</v>
      </c>
      <c r="C44" s="72" t="s">
        <v>963</v>
      </c>
      <c r="D44" s="32"/>
      <c r="E44" s="32"/>
      <c r="F44" s="32"/>
      <c r="G44" s="73"/>
      <c r="H44" s="73"/>
      <c r="I44" s="73"/>
      <c r="J44" s="73"/>
      <c r="K44" s="74">
        <f t="shared" ref="K44:X44" si="15">SUM(K46,K49:K55)</f>
        <v>9762.6549999999988</v>
      </c>
      <c r="L44" s="74">
        <f t="shared" si="15"/>
        <v>12326.397000000001</v>
      </c>
      <c r="M44" s="74">
        <f t="shared" si="15"/>
        <v>16774.904999999999</v>
      </c>
      <c r="N44" s="74">
        <f t="shared" si="15"/>
        <v>23397.291000000001</v>
      </c>
      <c r="O44" s="74">
        <f t="shared" si="15"/>
        <v>32249.500000000004</v>
      </c>
      <c r="P44" s="74">
        <f t="shared" si="15"/>
        <v>40685.634000000005</v>
      </c>
      <c r="Q44" s="74">
        <f t="shared" si="15"/>
        <v>46030.725000000006</v>
      </c>
      <c r="R44" s="74">
        <f t="shared" si="15"/>
        <v>63040.636000000006</v>
      </c>
      <c r="S44" s="74">
        <f t="shared" si="15"/>
        <v>75859.422999999995</v>
      </c>
      <c r="T44" s="74">
        <f t="shared" si="15"/>
        <v>85924.262000000002</v>
      </c>
      <c r="U44" s="74">
        <f t="shared" si="15"/>
        <v>98804.266000000003</v>
      </c>
      <c r="V44" s="74">
        <f t="shared" si="15"/>
        <v>105327.522</v>
      </c>
      <c r="W44" s="74">
        <f t="shared" si="15"/>
        <v>100669.766</v>
      </c>
      <c r="X44" s="74">
        <f t="shared" si="15"/>
        <v>100751.07299999999</v>
      </c>
      <c r="Y44" s="74">
        <f t="shared" ref="Y44:Z44" si="16">SUM(Y46,Y49:Y55)</f>
        <v>92133.462</v>
      </c>
      <c r="Z44" s="74">
        <f t="shared" si="16"/>
        <v>96784.994999999995</v>
      </c>
      <c r="AA44" s="74">
        <f t="shared" ref="AA44:AB44" ca="1" si="17">SUM(AA46,AA49:AA55)</f>
        <v>100778.17696118595</v>
      </c>
      <c r="AB44" s="74">
        <f t="shared" ca="1" si="17"/>
        <v>106424.80124225313</v>
      </c>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75"/>
    </row>
    <row r="45" spans="1:59" ht="15.7" customHeight="1" x14ac:dyDescent="0.35">
      <c r="A45" s="22" t="s">
        <v>964</v>
      </c>
      <c r="B45" s="54" t="s">
        <v>965</v>
      </c>
      <c r="C45" s="54" t="s">
        <v>965</v>
      </c>
      <c r="D45" s="37"/>
      <c r="E45" s="37"/>
      <c r="F45" s="37"/>
      <c r="G45" s="55"/>
      <c r="H45" s="55"/>
      <c r="I45" s="55"/>
      <c r="J45" s="55"/>
      <c r="K45" s="56">
        <f>BS!H24</f>
        <v>9762.6549999999988</v>
      </c>
      <c r="L45" s="56">
        <f>BS!I24</f>
        <v>12326.397000000001</v>
      </c>
      <c r="M45" s="56">
        <f>BS!J24</f>
        <v>16774.904999999999</v>
      </c>
      <c r="N45" s="56">
        <f>BS!K24</f>
        <v>23397.291000000001</v>
      </c>
      <c r="O45" s="56">
        <f>BS!L24</f>
        <v>32249.500000000004</v>
      </c>
      <c r="P45" s="56">
        <f>BS!M24</f>
        <v>40685.633999999998</v>
      </c>
      <c r="Q45" s="56">
        <f>BS!N24</f>
        <v>46030.724999999999</v>
      </c>
      <c r="R45" s="56">
        <f>BS!O24</f>
        <v>63040.635999999999</v>
      </c>
      <c r="S45" s="56">
        <f>BS!P24</f>
        <v>75859.422999999995</v>
      </c>
      <c r="T45" s="56">
        <f>BS!Q24</f>
        <v>85924.262000000002</v>
      </c>
      <c r="U45" s="56">
        <f>BS!R24</f>
        <v>98804.266000000003</v>
      </c>
      <c r="V45" s="56">
        <f>BS!S24</f>
        <v>105327.52199999998</v>
      </c>
      <c r="W45" s="56">
        <f>BS!T24</f>
        <v>100669.76600000002</v>
      </c>
      <c r="X45" s="56">
        <f>BS!U24</f>
        <v>101351.405</v>
      </c>
      <c r="Y45" s="56">
        <f>BS!V24</f>
        <v>92779.24</v>
      </c>
      <c r="Z45" s="56">
        <f>BS!W24</f>
        <v>97622.021999999997</v>
      </c>
      <c r="AA45" s="56">
        <f ca="1">BS!X24</f>
        <v>101616.36666499903</v>
      </c>
      <c r="AB45" s="56">
        <f ca="1">BS!Y24</f>
        <v>107266.96420888996</v>
      </c>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57"/>
    </row>
    <row r="46" spans="1:59" ht="15.7" customHeight="1" x14ac:dyDescent="0.35">
      <c r="A46" s="22" t="s">
        <v>966</v>
      </c>
      <c r="B46" s="58" t="s">
        <v>967</v>
      </c>
      <c r="C46" s="58" t="s">
        <v>967</v>
      </c>
      <c r="D46" s="33"/>
      <c r="E46" s="33"/>
      <c r="F46" s="33"/>
      <c r="G46" s="59"/>
      <c r="H46" s="59"/>
      <c r="I46" s="59"/>
      <c r="J46" s="59"/>
      <c r="K46" s="60">
        <f>BS!H4</f>
        <v>1454.4449999999999</v>
      </c>
      <c r="L46" s="60">
        <f>BS!I4</f>
        <v>1870.0329999999999</v>
      </c>
      <c r="M46" s="60">
        <f>BS!J4</f>
        <v>2190.951</v>
      </c>
      <c r="N46" s="60">
        <f>BS!K4</f>
        <v>2672.357</v>
      </c>
      <c r="O46" s="60">
        <f>BS!L4</f>
        <v>2827.3</v>
      </c>
      <c r="P46" s="60">
        <f>BS!M4</f>
        <v>2786.9160000000002</v>
      </c>
      <c r="Q46" s="60">
        <f>BS!N4</f>
        <v>2493.761</v>
      </c>
      <c r="R46" s="60">
        <f>BS!O4</f>
        <v>3818.806</v>
      </c>
      <c r="S46" s="60">
        <f>BS!P4</f>
        <v>4149.8060000000005</v>
      </c>
      <c r="T46" s="60">
        <f>BS!Q4</f>
        <v>4726.3779999999997</v>
      </c>
      <c r="U46" s="60">
        <f>BS!R4</f>
        <v>5390.5469999999996</v>
      </c>
      <c r="V46" s="60">
        <f>BS!S4</f>
        <v>5698.3360000000002</v>
      </c>
      <c r="W46" s="60">
        <f>BS!T4</f>
        <v>5439.8409999999994</v>
      </c>
      <c r="X46" s="60">
        <f>BS!U4</f>
        <v>5664.826</v>
      </c>
      <c r="Y46" s="60">
        <f>BS!V4</f>
        <v>5747.1190000000006</v>
      </c>
      <c r="Z46" s="60">
        <f>BS!W4</f>
        <v>6505.4290000000001</v>
      </c>
      <c r="AA46" s="60">
        <f>BS!X4</f>
        <v>7340.016184924546</v>
      </c>
      <c r="AB46" s="60">
        <f>BS!Y4</f>
        <v>8205.1341756572838</v>
      </c>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61"/>
    </row>
    <row r="47" spans="1:59" ht="15.7" customHeight="1" x14ac:dyDescent="0.35">
      <c r="A47" s="22" t="s">
        <v>968</v>
      </c>
      <c r="B47" s="58" t="s">
        <v>969</v>
      </c>
      <c r="C47" s="58" t="s">
        <v>969</v>
      </c>
      <c r="D47" s="33"/>
      <c r="E47" s="33"/>
      <c r="F47" s="33"/>
      <c r="G47" s="59"/>
      <c r="H47" s="59"/>
      <c r="I47" s="59"/>
      <c r="J47" s="59"/>
      <c r="K47" s="60">
        <f t="shared" ref="K47:Y47" si="18">K46+K48</f>
        <v>2411.6099999999997</v>
      </c>
      <c r="L47" s="60">
        <f t="shared" si="18"/>
        <v>2933.154</v>
      </c>
      <c r="M47" s="60">
        <f t="shared" si="18"/>
        <v>3396.529</v>
      </c>
      <c r="N47" s="60">
        <f t="shared" si="18"/>
        <v>4115.7710000000006</v>
      </c>
      <c r="O47" s="60">
        <f t="shared" si="18"/>
        <v>4518.7309999999998</v>
      </c>
      <c r="P47" s="60">
        <f t="shared" si="18"/>
        <v>4664.9859999999999</v>
      </c>
      <c r="Q47" s="60">
        <f t="shared" si="18"/>
        <v>4557.0650000000005</v>
      </c>
      <c r="R47" s="60">
        <f t="shared" si="18"/>
        <v>6227.9169999999995</v>
      </c>
      <c r="S47" s="60">
        <f t="shared" si="18"/>
        <v>6750.5920000000006</v>
      </c>
      <c r="T47" s="60">
        <f t="shared" si="18"/>
        <v>7505.9409999999998</v>
      </c>
      <c r="U47" s="60">
        <f t="shared" si="18"/>
        <v>8527.6810000000005</v>
      </c>
      <c r="V47" s="60">
        <f t="shared" si="18"/>
        <v>9203.1720000000005</v>
      </c>
      <c r="W47" s="60">
        <f t="shared" si="18"/>
        <v>9039.6229999999996</v>
      </c>
      <c r="X47" s="60">
        <f t="shared" si="18"/>
        <v>10060.441529770409</v>
      </c>
      <c r="Y47" s="60">
        <f t="shared" si="18"/>
        <v>11032.453465697976</v>
      </c>
      <c r="Z47" s="60">
        <f t="shared" ref="Z47:AA47" si="19">Z46+Z48</f>
        <v>11871.234539960638</v>
      </c>
      <c r="AA47" s="60">
        <f t="shared" si="19"/>
        <v>12718.981395086574</v>
      </c>
      <c r="AB47" s="60">
        <f t="shared" ref="AB47" si="20">AB46+AB48</f>
        <v>13630.662964298925</v>
      </c>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61"/>
    </row>
    <row r="48" spans="1:59" ht="15.7" customHeight="1" x14ac:dyDescent="0.35">
      <c r="A48" s="22" t="s">
        <v>970</v>
      </c>
      <c r="B48" s="58" t="s">
        <v>971</v>
      </c>
      <c r="C48" s="58" t="s">
        <v>971</v>
      </c>
      <c r="D48" s="33"/>
      <c r="E48" s="33"/>
      <c r="F48" s="33"/>
      <c r="G48" s="59"/>
      <c r="H48" s="59"/>
      <c r="I48" s="59"/>
      <c r="J48" s="59"/>
      <c r="K48" s="60">
        <f>CAPEX!H76</f>
        <v>957.16499999999996</v>
      </c>
      <c r="L48" s="60">
        <f>CAPEX!I76</f>
        <v>1063.1210000000001</v>
      </c>
      <c r="M48" s="60">
        <f>CAPEX!J76</f>
        <v>1205.578</v>
      </c>
      <c r="N48" s="60">
        <f>CAPEX!K76</f>
        <v>1443.4140000000002</v>
      </c>
      <c r="O48" s="60">
        <f>CAPEX!L76</f>
        <v>1691.431</v>
      </c>
      <c r="P48" s="60">
        <f>CAPEX!M76</f>
        <v>1878.07</v>
      </c>
      <c r="Q48" s="60">
        <f>CAPEX!N76</f>
        <v>2063.3040000000001</v>
      </c>
      <c r="R48" s="60">
        <f>CAPEX!O76</f>
        <v>2409.1109999999999</v>
      </c>
      <c r="S48" s="60">
        <f>CAPEX!P76</f>
        <v>2600.7860000000001</v>
      </c>
      <c r="T48" s="60">
        <f>CAPEX!Q76</f>
        <v>2779.5630000000001</v>
      </c>
      <c r="U48" s="60">
        <f>CAPEX!R76</f>
        <v>3137.134</v>
      </c>
      <c r="V48" s="60">
        <f>CAPEX!S76</f>
        <v>3504.8359999999998</v>
      </c>
      <c r="W48" s="60">
        <f>CAPEX!T76</f>
        <v>3599.7820000000002</v>
      </c>
      <c r="X48" s="60">
        <f>CAPEX!U76</f>
        <v>4395.615529770409</v>
      </c>
      <c r="Y48" s="60">
        <f>CAPEX!V76</f>
        <v>5285.3344656979752</v>
      </c>
      <c r="Z48" s="60">
        <f>CAPEX!W76</f>
        <v>5365.8055399606383</v>
      </c>
      <c r="AA48" s="60">
        <f>CAPEX!X76</f>
        <v>5378.9652101620277</v>
      </c>
      <c r="AB48" s="60">
        <f>CAPEX!Y76</f>
        <v>5425.5287886416418</v>
      </c>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61"/>
    </row>
    <row r="49" spans="1:53" ht="15.7" customHeight="1" x14ac:dyDescent="0.35">
      <c r="A49" s="22" t="s">
        <v>972</v>
      </c>
      <c r="B49" s="58" t="s">
        <v>973</v>
      </c>
      <c r="C49" s="58" t="s">
        <v>973</v>
      </c>
      <c r="D49" s="33"/>
      <c r="E49" s="33"/>
      <c r="F49" s="33"/>
      <c r="G49" s="59"/>
      <c r="H49" s="59"/>
      <c r="I49" s="59"/>
      <c r="J49" s="59"/>
      <c r="K49" s="60">
        <f>BS!H5</f>
        <v>42.037999999999997</v>
      </c>
      <c r="L49" s="60">
        <f>BS!I5</f>
        <v>41.063000000000002</v>
      </c>
      <c r="M49" s="60">
        <f>BS!J5</f>
        <v>40.043999999999997</v>
      </c>
      <c r="N49" s="60">
        <f>BS!K5</f>
        <v>39.085000000000001</v>
      </c>
      <c r="O49" s="60">
        <f>BS!L5</f>
        <v>38.073</v>
      </c>
      <c r="P49" s="60">
        <f>BS!M5</f>
        <v>3050.4679999999998</v>
      </c>
      <c r="Q49" s="60">
        <f>BS!N5</f>
        <v>4249.5200000000004</v>
      </c>
      <c r="R49" s="60">
        <f>BS!O5</f>
        <v>4750.2650000000003</v>
      </c>
      <c r="S49" s="60">
        <f>BS!P5</f>
        <v>4680.7759999999998</v>
      </c>
      <c r="T49" s="60">
        <f>BS!Q5</f>
        <v>5067.3330000000005</v>
      </c>
      <c r="U49" s="60">
        <f>BS!R5</f>
        <v>4643.3310000000001</v>
      </c>
      <c r="V49" s="60">
        <f>BS!S5</f>
        <v>5126.232</v>
      </c>
      <c r="W49" s="60">
        <f>BS!T5</f>
        <v>7080.2719999999999</v>
      </c>
      <c r="X49" s="60">
        <f>BS!U5</f>
        <v>6923.8490000000002</v>
      </c>
      <c r="Y49" s="60">
        <f>BS!V5</f>
        <v>6437.4530000000004</v>
      </c>
      <c r="Z49" s="60">
        <f>BS!W5</f>
        <v>6738.116</v>
      </c>
      <c r="AA49" s="60">
        <f>BS!X5</f>
        <v>6737.116</v>
      </c>
      <c r="AB49" s="60">
        <f>BS!Y5</f>
        <v>6736.116</v>
      </c>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61"/>
    </row>
    <row r="50" spans="1:53" ht="15.7" customHeight="1" x14ac:dyDescent="0.35">
      <c r="A50" s="22" t="s">
        <v>974</v>
      </c>
      <c r="B50" s="58" t="s">
        <v>975</v>
      </c>
      <c r="C50" s="58" t="s">
        <v>975</v>
      </c>
      <c r="D50" s="33"/>
      <c r="E50" s="33"/>
      <c r="F50" s="33"/>
      <c r="G50" s="59"/>
      <c r="H50" s="59"/>
      <c r="I50" s="59"/>
      <c r="J50" s="59"/>
      <c r="K50" s="60">
        <f>BS!H9+BS!H10+BS!H6+BS!H11+BS!H12</f>
        <v>3465.9229999999998</v>
      </c>
      <c r="L50" s="60">
        <f>BS!I9+BS!I10+BS!I6+BS!I11+BS!I12</f>
        <v>3793.0810000000001</v>
      </c>
      <c r="M50" s="60">
        <f>BS!J9+BS!J10+BS!J6+BS!J11+BS!J12</f>
        <v>4437.1099999999997</v>
      </c>
      <c r="N50" s="60">
        <f>BS!K9+BS!K10+BS!K6+BS!K11+BS!K12</f>
        <v>4154.9000000000005</v>
      </c>
      <c r="O50" s="60">
        <f>BS!L9+BS!L10+BS!L6+BS!L11+BS!L12</f>
        <v>7697.0910000000003</v>
      </c>
      <c r="P50" s="60">
        <f>BS!M9+BS!M10+BS!M6+BS!M11+BS!M12</f>
        <v>9335.755000000001</v>
      </c>
      <c r="Q50" s="60">
        <f>BS!N9+BS!N10+BS!N6+BS!N11+BS!N12</f>
        <v>10918.220000000001</v>
      </c>
      <c r="R50" s="60">
        <f>BS!O9+BS!O10+BS!O6+BS!O11+BS!O12</f>
        <v>18566.812000000002</v>
      </c>
      <c r="S50" s="60">
        <f>BS!P9+BS!P10+BS!P6+BS!P11+BS!P12</f>
        <v>21353.169000000002</v>
      </c>
      <c r="T50" s="60">
        <f>BS!Q9+BS!Q10+BS!Q6+BS!Q11+BS!Q12</f>
        <v>25349.668000000001</v>
      </c>
      <c r="U50" s="60">
        <f>BS!R9+BS!R10+BS!R6+BS!R11+BS!R12</f>
        <v>29275.329000000005</v>
      </c>
      <c r="V50" s="60">
        <f>BS!S9+BS!S10+BS!S6+BS!S11+BS!S12</f>
        <v>33728.050999999999</v>
      </c>
      <c r="W50" s="60">
        <f>BS!T9+BS!T10+BS!T6+BS!T11+BS!T12</f>
        <v>29233.346000000005</v>
      </c>
      <c r="X50" s="60">
        <f>BS!U9+BS!U10+BS!U6+BS!U11+BS!U12</f>
        <v>26899.984000000004</v>
      </c>
      <c r="Y50" s="60">
        <f>BS!V9+BS!V10+BS!V6+BS!V11+BS!V12</f>
        <v>25021.239000000001</v>
      </c>
      <c r="Z50" s="60">
        <f>BS!W9+BS!W10+BS!W6+BS!W11+BS!W12</f>
        <v>25342.61</v>
      </c>
      <c r="AA50" s="60">
        <f ca="1">BS!X9+BS!X10+BS!X6+BS!X11+BS!X12</f>
        <v>25703.238826838093</v>
      </c>
      <c r="AB50" s="60">
        <f ca="1">BS!Y9+BS!Y10+BS!Y6+BS!Y11+BS!Y12</f>
        <v>26046.338829638094</v>
      </c>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61"/>
    </row>
    <row r="51" spans="1:53" ht="15.7" customHeight="1" x14ac:dyDescent="0.35">
      <c r="A51" s="22" t="s">
        <v>976</v>
      </c>
      <c r="B51" s="58" t="s">
        <v>977</v>
      </c>
      <c r="C51" s="58" t="s">
        <v>977</v>
      </c>
      <c r="D51" s="33"/>
      <c r="E51" s="33"/>
      <c r="F51" s="33"/>
      <c r="G51" s="59"/>
      <c r="H51" s="59"/>
      <c r="I51" s="59"/>
      <c r="J51" s="59"/>
      <c r="K51" s="60">
        <f>BS!H22</f>
        <v>0</v>
      </c>
      <c r="L51" s="60">
        <f>BS!I22</f>
        <v>0</v>
      </c>
      <c r="M51" s="60">
        <f>BS!J22</f>
        <v>577.66399999999999</v>
      </c>
      <c r="N51" s="60">
        <f>BS!K22</f>
        <v>577.66399999999999</v>
      </c>
      <c r="O51" s="60">
        <f>BS!L22</f>
        <v>577.66399999999999</v>
      </c>
      <c r="P51" s="60">
        <f>BS!M22</f>
        <v>577.66399999999999</v>
      </c>
      <c r="Q51" s="60">
        <f>BS!N22</f>
        <v>577.66399999999999</v>
      </c>
      <c r="R51" s="60">
        <f>BS!O22</f>
        <v>577.66399999999999</v>
      </c>
      <c r="S51" s="60">
        <f>BS!P22</f>
        <v>577.66399999999999</v>
      </c>
      <c r="T51" s="60">
        <f>BS!Q22</f>
        <v>577.66399999999999</v>
      </c>
      <c r="U51" s="60">
        <f>BS!R22</f>
        <v>577.66399999999999</v>
      </c>
      <c r="V51" s="60">
        <f>BS!S22</f>
        <v>577.66399999999999</v>
      </c>
      <c r="W51" s="60">
        <f>BS!T22</f>
        <v>577.66399999999999</v>
      </c>
      <c r="X51" s="60">
        <f>BS!U22</f>
        <v>577.66399999999999</v>
      </c>
      <c r="Y51" s="60">
        <f>BS!V22</f>
        <v>537.22799999999995</v>
      </c>
      <c r="Z51" s="60">
        <f>BS!W22</f>
        <v>519.9</v>
      </c>
      <c r="AA51" s="60">
        <f>BS!X22</f>
        <v>519.9</v>
      </c>
      <c r="AB51" s="60">
        <f>BS!Y22</f>
        <v>519.9</v>
      </c>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61"/>
    </row>
    <row r="52" spans="1:53" ht="15.7" customHeight="1" x14ac:dyDescent="0.35">
      <c r="A52" s="22" t="s">
        <v>978</v>
      </c>
      <c r="B52" s="58" t="s">
        <v>979</v>
      </c>
      <c r="C52" s="58" t="s">
        <v>979</v>
      </c>
      <c r="D52" s="33"/>
      <c r="E52" s="33"/>
      <c r="F52" s="33"/>
      <c r="G52" s="59"/>
      <c r="H52" s="59"/>
      <c r="I52" s="59"/>
      <c r="J52" s="59"/>
      <c r="K52" s="60">
        <f>BS!H8</f>
        <v>172.25800000000001</v>
      </c>
      <c r="L52" s="60">
        <f>BS!I8</f>
        <v>180.197</v>
      </c>
      <c r="M52" s="60">
        <f>BS!J8</f>
        <v>182.291</v>
      </c>
      <c r="N52" s="60">
        <f>BS!K8</f>
        <v>280.06299999999999</v>
      </c>
      <c r="O52" s="60">
        <f>BS!L8</f>
        <v>273.02199999999999</v>
      </c>
      <c r="P52" s="60">
        <f>BS!M8</f>
        <v>269.81599999999997</v>
      </c>
      <c r="Q52" s="60">
        <f>BS!N8</f>
        <v>315.09699999999998</v>
      </c>
      <c r="R52" s="60">
        <f>BS!O8</f>
        <v>391.30599999999998</v>
      </c>
      <c r="S52" s="60">
        <f>BS!P8</f>
        <v>367.03199999999998</v>
      </c>
      <c r="T52" s="60">
        <f>BS!Q8</f>
        <v>0</v>
      </c>
      <c r="U52" s="60">
        <f>BS!R8</f>
        <v>0</v>
      </c>
      <c r="V52" s="60">
        <f>BS!S8</f>
        <v>0</v>
      </c>
      <c r="W52" s="60">
        <f>BS!T8</f>
        <v>0</v>
      </c>
      <c r="X52" s="60">
        <f>BS!U8</f>
        <v>0</v>
      </c>
      <c r="Y52" s="60">
        <f>BS!V8</f>
        <v>0</v>
      </c>
      <c r="Z52" s="60">
        <f>BS!W8</f>
        <v>0</v>
      </c>
      <c r="AA52" s="60">
        <f>BS!X8</f>
        <v>0</v>
      </c>
      <c r="AB52" s="60">
        <f>BS!Y8</f>
        <v>0</v>
      </c>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61"/>
    </row>
    <row r="53" spans="1:53" ht="15.7" customHeight="1" x14ac:dyDescent="0.35">
      <c r="A53" s="22" t="s">
        <v>980</v>
      </c>
      <c r="B53" s="58" t="s">
        <v>981</v>
      </c>
      <c r="C53" s="58" t="s">
        <v>981</v>
      </c>
      <c r="D53" s="33"/>
      <c r="E53" s="33"/>
      <c r="F53" s="33"/>
      <c r="G53" s="59"/>
      <c r="H53" s="59"/>
      <c r="I53" s="59"/>
      <c r="J53" s="59"/>
      <c r="K53" s="60">
        <f>BS!H15</f>
        <v>0</v>
      </c>
      <c r="L53" s="60">
        <f>BS!I15</f>
        <v>0</v>
      </c>
      <c r="M53" s="60">
        <f>BS!J15</f>
        <v>0</v>
      </c>
      <c r="N53" s="60">
        <f>BS!K15</f>
        <v>151.02699999999999</v>
      </c>
      <c r="O53" s="60">
        <f>BS!L15</f>
        <v>187.32</v>
      </c>
      <c r="P53" s="60">
        <f>BS!M15</f>
        <v>280.95100000000002</v>
      </c>
      <c r="Q53" s="60">
        <f>BS!N15</f>
        <v>225.006</v>
      </c>
      <c r="R53" s="60">
        <f>BS!O15</f>
        <v>222.58</v>
      </c>
      <c r="S53" s="60">
        <f>BS!P15</f>
        <v>198.83</v>
      </c>
      <c r="T53" s="60">
        <f>BS!Q15</f>
        <v>157.833</v>
      </c>
      <c r="U53" s="60">
        <f>BS!R15</f>
        <v>177.691</v>
      </c>
      <c r="V53" s="60">
        <f>BS!S15</f>
        <v>173.76400000000001</v>
      </c>
      <c r="W53" s="60">
        <f>BS!T15</f>
        <v>119.69799999999999</v>
      </c>
      <c r="X53" s="60">
        <f>BS!U15</f>
        <v>123.17</v>
      </c>
      <c r="Y53" s="60">
        <f>BS!V15</f>
        <v>104.37899999999999</v>
      </c>
      <c r="Z53" s="60">
        <f>BS!W15</f>
        <v>114.67</v>
      </c>
      <c r="AA53" s="60">
        <f>BS!X15</f>
        <v>118.22255119230928</v>
      </c>
      <c r="AB53" s="60">
        <f>BS!Y15</f>
        <v>130.36254714211512</v>
      </c>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61"/>
    </row>
    <row r="54" spans="1:53" ht="15.7" customHeight="1" x14ac:dyDescent="0.35">
      <c r="A54" s="22" t="s">
        <v>982</v>
      </c>
      <c r="B54" s="58" t="s">
        <v>983</v>
      </c>
      <c r="C54" s="58" t="s">
        <v>983</v>
      </c>
      <c r="D54" s="33"/>
      <c r="E54" s="33"/>
      <c r="F54" s="33"/>
      <c r="G54" s="59"/>
      <c r="H54" s="59"/>
      <c r="I54" s="59"/>
      <c r="J54" s="59"/>
      <c r="K54" s="60"/>
      <c r="L54" s="60"/>
      <c r="M54" s="60"/>
      <c r="N54" s="60"/>
      <c r="O54" s="60"/>
      <c r="P54" s="60"/>
      <c r="Q54" s="60"/>
      <c r="R54" s="60"/>
      <c r="S54" s="60"/>
      <c r="T54" s="60"/>
      <c r="U54" s="60"/>
      <c r="V54" s="60"/>
      <c r="W54" s="60"/>
      <c r="X54" s="60"/>
      <c r="Y54" s="60"/>
      <c r="Z54" s="60"/>
      <c r="AA54" s="60"/>
      <c r="AB54" s="60"/>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61"/>
    </row>
    <row r="55" spans="1:53" ht="15.7" customHeight="1" x14ac:dyDescent="0.35">
      <c r="A55" s="22" t="s">
        <v>984</v>
      </c>
      <c r="B55" s="58" t="s">
        <v>985</v>
      </c>
      <c r="C55" s="58" t="s">
        <v>985</v>
      </c>
      <c r="D55" s="33"/>
      <c r="E55" s="33"/>
      <c r="F55" s="33"/>
      <c r="G55" s="59"/>
      <c r="H55" s="59"/>
      <c r="I55" s="59"/>
      <c r="J55" s="59"/>
      <c r="K55" s="60">
        <f>BS!H7+BS!H13+BS!H20+BS!H14+BS!H17+BS!H18+BS!H19+BS!H16</f>
        <v>4627.991</v>
      </c>
      <c r="L55" s="60">
        <f>BS!I7+BS!I13+BS!I20+BS!I14+BS!I17+BS!I18+BS!I19+BS!I16</f>
        <v>6442.0230000000001</v>
      </c>
      <c r="M55" s="60">
        <f>BS!J7+BS!J13+BS!J20+BS!J14+BS!J17+BS!J18+BS!J19+BS!J16</f>
        <v>9346.8449999999993</v>
      </c>
      <c r="N55" s="60">
        <f>BS!K7+BS!K13+BS!K20+BS!K14+BS!K17+BS!K18+BS!K19+BS!K16</f>
        <v>15522.195</v>
      </c>
      <c r="O55" s="60">
        <f>BS!L7+BS!L13+BS!L20+BS!L14+BS!L17+BS!L18+BS!L19+BS!L16</f>
        <v>20649.030000000002</v>
      </c>
      <c r="P55" s="60">
        <f>BS!M7+BS!M13+BS!M20+BS!M14+BS!M17+BS!M18+BS!M19+BS!M16</f>
        <v>24384.064000000002</v>
      </c>
      <c r="Q55" s="60">
        <f>BS!N7+BS!N13+BS!N20+BS!N14+BS!N17+BS!N18+BS!N19+BS!N16</f>
        <v>27251.456999999999</v>
      </c>
      <c r="R55" s="60">
        <f>BS!O7+BS!O13+BS!O20+BS!O14+BS!O17+BS!O18+BS!O19+BS!O16</f>
        <v>34713.203000000001</v>
      </c>
      <c r="S55" s="60">
        <f>BS!P7+BS!P13+BS!P20+BS!P14+BS!P17+BS!P18+BS!P19+BS!P16</f>
        <v>44532.145999999993</v>
      </c>
      <c r="T55" s="60">
        <f>BS!Q7+BS!Q13+BS!Q20+BS!Q14+BS!Q17+BS!Q18+BS!Q19+BS!Q16</f>
        <v>50045.386000000006</v>
      </c>
      <c r="U55" s="60">
        <f>BS!R7+BS!R13+BS!R20+BS!R14+BS!R17+BS!R18+BS!R19+BS!R16</f>
        <v>58739.703999999998</v>
      </c>
      <c r="V55" s="60">
        <f>BS!S7+BS!S13+BS!S20+BS!S14+BS!S17+BS!S18+BS!S19+BS!S16</f>
        <v>60023.474999999999</v>
      </c>
      <c r="W55" s="60">
        <f>BS!T7+BS!T13+BS!T20+BS!T14+BS!T17+BS!T18+BS!T19+BS!T16</f>
        <v>58218.945</v>
      </c>
      <c r="X55" s="60">
        <f>BS!U7+BS!U13+BS!U20+BS!U14+BS!U17+BS!U18+BS!U19+BS!U16</f>
        <v>60561.579999999994</v>
      </c>
      <c r="Y55" s="60">
        <f>BS!V7+BS!V13+BS!V20+BS!V14+BS!V17+BS!V18+BS!V19+BS!V16</f>
        <v>54286.044000000002</v>
      </c>
      <c r="Z55" s="60">
        <f>BS!W7+BS!W13+BS!W20+BS!W14+BS!W17+BS!W18+BS!W19+BS!W16</f>
        <v>57564.27</v>
      </c>
      <c r="AA55" s="60">
        <f>BS!X7+BS!X13+BS!X20+BS!X14+BS!X17+BS!X18+BS!X19+BS!X16</f>
        <v>60359.683398230998</v>
      </c>
      <c r="AB55" s="60">
        <f>BS!Y7+BS!Y13+BS!Y20+BS!Y14+BS!Y17+BS!Y18+BS!Y19+BS!Y16</f>
        <v>64786.949689815636</v>
      </c>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61"/>
    </row>
    <row r="56" spans="1:53" ht="15.7" customHeight="1" x14ac:dyDescent="0.35">
      <c r="A56" s="22" t="s">
        <v>986</v>
      </c>
      <c r="B56" s="54" t="s">
        <v>987</v>
      </c>
      <c r="C56" s="54" t="s">
        <v>987</v>
      </c>
      <c r="D56" s="37"/>
      <c r="E56" s="37"/>
      <c r="F56" s="37"/>
      <c r="G56" s="55"/>
      <c r="H56" s="55"/>
      <c r="I56" s="55"/>
      <c r="J56" s="55"/>
      <c r="K56" s="56">
        <f>BS!H41</f>
        <v>8916.7669999999998</v>
      </c>
      <c r="L56" s="56">
        <f>BS!I41</f>
        <v>14406.746999999999</v>
      </c>
      <c r="M56" s="56">
        <f>BS!J41</f>
        <v>20437.889999999996</v>
      </c>
      <c r="N56" s="56">
        <f>BS!K41</f>
        <v>29053.372999999985</v>
      </c>
      <c r="O56" s="56">
        <f>BS!L41</f>
        <v>34329.607000000004</v>
      </c>
      <c r="P56" s="56">
        <f>BS!M41</f>
        <v>32418.46100000001</v>
      </c>
      <c r="Q56" s="56">
        <f>BS!N41</f>
        <v>40143.720000000008</v>
      </c>
      <c r="R56" s="56">
        <f>BS!O41</f>
        <v>55477.637000000017</v>
      </c>
      <c r="S56" s="56">
        <f>BS!P41</f>
        <v>60262.668000000005</v>
      </c>
      <c r="T56" s="56">
        <f>BS!Q41</f>
        <v>75499.641000000003</v>
      </c>
      <c r="U56" s="56">
        <f>BS!R41</f>
        <v>88007.041000000012</v>
      </c>
      <c r="V56" s="56">
        <f>BS!S41</f>
        <v>113956.90300000002</v>
      </c>
      <c r="W56" s="56">
        <f>BS!T41</f>
        <v>128180.36300000001</v>
      </c>
      <c r="X56" s="56">
        <f>BS!U41</f>
        <v>147923.28</v>
      </c>
      <c r="Y56" s="56">
        <f>BS!V41</f>
        <v>170658.64199999999</v>
      </c>
      <c r="Z56" s="56">
        <f>BS!W41</f>
        <v>183067.30399999995</v>
      </c>
      <c r="AA56" s="56">
        <f ca="1">BS!X41</f>
        <v>190301.52791073351</v>
      </c>
      <c r="AB56" s="56">
        <f ca="1">BS!Y41</f>
        <v>206818.20304416507</v>
      </c>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57"/>
    </row>
    <row r="57" spans="1:53" ht="15.7" customHeight="1" x14ac:dyDescent="0.35">
      <c r="A57" s="22" t="s">
        <v>988</v>
      </c>
      <c r="B57" s="58" t="s">
        <v>989</v>
      </c>
      <c r="C57" s="58" t="s">
        <v>989</v>
      </c>
      <c r="D57" s="33"/>
      <c r="E57" s="33"/>
      <c r="F57" s="33"/>
      <c r="G57" s="59"/>
      <c r="H57" s="59"/>
      <c r="I57" s="59"/>
      <c r="J57" s="59"/>
      <c r="K57" s="60">
        <f>BS!H38+BS!H39</f>
        <v>3729.7429999999999</v>
      </c>
      <c r="L57" s="60">
        <f>BS!I38+BS!I39</f>
        <v>5458.66</v>
      </c>
      <c r="M57" s="60">
        <f>BS!J38+BS!J39</f>
        <v>6717.4289999999992</v>
      </c>
      <c r="N57" s="60">
        <f>BS!K38+BS!K39</f>
        <v>8126.3450000000003</v>
      </c>
      <c r="O57" s="60">
        <f>BS!L38+BS!L39</f>
        <v>7452.4480000000003</v>
      </c>
      <c r="P57" s="60">
        <f>BS!M38+BS!M39</f>
        <v>8026.2240000000002</v>
      </c>
      <c r="Q57" s="60">
        <f>BS!N38+BS!N39</f>
        <v>11484.652</v>
      </c>
      <c r="R57" s="60">
        <f>BS!O38+BS!O39</f>
        <v>17593.203000000001</v>
      </c>
      <c r="S57" s="60">
        <f>BS!P38+BS!P39</f>
        <v>17925.707999999999</v>
      </c>
      <c r="T57" s="60">
        <f>BS!Q38+BS!Q39</f>
        <v>22623.620999999999</v>
      </c>
      <c r="U57" s="60">
        <f>BS!R38+BS!R39</f>
        <v>22455.362000000001</v>
      </c>
      <c r="V57" s="60">
        <f>BS!S38+BS!S39</f>
        <v>24407.419000000002</v>
      </c>
      <c r="W57" s="60">
        <f>BS!T38+BS!T39</f>
        <v>23881.499</v>
      </c>
      <c r="X57" s="60">
        <f>BS!U38+BS!U39</f>
        <v>28462.888999999999</v>
      </c>
      <c r="Y57" s="60">
        <f>BS!V38+BS!V39</f>
        <v>28589.158000000003</v>
      </c>
      <c r="Z57" s="60">
        <f>BS!W38+BS!W39</f>
        <v>30328.6</v>
      </c>
      <c r="AA57" s="60">
        <f ca="1">BS!X38+BS!X39</f>
        <v>31766.567092227957</v>
      </c>
      <c r="AB57" s="60">
        <f ca="1">BS!Y38+BS!Y39</f>
        <v>31330.235032460849</v>
      </c>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61"/>
    </row>
    <row r="58" spans="1:53" ht="15.7" customHeight="1" x14ac:dyDescent="0.35">
      <c r="A58" s="22" t="s">
        <v>990</v>
      </c>
      <c r="B58" s="58" t="s">
        <v>991</v>
      </c>
      <c r="C58" s="58" t="s">
        <v>991</v>
      </c>
      <c r="D58" s="33"/>
      <c r="E58" s="33"/>
      <c r="F58" s="33"/>
      <c r="G58" s="59"/>
      <c r="H58" s="59"/>
      <c r="I58" s="59"/>
      <c r="J58" s="59"/>
      <c r="K58" s="60">
        <f>BS!H35+BS!H36</f>
        <v>10.519</v>
      </c>
      <c r="L58" s="60">
        <f>BS!I35+BS!I36</f>
        <v>11.209</v>
      </c>
      <c r="M58" s="60">
        <f>BS!J35+BS!J36</f>
        <v>16.344999999999999</v>
      </c>
      <c r="N58" s="60">
        <f>BS!K35+BS!K36</f>
        <v>18.988</v>
      </c>
      <c r="O58" s="60">
        <f>BS!L35+BS!L36</f>
        <v>11.558999999999999</v>
      </c>
      <c r="P58" s="60">
        <f>BS!M35+BS!M36</f>
        <v>41.271000000000001</v>
      </c>
      <c r="Q58" s="60">
        <f>BS!N35+BS!N36</f>
        <v>42.262999999999998</v>
      </c>
      <c r="R58" s="60">
        <f>BS!O35+BS!O36</f>
        <v>30.315000000000001</v>
      </c>
      <c r="S58" s="60">
        <f>BS!P35+BS!P36</f>
        <v>57.901000000000003</v>
      </c>
      <c r="T58" s="60">
        <f>BS!Q35+BS!Q36</f>
        <v>12.127000000000001</v>
      </c>
      <c r="U58" s="60">
        <f>BS!R35+BS!R36</f>
        <v>47.942999999999998</v>
      </c>
      <c r="V58" s="60">
        <f>BS!S35+BS!S36</f>
        <v>122.94199999999999</v>
      </c>
      <c r="W58" s="60">
        <f>BS!T35+BS!T36</f>
        <v>188.82499999999999</v>
      </c>
      <c r="X58" s="60">
        <f>BS!U35+BS!U36</f>
        <v>404.56</v>
      </c>
      <c r="Y58" s="60">
        <f>BS!V35+BS!V36</f>
        <v>537.58799999999997</v>
      </c>
      <c r="Z58" s="60">
        <f>BS!W35+BS!W36</f>
        <v>913.65</v>
      </c>
      <c r="AA58" s="60">
        <f>BS!X35+BS!X36</f>
        <v>935.50649699169401</v>
      </c>
      <c r="AB58" s="60">
        <f>BS!Y35+BS!Y36</f>
        <v>1034.5345637133335</v>
      </c>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61"/>
    </row>
    <row r="59" spans="1:53" ht="15.7" customHeight="1" x14ac:dyDescent="0.35">
      <c r="A59" s="22" t="s">
        <v>992</v>
      </c>
      <c r="B59" s="58" t="s">
        <v>993</v>
      </c>
      <c r="C59" s="58" t="s">
        <v>993</v>
      </c>
      <c r="D59" s="33"/>
      <c r="E59" s="33"/>
      <c r="F59" s="33"/>
      <c r="G59" s="59"/>
      <c r="H59" s="59"/>
      <c r="I59" s="59"/>
      <c r="J59" s="59"/>
      <c r="K59" s="60">
        <f>BS!H27</f>
        <v>117.711</v>
      </c>
      <c r="L59" s="60">
        <f>BS!I27</f>
        <v>149.559</v>
      </c>
      <c r="M59" s="60">
        <f>BS!J27</f>
        <v>185.374</v>
      </c>
      <c r="N59" s="60">
        <f>BS!K27</f>
        <v>163.42699999999999</v>
      </c>
      <c r="O59" s="60">
        <f>BS!L27</f>
        <v>160.28899999999999</v>
      </c>
      <c r="P59" s="60">
        <f>BS!M27</f>
        <v>108.83499999999999</v>
      </c>
      <c r="Q59" s="60">
        <f>BS!N27</f>
        <v>131.36500000000001</v>
      </c>
      <c r="R59" s="60">
        <f>BS!O27</f>
        <v>214.03900000000002</v>
      </c>
      <c r="S59" s="60">
        <f>BS!P27</f>
        <v>280.20400000000001</v>
      </c>
      <c r="T59" s="60">
        <f>BS!Q27</f>
        <v>259.81099999999998</v>
      </c>
      <c r="U59" s="60">
        <f>BS!R27</f>
        <v>410.072</v>
      </c>
      <c r="V59" s="60">
        <f>BS!S27</f>
        <v>366.96699999999998</v>
      </c>
      <c r="W59" s="60">
        <f>BS!T27</f>
        <v>590.24599999999998</v>
      </c>
      <c r="X59" s="60">
        <f>BS!U27</f>
        <v>522.85199999999998</v>
      </c>
      <c r="Y59" s="60">
        <f>BS!V27</f>
        <v>421.71400000000006</v>
      </c>
      <c r="Z59" s="60">
        <f>BS!W27</f>
        <v>460.09</v>
      </c>
      <c r="AA59" s="60">
        <f>BS!X27</f>
        <v>542.18191309240899</v>
      </c>
      <c r="AB59" s="60">
        <f>BS!Y27</f>
        <v>599.57459485104562</v>
      </c>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61"/>
    </row>
    <row r="60" spans="1:53" ht="15.7" customHeight="1" x14ac:dyDescent="0.35">
      <c r="A60" s="22" t="s">
        <v>994</v>
      </c>
      <c r="B60" s="58" t="s">
        <v>995</v>
      </c>
      <c r="C60" s="58" t="s">
        <v>995</v>
      </c>
      <c r="D60" s="33"/>
      <c r="E60" s="33"/>
      <c r="F60" s="33"/>
      <c r="G60" s="59"/>
      <c r="H60" s="59"/>
      <c r="I60" s="59"/>
      <c r="J60" s="59"/>
      <c r="K60" s="60">
        <f>BS!H29+BS!H30+BS!H31+BS!H32</f>
        <v>5027.1840000000002</v>
      </c>
      <c r="L60" s="60">
        <f>BS!I29+BS!I30+BS!I31+BS!I32</f>
        <v>8600.44</v>
      </c>
      <c r="M60" s="60">
        <f>BS!J29+BS!J30+BS!J31+BS!J32</f>
        <v>13351.627999999999</v>
      </c>
      <c r="N60" s="60">
        <f>BS!K29+BS!K30+BS!K31+BS!K32</f>
        <v>20581.142</v>
      </c>
      <c r="O60" s="60">
        <f>BS!L29+BS!L30+BS!L31+BS!L32</f>
        <v>26621.591</v>
      </c>
      <c r="P60" s="60">
        <f>BS!M29+BS!M30+BS!M31+BS!M32</f>
        <v>22683.317000000003</v>
      </c>
      <c r="Q60" s="60">
        <f>BS!N29+BS!N30+BS!N31+BS!N32</f>
        <v>27405.374000000003</v>
      </c>
      <c r="R60" s="60">
        <f>BS!O29+BS!O30+BS!O31+BS!O32</f>
        <v>37181.366999999998</v>
      </c>
      <c r="S60" s="60">
        <f>BS!P29+BS!P30+BS!P31+BS!P32</f>
        <v>38555.235000000001</v>
      </c>
      <c r="T60" s="60">
        <f>BS!Q29+BS!Q30+BS!Q31+BS!Q32</f>
        <v>48696.844000000005</v>
      </c>
      <c r="U60" s="60">
        <f>BS!R29+BS!R30+BS!R31+BS!R32</f>
        <v>58946.161999999997</v>
      </c>
      <c r="V60" s="60">
        <f>BS!S29+BS!S30+BS!S31+BS!S32</f>
        <v>80799.459000000003</v>
      </c>
      <c r="W60" s="60">
        <f>BS!T29+BS!T30+BS!T31+BS!T32</f>
        <v>94311.763999999996</v>
      </c>
      <c r="X60" s="60">
        <f>BS!U29+BS!U30+BS!U31+BS!U32</f>
        <v>107638.66699999999</v>
      </c>
      <c r="Y60" s="60">
        <f>BS!V29+BS!V30+BS!V31+BS!V32</f>
        <v>129880.52</v>
      </c>
      <c r="Z60" s="60">
        <f>BS!W29+BS!W30+BS!W31+BS!W32</f>
        <v>140387.44199999998</v>
      </c>
      <c r="AA60" s="60">
        <f>BS!X29+BS!X30+BS!X31+BS!X32</f>
        <v>145871.55986259316</v>
      </c>
      <c r="AB60" s="60">
        <f>BS!Y29+BS!Y30+BS!Y31+BS!Y32</f>
        <v>162101.56064992075</v>
      </c>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61"/>
    </row>
    <row r="61" spans="1:53" ht="15.7" customHeight="1" x14ac:dyDescent="0.35">
      <c r="A61" s="22" t="s">
        <v>996</v>
      </c>
      <c r="B61" s="58" t="s">
        <v>765</v>
      </c>
      <c r="C61" s="58" t="s">
        <v>765</v>
      </c>
      <c r="D61" s="33"/>
      <c r="E61" s="33"/>
      <c r="F61" s="33"/>
      <c r="G61" s="59"/>
      <c r="H61" s="59"/>
      <c r="I61" s="59"/>
      <c r="J61" s="59"/>
      <c r="K61" s="60">
        <f>BS!H26+BS!H34+BS!H40+BS!H28</f>
        <v>31.61</v>
      </c>
      <c r="L61" s="60">
        <f>BS!I26+BS!I34+BS!I40+BS!I28</f>
        <v>186.87899999999999</v>
      </c>
      <c r="M61" s="60">
        <f>BS!J26+BS!J34+BS!J40+BS!J28</f>
        <v>167.114</v>
      </c>
      <c r="N61" s="60">
        <f>BS!K26+BS!K34+BS!K40+BS!K28</f>
        <v>163.471</v>
      </c>
      <c r="O61" s="60">
        <f>BS!L26+BS!L34+BS!L40+BS!L28</f>
        <v>83.72</v>
      </c>
      <c r="P61" s="60">
        <f>BS!M26+BS!M34+BS!M40+BS!M28</f>
        <v>1558.8140000000001</v>
      </c>
      <c r="Q61" s="60">
        <f>BS!N26+BS!N34+BS!N40+BS!N28</f>
        <v>1080.066</v>
      </c>
      <c r="R61" s="60">
        <f>BS!O26+BS!O34+BS!O40+BS!O28</f>
        <v>458.71300000000002</v>
      </c>
      <c r="S61" s="60">
        <f>BS!P26+BS!P34+BS!P40+BS!P28</f>
        <v>3443.6200000000003</v>
      </c>
      <c r="T61" s="60">
        <f>BS!Q26+BS!Q34+BS!Q40+BS!Q28</f>
        <v>3907.2380000000003</v>
      </c>
      <c r="U61" s="60">
        <f>BS!R26+BS!R34+BS!R40+BS!R28</f>
        <v>6147.5019999999995</v>
      </c>
      <c r="V61" s="60">
        <f>BS!S26+BS!S34+BS!S40+BS!S28</f>
        <v>8260.116</v>
      </c>
      <c r="W61" s="60">
        <f>BS!T26+BS!T34+BS!T40+BS!T28</f>
        <v>9208.0289999999986</v>
      </c>
      <c r="X61" s="60">
        <f>BS!U26+BS!U34+BS!U40+BS!U28</f>
        <v>10894.312</v>
      </c>
      <c r="Y61" s="60">
        <f>BS!V26+BS!V34+BS!V40+BS!V28</f>
        <v>11222.496999999999</v>
      </c>
      <c r="Z61" s="60">
        <f>BS!W26+BS!W34+BS!W40+BS!W28</f>
        <v>10977.522000000001</v>
      </c>
      <c r="AA61" s="60">
        <f>BS!X26+BS!X34+BS!X40+BS!X28</f>
        <v>11185.71254582827</v>
      </c>
      <c r="AB61" s="60">
        <f>BS!Y26+BS!Y34+BS!Y40+BS!Y28</f>
        <v>11752.298203219092</v>
      </c>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61"/>
    </row>
    <row r="62" spans="1:53" ht="15.7" customHeight="1" x14ac:dyDescent="0.35">
      <c r="A62" s="22" t="s">
        <v>997</v>
      </c>
      <c r="B62" s="54" t="s">
        <v>998</v>
      </c>
      <c r="C62" s="54" t="s">
        <v>998</v>
      </c>
      <c r="D62" s="37"/>
      <c r="E62" s="37"/>
      <c r="F62" s="37"/>
      <c r="G62" s="55"/>
      <c r="H62" s="55"/>
      <c r="I62" s="55"/>
      <c r="J62" s="55"/>
      <c r="K62" s="56">
        <f>BS!H43</f>
        <v>18679.421999999999</v>
      </c>
      <c r="L62" s="56">
        <f>BS!I43</f>
        <v>26733.144</v>
      </c>
      <c r="M62" s="56">
        <f>BS!J43</f>
        <v>37212.794999999998</v>
      </c>
      <c r="N62" s="56">
        <f>BS!K43</f>
        <v>52450.66399999999</v>
      </c>
      <c r="O62" s="56">
        <f>BS!L43</f>
        <v>66579.107000000004</v>
      </c>
      <c r="P62" s="56">
        <f>BS!M43</f>
        <v>73104.095000000001</v>
      </c>
      <c r="Q62" s="56">
        <f>BS!N43</f>
        <v>86174.445000000007</v>
      </c>
      <c r="R62" s="56">
        <f>BS!O43</f>
        <v>118518.27300000002</v>
      </c>
      <c r="S62" s="56">
        <f>BS!P43</f>
        <v>136122.09100000001</v>
      </c>
      <c r="T62" s="56">
        <f>BS!Q43</f>
        <v>161423.90299999999</v>
      </c>
      <c r="U62" s="56">
        <f>BS!R43</f>
        <v>186811.30700000003</v>
      </c>
      <c r="V62" s="56">
        <f>BS!S43</f>
        <v>219284.42499999999</v>
      </c>
      <c r="W62" s="56">
        <f>BS!T43</f>
        <v>228850.12900000002</v>
      </c>
      <c r="X62" s="56">
        <f>BS!U43</f>
        <v>249274.685</v>
      </c>
      <c r="Y62" s="56">
        <f>BS!V43</f>
        <v>263437.88199999998</v>
      </c>
      <c r="Z62" s="56">
        <f>BS!W43</f>
        <v>280689.32599999994</v>
      </c>
      <c r="AA62" s="56">
        <f ca="1">BS!X43</f>
        <v>291917.89457573253</v>
      </c>
      <c r="AB62" s="56">
        <f ca="1">BS!Y43</f>
        <v>314085.16725305503</v>
      </c>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57"/>
    </row>
    <row r="63" spans="1:53" ht="15.7" customHeight="1" x14ac:dyDescent="0.35">
      <c r="A63" s="22" t="s">
        <v>999</v>
      </c>
      <c r="B63" s="72" t="s">
        <v>1000</v>
      </c>
      <c r="C63" s="72" t="s">
        <v>1000</v>
      </c>
      <c r="D63" s="32"/>
      <c r="E63" s="32"/>
      <c r="F63" s="32"/>
      <c r="G63" s="76"/>
      <c r="H63" s="76"/>
      <c r="I63" s="76"/>
      <c r="J63" s="76"/>
      <c r="K63" s="77"/>
      <c r="L63" s="77"/>
      <c r="M63" s="77"/>
      <c r="N63" s="77"/>
      <c r="O63" s="77"/>
      <c r="P63" s="77"/>
      <c r="Q63" s="77"/>
      <c r="R63" s="77"/>
      <c r="S63" s="77"/>
      <c r="T63" s="77"/>
      <c r="U63" s="77"/>
      <c r="V63" s="77"/>
      <c r="W63" s="77"/>
      <c r="X63" s="77"/>
      <c r="Y63" s="77"/>
      <c r="Z63" s="77"/>
      <c r="AA63" s="77"/>
      <c r="AB63" s="77"/>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75"/>
    </row>
    <row r="64" spans="1:53" ht="15.7" customHeight="1" x14ac:dyDescent="0.35">
      <c r="A64" s="22" t="s">
        <v>1001</v>
      </c>
      <c r="B64" s="54" t="s">
        <v>1002</v>
      </c>
      <c r="C64" s="54" t="s">
        <v>1002</v>
      </c>
      <c r="D64" s="37"/>
      <c r="E64" s="37"/>
      <c r="F64" s="37"/>
      <c r="G64" s="55"/>
      <c r="H64" s="55"/>
      <c r="I64" s="55"/>
      <c r="J64" s="55"/>
      <c r="K64" s="56">
        <f>BS!H56</f>
        <v>5823.759</v>
      </c>
      <c r="L64" s="56">
        <f>BS!I56</f>
        <v>5659.22</v>
      </c>
      <c r="M64" s="56">
        <f>BS!J56</f>
        <v>10884.353000000001</v>
      </c>
      <c r="N64" s="56">
        <f>BS!K56</f>
        <v>13501.946</v>
      </c>
      <c r="O64" s="56">
        <f>BS!L56</f>
        <v>15360.373</v>
      </c>
      <c r="P64" s="56">
        <f>BS!M56</f>
        <v>18112.61</v>
      </c>
      <c r="Q64" s="56">
        <f>BS!N56</f>
        <v>20788.012999999999</v>
      </c>
      <c r="R64" s="56">
        <f>BS!O56</f>
        <v>27247.649999999998</v>
      </c>
      <c r="S64" s="56">
        <f>BS!P56</f>
        <v>39413.851999999999</v>
      </c>
      <c r="T64" s="56">
        <f>BS!Q56</f>
        <v>39410.567999999999</v>
      </c>
      <c r="U64" s="56">
        <f>BS!R56</f>
        <v>48592.267999999996</v>
      </c>
      <c r="V64" s="56">
        <f>BS!S56</f>
        <v>60145.705999999998</v>
      </c>
      <c r="W64" s="56">
        <f>BS!T56</f>
        <v>58229.033000000003</v>
      </c>
      <c r="X64" s="56">
        <f>BS!U56</f>
        <v>59641.571000000004</v>
      </c>
      <c r="Y64" s="56">
        <f>BS!V56</f>
        <v>66404.300999999992</v>
      </c>
      <c r="Z64" s="56">
        <f>BS!W56</f>
        <v>70427.97</v>
      </c>
      <c r="AA64" s="56">
        <f>BS!X56</f>
        <v>73317.358214421838</v>
      </c>
      <c r="AB64" s="56">
        <f>BS!Y56</f>
        <v>76373.991546373407</v>
      </c>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57"/>
    </row>
    <row r="65" spans="1:53" ht="15.7" customHeight="1" x14ac:dyDescent="0.35">
      <c r="A65" s="22" t="s">
        <v>1003</v>
      </c>
      <c r="B65" s="58" t="s">
        <v>1004</v>
      </c>
      <c r="C65" s="58" t="s">
        <v>1004</v>
      </c>
      <c r="D65" s="33"/>
      <c r="E65" s="33"/>
      <c r="F65" s="33"/>
      <c r="G65" s="59"/>
      <c r="H65" s="59"/>
      <c r="I65" s="59"/>
      <c r="J65" s="59"/>
      <c r="K65" s="60">
        <f>BS!H50+BS!H52</f>
        <v>5350.8989999999994</v>
      </c>
      <c r="L65" s="60">
        <f>BS!I50+BS!I52</f>
        <v>4961.268</v>
      </c>
      <c r="M65" s="60">
        <f>BS!J50+BS!J52</f>
        <v>9996.3590000000004</v>
      </c>
      <c r="N65" s="60">
        <f>BS!K50+BS!K52</f>
        <v>8600.2579999999998</v>
      </c>
      <c r="O65" s="60">
        <f>BS!L50+BS!L52</f>
        <v>10361.804</v>
      </c>
      <c r="P65" s="60">
        <f>BS!M50+BS!M52</f>
        <v>13085.694</v>
      </c>
      <c r="Q65" s="60">
        <f>BS!N50+BS!N52</f>
        <v>15849.056</v>
      </c>
      <c r="R65" s="60">
        <f>BS!O50+BS!O52</f>
        <v>20592.442999999999</v>
      </c>
      <c r="S65" s="60">
        <f>BS!P50+BS!P52</f>
        <v>32033.95</v>
      </c>
      <c r="T65" s="60">
        <f>BS!Q50+BS!Q52</f>
        <v>32059.482000000004</v>
      </c>
      <c r="U65" s="60">
        <f>BS!R50+BS!R52</f>
        <v>38332.362999999998</v>
      </c>
      <c r="V65" s="60">
        <f>BS!S50+BS!S52</f>
        <v>50804</v>
      </c>
      <c r="W65" s="60">
        <f>BS!T50+BS!T52</f>
        <v>48184.480000000003</v>
      </c>
      <c r="X65" s="60">
        <f>BS!U50+BS!U52</f>
        <v>51310.455999999998</v>
      </c>
      <c r="Y65" s="60">
        <f>BS!V50+BS!V52</f>
        <v>54780.475999999995</v>
      </c>
      <c r="Z65" s="60">
        <f>BS!W50+BS!W52</f>
        <v>57061.599999999999</v>
      </c>
      <c r="AA65" s="60">
        <f>BS!X50+BS!X52</f>
        <v>59388.34648</v>
      </c>
      <c r="AB65" s="60">
        <f>BS!Y50+BS!Y52</f>
        <v>61761.6278896</v>
      </c>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61"/>
    </row>
    <row r="66" spans="1:53" ht="15.7" customHeight="1" x14ac:dyDescent="0.35">
      <c r="A66" s="22" t="s">
        <v>1005</v>
      </c>
      <c r="B66" s="58" t="s">
        <v>1006</v>
      </c>
      <c r="C66" s="58" t="s">
        <v>1006</v>
      </c>
      <c r="D66" s="33"/>
      <c r="E66" s="33"/>
      <c r="F66" s="33"/>
      <c r="G66" s="59"/>
      <c r="H66" s="59"/>
      <c r="I66" s="59"/>
      <c r="J66" s="59"/>
      <c r="K66" s="60">
        <f>BS!H49</f>
        <v>228.81299999999999</v>
      </c>
      <c r="L66" s="60">
        <f>BS!I49</f>
        <v>276.01400000000001</v>
      </c>
      <c r="M66" s="60">
        <f>BS!J49</f>
        <v>362.26499999999999</v>
      </c>
      <c r="N66" s="60">
        <f>BS!K49</f>
        <v>398.32</v>
      </c>
      <c r="O66" s="60">
        <f>BS!L49</f>
        <v>389.47699999999998</v>
      </c>
      <c r="P66" s="60">
        <f>BS!M49</f>
        <v>406.26499999999999</v>
      </c>
      <c r="Q66" s="60">
        <f>BS!N49</f>
        <v>348.89100000000002</v>
      </c>
      <c r="R66" s="60">
        <f>BS!O49</f>
        <v>446.65500000000003</v>
      </c>
      <c r="S66" s="60">
        <f>BS!P49</f>
        <v>427.08699999999999</v>
      </c>
      <c r="T66" s="60">
        <f>BS!Q49</f>
        <v>403.67500000000001</v>
      </c>
      <c r="U66" s="60">
        <f>BS!R49</f>
        <v>399.89800000000002</v>
      </c>
      <c r="V66" s="60">
        <f>BS!S49</f>
        <v>520.72799999999995</v>
      </c>
      <c r="W66" s="60">
        <f>BS!T49</f>
        <v>508.20800000000003</v>
      </c>
      <c r="X66" s="60">
        <f>BS!U49</f>
        <v>590.73599999999999</v>
      </c>
      <c r="Y66" s="60">
        <f>BS!V49</f>
        <v>585.125</v>
      </c>
      <c r="Z66" s="60">
        <f>BS!W49</f>
        <v>592.59</v>
      </c>
      <c r="AA66" s="60">
        <f>BS!X49</f>
        <v>604.44180000000006</v>
      </c>
      <c r="AB66" s="60">
        <f>BS!Y49</f>
        <v>616.53063600000007</v>
      </c>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61"/>
    </row>
    <row r="67" spans="1:53" ht="15.7" customHeight="1" x14ac:dyDescent="0.35">
      <c r="A67" s="22" t="s">
        <v>1007</v>
      </c>
      <c r="B67" s="58" t="s">
        <v>1008</v>
      </c>
      <c r="C67" s="58" t="s">
        <v>1008</v>
      </c>
      <c r="D67" s="33"/>
      <c r="E67" s="33"/>
      <c r="F67" s="33"/>
      <c r="G67" s="59"/>
      <c r="H67" s="59"/>
      <c r="I67" s="59"/>
      <c r="J67" s="59"/>
      <c r="K67" s="60">
        <f>BS!H47+BS!H51+BS!H48+BS!H53</f>
        <v>244.047</v>
      </c>
      <c r="L67" s="60">
        <f>BS!I47+BS!I51+BS!I48+BS!I53</f>
        <v>421.93799999999999</v>
      </c>
      <c r="M67" s="60">
        <f>BS!J47+BS!J51+BS!J48+BS!J53</f>
        <v>525.72900000000004</v>
      </c>
      <c r="N67" s="60">
        <f>BS!K47+BS!K51+BS!K48+BS!K53</f>
        <v>4503.3680000000004</v>
      </c>
      <c r="O67" s="60">
        <f>BS!L47+BS!L51+BS!L48+BS!L53</f>
        <v>4609.0920000000006</v>
      </c>
      <c r="P67" s="60">
        <f>BS!M47+BS!M51+BS!M48+BS!M53</f>
        <v>4620.6509999999998</v>
      </c>
      <c r="Q67" s="60">
        <f>BS!N47+BS!N51+BS!N48+BS!N53</f>
        <v>4590.0659999999998</v>
      </c>
      <c r="R67" s="60">
        <f>BS!O47+BS!O51+BS!O48+BS!O53</f>
        <v>6208.5519999999997</v>
      </c>
      <c r="S67" s="60">
        <f>BS!P47+BS!P51+BS!P48+BS!P53</f>
        <v>6952.8149999999996</v>
      </c>
      <c r="T67" s="60">
        <f>BS!Q47+BS!Q51+BS!Q48+BS!Q53</f>
        <v>6947.4110000000001</v>
      </c>
      <c r="U67" s="60">
        <f>BS!R47+BS!R51+BS!R48+BS!R53</f>
        <v>9860.0069999999996</v>
      </c>
      <c r="V67" s="60">
        <f>BS!S47+BS!S51+BS!S48+BS!S53</f>
        <v>8820.9779999999992</v>
      </c>
      <c r="W67" s="60">
        <f>BS!T47+BS!T51+BS!T48+BS!T53</f>
        <v>9536.3450000000012</v>
      </c>
      <c r="X67" s="60">
        <f>BS!U47+BS!U51+BS!U48+BS!U53</f>
        <v>7716.8240000000005</v>
      </c>
      <c r="Y67" s="60">
        <f>BS!V47+BS!V51+BS!V48+BS!V53</f>
        <v>11010.663</v>
      </c>
      <c r="Z67" s="60">
        <f>BS!W47+BS!W51+BS!W48+BS!W53</f>
        <v>12739.25</v>
      </c>
      <c r="AA67" s="60">
        <f>BS!X47+BS!X51+BS!X48+BS!X53</f>
        <v>13290.039934421829</v>
      </c>
      <c r="AB67" s="60">
        <f>BS!Y47+BS!Y51+BS!Y48+BS!Y53</f>
        <v>13961.303020773405</v>
      </c>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61"/>
    </row>
    <row r="68" spans="1:53" ht="15.7" customHeight="1" x14ac:dyDescent="0.35">
      <c r="A68" s="22" t="s">
        <v>1009</v>
      </c>
      <c r="B68" s="54" t="s">
        <v>1010</v>
      </c>
      <c r="C68" s="54" t="s">
        <v>1010</v>
      </c>
      <c r="D68" s="37"/>
      <c r="E68" s="37"/>
      <c r="F68" s="37"/>
      <c r="G68" s="55"/>
      <c r="H68" s="55"/>
      <c r="I68" s="55"/>
      <c r="J68" s="55"/>
      <c r="K68" s="56">
        <f>BS!H69</f>
        <v>8232.2630000000008</v>
      </c>
      <c r="L68" s="56">
        <f>BS!I69</f>
        <v>11576.848000000002</v>
      </c>
      <c r="M68" s="56">
        <f>BS!J69</f>
        <v>12475.473999999998</v>
      </c>
      <c r="N68" s="56">
        <f>BS!K69</f>
        <v>22761.392000000003</v>
      </c>
      <c r="O68" s="56">
        <f>BS!L69</f>
        <v>31221.072</v>
      </c>
      <c r="P68" s="56">
        <f>BS!M69</f>
        <v>31706.668999999994</v>
      </c>
      <c r="Q68" s="56">
        <f>BS!N69</f>
        <v>39716.113999999994</v>
      </c>
      <c r="R68" s="56">
        <f>BS!O69</f>
        <v>52807.711999999985</v>
      </c>
      <c r="S68" s="56">
        <f>BS!P69</f>
        <v>53629.989000000001</v>
      </c>
      <c r="T68" s="56">
        <f>BS!Q69</f>
        <v>71105.770000000019</v>
      </c>
      <c r="U68" s="56">
        <f>BS!R69</f>
        <v>79939.491999999998</v>
      </c>
      <c r="V68" s="56">
        <f>BS!S69</f>
        <v>92922.448000000004</v>
      </c>
      <c r="W68" s="56">
        <f>BS!T69</f>
        <v>102824.64200000002</v>
      </c>
      <c r="X68" s="56">
        <f>BS!U69</f>
        <v>115355.49500000001</v>
      </c>
      <c r="Y68" s="56">
        <f>BS!V69</f>
        <v>125960.56100000002</v>
      </c>
      <c r="Z68" s="56">
        <f>BS!W69</f>
        <v>129884.28000000001</v>
      </c>
      <c r="AA68" s="56">
        <f>BS!X69</f>
        <v>131315.54150805541</v>
      </c>
      <c r="AB68" s="56">
        <f>BS!Y69</f>
        <v>143084.17748371779</v>
      </c>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57"/>
    </row>
    <row r="69" spans="1:53" ht="15.7" customHeight="1" x14ac:dyDescent="0.35">
      <c r="A69" s="22" t="s">
        <v>1011</v>
      </c>
      <c r="B69" s="58" t="s">
        <v>1012</v>
      </c>
      <c r="C69" s="58" t="s">
        <v>1012</v>
      </c>
      <c r="D69" s="33"/>
      <c r="E69" s="33"/>
      <c r="F69" s="33"/>
      <c r="G69" s="59"/>
      <c r="H69" s="59"/>
      <c r="I69" s="59"/>
      <c r="J69" s="59"/>
      <c r="K69" s="60">
        <f>BS!H66+BS!H68</f>
        <v>0</v>
      </c>
      <c r="L69" s="60">
        <f>BS!I66+BS!I68</f>
        <v>1297.867</v>
      </c>
      <c r="M69" s="60">
        <f>BS!J66+BS!J68</f>
        <v>48.78</v>
      </c>
      <c r="N69" s="60">
        <f>BS!K66+BS!K68</f>
        <v>261.88900000000001</v>
      </c>
      <c r="O69" s="60">
        <f>BS!L66+BS!L68</f>
        <v>587.26900000000001</v>
      </c>
      <c r="P69" s="60">
        <f>BS!M66+BS!M68</f>
        <v>808.197</v>
      </c>
      <c r="Q69" s="60">
        <f>BS!N66+BS!N68</f>
        <v>1455.62</v>
      </c>
      <c r="R69" s="60">
        <f>BS!O66+BS!O68</f>
        <v>2580.59</v>
      </c>
      <c r="S69" s="60">
        <f>BS!P66+BS!P68</f>
        <v>2795.8319999999999</v>
      </c>
      <c r="T69" s="60">
        <f>BS!Q66+BS!Q68</f>
        <v>10040.968000000001</v>
      </c>
      <c r="U69" s="60">
        <f>BS!R66+BS!R68</f>
        <v>9707.491</v>
      </c>
      <c r="V69" s="60">
        <f>BS!S66+BS!S68</f>
        <v>10104.945</v>
      </c>
      <c r="W69" s="60">
        <f>BS!T66+BS!T68</f>
        <v>13719.656999999999</v>
      </c>
      <c r="X69" s="60">
        <f>BS!U66+BS!U68</f>
        <v>16515.007000000001</v>
      </c>
      <c r="Y69" s="60">
        <f>BS!V66+BS!V68</f>
        <v>13295.755999999999</v>
      </c>
      <c r="Z69" s="60">
        <f>BS!W66+BS!W68</f>
        <v>15096.37</v>
      </c>
      <c r="AA69" s="60">
        <f>BS!X66+BS!X68</f>
        <v>16932.996280000003</v>
      </c>
      <c r="AB69" s="60">
        <f>BS!Y66+BS!Y68</f>
        <v>18806.355085600004</v>
      </c>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61"/>
    </row>
    <row r="70" spans="1:53" ht="15.7" customHeight="1" x14ac:dyDescent="0.35">
      <c r="A70" s="22" t="s">
        <v>1013</v>
      </c>
      <c r="B70" s="58" t="s">
        <v>1014</v>
      </c>
      <c r="C70" s="58" t="s">
        <v>1014</v>
      </c>
      <c r="D70" s="33"/>
      <c r="E70" s="33"/>
      <c r="F70" s="33"/>
      <c r="G70" s="59"/>
      <c r="H70" s="59"/>
      <c r="I70" s="59"/>
      <c r="J70" s="59"/>
      <c r="K70" s="60">
        <v>0</v>
      </c>
      <c r="L70" s="60">
        <v>0</v>
      </c>
      <c r="M70" s="60">
        <v>0</v>
      </c>
      <c r="N70" s="60">
        <v>0</v>
      </c>
      <c r="O70" s="60">
        <v>0</v>
      </c>
      <c r="P70" s="60">
        <v>0</v>
      </c>
      <c r="Q70" s="60">
        <v>0</v>
      </c>
      <c r="R70" s="60">
        <v>0</v>
      </c>
      <c r="S70" s="60">
        <v>0</v>
      </c>
      <c r="T70" s="60">
        <v>0</v>
      </c>
      <c r="U70" s="60">
        <v>0</v>
      </c>
      <c r="V70" s="60">
        <v>0</v>
      </c>
      <c r="W70" s="60">
        <v>0</v>
      </c>
      <c r="X70" s="60">
        <v>0</v>
      </c>
      <c r="Y70" s="60">
        <v>0</v>
      </c>
      <c r="Z70" s="60">
        <v>0</v>
      </c>
      <c r="AA70" s="60">
        <v>0</v>
      </c>
      <c r="AB70" s="60">
        <v>0</v>
      </c>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61"/>
    </row>
    <row r="71" spans="1:53" ht="15.7" customHeight="1" x14ac:dyDescent="0.35">
      <c r="A71" s="22" t="s">
        <v>1015</v>
      </c>
      <c r="B71" s="58" t="s">
        <v>1016</v>
      </c>
      <c r="C71" s="58" t="s">
        <v>1016</v>
      </c>
      <c r="D71" s="33"/>
      <c r="E71" s="33"/>
      <c r="F71" s="33"/>
      <c r="G71" s="59"/>
      <c r="H71" s="59"/>
      <c r="I71" s="59"/>
      <c r="J71" s="59"/>
      <c r="K71" s="60">
        <f>BS!H58+BS!H60</f>
        <v>4809.8760000000002</v>
      </c>
      <c r="L71" s="60">
        <f>BS!I58+BS!I60</f>
        <v>6457.9229999999998</v>
      </c>
      <c r="M71" s="60">
        <f>BS!J58+BS!J60</f>
        <v>7717.9990000000007</v>
      </c>
      <c r="N71" s="60">
        <f>BS!K58+BS!K60</f>
        <v>14923.112000000001</v>
      </c>
      <c r="O71" s="60">
        <f>BS!L58+BS!L60</f>
        <v>21054.37</v>
      </c>
      <c r="P71" s="60">
        <f>BS!M58+BS!M60</f>
        <v>26595.992999999999</v>
      </c>
      <c r="Q71" s="60">
        <f>BS!N58+BS!N60</f>
        <v>34304.815000000002</v>
      </c>
      <c r="R71" s="60">
        <f>BS!O58+BS!O60</f>
        <v>33133.985999999997</v>
      </c>
      <c r="S71" s="60">
        <f>BS!P58+BS!P60</f>
        <v>36714.715000000004</v>
      </c>
      <c r="T71" s="60">
        <f>BS!Q58+BS!Q60</f>
        <v>44699.248</v>
      </c>
      <c r="U71" s="60">
        <f>BS!R58+BS!R60</f>
        <v>51288.245999999999</v>
      </c>
      <c r="V71" s="60">
        <f>BS!S58+BS!S60</f>
        <v>60561.364000000001</v>
      </c>
      <c r="W71" s="60">
        <f>BS!T58+BS!T60</f>
        <v>69736.718999999997</v>
      </c>
      <c r="X71" s="60">
        <f>BS!U58+BS!U60</f>
        <v>74884.548999999999</v>
      </c>
      <c r="Y71" s="60">
        <f>BS!V58+BS!V60</f>
        <v>94119.227000000014</v>
      </c>
      <c r="Z71" s="60">
        <f>BS!W58+BS!W60</f>
        <v>96447.27</v>
      </c>
      <c r="AA71" s="60">
        <f>BS!X58+BS!X60</f>
        <v>97569.739350056654</v>
      </c>
      <c r="AB71" s="60">
        <f>BS!Y58+BS!Y60</f>
        <v>106587.81482905462</v>
      </c>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61"/>
    </row>
    <row r="72" spans="1:53" ht="15.7" customHeight="1" x14ac:dyDescent="0.35">
      <c r="A72" s="22" t="s">
        <v>1017</v>
      </c>
      <c r="B72" s="58" t="s">
        <v>1018</v>
      </c>
      <c r="C72" s="58" t="s">
        <v>1018</v>
      </c>
      <c r="D72" s="33"/>
      <c r="E72" s="33"/>
      <c r="F72" s="33"/>
      <c r="G72" s="59"/>
      <c r="H72" s="59"/>
      <c r="I72" s="59"/>
      <c r="J72" s="59"/>
      <c r="K72" s="60">
        <f>BS!H62</f>
        <v>112.36199999999999</v>
      </c>
      <c r="L72" s="60">
        <f>BS!I62</f>
        <v>313.78699999999998</v>
      </c>
      <c r="M72" s="60">
        <f>BS!J62</f>
        <v>594.57000000000005</v>
      </c>
      <c r="N72" s="60">
        <f>BS!K62</f>
        <v>608.63300000000004</v>
      </c>
      <c r="O72" s="60">
        <f>BS!L62</f>
        <v>930.971</v>
      </c>
      <c r="P72" s="60">
        <f>BS!M62</f>
        <v>2015.547</v>
      </c>
      <c r="Q72" s="60">
        <f>BS!N62</f>
        <v>2392.7080000000001</v>
      </c>
      <c r="R72" s="60">
        <f>BS!O62</f>
        <v>3247.384</v>
      </c>
      <c r="S72" s="60">
        <f>BS!P62</f>
        <v>3885.6170000000002</v>
      </c>
      <c r="T72" s="60">
        <f>BS!Q62</f>
        <v>4781.8919999999998</v>
      </c>
      <c r="U72" s="60">
        <f>BS!R62</f>
        <v>5326.55</v>
      </c>
      <c r="V72" s="60">
        <f>BS!S62</f>
        <v>5573.2089999999998</v>
      </c>
      <c r="W72" s="60">
        <f>BS!T62</f>
        <v>5481.5240000000003</v>
      </c>
      <c r="X72" s="60">
        <f>BS!U62</f>
        <v>6136.8310000000001</v>
      </c>
      <c r="Y72" s="60">
        <f>BS!V62</f>
        <v>5988.280999999999</v>
      </c>
      <c r="Z72" s="60">
        <f>BS!W62</f>
        <v>6230.03</v>
      </c>
      <c r="AA72" s="60">
        <f>BS!X62</f>
        <v>5905.1621556176042</v>
      </c>
      <c r="AB72" s="60">
        <f>BS!Y62</f>
        <v>6006.1844459918393</v>
      </c>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61"/>
    </row>
    <row r="73" spans="1:53" ht="15.7" customHeight="1" x14ac:dyDescent="0.35">
      <c r="A73" s="22" t="s">
        <v>1019</v>
      </c>
      <c r="B73" s="58" t="s">
        <v>1020</v>
      </c>
      <c r="C73" s="58" t="s">
        <v>1020</v>
      </c>
      <c r="D73" s="33"/>
      <c r="E73" s="33"/>
      <c r="F73" s="33"/>
      <c r="G73" s="59"/>
      <c r="H73" s="59"/>
      <c r="I73" s="59"/>
      <c r="J73" s="59"/>
      <c r="K73" s="60">
        <f>BS!H59</f>
        <v>2621.1799999999998</v>
      </c>
      <c r="L73" s="60">
        <f>BS!I59</f>
        <v>2807.3970000000004</v>
      </c>
      <c r="M73" s="60">
        <f>BS!J59</f>
        <v>2974.0480000000002</v>
      </c>
      <c r="N73" s="60">
        <f>BS!K59</f>
        <v>477.505</v>
      </c>
      <c r="O73" s="60">
        <f>BS!L59</f>
        <v>380.59100000000001</v>
      </c>
      <c r="P73" s="60">
        <f>BS!M59</f>
        <v>1563.386</v>
      </c>
      <c r="Q73" s="60">
        <f>BS!N59</f>
        <v>735.03</v>
      </c>
      <c r="R73" s="60">
        <f>BS!O59</f>
        <v>2308.4560000000001</v>
      </c>
      <c r="S73" s="60">
        <f>BS!P59</f>
        <v>1166.7439999999999</v>
      </c>
      <c r="T73" s="60">
        <f>BS!Q59</f>
        <v>3693.8889999999997</v>
      </c>
      <c r="U73" s="60">
        <f>BS!R59</f>
        <v>4981.0859999999993</v>
      </c>
      <c r="V73" s="60">
        <f>BS!S59</f>
        <v>2618.5940000000001</v>
      </c>
      <c r="W73" s="60">
        <f>BS!T59</f>
        <v>2263.6330000000003</v>
      </c>
      <c r="X73" s="60">
        <f>BS!U59</f>
        <v>4975.4979999999987</v>
      </c>
      <c r="Y73" s="60">
        <f>BS!V59</f>
        <v>1611.3500000000001</v>
      </c>
      <c r="Z73" s="60">
        <f>BS!W59</f>
        <v>1706.99</v>
      </c>
      <c r="AA73" s="60">
        <f>BS!X59</f>
        <v>1747.8249168717252</v>
      </c>
      <c r="AB73" s="60">
        <f>BS!Y59</f>
        <v>1932.8409729251061</v>
      </c>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61"/>
    </row>
    <row r="74" spans="1:53" ht="15.7" customHeight="1" x14ac:dyDescent="0.35">
      <c r="A74" s="22" t="s">
        <v>1021</v>
      </c>
      <c r="B74" s="58" t="s">
        <v>1022</v>
      </c>
      <c r="C74" s="58" t="s">
        <v>1022</v>
      </c>
      <c r="D74" s="33"/>
      <c r="E74" s="33"/>
      <c r="F74" s="33"/>
      <c r="G74" s="59"/>
      <c r="H74" s="59"/>
      <c r="I74" s="59"/>
      <c r="J74" s="59"/>
      <c r="K74" s="60">
        <f>BS!H63+BS!H64+BS!H61+BS!H68</f>
        <v>688.84500000000003</v>
      </c>
      <c r="L74" s="60">
        <f>BS!I63+BS!I64+BS!I61+BS!I68</f>
        <v>1640.0250000000001</v>
      </c>
      <c r="M74" s="60">
        <f>BS!J63+BS!J64+BS!J61+BS!J68</f>
        <v>1140.077</v>
      </c>
      <c r="N74" s="60">
        <f>BS!K63+BS!K64+BS!K61+BS!K68</f>
        <v>6490.2530000000006</v>
      </c>
      <c r="O74" s="60">
        <f>BS!L63+BS!L64+BS!L61+BS!L68</f>
        <v>8267.871000000001</v>
      </c>
      <c r="P74" s="60">
        <f>BS!M63+BS!M64+BS!M61+BS!M68</f>
        <v>723.54600000000005</v>
      </c>
      <c r="Q74" s="60">
        <f>BS!N63+BS!N64+BS!N61+BS!N68</f>
        <v>827.94100000000003</v>
      </c>
      <c r="R74" s="60">
        <f>BS!O63+BS!O64+BS!O61+BS!O68</f>
        <v>11537.295999999998</v>
      </c>
      <c r="S74" s="60">
        <f>BS!P63+BS!P64+BS!P61+BS!P68</f>
        <v>9067.0810000000001</v>
      </c>
      <c r="T74" s="60">
        <f>BS!Q63+BS!Q64+BS!Q61+BS!Q68</f>
        <v>7889.7730000000001</v>
      </c>
      <c r="U74" s="60">
        <f>BS!R63+BS!R64+BS!R61+BS!R68</f>
        <v>8636.1190000000006</v>
      </c>
      <c r="V74" s="60">
        <f>BS!S63+BS!S64+BS!S61+BS!S68</f>
        <v>9778.1809999999987</v>
      </c>
      <c r="W74" s="60">
        <f>BS!T63+BS!T64+BS!T61+BS!T68</f>
        <v>8642.9249999999993</v>
      </c>
      <c r="X74" s="60">
        <f>BS!U63+BS!U64+BS!U61+BS!U68</f>
        <v>10090.306</v>
      </c>
      <c r="Y74" s="60">
        <f>BS!V63+BS!V64+BS!V61+BS!V68</f>
        <v>8485.9470000000001</v>
      </c>
      <c r="Z74" s="60">
        <f>BS!W63+BS!W64+BS!W61+BS!W68</f>
        <v>9303.8599999999988</v>
      </c>
      <c r="AA74" s="60">
        <f>BS!X63+BS!X64+BS!X61+BS!X68</f>
        <v>8060.0588055093876</v>
      </c>
      <c r="AB74" s="60">
        <f>BS!Y63+BS!Y64+BS!Y61+BS!Y68</f>
        <v>8651.2221501461809</v>
      </c>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61"/>
    </row>
    <row r="75" spans="1:53" ht="15.7" customHeight="1" x14ac:dyDescent="0.35">
      <c r="A75" s="22" t="s">
        <v>1023</v>
      </c>
      <c r="B75" s="54" t="s">
        <v>1024</v>
      </c>
      <c r="C75" s="54" t="s">
        <v>1024</v>
      </c>
      <c r="D75" s="37"/>
      <c r="E75" s="37"/>
      <c r="F75" s="37"/>
      <c r="G75" s="55"/>
      <c r="H75" s="55"/>
      <c r="I75" s="55"/>
      <c r="J75" s="55"/>
      <c r="K75" s="56">
        <f>BS!H71</f>
        <v>14056.022000000001</v>
      </c>
      <c r="L75" s="56">
        <f>BS!I71</f>
        <v>17236.068000000003</v>
      </c>
      <c r="M75" s="56">
        <f>BS!J71</f>
        <v>23359.826999999997</v>
      </c>
      <c r="N75" s="56">
        <f>BS!K71</f>
        <v>36263.338000000003</v>
      </c>
      <c r="O75" s="56">
        <f>BS!L71</f>
        <v>46581.445</v>
      </c>
      <c r="P75" s="56">
        <f>BS!M71</f>
        <v>49819.278999999995</v>
      </c>
      <c r="Q75" s="56">
        <f>BS!N71</f>
        <v>60504.126999999993</v>
      </c>
      <c r="R75" s="56">
        <f>BS!O71</f>
        <v>80055.361999999979</v>
      </c>
      <c r="S75" s="56">
        <f>BS!P71</f>
        <v>93043.841</v>
      </c>
      <c r="T75" s="56">
        <f>BS!Q71</f>
        <v>110516.33800000002</v>
      </c>
      <c r="U75" s="56">
        <f>BS!R71</f>
        <v>128531.76</v>
      </c>
      <c r="V75" s="56">
        <f>BS!S71</f>
        <v>153068.15400000001</v>
      </c>
      <c r="W75" s="56">
        <f>BS!T71</f>
        <v>161053.67500000002</v>
      </c>
      <c r="X75" s="56">
        <f>BS!U71</f>
        <v>174997.06600000002</v>
      </c>
      <c r="Y75" s="56">
        <f>BS!V71</f>
        <v>192364.86200000002</v>
      </c>
      <c r="Z75" s="56">
        <f>BS!W71</f>
        <v>200312.25</v>
      </c>
      <c r="AA75" s="56">
        <f>BS!X71</f>
        <v>204632.89972247725</v>
      </c>
      <c r="AB75" s="56">
        <f>BS!Y71</f>
        <v>219458.1690300912</v>
      </c>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57"/>
    </row>
    <row r="76" spans="1:53" ht="15.7" customHeight="1" x14ac:dyDescent="0.35">
      <c r="A76" s="22" t="s">
        <v>1025</v>
      </c>
      <c r="B76" s="54" t="s">
        <v>1026</v>
      </c>
      <c r="C76" s="54" t="s">
        <v>1026</v>
      </c>
      <c r="D76" s="37"/>
      <c r="E76" s="37"/>
      <c r="F76" s="37"/>
      <c r="G76" s="55"/>
      <c r="H76" s="55"/>
      <c r="I76" s="55"/>
      <c r="J76" s="55"/>
      <c r="K76" s="56">
        <f>BS!H80</f>
        <v>3.95</v>
      </c>
      <c r="L76" s="56">
        <f>BS!I80</f>
        <v>6.7240000000000002</v>
      </c>
      <c r="M76" s="56">
        <f>BS!J80</f>
        <v>343.14400000000001</v>
      </c>
      <c r="N76" s="56">
        <f>BS!K80</f>
        <v>253.73699999999999</v>
      </c>
      <c r="O76" s="56">
        <f>BS!L80</f>
        <v>167.566</v>
      </c>
      <c r="P76" s="56">
        <f>BS!M80</f>
        <v>100.262</v>
      </c>
      <c r="Q76" s="56">
        <f>BS!N80</f>
        <v>222.36</v>
      </c>
      <c r="R76" s="56">
        <f>BS!O80</f>
        <v>375.28199999999998</v>
      </c>
      <c r="S76" s="56">
        <f>BS!P80</f>
        <v>745.41399999999999</v>
      </c>
      <c r="T76" s="56">
        <f>BS!Q80</f>
        <v>977.43299999999999</v>
      </c>
      <c r="U76" s="56">
        <f>BS!R80</f>
        <v>1386.5650000000001</v>
      </c>
      <c r="V76" s="56">
        <f>BS!S80</f>
        <v>1976.1759999999999</v>
      </c>
      <c r="W76" s="56">
        <f>BS!T80</f>
        <v>2205.1390000000001</v>
      </c>
      <c r="X76" s="56">
        <f>BS!U80</f>
        <v>2536.4180000000001</v>
      </c>
      <c r="Y76" s="56">
        <f>BS!V80</f>
        <v>2478.6689999999999</v>
      </c>
      <c r="Z76" s="56">
        <f>BS!W80</f>
        <v>3232.83</v>
      </c>
      <c r="AA76" s="56">
        <f ca="1">BS!X80</f>
        <v>3443.8473448400468</v>
      </c>
      <c r="AB76" s="56">
        <f ca="1">BS!Y80</f>
        <v>3672.6416655456242</v>
      </c>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57"/>
    </row>
    <row r="77" spans="1:53" ht="15.7" customHeight="1" x14ac:dyDescent="0.35">
      <c r="A77" s="22" t="s">
        <v>1027</v>
      </c>
      <c r="B77" s="72" t="s">
        <v>1028</v>
      </c>
      <c r="C77" s="72" t="s">
        <v>1028</v>
      </c>
      <c r="D77" s="32"/>
      <c r="E77" s="32"/>
      <c r="F77" s="32"/>
      <c r="G77" s="76"/>
      <c r="H77" s="76"/>
      <c r="I77" s="76"/>
      <c r="J77" s="76"/>
      <c r="K77" s="77"/>
      <c r="L77" s="77"/>
      <c r="M77" s="77"/>
      <c r="N77" s="77"/>
      <c r="O77" s="77"/>
      <c r="P77" s="77"/>
      <c r="Q77" s="77"/>
      <c r="R77" s="77"/>
      <c r="S77" s="77"/>
      <c r="T77" s="77"/>
      <c r="U77" s="77"/>
      <c r="V77" s="77"/>
      <c r="W77" s="77"/>
      <c r="X77" s="77"/>
      <c r="Y77" s="77"/>
      <c r="Z77" s="77"/>
      <c r="AA77" s="77"/>
      <c r="AB77" s="77"/>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75"/>
    </row>
    <row r="78" spans="1:53" ht="15.7" customHeight="1" x14ac:dyDescent="0.35">
      <c r="A78" s="22" t="s">
        <v>1029</v>
      </c>
      <c r="B78" s="58" t="s">
        <v>772</v>
      </c>
      <c r="C78" s="58" t="s">
        <v>772</v>
      </c>
      <c r="D78" s="33"/>
      <c r="E78" s="33"/>
      <c r="F78" s="33"/>
      <c r="G78" s="59"/>
      <c r="H78" s="59"/>
      <c r="I78" s="59"/>
      <c r="J78" s="59"/>
      <c r="K78" s="60">
        <f>BS!H75</f>
        <v>74.486000000000004</v>
      </c>
      <c r="L78" s="60">
        <f>BS!I75</f>
        <v>89.668000000000006</v>
      </c>
      <c r="M78" s="60">
        <f>BS!J75</f>
        <v>97.186000000000007</v>
      </c>
      <c r="N78" s="60">
        <f>BS!K75</f>
        <v>97.218999999999994</v>
      </c>
      <c r="O78" s="60">
        <f>BS!L75</f>
        <v>100.31</v>
      </c>
      <c r="P78" s="60">
        <f>BS!M75</f>
        <v>101.408</v>
      </c>
      <c r="Q78" s="60">
        <f>BS!N75</f>
        <v>112.203</v>
      </c>
      <c r="R78" s="60">
        <f>BS!O75</f>
        <v>126.229</v>
      </c>
      <c r="S78" s="60">
        <f>BS!P75</f>
        <v>126.229</v>
      </c>
      <c r="T78" s="60">
        <f>BS!Q75</f>
        <v>126.229</v>
      </c>
      <c r="U78" s="60">
        <f>BS!R75</f>
        <v>126.229</v>
      </c>
      <c r="V78" s="60">
        <f>BS!S75</f>
        <v>125.94</v>
      </c>
      <c r="W78" s="60">
        <f>BS!T75</f>
        <v>125.94</v>
      </c>
      <c r="X78" s="60">
        <f>BS!U75</f>
        <v>125.94</v>
      </c>
      <c r="Y78" s="60">
        <f>BS!V75</f>
        <v>118.09800000000001</v>
      </c>
      <c r="Z78" s="60">
        <f>BS!W75</f>
        <v>123.8</v>
      </c>
      <c r="AA78" s="60">
        <f>BS!X75</f>
        <v>123.8</v>
      </c>
      <c r="AB78" s="60">
        <f>BS!Y75</f>
        <v>123.8</v>
      </c>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61"/>
    </row>
    <row r="79" spans="1:53" ht="15.7" customHeight="1" x14ac:dyDescent="0.35">
      <c r="A79" s="22" t="s">
        <v>1030</v>
      </c>
      <c r="B79" s="58" t="s">
        <v>1031</v>
      </c>
      <c r="C79" s="58" t="s">
        <v>1031</v>
      </c>
      <c r="D79" s="33"/>
      <c r="E79" s="33"/>
      <c r="F79" s="33"/>
      <c r="G79" s="59"/>
      <c r="H79" s="59"/>
      <c r="I79" s="59"/>
      <c r="J79" s="59"/>
      <c r="K79" s="60">
        <f>BS!H76</f>
        <v>4544.9639999999999</v>
      </c>
      <c r="L79" s="60">
        <f>BS!I76</f>
        <v>9400.6839999999993</v>
      </c>
      <c r="M79" s="60">
        <f>BS!J76</f>
        <v>13412.638000000001</v>
      </c>
      <c r="N79" s="60">
        <f>BS!K76</f>
        <v>15836.416999999999</v>
      </c>
      <c r="O79" s="60">
        <f>BS!L76</f>
        <v>19729.786</v>
      </c>
      <c r="P79" s="60">
        <f>BS!M76</f>
        <v>23083.146000000001</v>
      </c>
      <c r="Q79" s="60">
        <f>BS!N76</f>
        <v>25335.755000000001</v>
      </c>
      <c r="R79" s="60">
        <f>BS!O76</f>
        <v>37961.4</v>
      </c>
      <c r="S79" s="60">
        <f>BS!P76</f>
        <v>38328.139000000003</v>
      </c>
      <c r="T79" s="60">
        <f>BS!Q76</f>
        <v>42021.940999999999</v>
      </c>
      <c r="U79" s="60">
        <f>BS!R76</f>
        <v>48967.544999999998</v>
      </c>
      <c r="V79" s="60">
        <f>BS!S76</f>
        <v>56320.224999999999</v>
      </c>
      <c r="W79" s="60">
        <f>BS!T76</f>
        <v>57664.220999999998</v>
      </c>
      <c r="X79" s="60">
        <f>BS!U76</f>
        <v>61597.478999999999</v>
      </c>
      <c r="Y79" s="60">
        <f>BS!V76</f>
        <v>61737.271000000001</v>
      </c>
      <c r="Z79" s="60">
        <f>BS!W76</f>
        <v>70278.73</v>
      </c>
      <c r="AA79" s="60">
        <f ca="1">BS!X76</f>
        <v>76975.631508415274</v>
      </c>
      <c r="AB79" s="60">
        <f ca="1">BS!Y76</f>
        <v>84088.840557418225</v>
      </c>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61"/>
    </row>
    <row r="80" spans="1:53" ht="15.7" customHeight="1" x14ac:dyDescent="0.35">
      <c r="A80" s="22" t="s">
        <v>1032</v>
      </c>
      <c r="B80" s="54" t="s">
        <v>1033</v>
      </c>
      <c r="C80" s="54" t="s">
        <v>1033</v>
      </c>
      <c r="D80" s="37"/>
      <c r="E80" s="56" t="e">
        <f>BS!B77+BS!B79</f>
        <v>#VALUE!</v>
      </c>
      <c r="F80" s="56">
        <f>BS!C77+BS!C79</f>
        <v>827.80600000000004</v>
      </c>
      <c r="G80" s="56">
        <f>BS!D77+BS!D79</f>
        <v>974.20099999999991</v>
      </c>
      <c r="H80" s="56">
        <f>BS!E77+BS!E79</f>
        <v>2155.683</v>
      </c>
      <c r="I80" s="56">
        <f>BS!F77+BS!F79</f>
        <v>2523.2570000000001</v>
      </c>
      <c r="J80" s="56">
        <f>BS!G77+BS!G79</f>
        <v>4304.7819999999992</v>
      </c>
      <c r="K80" s="56">
        <f>BS!H77+BS!H79</f>
        <v>4619.45</v>
      </c>
      <c r="L80" s="56">
        <f>BS!I77+BS!I79</f>
        <v>9490.351999999999</v>
      </c>
      <c r="M80" s="56">
        <f>BS!J77+BS!J79</f>
        <v>13509.824000000001</v>
      </c>
      <c r="N80" s="56">
        <f>BS!K77+BS!K79</f>
        <v>15933.635999999999</v>
      </c>
      <c r="O80" s="56">
        <f>BS!L77+BS!L79</f>
        <v>19830.096000000001</v>
      </c>
      <c r="P80" s="56">
        <f>BS!M77+BS!M79</f>
        <v>23184.554</v>
      </c>
      <c r="Q80" s="56">
        <f>BS!N77+BS!N79</f>
        <v>25447.958000000002</v>
      </c>
      <c r="R80" s="56">
        <f>BS!O77+BS!O79</f>
        <v>38087.629000000001</v>
      </c>
      <c r="S80" s="56">
        <f>BS!P77+BS!P79</f>
        <v>42332.836000000003</v>
      </c>
      <c r="T80" s="56">
        <f>BS!Q77+BS!Q79</f>
        <v>49930.131999999998</v>
      </c>
      <c r="U80" s="56">
        <f>BS!R77+BS!R79</f>
        <v>56892.981999999996</v>
      </c>
      <c r="V80" s="56">
        <f>BS!S77+BS!S79</f>
        <v>64240.095000000001</v>
      </c>
      <c r="W80" s="56">
        <f>BS!T77+BS!T79</f>
        <v>65591.315000000002</v>
      </c>
      <c r="X80" s="56">
        <f>BS!U77+BS!U79</f>
        <v>71741.201000000001</v>
      </c>
      <c r="Y80" s="56">
        <f>BS!V77+BS!V79</f>
        <v>68594.350999999995</v>
      </c>
      <c r="Z80" s="56">
        <f>BS!W77+BS!W79</f>
        <v>77144.240000000005</v>
      </c>
      <c r="AA80" s="56">
        <f ca="1">BS!X77+BS!X79</f>
        <v>83841.141508415283</v>
      </c>
      <c r="AB80" s="56">
        <f ca="1">BS!Y77+BS!Y79</f>
        <v>90954.350557418235</v>
      </c>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57"/>
    </row>
    <row r="81" spans="1:53" ht="15.7" customHeight="1" x14ac:dyDescent="0.35">
      <c r="A81" s="22" t="s">
        <v>1034</v>
      </c>
      <c r="B81" s="62" t="s">
        <v>1035</v>
      </c>
      <c r="C81" s="62" t="s">
        <v>1035</v>
      </c>
      <c r="D81" s="63"/>
      <c r="E81" s="63"/>
      <c r="F81" s="63"/>
      <c r="G81" s="64"/>
      <c r="H81" s="64"/>
      <c r="I81" s="64"/>
      <c r="J81" s="64"/>
      <c r="K81" s="65">
        <f>BS!H84</f>
        <v>18679.421999999999</v>
      </c>
      <c r="L81" s="65">
        <f>BS!I84</f>
        <v>26733.144</v>
      </c>
      <c r="M81" s="65">
        <f>BS!J84</f>
        <v>37212.794999999998</v>
      </c>
      <c r="N81" s="65">
        <f>BS!K84</f>
        <v>52450.711000000003</v>
      </c>
      <c r="O81" s="65">
        <f>BS!L84</f>
        <v>66579.107000000004</v>
      </c>
      <c r="P81" s="65">
        <f>BS!M84</f>
        <v>73104.095000000001</v>
      </c>
      <c r="Q81" s="65">
        <f>BS!N84</f>
        <v>86174.444999999992</v>
      </c>
      <c r="R81" s="65">
        <f>BS!O84</f>
        <v>118518.27299999999</v>
      </c>
      <c r="S81" s="65">
        <f>BS!P84</f>
        <v>136122.09100000001</v>
      </c>
      <c r="T81" s="65">
        <f>BS!Q84</f>
        <v>161423.90300000002</v>
      </c>
      <c r="U81" s="65">
        <f>BS!R84</f>
        <v>186811.307</v>
      </c>
      <c r="V81" s="65">
        <f>BS!S84</f>
        <v>219284.42500000002</v>
      </c>
      <c r="W81" s="65">
        <f>BS!T84</f>
        <v>228850.12900000002</v>
      </c>
      <c r="X81" s="65">
        <f>BS!U84</f>
        <v>249274.68500000003</v>
      </c>
      <c r="Y81" s="65">
        <f>BS!V84</f>
        <v>263437.88200000004</v>
      </c>
      <c r="Z81" s="65">
        <f>BS!W84</f>
        <v>280689.32</v>
      </c>
      <c r="AA81" s="65">
        <f ca="1">BS!X84</f>
        <v>291917.88857573259</v>
      </c>
      <c r="AB81" s="65">
        <f ca="1">BS!Y84</f>
        <v>314085.16125305509</v>
      </c>
      <c r="AC81" s="63"/>
      <c r="AD81" s="63"/>
      <c r="AE81" s="63"/>
      <c r="AF81" s="63"/>
      <c r="AG81" s="63"/>
      <c r="AH81" s="63"/>
      <c r="AI81" s="63"/>
      <c r="AJ81" s="63"/>
      <c r="AK81" s="63"/>
      <c r="AL81" s="63"/>
      <c r="AM81" s="63"/>
      <c r="AN81" s="63"/>
      <c r="AO81" s="63"/>
      <c r="AP81" s="63"/>
      <c r="AQ81" s="63"/>
      <c r="AR81" s="63"/>
      <c r="AS81" s="63"/>
      <c r="AT81" s="63"/>
      <c r="AU81" s="63"/>
      <c r="AV81" s="63"/>
      <c r="AW81" s="63"/>
      <c r="AX81" s="63"/>
      <c r="AY81" s="63"/>
      <c r="AZ81" s="63"/>
      <c r="BA81" s="57"/>
    </row>
    <row r="82" spans="1:53" ht="15.7" customHeight="1" x14ac:dyDescent="0.35">
      <c r="A82" s="22"/>
      <c r="B82" s="50"/>
      <c r="C82" s="50"/>
      <c r="D82" s="33"/>
      <c r="E82" s="33"/>
      <c r="F82" s="33"/>
      <c r="G82" s="59"/>
      <c r="H82" s="59"/>
      <c r="I82" s="59"/>
      <c r="J82" s="59"/>
      <c r="K82" s="66"/>
      <c r="L82" s="66"/>
      <c r="M82" s="66"/>
      <c r="N82" s="66"/>
      <c r="O82" s="66"/>
      <c r="P82" s="66"/>
      <c r="Q82" s="66"/>
      <c r="R82" s="66"/>
      <c r="S82" s="66"/>
      <c r="T82" s="66"/>
      <c r="U82" s="66"/>
      <c r="V82" s="66"/>
      <c r="W82" s="66"/>
      <c r="X82" s="66"/>
      <c r="Y82" s="66"/>
      <c r="Z82" s="66"/>
      <c r="AA82" s="66"/>
      <c r="AB82" s="66"/>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3" ht="15.7" customHeight="1" x14ac:dyDescent="0.35">
      <c r="A83" s="22"/>
      <c r="B83" s="51" t="s">
        <v>1369</v>
      </c>
      <c r="C83" s="51" t="s">
        <v>566</v>
      </c>
      <c r="D83" s="52"/>
      <c r="E83" s="52"/>
      <c r="F83" s="52"/>
      <c r="G83" s="68"/>
      <c r="H83" s="68"/>
      <c r="I83" s="68"/>
      <c r="J83" s="68"/>
      <c r="K83" s="69"/>
      <c r="L83" s="69"/>
      <c r="M83" s="69"/>
      <c r="N83" s="69"/>
      <c r="O83" s="70"/>
      <c r="P83" s="70"/>
      <c r="Q83" s="70"/>
      <c r="R83" s="70"/>
      <c r="S83" s="70"/>
      <c r="T83" s="70"/>
      <c r="U83" s="70"/>
      <c r="V83" s="70"/>
      <c r="W83" s="70"/>
      <c r="X83" s="70"/>
      <c r="Y83" s="70"/>
      <c r="Z83" s="70"/>
      <c r="AA83" s="70"/>
      <c r="AB83" s="70"/>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row>
    <row r="84" spans="1:53" ht="15.7" customHeight="1" x14ac:dyDescent="0.35">
      <c r="A84" s="22"/>
      <c r="B84" s="53"/>
      <c r="C84" s="53"/>
      <c r="D84" s="33"/>
      <c r="E84" s="33"/>
      <c r="F84" s="33"/>
      <c r="G84" s="59"/>
      <c r="H84" s="59"/>
      <c r="I84" s="59"/>
      <c r="J84" s="59"/>
      <c r="K84" s="60"/>
      <c r="L84" s="60"/>
      <c r="M84" s="60"/>
      <c r="N84" s="60"/>
      <c r="O84" s="66"/>
      <c r="P84" s="66"/>
      <c r="Q84" s="66"/>
      <c r="R84" s="66"/>
      <c r="S84" s="66"/>
      <c r="T84" s="66"/>
      <c r="U84" s="66"/>
      <c r="V84" s="66"/>
      <c r="W84" s="66"/>
      <c r="X84" s="66"/>
      <c r="Y84" s="66"/>
      <c r="Z84" s="66"/>
      <c r="AA84" s="66"/>
      <c r="AB84" s="66"/>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3" ht="15.7" customHeight="1" x14ac:dyDescent="0.35">
      <c r="A85" s="22" t="s">
        <v>1036</v>
      </c>
      <c r="B85" s="54" t="s">
        <v>1037</v>
      </c>
      <c r="C85" s="54" t="s">
        <v>1037</v>
      </c>
      <c r="D85" s="37"/>
      <c r="E85" s="37"/>
      <c r="F85" s="37"/>
      <c r="G85" s="55"/>
      <c r="H85" s="55"/>
      <c r="I85" s="55"/>
      <c r="J85" s="55"/>
      <c r="K85" s="56">
        <f>CF!H11</f>
        <v>41.023000000000003</v>
      </c>
      <c r="L85" s="56">
        <f>CF!I11</f>
        <v>-1004.495</v>
      </c>
      <c r="M85" s="56">
        <f>CF!J11</f>
        <v>-3339.8139999999999</v>
      </c>
      <c r="N85" s="56">
        <f>CF!K11</f>
        <v>-3085.4349999999999</v>
      </c>
      <c r="O85" s="56">
        <f>CF!L11</f>
        <v>-1688.9380000000001</v>
      </c>
      <c r="P85" s="56">
        <f>CF!M11</f>
        <v>298</v>
      </c>
      <c r="Q85" s="56">
        <f>CF!N11</f>
        <v>2867</v>
      </c>
      <c r="R85" s="56">
        <f>CF!O11</f>
        <v>-4845.7060000000001</v>
      </c>
      <c r="S85" s="56">
        <f>CF!P11</f>
        <v>-1924.595</v>
      </c>
      <c r="T85" s="56">
        <f>CF!Q11</f>
        <v>-2704.3490000000002</v>
      </c>
      <c r="U85" s="56">
        <f>CF!R11</f>
        <v>-4531.0680000000002</v>
      </c>
      <c r="V85" s="56">
        <f>CF!S11</f>
        <v>-551</v>
      </c>
      <c r="W85" s="56">
        <f>CF!T11</f>
        <v>212</v>
      </c>
      <c r="X85" s="56">
        <f>CF!U11</f>
        <v>500.99400000000003</v>
      </c>
      <c r="Y85" s="56">
        <f>CF!V11</f>
        <v>2007.4570000000001</v>
      </c>
      <c r="Z85" s="56">
        <f>CF!W11</f>
        <v>1050</v>
      </c>
      <c r="AA85" s="56">
        <f ca="1">CF!X11</f>
        <v>3928.0043269708076</v>
      </c>
      <c r="AB85" s="56">
        <f ca="1">CF!Y11</f>
        <v>2464.4304988651402</v>
      </c>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57"/>
    </row>
    <row r="86" spans="1:53" ht="15.7" customHeight="1" x14ac:dyDescent="0.35">
      <c r="A86" s="22" t="s">
        <v>1038</v>
      </c>
      <c r="B86" s="58" t="s">
        <v>1039</v>
      </c>
      <c r="C86" s="58" t="s">
        <v>1039</v>
      </c>
      <c r="D86" s="33"/>
      <c r="E86" s="33"/>
      <c r="F86" s="33"/>
      <c r="G86" s="59"/>
      <c r="H86" s="59"/>
      <c r="I86" s="59"/>
      <c r="J86" s="59"/>
      <c r="K86" s="60">
        <f>PL!H103</f>
        <v>1333.4669999999994</v>
      </c>
      <c r="L86" s="60">
        <f>PL!I103</f>
        <v>1844.3009999999995</v>
      </c>
      <c r="M86" s="60">
        <f>PL!J103</f>
        <v>2541.3970000000008</v>
      </c>
      <c r="N86" s="60">
        <f>PL!K103</f>
        <v>3173.7580000000003</v>
      </c>
      <c r="O86" s="60">
        <f>PL!L103</f>
        <v>4047.5939999999964</v>
      </c>
      <c r="P86" s="60">
        <f>PL!M103</f>
        <v>5132.2449999999981</v>
      </c>
      <c r="Q86" s="60">
        <f>PL!N103</f>
        <v>6011.7200000000048</v>
      </c>
      <c r="R86" s="60">
        <f>PL!O103</f>
        <v>6789.9659999999994</v>
      </c>
      <c r="S86" s="60">
        <f>PL!P103</f>
        <v>6205.5050000000028</v>
      </c>
      <c r="T86" s="60">
        <f>PL!Q103</f>
        <v>7284.4710000000014</v>
      </c>
      <c r="U86" s="60">
        <f>PL!R103</f>
        <v>8244.4759999999987</v>
      </c>
      <c r="V86" s="60">
        <f>PL!S103</f>
        <v>9385.1779999999999</v>
      </c>
      <c r="W86" s="60">
        <f>PL!T103</f>
        <v>10778.684999999994</v>
      </c>
      <c r="X86" s="60">
        <f>PL!U103</f>
        <v>12103.547000000004</v>
      </c>
      <c r="Y86" s="60">
        <f>PL!V103</f>
        <v>11839.239</v>
      </c>
      <c r="Z86" s="60">
        <f>PL!W103</f>
        <v>11967.471999999998</v>
      </c>
      <c r="AA86" s="60">
        <f ca="1">PL!X103</f>
        <v>13423.970433482549</v>
      </c>
      <c r="AB86" s="60">
        <f ca="1">PL!Y103</f>
        <v>14554.861349565783</v>
      </c>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61"/>
    </row>
    <row r="87" spans="1:53" ht="15.7" customHeight="1" x14ac:dyDescent="0.35">
      <c r="A87" s="22" t="s">
        <v>1040</v>
      </c>
      <c r="B87" s="58" t="s">
        <v>1041</v>
      </c>
      <c r="C87" s="58" t="s">
        <v>1041</v>
      </c>
      <c r="D87" s="33"/>
      <c r="E87" s="33"/>
      <c r="F87" s="33"/>
      <c r="G87" s="59"/>
      <c r="H87" s="59"/>
      <c r="I87" s="59"/>
      <c r="J87" s="59"/>
      <c r="K87" s="60">
        <f>CF!H5</f>
        <v>83.971000000000004</v>
      </c>
      <c r="L87" s="60">
        <f>CF!I5</f>
        <v>2.774</v>
      </c>
      <c r="M87" s="60">
        <f>CF!J5</f>
        <v>5.0419999999999998</v>
      </c>
      <c r="N87" s="60">
        <f>CF!K5</f>
        <v>-78.864000000000004</v>
      </c>
      <c r="O87" s="60">
        <f>CF!L5</f>
        <v>-69.531999999999996</v>
      </c>
      <c r="P87" s="60">
        <f>CF!M5</f>
        <v>-51.442999999999998</v>
      </c>
      <c r="Q87" s="60">
        <f>CF!N5</f>
        <v>-122.85</v>
      </c>
      <c r="R87" s="60">
        <f>CF!O5</f>
        <v>44.213000000000001</v>
      </c>
      <c r="S87" s="60">
        <f>CF!P5</f>
        <v>39.484999999999999</v>
      </c>
      <c r="T87" s="60">
        <f>CF!Q5</f>
        <v>50.206000000000003</v>
      </c>
      <c r="U87" s="60">
        <f>CF!R5</f>
        <v>61.56</v>
      </c>
      <c r="V87" s="60">
        <f>CF!S5</f>
        <v>169.87299999999999</v>
      </c>
      <c r="W87" s="60">
        <f>CF!T5</f>
        <v>216.76400000000001</v>
      </c>
      <c r="X87" s="60">
        <f>CF!U5</f>
        <v>244.11500000000001</v>
      </c>
      <c r="Y87" s="60">
        <f>CF!V5</f>
        <v>315.654</v>
      </c>
      <c r="Z87" s="60">
        <f>CF!W5</f>
        <v>188.12200000000001</v>
      </c>
      <c r="AA87" s="60">
        <f ca="1">CF!X5</f>
        <v>211.0173448400468</v>
      </c>
      <c r="AB87" s="60">
        <f ca="1">CF!Y5</f>
        <v>228.79432070557715</v>
      </c>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61"/>
    </row>
    <row r="88" spans="1:53" ht="15.7" customHeight="1" x14ac:dyDescent="0.35">
      <c r="A88" s="22" t="s">
        <v>1042</v>
      </c>
      <c r="B88" s="58" t="s">
        <v>1043</v>
      </c>
      <c r="C88" s="58" t="s">
        <v>1043</v>
      </c>
      <c r="D88" s="33"/>
      <c r="E88" s="33"/>
      <c r="F88" s="33"/>
      <c r="G88" s="59"/>
      <c r="H88" s="59"/>
      <c r="I88" s="59"/>
      <c r="J88" s="59"/>
      <c r="K88" s="60"/>
      <c r="L88" s="60"/>
      <c r="M88" s="60"/>
      <c r="N88" s="60"/>
      <c r="O88" s="60"/>
      <c r="P88" s="60"/>
      <c r="Q88" s="60"/>
      <c r="R88" s="60"/>
      <c r="S88" s="60"/>
      <c r="T88" s="60"/>
      <c r="U88" s="60"/>
      <c r="V88" s="60"/>
      <c r="W88" s="60"/>
      <c r="X88" s="60"/>
      <c r="Y88" s="60"/>
      <c r="Z88" s="60"/>
      <c r="AA88" s="60"/>
      <c r="AB88" s="60"/>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61"/>
    </row>
    <row r="89" spans="1:53" ht="15.7" customHeight="1" x14ac:dyDescent="0.35">
      <c r="A89" s="22" t="s">
        <v>1044</v>
      </c>
      <c r="B89" s="58" t="s">
        <v>1045</v>
      </c>
      <c r="C89" s="58" t="s">
        <v>1045</v>
      </c>
      <c r="D89" s="33"/>
      <c r="E89" s="33"/>
      <c r="F89" s="33"/>
      <c r="G89" s="59"/>
      <c r="H89" s="59"/>
      <c r="I89" s="59"/>
      <c r="J89" s="59"/>
      <c r="K89" s="60">
        <f>CF!H6</f>
        <v>81.227000000000018</v>
      </c>
      <c r="L89" s="60">
        <f>CF!I6</f>
        <v>179.858</v>
      </c>
      <c r="M89" s="60">
        <f>CF!J6</f>
        <v>254.52</v>
      </c>
      <c r="N89" s="60">
        <f>CF!K6</f>
        <v>279.30500000000006</v>
      </c>
      <c r="O89" s="60">
        <f>CF!L6</f>
        <v>294.42500000000001</v>
      </c>
      <c r="P89" s="60">
        <f>CF!M6</f>
        <v>326.39599999999996</v>
      </c>
      <c r="Q89" s="60">
        <f>CF!N6</f>
        <v>350.51800000000003</v>
      </c>
      <c r="R89" s="60">
        <f>CF!O6</f>
        <v>345.899</v>
      </c>
      <c r="S89" s="60">
        <f>CF!P6</f>
        <v>364.18799999999999</v>
      </c>
      <c r="T89" s="60">
        <f>CF!Q6</f>
        <v>464.24099999999999</v>
      </c>
      <c r="U89" s="60">
        <f>CF!R6</f>
        <v>404.00099999999998</v>
      </c>
      <c r="V89" s="60">
        <f>CF!S6</f>
        <v>238.83699999999999</v>
      </c>
      <c r="W89" s="60">
        <f>CF!T6</f>
        <v>402.00700000000001</v>
      </c>
      <c r="X89" s="60">
        <f>CF!U6</f>
        <v>552.54300000000001</v>
      </c>
      <c r="Y89" s="60">
        <f>CF!V6</f>
        <v>590.24300000000005</v>
      </c>
      <c r="Z89" s="60">
        <f>CF!W6</f>
        <v>839</v>
      </c>
      <c r="AA89" s="60">
        <f>CF!X6</f>
        <v>794.44446371084621</v>
      </c>
      <c r="AB89" s="60">
        <f>CF!Y6</f>
        <v>851.28691579435474</v>
      </c>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61"/>
    </row>
    <row r="90" spans="1:53" ht="15.7" customHeight="1" x14ac:dyDescent="0.35">
      <c r="A90" s="22" t="s">
        <v>1046</v>
      </c>
      <c r="B90" s="58" t="s">
        <v>1047</v>
      </c>
      <c r="C90" s="58" t="s">
        <v>1047</v>
      </c>
      <c r="D90" s="33"/>
      <c r="E90" s="33"/>
      <c r="F90" s="33"/>
      <c r="G90" s="59"/>
      <c r="H90" s="59"/>
      <c r="I90" s="59"/>
      <c r="J90" s="59"/>
      <c r="K90" s="60">
        <v>0</v>
      </c>
      <c r="L90" s="60">
        <v>0</v>
      </c>
      <c r="M90" s="60">
        <v>0</v>
      </c>
      <c r="N90" s="60">
        <v>0</v>
      </c>
      <c r="O90" s="60">
        <v>0</v>
      </c>
      <c r="P90" s="60">
        <v>0</v>
      </c>
      <c r="Q90" s="60">
        <v>0</v>
      </c>
      <c r="R90" s="60">
        <v>0</v>
      </c>
      <c r="S90" s="60">
        <v>0</v>
      </c>
      <c r="T90" s="60">
        <v>0</v>
      </c>
      <c r="U90" s="60">
        <v>0</v>
      </c>
      <c r="V90" s="60">
        <v>0</v>
      </c>
      <c r="W90" s="60">
        <v>0</v>
      </c>
      <c r="X90" s="60">
        <v>0</v>
      </c>
      <c r="Y90" s="60">
        <v>0</v>
      </c>
      <c r="Z90" s="60">
        <v>0</v>
      </c>
      <c r="AA90" s="60">
        <v>0</v>
      </c>
      <c r="AB90" s="60">
        <v>0</v>
      </c>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61"/>
    </row>
    <row r="91" spans="1:53" x14ac:dyDescent="0.35">
      <c r="A91" s="22" t="s">
        <v>1048</v>
      </c>
      <c r="B91" s="58" t="s">
        <v>1049</v>
      </c>
      <c r="C91" s="58" t="s">
        <v>1049</v>
      </c>
      <c r="D91" s="33"/>
      <c r="E91" s="33"/>
      <c r="F91" s="33"/>
      <c r="G91" s="59"/>
      <c r="H91" s="59"/>
      <c r="I91" s="59"/>
      <c r="J91" s="59"/>
      <c r="K91" s="60">
        <v>0</v>
      </c>
      <c r="L91" s="60">
        <v>0</v>
      </c>
      <c r="M91" s="60">
        <v>0</v>
      </c>
      <c r="N91" s="60">
        <v>0</v>
      </c>
      <c r="O91" s="60">
        <v>0</v>
      </c>
      <c r="P91" s="60">
        <v>0</v>
      </c>
      <c r="Q91" s="60">
        <v>0</v>
      </c>
      <c r="R91" s="60">
        <v>0</v>
      </c>
      <c r="S91" s="60">
        <v>0</v>
      </c>
      <c r="T91" s="60">
        <v>0</v>
      </c>
      <c r="U91" s="60">
        <v>0</v>
      </c>
      <c r="V91" s="60">
        <v>0</v>
      </c>
      <c r="W91" s="60">
        <v>0</v>
      </c>
      <c r="X91" s="60">
        <v>0</v>
      </c>
      <c r="Y91" s="60">
        <v>0</v>
      </c>
      <c r="Z91" s="60">
        <v>0</v>
      </c>
      <c r="AA91" s="60">
        <v>0</v>
      </c>
      <c r="AB91" s="60">
        <v>0</v>
      </c>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61"/>
    </row>
    <row r="92" spans="1:53" ht="15.7" customHeight="1" x14ac:dyDescent="0.35">
      <c r="A92" s="22" t="s">
        <v>1050</v>
      </c>
      <c r="B92" s="58" t="s">
        <v>1051</v>
      </c>
      <c r="C92" s="58" t="s">
        <v>1051</v>
      </c>
      <c r="D92" s="33"/>
      <c r="E92" s="33"/>
      <c r="F92" s="33"/>
      <c r="G92" s="59"/>
      <c r="H92" s="59"/>
      <c r="I92" s="59"/>
      <c r="J92" s="59"/>
      <c r="K92" s="60">
        <f>CF!H7</f>
        <v>2496.9849999999997</v>
      </c>
      <c r="L92" s="60">
        <f>CF!I7</f>
        <v>-1708.8640000000005</v>
      </c>
      <c r="M92" s="60">
        <f>CF!J7</f>
        <v>-2639.2899999999972</v>
      </c>
      <c r="N92" s="60">
        <f>CF!K7</f>
        <v>7317.143</v>
      </c>
      <c r="O92" s="60">
        <f>CF!L7</f>
        <v>1220.7829999999994</v>
      </c>
      <c r="P92" s="60">
        <f>CF!M7</f>
        <v>418.39499999998952</v>
      </c>
      <c r="Q92" s="60">
        <f>CF!N7</f>
        <v>2622.1410000000033</v>
      </c>
      <c r="R92" s="60">
        <f>CF!O7</f>
        <v>-1751.5580000000045</v>
      </c>
      <c r="S92" s="60">
        <f>CF!P7</f>
        <v>1120.9550000000163</v>
      </c>
      <c r="T92" s="60">
        <f>CF!Q7</f>
        <v>-409.88800000000629</v>
      </c>
      <c r="U92" s="60">
        <f>CF!R7</f>
        <v>-3480.3010000000068</v>
      </c>
      <c r="V92" s="60">
        <f>CF!S7</f>
        <v>-15325.190999999999</v>
      </c>
      <c r="W92" s="60">
        <f>CF!T7</f>
        <v>-6972.4829999999783</v>
      </c>
      <c r="X92" s="60">
        <f>CF!U7</f>
        <v>-5342.6650000000081</v>
      </c>
      <c r="Y92" s="60">
        <f>CF!V7</f>
        <v>-8369.4349999999831</v>
      </c>
      <c r="Z92" s="60">
        <f>CF!W7</f>
        <v>-7275.4600000000064</v>
      </c>
      <c r="AA92" s="60">
        <f>CF!X7</f>
        <v>-6226.5489732083806</v>
      </c>
      <c r="AB92" s="60">
        <f>CF!Y7</f>
        <v>-6563.0179538722732</v>
      </c>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61"/>
    </row>
    <row r="93" spans="1:53" ht="15.7" customHeight="1" x14ac:dyDescent="0.35">
      <c r="A93" s="22" t="s">
        <v>1052</v>
      </c>
      <c r="B93" s="58" t="s">
        <v>1053</v>
      </c>
      <c r="C93" s="58" t="s">
        <v>1053</v>
      </c>
      <c r="D93" s="33"/>
      <c r="E93" s="33"/>
      <c r="F93" s="33"/>
      <c r="G93" s="59"/>
      <c r="H93" s="59"/>
      <c r="I93" s="59"/>
      <c r="J93" s="59"/>
      <c r="K93" s="60"/>
      <c r="L93" s="60"/>
      <c r="M93" s="60"/>
      <c r="N93" s="60"/>
      <c r="O93" s="60"/>
      <c r="P93" s="60"/>
      <c r="Q93" s="60"/>
      <c r="R93" s="60"/>
      <c r="S93" s="60"/>
      <c r="T93" s="60"/>
      <c r="U93" s="60"/>
      <c r="V93" s="60"/>
      <c r="W93" s="60"/>
      <c r="X93" s="60"/>
      <c r="Y93" s="60"/>
      <c r="Z93" s="60"/>
      <c r="AA93" s="60"/>
      <c r="AB93" s="60"/>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61"/>
    </row>
    <row r="94" spans="1:53" ht="15.7" customHeight="1" x14ac:dyDescent="0.35">
      <c r="A94" s="22" t="s">
        <v>1054</v>
      </c>
      <c r="B94" s="58" t="s">
        <v>1055</v>
      </c>
      <c r="C94" s="58" t="s">
        <v>1055</v>
      </c>
      <c r="D94" s="33"/>
      <c r="E94" s="33"/>
      <c r="F94" s="33"/>
      <c r="G94" s="59"/>
      <c r="H94" s="59"/>
      <c r="I94" s="59"/>
      <c r="J94" s="59"/>
      <c r="K94" s="60">
        <f>CF!H9</f>
        <v>-459.97</v>
      </c>
      <c r="L94" s="60">
        <f>CF!I9</f>
        <v>-746.39800000000002</v>
      </c>
      <c r="M94" s="60">
        <f>CF!J9</f>
        <v>-735.22699999999998</v>
      </c>
      <c r="N94" s="60">
        <f>CF!K9</f>
        <v>-760.38200000000006</v>
      </c>
      <c r="O94" s="60">
        <f>CF!L9</f>
        <v>-742.08399999999995</v>
      </c>
      <c r="P94" s="60">
        <f>CF!M9</f>
        <v>-1255.95</v>
      </c>
      <c r="Q94" s="60">
        <f>CF!N9</f>
        <v>-551.20900000000006</v>
      </c>
      <c r="R94" s="60">
        <f>CF!O9</f>
        <v>-1117.6610000000001</v>
      </c>
      <c r="S94" s="60">
        <f>CF!P9</f>
        <v>-1336.1969999999999</v>
      </c>
      <c r="T94" s="60">
        <f>CF!Q9</f>
        <v>-1857.125</v>
      </c>
      <c r="U94" s="60">
        <f>CF!R9</f>
        <v>-3022.0509999999999</v>
      </c>
      <c r="V94" s="60">
        <f>CF!S9</f>
        <v>-1197.192</v>
      </c>
      <c r="W94" s="60">
        <f>CF!T9</f>
        <v>-1577.2049999999999</v>
      </c>
      <c r="X94" s="60">
        <f>CF!U9</f>
        <v>-647.33900000000006</v>
      </c>
      <c r="Y94" s="60">
        <f>CF!V9</f>
        <v>-211.69300000000001</v>
      </c>
      <c r="Z94" s="60">
        <f>CF!W9</f>
        <v>-248.70599999999999</v>
      </c>
      <c r="AA94" s="60">
        <f ca="1">CF!X9</f>
        <v>-293.32769134484329</v>
      </c>
      <c r="AB94" s="60">
        <f ca="1">CF!Y9</f>
        <v>-281.47053400396635</v>
      </c>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61"/>
    </row>
    <row r="95" spans="1:53" ht="15.7" customHeight="1" x14ac:dyDescent="0.35">
      <c r="A95" s="22" t="s">
        <v>1056</v>
      </c>
      <c r="B95" s="58" t="s">
        <v>1057</v>
      </c>
      <c r="C95" s="58" t="s">
        <v>1057</v>
      </c>
      <c r="D95" s="33"/>
      <c r="E95" s="33"/>
      <c r="F95" s="33"/>
      <c r="G95" s="59"/>
      <c r="H95" s="59"/>
      <c r="I95" s="59"/>
      <c r="J95" s="59"/>
      <c r="K95" s="60">
        <f>CF!H10+CF!H8</f>
        <v>-3197.4679999999994</v>
      </c>
      <c r="L95" s="60">
        <f>CF!I10+CF!I8</f>
        <v>-239.26999999999879</v>
      </c>
      <c r="M95" s="60">
        <f>CF!J10+CF!J8</f>
        <v>-3166.1100000000038</v>
      </c>
      <c r="N95" s="60">
        <f>CF!K10+CF!K8</f>
        <v>-12592.188</v>
      </c>
      <c r="O95" s="60">
        <f>CF!L10+CF!L8</f>
        <v>-5849.939999999996</v>
      </c>
      <c r="P95" s="60">
        <f>CF!M10+CF!M8</f>
        <v>-3663.5239999999881</v>
      </c>
      <c r="Q95" s="60">
        <f>CF!N10+CF!N8</f>
        <v>-4561.6660000000093</v>
      </c>
      <c r="R95" s="60">
        <f>CF!O10+CF!O8</f>
        <v>-7856.689999999996</v>
      </c>
      <c r="S95" s="60">
        <f>CF!P10+CF!P8</f>
        <v>-6613.1740000000173</v>
      </c>
      <c r="T95" s="60">
        <f>CF!Q10+CF!Q8</f>
        <v>-6364.9909999999945</v>
      </c>
      <c r="U95" s="60">
        <f>CF!R10+CF!R8</f>
        <v>-4509.6449999999923</v>
      </c>
      <c r="V95" s="60">
        <f>CF!S10+CF!S8</f>
        <v>8761.7939999999981</v>
      </c>
      <c r="W95" s="60">
        <f>CF!T10+CF!T8</f>
        <v>186.04099999998289</v>
      </c>
      <c r="X95" s="60">
        <f>CF!U10+CF!U8</f>
        <v>-3469.7049999999954</v>
      </c>
      <c r="Y95" s="60">
        <f>CF!V10+CF!V8</f>
        <v>1117.3569999999843</v>
      </c>
      <c r="Z95" s="60">
        <f>CF!W10+CF!W8</f>
        <v>-1041.3999999999919</v>
      </c>
      <c r="AA95" s="60">
        <f>CF!X10+CF!X8</f>
        <v>-219.1264483171517</v>
      </c>
      <c r="AB95" s="60">
        <f>CF!Y10+CF!Y8</f>
        <v>-2265.912269713107</v>
      </c>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61"/>
    </row>
    <row r="96" spans="1:53" ht="15.7" customHeight="1" x14ac:dyDescent="0.35">
      <c r="A96" s="22" t="s">
        <v>1058</v>
      </c>
      <c r="B96" s="54" t="s">
        <v>1059</v>
      </c>
      <c r="C96" s="54" t="s">
        <v>1059</v>
      </c>
      <c r="D96" s="37"/>
      <c r="E96" s="37"/>
      <c r="F96" s="37"/>
      <c r="G96" s="55"/>
      <c r="H96" s="55"/>
      <c r="I96" s="55"/>
      <c r="J96" s="55"/>
      <c r="K96" s="56">
        <f>CF!H18</f>
        <v>-1424.9449999999999</v>
      </c>
      <c r="L96" s="56">
        <f>CF!I18</f>
        <v>-163.83600000000013</v>
      </c>
      <c r="M96" s="56">
        <f>CF!J18</f>
        <v>-457.45799999999991</v>
      </c>
      <c r="N96" s="56">
        <f>CF!K18</f>
        <v>130.05600000000004</v>
      </c>
      <c r="O96" s="56">
        <f>CF!L18</f>
        <v>-2091.319</v>
      </c>
      <c r="P96" s="56">
        <f>CF!M18</f>
        <v>-935.20399999999995</v>
      </c>
      <c r="Q96" s="56">
        <f>CF!N18</f>
        <v>-5690.5309999999999</v>
      </c>
      <c r="R96" s="56">
        <f>CF!O18</f>
        <v>-4800.1890000000003</v>
      </c>
      <c r="S96" s="56">
        <f>CF!P18</f>
        <v>-6953.9700000000012</v>
      </c>
      <c r="T96" s="56">
        <f>CF!Q18</f>
        <v>-3090.0410000000006</v>
      </c>
      <c r="U96" s="56">
        <f>CF!R18</f>
        <v>324.54000000000065</v>
      </c>
      <c r="V96" s="56">
        <f>CF!S18</f>
        <v>-4937.6689999999999</v>
      </c>
      <c r="W96" s="56">
        <f>CF!T18</f>
        <v>500.84299999999973</v>
      </c>
      <c r="X96" s="56">
        <f>CF!U18</f>
        <v>1173.5899999999999</v>
      </c>
      <c r="Y96" s="56">
        <f>CF!V18</f>
        <v>1136.7910000000002</v>
      </c>
      <c r="Z96" s="56">
        <f>CF!W18</f>
        <v>1157</v>
      </c>
      <c r="AA96" s="56">
        <f ca="1">CF!X18</f>
        <v>-1695.5978589306621</v>
      </c>
      <c r="AB96" s="56">
        <f ca="1">CF!Y18</f>
        <v>-1663.3213621734719</v>
      </c>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57"/>
    </row>
    <row r="97" spans="1:53" ht="15.7" customHeight="1" x14ac:dyDescent="0.35">
      <c r="A97" s="22" t="s">
        <v>1060</v>
      </c>
      <c r="B97" s="54" t="s">
        <v>1061</v>
      </c>
      <c r="C97" s="54" t="s">
        <v>1061</v>
      </c>
      <c r="D97" s="37"/>
      <c r="E97" s="37"/>
      <c r="F97" s="37"/>
      <c r="G97" s="55"/>
      <c r="H97" s="55"/>
      <c r="I97" s="55"/>
      <c r="J97" s="55"/>
      <c r="K97" s="56">
        <f>CF!H15</f>
        <v>-364.53800000000001</v>
      </c>
      <c r="L97" s="56">
        <f>CF!I15</f>
        <v>-522.20000000000005</v>
      </c>
      <c r="M97" s="56">
        <f>CF!J15</f>
        <v>-402.20600000000002</v>
      </c>
      <c r="N97" s="56">
        <f>CF!K15</f>
        <v>-378.54300000000001</v>
      </c>
      <c r="O97" s="56">
        <f>CF!L15</f>
        <v>-514.48699999999997</v>
      </c>
      <c r="P97" s="56">
        <f>CF!M15</f>
        <v>-425.47800000000001</v>
      </c>
      <c r="Q97" s="56">
        <f>CF!N15</f>
        <v>-177.74299999999999</v>
      </c>
      <c r="R97" s="56">
        <f>CF!O15</f>
        <v>-1410.1120000000001</v>
      </c>
      <c r="S97" s="56">
        <f>CF!P15</f>
        <v>-805.87599999999998</v>
      </c>
      <c r="T97" s="56">
        <f>CF!Q15</f>
        <v>-502.77699999999999</v>
      </c>
      <c r="U97" s="56">
        <f>CF!R15</f>
        <v>-548.38</v>
      </c>
      <c r="V97" s="56">
        <f>CF!S15</f>
        <v>-686.40499999999997</v>
      </c>
      <c r="W97" s="56">
        <f>CF!T15</f>
        <v>-875.53730119514466</v>
      </c>
      <c r="X97" s="56">
        <f>CF!U15</f>
        <v>-1015.6575297704101</v>
      </c>
      <c r="Y97" s="56">
        <f>CF!V15</f>
        <v>-968.17593592756725</v>
      </c>
      <c r="Z97" s="56">
        <f>CF!W15</f>
        <v>-838.78107426266342</v>
      </c>
      <c r="AA97" s="56">
        <f>CF!X15</f>
        <v>-847.74685512593589</v>
      </c>
      <c r="AB97" s="56">
        <f>CF!Y15</f>
        <v>-911.68156921235334</v>
      </c>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57"/>
    </row>
    <row r="98" spans="1:53" ht="15.7" customHeight="1" x14ac:dyDescent="0.35">
      <c r="A98" s="22" t="s">
        <v>1062</v>
      </c>
      <c r="B98" s="58" t="s">
        <v>1063</v>
      </c>
      <c r="C98" s="58" t="s">
        <v>1063</v>
      </c>
      <c r="D98" s="33"/>
      <c r="E98" s="33"/>
      <c r="F98" s="33"/>
      <c r="G98" s="59"/>
      <c r="H98" s="59"/>
      <c r="I98" s="59"/>
      <c r="J98" s="59"/>
      <c r="K98" s="60">
        <f>CF!H16</f>
        <v>-1451.8119999999999</v>
      </c>
      <c r="L98" s="60">
        <f>CF!I16</f>
        <v>29.557999999999993</v>
      </c>
      <c r="M98" s="60">
        <f>CF!J16</f>
        <v>128.64400000000001</v>
      </c>
      <c r="N98" s="60">
        <f>CF!K16</f>
        <v>62.415000000000006</v>
      </c>
      <c r="O98" s="60">
        <f>CF!L16</f>
        <v>-203.191</v>
      </c>
      <c r="P98" s="60">
        <f>CF!M16</f>
        <v>-269.49499999999989</v>
      </c>
      <c r="Q98" s="60">
        <f>CF!N16</f>
        <v>288.20700000000028</v>
      </c>
      <c r="R98" s="60">
        <f>CF!O16</f>
        <v>-1440.7739999999999</v>
      </c>
      <c r="S98" s="60">
        <f>CF!P16</f>
        <v>301.20699999999965</v>
      </c>
      <c r="T98" s="60">
        <f>CF!Q16</f>
        <v>511.62199999999939</v>
      </c>
      <c r="U98" s="60">
        <f>CF!R16</f>
        <v>1526.1890000000008</v>
      </c>
      <c r="V98" s="60">
        <f>CF!S16</f>
        <v>-1332.996000000001</v>
      </c>
      <c r="W98" s="60">
        <f>CF!T16</f>
        <v>4426.2149999999992</v>
      </c>
      <c r="X98" s="60">
        <f>CF!U16</f>
        <v>3104.5629999999992</v>
      </c>
      <c r="Y98" s="60">
        <f>CF!V16</f>
        <v>894.27000000000055</v>
      </c>
      <c r="Z98" s="60">
        <f>CF!W16</f>
        <v>558.07900000000006</v>
      </c>
      <c r="AA98" s="60">
        <f ca="1">CF!X16</f>
        <v>-36.626168655156334</v>
      </c>
      <c r="AB98" s="60">
        <f ca="1">CF!Y16</f>
        <v>-61.629468796034416</v>
      </c>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61"/>
    </row>
    <row r="99" spans="1:53" ht="15.7" customHeight="1" x14ac:dyDescent="0.35">
      <c r="A99" s="22" t="s">
        <v>1064</v>
      </c>
      <c r="B99" s="58" t="s">
        <v>1065</v>
      </c>
      <c r="C99" s="58" t="s">
        <v>1065</v>
      </c>
      <c r="D99" s="33"/>
      <c r="E99" s="33"/>
      <c r="F99" s="33"/>
      <c r="G99" s="59"/>
      <c r="H99" s="59"/>
      <c r="I99" s="59"/>
      <c r="J99" s="59"/>
      <c r="K99" s="78"/>
      <c r="L99" s="78"/>
      <c r="M99" s="78"/>
      <c r="N99" s="78"/>
      <c r="O99" s="78"/>
      <c r="P99" s="78"/>
      <c r="Q99" s="78"/>
      <c r="R99" s="78"/>
      <c r="S99" s="78"/>
      <c r="T99" s="78"/>
      <c r="U99" s="78"/>
      <c r="V99" s="78"/>
      <c r="W99" s="78"/>
      <c r="X99" s="78"/>
      <c r="Y99" s="78"/>
      <c r="Z99" s="78"/>
      <c r="AA99" s="78"/>
      <c r="AB99" s="78"/>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61"/>
    </row>
    <row r="100" spans="1:53" ht="15.7" customHeight="1" x14ac:dyDescent="0.35">
      <c r="A100" s="22" t="s">
        <v>1066</v>
      </c>
      <c r="B100" s="58" t="s">
        <v>1057</v>
      </c>
      <c r="C100" s="58" t="s">
        <v>1057</v>
      </c>
      <c r="D100" s="33"/>
      <c r="E100" s="33"/>
      <c r="F100" s="33"/>
      <c r="G100" s="59"/>
      <c r="H100" s="59"/>
      <c r="I100" s="59"/>
      <c r="J100" s="59"/>
      <c r="K100" s="60">
        <f>CF!H17</f>
        <v>391.40499999999997</v>
      </c>
      <c r="L100" s="60">
        <f>CF!I17</f>
        <v>328.80599999999993</v>
      </c>
      <c r="M100" s="60">
        <f>CF!J17</f>
        <v>-183.8959999999999</v>
      </c>
      <c r="N100" s="60">
        <f>CF!K17</f>
        <v>446.18400000000003</v>
      </c>
      <c r="O100" s="60">
        <f>CF!L17</f>
        <v>-1373.6410000000001</v>
      </c>
      <c r="P100" s="60">
        <f>CF!M17</f>
        <v>-240.23099999999999</v>
      </c>
      <c r="Q100" s="60">
        <f>CF!N17</f>
        <v>-5800.9949999999999</v>
      </c>
      <c r="R100" s="60">
        <f>CF!O17</f>
        <v>-1949.3030000000003</v>
      </c>
      <c r="S100" s="60">
        <f>CF!P17</f>
        <v>-6449.3010000000013</v>
      </c>
      <c r="T100" s="60">
        <f>CF!Q17</f>
        <v>-3098.886</v>
      </c>
      <c r="U100" s="60">
        <f>CF!R17</f>
        <v>-653.26900000000012</v>
      </c>
      <c r="V100" s="60">
        <f>CF!S17</f>
        <v>-2918.2679999999991</v>
      </c>
      <c r="W100" s="60">
        <f>CF!T17</f>
        <v>-3049.8346988048547</v>
      </c>
      <c r="X100" s="60">
        <f>CF!U17</f>
        <v>-915.31547022958898</v>
      </c>
      <c r="Y100" s="60">
        <f>CF!V17</f>
        <v>1210.6969359275668</v>
      </c>
      <c r="Z100" s="60">
        <f>CF!W17</f>
        <v>1437.7020742626632</v>
      </c>
      <c r="AA100" s="60">
        <f ca="1">CF!X17</f>
        <v>-811.22483514956991</v>
      </c>
      <c r="AB100" s="60">
        <f ca="1">CF!Y17</f>
        <v>-690.01032416508417</v>
      </c>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61"/>
    </row>
    <row r="101" spans="1:53" ht="15.7" customHeight="1" x14ac:dyDescent="0.35">
      <c r="A101" s="22" t="s">
        <v>1067</v>
      </c>
      <c r="B101" s="54" t="s">
        <v>1068</v>
      </c>
      <c r="C101" s="54" t="s">
        <v>1068</v>
      </c>
      <c r="D101" s="37"/>
      <c r="E101" s="37"/>
      <c r="F101" s="37"/>
      <c r="G101" s="55"/>
      <c r="H101" s="55"/>
      <c r="I101" s="55"/>
      <c r="J101" s="55"/>
      <c r="K101" s="56">
        <f>CF!H28</f>
        <v>-777.44799999999941</v>
      </c>
      <c r="L101" s="56">
        <f>CF!I28</f>
        <v>2894.1120000000001</v>
      </c>
      <c r="M101" s="56">
        <f>CF!J28</f>
        <v>5021.8450000000003</v>
      </c>
      <c r="N101" s="56">
        <f>CF!K28</f>
        <v>4046.0819999999994</v>
      </c>
      <c r="O101" s="56">
        <f>CF!L28</f>
        <v>3172.2689999999998</v>
      </c>
      <c r="P101" s="56">
        <f>CF!M28</f>
        <v>1309.4479999999992</v>
      </c>
      <c r="Q101" s="56">
        <f>CF!N28</f>
        <v>6497.6669999999995</v>
      </c>
      <c r="R101" s="56">
        <f>CF!O28</f>
        <v>15252.916000000001</v>
      </c>
      <c r="S101" s="56">
        <f>CF!P28</f>
        <v>9581.1139999999996</v>
      </c>
      <c r="T101" s="56">
        <f>CF!Q28</f>
        <v>10506.627</v>
      </c>
      <c r="U101" s="56">
        <f>CF!R28</f>
        <v>2881.2790000000018</v>
      </c>
      <c r="V101" s="56">
        <f>CF!S28</f>
        <v>6963.6329999999989</v>
      </c>
      <c r="W101" s="56">
        <f>CF!T28</f>
        <v>-527.01799999999912</v>
      </c>
      <c r="X101" s="56">
        <f>CF!U28</f>
        <v>4548.3859999999986</v>
      </c>
      <c r="Y101" s="56">
        <f>CF!V28</f>
        <v>-349.09399999999277</v>
      </c>
      <c r="Z101" s="56">
        <f>CF!W28</f>
        <v>-1250</v>
      </c>
      <c r="AA101" s="56">
        <f>CF!X28</f>
        <v>-794.43937581218779</v>
      </c>
      <c r="AB101" s="56">
        <f ca="1">CF!Y28</f>
        <v>-1237.441196458778</v>
      </c>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57"/>
    </row>
    <row r="102" spans="1:53" ht="15.7" customHeight="1" x14ac:dyDescent="0.35">
      <c r="A102" s="22" t="s">
        <v>1069</v>
      </c>
      <c r="B102" s="58" t="s">
        <v>1070</v>
      </c>
      <c r="C102" s="58" t="s">
        <v>1070</v>
      </c>
      <c r="D102" s="33"/>
      <c r="E102" s="33"/>
      <c r="F102" s="33"/>
      <c r="G102" s="59"/>
      <c r="H102" s="59"/>
      <c r="I102" s="59"/>
      <c r="J102" s="59"/>
      <c r="K102" s="60">
        <f>CF!H23</f>
        <v>-470.04899999999873</v>
      </c>
      <c r="L102" s="60">
        <f>CF!I23</f>
        <v>3551.538</v>
      </c>
      <c r="M102" s="60">
        <f>CF!J23</f>
        <v>2229.8609999999999</v>
      </c>
      <c r="N102" s="60">
        <f>CF!K23</f>
        <v>0.29299999999999998</v>
      </c>
      <c r="O102" s="60">
        <f>CF!L23</f>
        <v>1.4410000000000001</v>
      </c>
      <c r="P102" s="60">
        <f>CF!M23</f>
        <v>9.8949999999999996</v>
      </c>
      <c r="Q102" s="60">
        <f>CF!N23</f>
        <v>4809.9589999999998</v>
      </c>
      <c r="R102" s="60">
        <f>CF!O23</f>
        <v>6307.3370000000004</v>
      </c>
      <c r="S102" s="60">
        <f>CF!P23</f>
        <v>0</v>
      </c>
      <c r="T102" s="60">
        <f>CF!Q23</f>
        <v>0</v>
      </c>
      <c r="U102" s="60">
        <f>CF!R23</f>
        <v>0</v>
      </c>
      <c r="V102" s="60">
        <f>CF!S23</f>
        <v>-54.725000000000001</v>
      </c>
      <c r="W102" s="60">
        <f>CF!T23</f>
        <v>0</v>
      </c>
      <c r="X102" s="60">
        <f>CF!U23</f>
        <v>0</v>
      </c>
      <c r="Y102" s="60">
        <f>CF!V23</f>
        <v>0</v>
      </c>
      <c r="Z102" s="60">
        <f>CF!W23</f>
        <v>0</v>
      </c>
      <c r="AA102" s="60">
        <f>CF!X23</f>
        <v>0</v>
      </c>
      <c r="AB102" s="60">
        <f>CF!Y23</f>
        <v>0</v>
      </c>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61"/>
    </row>
    <row r="103" spans="1:53" ht="15.7" customHeight="1" x14ac:dyDescent="0.35">
      <c r="A103" s="22" t="s">
        <v>1071</v>
      </c>
      <c r="B103" s="58" t="s">
        <v>1072</v>
      </c>
      <c r="C103" s="58" t="s">
        <v>1072</v>
      </c>
      <c r="D103" s="33"/>
      <c r="E103" s="33"/>
      <c r="F103" s="33"/>
      <c r="G103" s="59"/>
      <c r="H103" s="59"/>
      <c r="I103" s="59"/>
      <c r="J103" s="59"/>
      <c r="K103" s="60"/>
      <c r="L103" s="60">
        <f>CF!I26</f>
        <v>-708.23800000000006</v>
      </c>
      <c r="M103" s="60">
        <f>CF!J26</f>
        <v>-873.84899999999993</v>
      </c>
      <c r="N103" s="60">
        <f>CF!K26</f>
        <v>-1449.7700000000002</v>
      </c>
      <c r="O103" s="60">
        <f>CF!L26</f>
        <v>-1754.04</v>
      </c>
      <c r="P103" s="60">
        <f>CF!M26</f>
        <v>-1822.6209999999999</v>
      </c>
      <c r="Q103" s="60">
        <f>CF!N26</f>
        <v>-2084.1770000000001</v>
      </c>
      <c r="R103" s="60">
        <f>CF!O26</f>
        <v>-2536.2140000000004</v>
      </c>
      <c r="S103" s="60">
        <f>CF!P26</f>
        <v>-3536.172</v>
      </c>
      <c r="T103" s="60">
        <f>CF!Q26</f>
        <v>-3394.65</v>
      </c>
      <c r="U103" s="60">
        <f>CF!R26</f>
        <v>-4401.7479999999996</v>
      </c>
      <c r="V103" s="60">
        <f>CF!S26</f>
        <v>-4485.8984004800004</v>
      </c>
      <c r="W103" s="60">
        <f>CF!T26</f>
        <v>-5032.5331399999995</v>
      </c>
      <c r="X103" s="60">
        <f>CF!U26</f>
        <v>-5622.3650159999997</v>
      </c>
      <c r="Y103" s="60">
        <f>CF!V26</f>
        <v>-5769.3773519999995</v>
      </c>
      <c r="Z103" s="60">
        <f>CF!W26</f>
        <v>-5380.6749605617997</v>
      </c>
      <c r="AA103" s="60">
        <f>CF!X26</f>
        <v>-5565.0441358121916</v>
      </c>
      <c r="AB103" s="60">
        <f ca="1">CF!Y26</f>
        <v>-6121.6750116587791</v>
      </c>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61"/>
    </row>
    <row r="104" spans="1:53" ht="15.7" customHeight="1" x14ac:dyDescent="0.35">
      <c r="A104" s="22" t="s">
        <v>1073</v>
      </c>
      <c r="B104" s="58" t="s">
        <v>1074</v>
      </c>
      <c r="C104" s="58" t="s">
        <v>1074</v>
      </c>
      <c r="D104" s="33"/>
      <c r="E104" s="33"/>
      <c r="F104" s="33"/>
      <c r="G104" s="59"/>
      <c r="H104" s="59"/>
      <c r="I104" s="59"/>
      <c r="J104" s="59"/>
      <c r="K104" s="60">
        <f>CF!H24</f>
        <v>1256.4750000000001</v>
      </c>
      <c r="L104" s="60">
        <f>CF!I24</f>
        <v>2345.3809999999999</v>
      </c>
      <c r="M104" s="60">
        <f>CF!J24</f>
        <v>4620.924</v>
      </c>
      <c r="N104" s="60">
        <f>CF!K24</f>
        <v>5649.9009999999998</v>
      </c>
      <c r="O104" s="60">
        <f>CF!L24</f>
        <v>4739.6379999999999</v>
      </c>
      <c r="P104" s="60">
        <f>CF!M24</f>
        <v>3113.5279999999998</v>
      </c>
      <c r="Q104" s="60">
        <f>CF!N24</f>
        <v>3740.1520000000005</v>
      </c>
      <c r="R104" s="60">
        <f>CF!O24</f>
        <v>11373.414000000001</v>
      </c>
      <c r="S104" s="60">
        <f>CF!P24</f>
        <v>12813.873</v>
      </c>
      <c r="T104" s="60">
        <f>CF!Q24</f>
        <v>4971.385000000002</v>
      </c>
      <c r="U104" s="60">
        <f>CF!R24</f>
        <v>3961.4410000000025</v>
      </c>
      <c r="V104" s="60">
        <f>CF!S24</f>
        <v>11785.509</v>
      </c>
      <c r="W104" s="60">
        <f>CF!T24</f>
        <v>1660.0260000000035</v>
      </c>
      <c r="X104" s="60">
        <f>CF!U24</f>
        <v>4169.6649999999981</v>
      </c>
      <c r="Y104" s="60">
        <f>CF!V24</f>
        <v>3584.7759999999944</v>
      </c>
      <c r="Z104" s="60">
        <f>CF!W24</f>
        <v>5883.7800000000043</v>
      </c>
      <c r="AA104" s="60">
        <f>CF!X24</f>
        <v>4770.6047600000038</v>
      </c>
      <c r="AB104" s="60">
        <f>CF!Y24</f>
        <v>4884.2338152000011</v>
      </c>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61"/>
    </row>
    <row r="105" spans="1:53" ht="15.7" customHeight="1" x14ac:dyDescent="0.35">
      <c r="A105" s="22" t="s">
        <v>1075</v>
      </c>
      <c r="B105" s="58" t="s">
        <v>1076</v>
      </c>
      <c r="C105" s="58" t="s">
        <v>1076</v>
      </c>
      <c r="D105" s="33"/>
      <c r="E105" s="33"/>
      <c r="F105" s="33"/>
      <c r="G105" s="59"/>
      <c r="H105" s="59"/>
      <c r="I105" s="59"/>
      <c r="J105" s="59"/>
      <c r="K105" s="60"/>
      <c r="L105" s="60"/>
      <c r="M105" s="60"/>
      <c r="N105" s="60"/>
      <c r="O105" s="60"/>
      <c r="P105" s="60"/>
      <c r="Q105" s="60"/>
      <c r="R105" s="60"/>
      <c r="S105" s="60"/>
      <c r="T105" s="60"/>
      <c r="U105" s="60"/>
      <c r="V105" s="60"/>
      <c r="W105" s="60"/>
      <c r="X105" s="60"/>
      <c r="Y105" s="60"/>
      <c r="Z105" s="60"/>
      <c r="AA105" s="60"/>
      <c r="AB105" s="60"/>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61"/>
    </row>
    <row r="106" spans="1:53" ht="15.7" customHeight="1" x14ac:dyDescent="0.35">
      <c r="A106" s="22" t="s">
        <v>1077</v>
      </c>
      <c r="B106" s="58" t="s">
        <v>1057</v>
      </c>
      <c r="C106" s="58" t="s">
        <v>1057</v>
      </c>
      <c r="D106" s="33"/>
      <c r="E106" s="33"/>
      <c r="F106" s="33"/>
      <c r="G106" s="59"/>
      <c r="H106" s="59"/>
      <c r="I106" s="59"/>
      <c r="J106" s="59"/>
      <c r="K106" s="60">
        <f>CF!H27</f>
        <v>-1563.8740000000007</v>
      </c>
      <c r="L106" s="60">
        <f>CF!I27</f>
        <v>-2294.5689999999995</v>
      </c>
      <c r="M106" s="60">
        <f>CF!J27</f>
        <v>-955.09099999999944</v>
      </c>
      <c r="N106" s="60">
        <f>CF!K27</f>
        <v>-154.34199999999964</v>
      </c>
      <c r="O106" s="60">
        <f>CF!L27</f>
        <v>185.23000000000002</v>
      </c>
      <c r="P106" s="60">
        <f>CF!M27</f>
        <v>8.645999999999276</v>
      </c>
      <c r="Q106" s="60">
        <f>CF!N27</f>
        <v>31.732999999998356</v>
      </c>
      <c r="R106" s="60">
        <f>CF!O27</f>
        <v>108.37900000000081</v>
      </c>
      <c r="S106" s="60">
        <f>CF!P27</f>
        <v>303.41300000000047</v>
      </c>
      <c r="T106" s="60">
        <f>CF!Q27</f>
        <v>8929.891999999998</v>
      </c>
      <c r="U106" s="60">
        <f>CF!R27</f>
        <v>3321.5859999999989</v>
      </c>
      <c r="V106" s="60">
        <f>CF!S27</f>
        <v>-281.25259952000033</v>
      </c>
      <c r="W106" s="60">
        <f>CF!T27</f>
        <v>2845.489139999997</v>
      </c>
      <c r="X106" s="60">
        <f>CF!U27</f>
        <v>6001.0860160000002</v>
      </c>
      <c r="Y106" s="60">
        <f>CF!V27</f>
        <v>1835.5073520000124</v>
      </c>
      <c r="Z106" s="60">
        <f>CF!W27</f>
        <v>-1753.1050394382046</v>
      </c>
      <c r="AA106" s="60">
        <f>CF!X27</f>
        <v>0</v>
      </c>
      <c r="AB106" s="60">
        <f>CF!Y27</f>
        <v>0</v>
      </c>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61"/>
    </row>
    <row r="107" spans="1:53" ht="15.7" customHeight="1" x14ac:dyDescent="0.35">
      <c r="A107" s="22" t="s">
        <v>1078</v>
      </c>
      <c r="B107" s="54" t="s">
        <v>1079</v>
      </c>
      <c r="C107" s="54" t="s">
        <v>1079</v>
      </c>
      <c r="D107" s="37"/>
      <c r="E107" s="37"/>
      <c r="F107" s="37"/>
      <c r="G107" s="55"/>
      <c r="H107" s="55"/>
      <c r="I107" s="55"/>
      <c r="J107" s="55"/>
      <c r="K107" s="56">
        <f>CF!H30</f>
        <v>31.623000000000001</v>
      </c>
      <c r="L107" s="56">
        <f>CF!I30</f>
        <v>3.927</v>
      </c>
      <c r="M107" s="56">
        <f>CF!J30</f>
        <v>3.835</v>
      </c>
      <c r="N107" s="56">
        <f>CF!K30</f>
        <v>149.45599999999999</v>
      </c>
      <c r="O107" s="56">
        <f>CF!L30</f>
        <v>-48.134</v>
      </c>
      <c r="P107" s="56">
        <f>CF!M30</f>
        <v>-164.595</v>
      </c>
      <c r="Q107" s="56">
        <f>CF!N30</f>
        <v>-216.191</v>
      </c>
      <c r="R107" s="56">
        <f>CF!O30</f>
        <v>479.65300000000002</v>
      </c>
      <c r="S107" s="56">
        <f>CF!P30</f>
        <v>-349.221</v>
      </c>
      <c r="T107" s="56">
        <f>CF!Q30</f>
        <v>-36.070999999999998</v>
      </c>
      <c r="U107" s="56">
        <f>CF!R30</f>
        <v>1137.116</v>
      </c>
      <c r="V107" s="56">
        <f>CF!S30</f>
        <v>453.67</v>
      </c>
      <c r="W107" s="56">
        <f>CF!T30</f>
        <v>-1024.634</v>
      </c>
      <c r="X107" s="56">
        <f>CF!U30</f>
        <v>-1332.5139999999999</v>
      </c>
      <c r="Y107" s="56">
        <f>CF!V30</f>
        <v>-534.86599999999999</v>
      </c>
      <c r="Z107" s="56">
        <f>CF!W30</f>
        <v>0</v>
      </c>
      <c r="AA107" s="56">
        <f>CF!X30</f>
        <v>0</v>
      </c>
      <c r="AB107" s="56">
        <f>CF!Y30</f>
        <v>0</v>
      </c>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57"/>
    </row>
    <row r="108" spans="1:53" ht="15.7" customHeight="1" x14ac:dyDescent="0.35">
      <c r="A108" s="22" t="s">
        <v>1080</v>
      </c>
      <c r="B108" s="54" t="s">
        <v>1081</v>
      </c>
      <c r="C108" s="54" t="s">
        <v>1081</v>
      </c>
      <c r="D108" s="37"/>
      <c r="E108" s="37"/>
      <c r="F108" s="37"/>
      <c r="G108" s="55"/>
      <c r="H108" s="55"/>
      <c r="I108" s="55"/>
      <c r="J108" s="55"/>
      <c r="K108" s="56">
        <f>CF!H31</f>
        <v>-2129.7469999999994</v>
      </c>
      <c r="L108" s="56">
        <f>CF!I31</f>
        <v>1729.7079999999999</v>
      </c>
      <c r="M108" s="56">
        <f>CF!J31</f>
        <v>1228.4080000000004</v>
      </c>
      <c r="N108" s="56">
        <f>CF!K31</f>
        <v>1240.1589999999994</v>
      </c>
      <c r="O108" s="56">
        <f>CF!L31</f>
        <v>-656.1220000000003</v>
      </c>
      <c r="P108" s="56">
        <f>CF!M31</f>
        <v>507.64899999999921</v>
      </c>
      <c r="Q108" s="56">
        <f>CF!N31</f>
        <v>3457.9449999999997</v>
      </c>
      <c r="R108" s="56">
        <f>CF!O31</f>
        <v>6086.6740000000009</v>
      </c>
      <c r="S108" s="56">
        <f>CF!P31</f>
        <v>353.32799999999907</v>
      </c>
      <c r="T108" s="56">
        <f>CF!Q31</f>
        <v>4676.1659999999993</v>
      </c>
      <c r="U108" s="56">
        <f>CF!R31</f>
        <v>-188.13299999999754</v>
      </c>
      <c r="V108" s="56">
        <f>CF!S31</f>
        <v>1928.6339999999991</v>
      </c>
      <c r="W108" s="56">
        <f>CF!T31</f>
        <v>-838.8089999999994</v>
      </c>
      <c r="X108" s="56">
        <f>CF!U31</f>
        <v>4890.4559999999983</v>
      </c>
      <c r="Y108" s="56">
        <f>CF!V31</f>
        <v>2260.2880000000077</v>
      </c>
      <c r="Z108" s="56">
        <f>CF!W31</f>
        <v>957</v>
      </c>
      <c r="AA108" s="56">
        <f ca="1">CF!X31</f>
        <v>1437.9670922279574</v>
      </c>
      <c r="AB108" s="56">
        <f ca="1">CF!Y31</f>
        <v>-436.33205976710974</v>
      </c>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57"/>
    </row>
    <row r="109" spans="1:53" ht="15.7" customHeight="1" x14ac:dyDescent="0.35">
      <c r="A109" s="22" t="s">
        <v>1082</v>
      </c>
      <c r="B109" s="58" t="s">
        <v>1083</v>
      </c>
      <c r="C109" s="58" t="s">
        <v>1083</v>
      </c>
      <c r="D109" s="33"/>
      <c r="E109" s="33"/>
      <c r="F109" s="33"/>
      <c r="G109" s="59"/>
      <c r="H109" s="59"/>
      <c r="I109" s="59"/>
      <c r="J109" s="59"/>
      <c r="K109" s="60">
        <f>CF!H33</f>
        <v>5939.7819999999992</v>
      </c>
      <c r="L109" s="60">
        <f>CF!I33</f>
        <v>3810.0349999999999</v>
      </c>
      <c r="M109" s="60">
        <f>CF!J33</f>
        <v>5594.2479999999996</v>
      </c>
      <c r="N109" s="60">
        <f>CF!K33</f>
        <v>6921.0910000000003</v>
      </c>
      <c r="O109" s="60">
        <f>CF!L33</f>
        <v>8161.25</v>
      </c>
      <c r="P109" s="60">
        <f>CF!M33</f>
        <v>7505.1279999999997</v>
      </c>
      <c r="Q109" s="60">
        <f>CF!N33</f>
        <v>8025.91</v>
      </c>
      <c r="R109" s="60">
        <f>CF!O33</f>
        <v>11484.194</v>
      </c>
      <c r="S109" s="60">
        <f>CF!P33</f>
        <v>17570.867999999999</v>
      </c>
      <c r="T109" s="60">
        <f>CF!Q33</f>
        <v>17924.195999999996</v>
      </c>
      <c r="U109" s="60">
        <f>CF!R33</f>
        <v>22600.361999999997</v>
      </c>
      <c r="V109" s="60">
        <f>CF!S33</f>
        <v>22455.362000000001</v>
      </c>
      <c r="W109" s="60">
        <f>CF!T33</f>
        <v>24407.419000000002</v>
      </c>
      <c r="X109" s="60">
        <f>CF!U33</f>
        <v>23881.499</v>
      </c>
      <c r="Y109" s="60">
        <f>CF!V33</f>
        <v>28462.888999999999</v>
      </c>
      <c r="Z109" s="60">
        <f>CF!W33</f>
        <v>28589.158000000003</v>
      </c>
      <c r="AA109" s="60">
        <f>CF!X33</f>
        <v>30328.6</v>
      </c>
      <c r="AB109" s="60">
        <f ca="1">CF!Y33</f>
        <v>31766.567092227957</v>
      </c>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61"/>
    </row>
    <row r="110" spans="1:53" ht="15.7" customHeight="1" x14ac:dyDescent="0.35">
      <c r="A110" s="22" t="s">
        <v>1084</v>
      </c>
      <c r="B110" s="79" t="s">
        <v>1085</v>
      </c>
      <c r="C110" s="79" t="s">
        <v>1085</v>
      </c>
      <c r="D110" s="80"/>
      <c r="E110" s="80"/>
      <c r="F110" s="80"/>
      <c r="G110" s="81"/>
      <c r="H110" s="81"/>
      <c r="I110" s="81"/>
      <c r="J110" s="81"/>
      <c r="K110" s="82">
        <f>CF!H34</f>
        <v>3810.0349999999999</v>
      </c>
      <c r="L110" s="82">
        <f>CF!I34</f>
        <v>5539.7429999999995</v>
      </c>
      <c r="M110" s="82">
        <f>CF!J34</f>
        <v>6822.6559999999999</v>
      </c>
      <c r="N110" s="82">
        <f>CF!K34</f>
        <v>8161.25</v>
      </c>
      <c r="O110" s="82">
        <f>CF!L34</f>
        <v>7505.1279999999997</v>
      </c>
      <c r="P110" s="82">
        <f>CF!M34</f>
        <v>8012.7769999999991</v>
      </c>
      <c r="Q110" s="82">
        <f>CF!N34</f>
        <v>11483.855</v>
      </c>
      <c r="R110" s="82">
        <f>CF!O34</f>
        <v>17570.868000000002</v>
      </c>
      <c r="S110" s="82">
        <f>CF!P34</f>
        <v>17924.195999999996</v>
      </c>
      <c r="T110" s="82">
        <f>CF!Q34</f>
        <v>22600.361999999994</v>
      </c>
      <c r="U110" s="82">
        <f>CF!R34</f>
        <v>22412.228999999999</v>
      </c>
      <c r="V110" s="82">
        <f>CF!S34</f>
        <v>24383.995999999999</v>
      </c>
      <c r="W110" s="82">
        <f>CF!T34</f>
        <v>23568.61</v>
      </c>
      <c r="X110" s="82">
        <f>CF!U34</f>
        <v>28771.954999999998</v>
      </c>
      <c r="Y110" s="82">
        <f>CF!V34</f>
        <v>30723.177000000007</v>
      </c>
      <c r="Z110" s="82">
        <f>CF!W34</f>
        <v>29546.158000000003</v>
      </c>
      <c r="AA110" s="82">
        <f ca="1">CF!X34</f>
        <v>31766.567092227957</v>
      </c>
      <c r="AB110" s="82">
        <f ca="1">CF!Y34</f>
        <v>31330.235032460849</v>
      </c>
      <c r="AC110" s="80"/>
      <c r="AD110" s="80"/>
      <c r="AE110" s="80"/>
      <c r="AF110" s="80"/>
      <c r="AG110" s="80"/>
      <c r="AH110" s="80"/>
      <c r="AI110" s="80"/>
      <c r="AJ110" s="80"/>
      <c r="AK110" s="80"/>
      <c r="AL110" s="80"/>
      <c r="AM110" s="80"/>
      <c r="AN110" s="80"/>
      <c r="AO110" s="80"/>
      <c r="AP110" s="80"/>
      <c r="AQ110" s="80"/>
      <c r="AR110" s="80"/>
      <c r="AS110" s="80"/>
      <c r="AT110" s="80"/>
      <c r="AU110" s="80"/>
      <c r="AV110" s="80"/>
      <c r="AW110" s="80"/>
      <c r="AX110" s="80"/>
      <c r="AY110" s="80"/>
      <c r="AZ110" s="80"/>
      <c r="BA110" s="61"/>
    </row>
    <row r="111" spans="1:53" ht="15.7" customHeight="1" x14ac:dyDescent="0.35">
      <c r="A111" s="22"/>
      <c r="B111" s="50"/>
      <c r="C111" s="50"/>
      <c r="D111" s="33"/>
      <c r="E111" s="33"/>
      <c r="F111" s="33"/>
      <c r="G111" s="59"/>
      <c r="H111" s="59"/>
      <c r="I111" s="59"/>
      <c r="J111" s="59"/>
      <c r="K111" s="60"/>
      <c r="L111" s="60"/>
      <c r="M111" s="60"/>
      <c r="N111" s="60"/>
      <c r="O111" s="66"/>
      <c r="P111" s="66"/>
      <c r="Q111" s="66"/>
      <c r="R111" s="66"/>
      <c r="S111" s="66"/>
      <c r="T111" s="66"/>
      <c r="U111" s="66"/>
      <c r="V111" s="66"/>
      <c r="W111" s="66"/>
      <c r="X111" s="66"/>
      <c r="Y111" s="66"/>
      <c r="Z111" s="66"/>
      <c r="AA111" s="66"/>
      <c r="AB111" s="66"/>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row>
    <row r="112" spans="1:53" ht="15.7" customHeight="1" x14ac:dyDescent="0.35">
      <c r="A112" s="22"/>
      <c r="B112" s="51" t="s">
        <v>1370</v>
      </c>
      <c r="C112" s="51" t="s">
        <v>2177</v>
      </c>
      <c r="D112" s="52"/>
      <c r="E112" s="52"/>
      <c r="F112" s="52"/>
      <c r="G112" s="68"/>
      <c r="H112" s="68"/>
      <c r="I112" s="68"/>
      <c r="J112" s="68"/>
      <c r="K112" s="69"/>
      <c r="L112" s="69"/>
      <c r="M112" s="69"/>
      <c r="N112" s="69"/>
      <c r="O112" s="70"/>
      <c r="P112" s="70"/>
      <c r="Q112" s="70"/>
      <c r="R112" s="70"/>
      <c r="S112" s="70"/>
      <c r="T112" s="70"/>
      <c r="U112" s="70"/>
      <c r="V112" s="70"/>
      <c r="W112" s="70"/>
      <c r="X112" s="70"/>
      <c r="Y112" s="70"/>
      <c r="Z112" s="70"/>
      <c r="AA112" s="70"/>
      <c r="AB112" s="70"/>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row>
    <row r="113" spans="1:53" ht="15.7" customHeight="1" x14ac:dyDescent="0.35">
      <c r="A113" s="22"/>
      <c r="B113" s="53"/>
      <c r="C113" s="53"/>
      <c r="D113" s="33"/>
      <c r="E113" s="33"/>
      <c r="F113" s="33"/>
      <c r="G113" s="59"/>
      <c r="H113" s="59"/>
      <c r="I113" s="59"/>
      <c r="J113" s="59"/>
      <c r="K113" s="60"/>
      <c r="L113" s="60"/>
      <c r="M113" s="60"/>
      <c r="N113" s="60"/>
      <c r="O113" s="66"/>
      <c r="P113" s="66"/>
      <c r="Q113" s="66"/>
      <c r="R113" s="66"/>
      <c r="S113" s="66"/>
      <c r="T113" s="66"/>
      <c r="U113" s="66"/>
      <c r="V113" s="66"/>
      <c r="W113" s="66"/>
      <c r="X113" s="66"/>
      <c r="Y113" s="66"/>
      <c r="Z113" s="66"/>
      <c r="AA113" s="66"/>
      <c r="AB113" s="66"/>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row>
    <row r="114" spans="1:53" ht="15.7" customHeight="1" x14ac:dyDescent="0.35">
      <c r="A114" s="22" t="s">
        <v>1086</v>
      </c>
      <c r="B114" s="72" t="s">
        <v>1087</v>
      </c>
      <c r="C114" s="72" t="s">
        <v>1087</v>
      </c>
      <c r="D114" s="32"/>
      <c r="E114" s="32"/>
      <c r="F114" s="32"/>
      <c r="G114" s="83"/>
      <c r="H114" s="83"/>
      <c r="I114" s="83"/>
      <c r="J114" s="83"/>
      <c r="K114" s="74"/>
      <c r="L114" s="74"/>
      <c r="M114" s="74"/>
      <c r="N114" s="74"/>
      <c r="O114" s="74"/>
      <c r="P114" s="74"/>
      <c r="Q114" s="74"/>
      <c r="R114" s="74"/>
      <c r="S114" s="74"/>
      <c r="T114" s="74"/>
      <c r="U114" s="74"/>
      <c r="V114" s="74"/>
      <c r="W114" s="74"/>
      <c r="X114" s="74"/>
      <c r="Y114" s="74"/>
      <c r="Z114" s="74"/>
      <c r="AA114" s="74"/>
      <c r="AB114" s="74"/>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75"/>
    </row>
    <row r="115" spans="1:53" ht="15.7" customHeight="1" x14ac:dyDescent="0.35">
      <c r="A115" s="22" t="s">
        <v>1088</v>
      </c>
      <c r="B115" s="58" t="s">
        <v>1089</v>
      </c>
      <c r="C115" s="58" t="s">
        <v>1089</v>
      </c>
      <c r="D115" s="33"/>
      <c r="E115" s="33"/>
      <c r="F115" s="33"/>
      <c r="G115" s="59"/>
      <c r="H115" s="59"/>
      <c r="I115" s="59"/>
      <c r="J115" s="59"/>
      <c r="K115" s="60">
        <f>PL!H133</f>
        <v>1349.0189999999993</v>
      </c>
      <c r="L115" s="60">
        <f>PL!I133</f>
        <v>2036.9909999999995</v>
      </c>
      <c r="M115" s="60">
        <f>PL!J133</f>
        <v>2780.7720000000008</v>
      </c>
      <c r="N115" s="60">
        <f>PL!K133</f>
        <v>3592.1980000000003</v>
      </c>
      <c r="O115" s="60">
        <f>PL!L133</f>
        <v>4503.4229999999961</v>
      </c>
      <c r="P115" s="60">
        <f>PL!M133</f>
        <v>5761.3499999999985</v>
      </c>
      <c r="Q115" s="60">
        <f>PL!N133</f>
        <v>6699.8790000000045</v>
      </c>
      <c r="R115" s="60">
        <f>PL!O133</f>
        <v>7859.7199999999993</v>
      </c>
      <c r="S115" s="60">
        <f>PL!P133</f>
        <v>7987.2220000000034</v>
      </c>
      <c r="T115" s="60">
        <f>PL!Q133</f>
        <v>9563.4560000000019</v>
      </c>
      <c r="U115" s="60">
        <f>PL!R133</f>
        <v>10924.452999999998</v>
      </c>
      <c r="V115" s="60">
        <f>PL!S133</f>
        <v>12053.380000000001</v>
      </c>
      <c r="W115" s="60">
        <f>PL!T133</f>
        <v>13770.103999999994</v>
      </c>
      <c r="X115" s="60">
        <f>PL!U133</f>
        <v>15307.856000000003</v>
      </c>
      <c r="Y115" s="60">
        <f>PL!V133</f>
        <v>14787.550999999999</v>
      </c>
      <c r="Z115" s="60">
        <f>PL!W133</f>
        <v>14437.139999999998</v>
      </c>
      <c r="AA115" s="60">
        <f ca="1">PL!X133</f>
        <v>16024.37044641974</v>
      </c>
      <c r="AB115" s="60">
        <f ca="1">PL!Y133</f>
        <v>17294.995390272961</v>
      </c>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61"/>
    </row>
    <row r="116" spans="1:53" ht="15.7" customHeight="1" x14ac:dyDescent="0.35">
      <c r="A116" s="22" t="s">
        <v>1090</v>
      </c>
      <c r="B116" s="58" t="s">
        <v>1091</v>
      </c>
      <c r="C116" s="58" t="s">
        <v>1091</v>
      </c>
      <c r="D116" s="33"/>
      <c r="E116" s="33"/>
      <c r="F116" s="33"/>
      <c r="G116" s="59"/>
      <c r="H116" s="59"/>
      <c r="I116" s="59"/>
      <c r="J116" s="59"/>
      <c r="K116" s="60">
        <f>PL!H135</f>
        <v>1426.7299999999993</v>
      </c>
      <c r="L116" s="60">
        <f>PL!I135</f>
        <v>2212.1749999999997</v>
      </c>
      <c r="M116" s="60">
        <f>PL!J135</f>
        <v>3050.9070000000011</v>
      </c>
      <c r="N116" s="60">
        <f>PL!K135</f>
        <v>3888.7770000000005</v>
      </c>
      <c r="O116" s="60">
        <f>PL!L135</f>
        <v>4817.7269999999962</v>
      </c>
      <c r="P116" s="60">
        <f>PL!M135</f>
        <v>6095.9379999999983</v>
      </c>
      <c r="Q116" s="60">
        <f>PL!N135</f>
        <v>7053.9920000000047</v>
      </c>
      <c r="R116" s="60">
        <f>PL!O135</f>
        <v>8216.1419999999998</v>
      </c>
      <c r="S116" s="60">
        <f>PL!P135</f>
        <v>8361.859000000004</v>
      </c>
      <c r="T116" s="60">
        <f>PL!Q135</f>
        <v>10044.381000000001</v>
      </c>
      <c r="U116" s="60">
        <f>PL!R135</f>
        <v>11339.972999999998</v>
      </c>
      <c r="V116" s="60">
        <f>PL!S135</f>
        <v>12485.168000000001</v>
      </c>
      <c r="W116" s="60">
        <f>PL!T135</f>
        <v>14358.065999999993</v>
      </c>
      <c r="X116" s="60">
        <f>PL!U135</f>
        <v>16039.497000000003</v>
      </c>
      <c r="Y116" s="60">
        <f>PL!V135</f>
        <v>15553.030999999999</v>
      </c>
      <c r="Z116" s="60">
        <f>PL!W135</f>
        <v>15439.614999999998</v>
      </c>
      <c r="AA116" s="60">
        <f ca="1">PL!X135</f>
        <v>16973.785140759293</v>
      </c>
      <c r="AB116" s="60">
        <f ca="1">PL!Y135</f>
        <v>18299.586266002312</v>
      </c>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61"/>
    </row>
    <row r="117" spans="1:53" ht="15.7" customHeight="1" x14ac:dyDescent="0.35">
      <c r="A117" s="22" t="s">
        <v>1092</v>
      </c>
      <c r="B117" s="58" t="s">
        <v>1093</v>
      </c>
      <c r="C117" s="58" t="s">
        <v>1093</v>
      </c>
      <c r="D117" s="33"/>
      <c r="E117" s="33"/>
      <c r="F117" s="33"/>
      <c r="G117" s="59"/>
      <c r="H117" s="59"/>
      <c r="I117" s="59"/>
      <c r="J117" s="59"/>
      <c r="K117" s="60">
        <f t="shared" ref="K117:X117" si="21">K37</f>
        <v>1036.2779999999993</v>
      </c>
      <c r="L117" s="60">
        <f t="shared" si="21"/>
        <v>1507.4049999999995</v>
      </c>
      <c r="M117" s="60">
        <f t="shared" si="21"/>
        <v>2941.2510000000011</v>
      </c>
      <c r="N117" s="60">
        <f t="shared" si="21"/>
        <v>2749.5510000000004</v>
      </c>
      <c r="O117" s="60">
        <f t="shared" si="21"/>
        <v>3457.4099999999967</v>
      </c>
      <c r="P117" s="60">
        <f t="shared" si="21"/>
        <v>4524.1259999999984</v>
      </c>
      <c r="Q117" s="60">
        <f t="shared" si="21"/>
        <v>5130.0660000000053</v>
      </c>
      <c r="R117" s="60">
        <f t="shared" si="21"/>
        <v>5490.0909999999994</v>
      </c>
      <c r="S117" s="60">
        <f t="shared" si="21"/>
        <v>4500.1480000000029</v>
      </c>
      <c r="T117" s="60">
        <f t="shared" si="21"/>
        <v>5413.2080000000014</v>
      </c>
      <c r="U117" s="60">
        <f t="shared" si="21"/>
        <v>6015.3679999999986</v>
      </c>
      <c r="V117" s="60">
        <f t="shared" si="21"/>
        <v>6800.8790000000008</v>
      </c>
      <c r="W117" s="60">
        <f t="shared" si="21"/>
        <v>7956.8759999999957</v>
      </c>
      <c r="X117" s="60">
        <f t="shared" si="21"/>
        <v>9164.0450000000037</v>
      </c>
      <c r="Y117" s="60">
        <f t="shared" ref="Y117:Z117" si="22">Y37</f>
        <v>8565.3309999999983</v>
      </c>
      <c r="Z117" s="60">
        <f t="shared" si="22"/>
        <v>8588.4439999999995</v>
      </c>
      <c r="AA117" s="60">
        <f t="shared" ref="AA117:AB117" ca="1" si="23">AA37</f>
        <v>9661.5456312902897</v>
      </c>
      <c r="AB117" s="60">
        <f t="shared" ca="1" si="23"/>
        <v>10494.750019954554</v>
      </c>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61"/>
    </row>
    <row r="118" spans="1:53" ht="15.7" customHeight="1" x14ac:dyDescent="0.35">
      <c r="A118" s="22" t="s">
        <v>1094</v>
      </c>
      <c r="B118" s="58" t="s">
        <v>2008</v>
      </c>
      <c r="C118" s="58" t="s">
        <v>2008</v>
      </c>
      <c r="D118" s="33"/>
      <c r="E118" s="33"/>
      <c r="F118" s="33"/>
      <c r="G118" s="59"/>
      <c r="H118" s="59"/>
      <c r="I118" s="59"/>
      <c r="J118" s="59"/>
      <c r="K118" s="60">
        <f t="shared" ref="K118:AB118" si="24">K119</f>
        <v>1036.2779999999993</v>
      </c>
      <c r="L118" s="60">
        <f t="shared" si="24"/>
        <v>1507.4049999999995</v>
      </c>
      <c r="M118" s="60">
        <f t="shared" si="24"/>
        <v>2941.2510000000011</v>
      </c>
      <c r="N118" s="60">
        <f t="shared" si="24"/>
        <v>2749.5510000000004</v>
      </c>
      <c r="O118" s="60">
        <f t="shared" si="24"/>
        <v>3457.4099999999967</v>
      </c>
      <c r="P118" s="60">
        <f t="shared" si="24"/>
        <v>4524.1259999999984</v>
      </c>
      <c r="Q118" s="60">
        <f t="shared" si="24"/>
        <v>5130.0660000000053</v>
      </c>
      <c r="R118" s="60">
        <f t="shared" si="24"/>
        <v>5490.0909999999994</v>
      </c>
      <c r="S118" s="60">
        <f t="shared" si="24"/>
        <v>4500.1480000000029</v>
      </c>
      <c r="T118" s="60">
        <f t="shared" si="24"/>
        <v>5413.2080000000014</v>
      </c>
      <c r="U118" s="60">
        <f t="shared" si="24"/>
        <v>6015.3679999999986</v>
      </c>
      <c r="V118" s="60">
        <f t="shared" si="24"/>
        <v>6800.8790000000008</v>
      </c>
      <c r="W118" s="60">
        <f t="shared" si="24"/>
        <v>7956.8759999999957</v>
      </c>
      <c r="X118" s="60">
        <f t="shared" si="24"/>
        <v>9164.0450000000037</v>
      </c>
      <c r="Y118" s="60">
        <f t="shared" si="24"/>
        <v>8565.3309999999983</v>
      </c>
      <c r="Z118" s="60">
        <f t="shared" si="24"/>
        <v>8588.4439999999995</v>
      </c>
      <c r="AA118" s="60">
        <f t="shared" ca="1" si="24"/>
        <v>9661.5456312902897</v>
      </c>
      <c r="AB118" s="60">
        <f t="shared" ca="1" si="24"/>
        <v>10494.750019954554</v>
      </c>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61"/>
    </row>
    <row r="119" spans="1:53" ht="15.7" customHeight="1" x14ac:dyDescent="0.35">
      <c r="A119" s="22" t="s">
        <v>1095</v>
      </c>
      <c r="B119" s="58" t="s">
        <v>1096</v>
      </c>
      <c r="C119" s="58" t="s">
        <v>1096</v>
      </c>
      <c r="D119" s="33"/>
      <c r="E119" s="33"/>
      <c r="F119" s="33"/>
      <c r="G119" s="59"/>
      <c r="H119" s="59"/>
      <c r="I119" s="59"/>
      <c r="J119" s="59"/>
      <c r="K119" s="60">
        <f t="shared" ref="K119:X119" si="25">K37</f>
        <v>1036.2779999999993</v>
      </c>
      <c r="L119" s="60">
        <f t="shared" si="25"/>
        <v>1507.4049999999995</v>
      </c>
      <c r="M119" s="60">
        <f t="shared" si="25"/>
        <v>2941.2510000000011</v>
      </c>
      <c r="N119" s="60">
        <f t="shared" si="25"/>
        <v>2749.5510000000004</v>
      </c>
      <c r="O119" s="60">
        <f t="shared" si="25"/>
        <v>3457.4099999999967</v>
      </c>
      <c r="P119" s="60">
        <f t="shared" si="25"/>
        <v>4524.1259999999984</v>
      </c>
      <c r="Q119" s="60">
        <f t="shared" si="25"/>
        <v>5130.0660000000053</v>
      </c>
      <c r="R119" s="60">
        <f t="shared" si="25"/>
        <v>5490.0909999999994</v>
      </c>
      <c r="S119" s="60">
        <f t="shared" si="25"/>
        <v>4500.1480000000029</v>
      </c>
      <c r="T119" s="60">
        <f t="shared" si="25"/>
        <v>5413.2080000000014</v>
      </c>
      <c r="U119" s="60">
        <f t="shared" si="25"/>
        <v>6015.3679999999986</v>
      </c>
      <c r="V119" s="60">
        <f t="shared" si="25"/>
        <v>6800.8790000000008</v>
      </c>
      <c r="W119" s="60">
        <f t="shared" si="25"/>
        <v>7956.8759999999957</v>
      </c>
      <c r="X119" s="60">
        <f t="shared" si="25"/>
        <v>9164.0450000000037</v>
      </c>
      <c r="Y119" s="60">
        <f t="shared" ref="Y119:Z119" si="26">Y37</f>
        <v>8565.3309999999983</v>
      </c>
      <c r="Z119" s="60">
        <f t="shared" si="26"/>
        <v>8588.4439999999995</v>
      </c>
      <c r="AA119" s="60">
        <f t="shared" ref="AA119:AB119" ca="1" si="27">AA37</f>
        <v>9661.5456312902897</v>
      </c>
      <c r="AB119" s="60">
        <f t="shared" ca="1" si="27"/>
        <v>10494.750019954554</v>
      </c>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61"/>
    </row>
    <row r="120" spans="1:53" ht="15.7" customHeight="1" x14ac:dyDescent="0.35">
      <c r="A120" s="22" t="s">
        <v>1097</v>
      </c>
      <c r="B120" s="72" t="s">
        <v>1098</v>
      </c>
      <c r="C120" s="72" t="s">
        <v>1098</v>
      </c>
      <c r="D120" s="32"/>
      <c r="E120" s="32"/>
      <c r="F120" s="32"/>
      <c r="G120" s="76"/>
      <c r="H120" s="76"/>
      <c r="I120" s="76"/>
      <c r="J120" s="76"/>
      <c r="K120" s="77"/>
      <c r="L120" s="77"/>
      <c r="M120" s="77"/>
      <c r="N120" s="77"/>
      <c r="O120" s="77"/>
      <c r="P120" s="77"/>
      <c r="Q120" s="77"/>
      <c r="R120" s="77"/>
      <c r="S120" s="77"/>
      <c r="T120" s="77"/>
      <c r="U120" s="77"/>
      <c r="V120" s="77"/>
      <c r="W120" s="77"/>
      <c r="X120" s="77"/>
      <c r="Y120" s="77"/>
      <c r="Z120" s="77"/>
      <c r="AA120" s="77"/>
      <c r="AB120" s="77"/>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75"/>
    </row>
    <row r="121" spans="1:53" ht="15.7" customHeight="1" x14ac:dyDescent="0.35">
      <c r="A121" s="22" t="s">
        <v>1099</v>
      </c>
      <c r="B121" s="58" t="s">
        <v>1100</v>
      </c>
      <c r="C121" s="58" t="s">
        <v>1100</v>
      </c>
      <c r="D121" s="33"/>
      <c r="E121" s="33"/>
      <c r="F121" s="33"/>
      <c r="G121" s="59"/>
      <c r="H121" s="59"/>
      <c r="I121" s="59"/>
      <c r="J121" s="59"/>
      <c r="K121" s="60">
        <f>BS!H88</f>
        <v>2979.4588250000002</v>
      </c>
      <c r="L121" s="60">
        <f>BS!I88</f>
        <v>3586.7435209999999</v>
      </c>
      <c r="M121" s="60">
        <f>BS!J88</f>
        <v>3887.4473830000002</v>
      </c>
      <c r="N121" s="60">
        <f>BS!K88</f>
        <v>3888.2939999999999</v>
      </c>
      <c r="O121" s="60">
        <f>BS!L88</f>
        <v>3895.85</v>
      </c>
      <c r="P121" s="60">
        <f>BS!M88</f>
        <v>4056.3146219999999</v>
      </c>
      <c r="Q121" s="60">
        <f>BS!N88</f>
        <v>4488.1392610000003</v>
      </c>
      <c r="R121" s="60">
        <f>BS!O88</f>
        <v>5049.1566999999995</v>
      </c>
      <c r="S121" s="60">
        <f>BS!P88</f>
        <v>5049.1566999999995</v>
      </c>
      <c r="T121" s="60">
        <f>BS!Q88</f>
        <v>5049.1566999999995</v>
      </c>
      <c r="U121" s="60">
        <f>BS!R88</f>
        <v>5049.1566999999995</v>
      </c>
      <c r="V121" s="60">
        <f>BS!S88</f>
        <v>5037.6166999999996</v>
      </c>
      <c r="W121" s="60">
        <f>BS!T88</f>
        <v>5037.6166999999996</v>
      </c>
      <c r="X121" s="60">
        <f>BS!U88</f>
        <v>5037.6166999999996</v>
      </c>
      <c r="Y121" s="60">
        <f>BS!V88</f>
        <v>5037.6166999999996</v>
      </c>
      <c r="Z121" s="60">
        <f>BS!W88</f>
        <v>5282.2166999999999</v>
      </c>
      <c r="AA121" s="60">
        <f>BS!X88</f>
        <v>5282.2166999999999</v>
      </c>
      <c r="AB121" s="60">
        <f>BS!Y88</f>
        <v>5282.2166999999999</v>
      </c>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61"/>
    </row>
    <row r="122" spans="1:53" ht="15.7" customHeight="1" x14ac:dyDescent="0.35">
      <c r="A122" s="22" t="s">
        <v>1101</v>
      </c>
      <c r="B122" s="58" t="s">
        <v>1102</v>
      </c>
      <c r="C122" s="58" t="s">
        <v>1102</v>
      </c>
      <c r="D122" s="33"/>
      <c r="E122" s="33"/>
      <c r="F122" s="33"/>
      <c r="G122" s="59"/>
      <c r="H122" s="59"/>
      <c r="I122" s="59"/>
      <c r="J122" s="59"/>
      <c r="K122" s="60">
        <f>BS!$N$89</f>
        <v>5282.2166999999999</v>
      </c>
      <c r="L122" s="60">
        <f>BS!$N$89</f>
        <v>5282.2166999999999</v>
      </c>
      <c r="M122" s="60">
        <f>BS!$N$89</f>
        <v>5282.2166999999999</v>
      </c>
      <c r="N122" s="60">
        <f>BS!$N$89</f>
        <v>5282.2166999999999</v>
      </c>
      <c r="O122" s="60">
        <f>BS!$N$89</f>
        <v>5282.2166999999999</v>
      </c>
      <c r="P122" s="60">
        <f>BS!$N$89</f>
        <v>5282.2166999999999</v>
      </c>
      <c r="Q122" s="60">
        <f>BS!$N$89</f>
        <v>5282.2166999999999</v>
      </c>
      <c r="R122" s="60">
        <f>BS!$N$89</f>
        <v>5282.2166999999999</v>
      </c>
      <c r="S122" s="60">
        <f>BS!$N$89</f>
        <v>5282.2166999999999</v>
      </c>
      <c r="T122" s="60">
        <f>BS!$N$89</f>
        <v>5282.2166999999999</v>
      </c>
      <c r="U122" s="60">
        <f>BS!$N$89</f>
        <v>5282.2166999999999</v>
      </c>
      <c r="V122" s="60">
        <f>BS!$N$89</f>
        <v>5282.2166999999999</v>
      </c>
      <c r="W122" s="60">
        <f>BS!$N$89</f>
        <v>5282.2166999999999</v>
      </c>
      <c r="X122" s="60">
        <f>BS!$N$89</f>
        <v>5282.2166999999999</v>
      </c>
      <c r="Y122" s="60">
        <f>BS!$N$89</f>
        <v>5282.2166999999999</v>
      </c>
      <c r="Z122" s="60">
        <f>BS!$N$89</f>
        <v>5282.2166999999999</v>
      </c>
      <c r="AA122" s="60">
        <f>BS!$N$89</f>
        <v>5282.2166999999999</v>
      </c>
      <c r="AB122" s="60">
        <f>BS!$N$89</f>
        <v>5282.2166999999999</v>
      </c>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61"/>
    </row>
    <row r="123" spans="1:53" ht="15.7" customHeight="1" x14ac:dyDescent="0.35">
      <c r="A123" s="22" t="s">
        <v>1103</v>
      </c>
      <c r="B123" s="58" t="s">
        <v>1104</v>
      </c>
      <c r="C123" s="58" t="s">
        <v>1104</v>
      </c>
      <c r="D123" s="33"/>
      <c r="E123" s="33"/>
      <c r="F123" s="33"/>
      <c r="G123" s="59"/>
      <c r="H123" s="59"/>
      <c r="I123" s="59"/>
      <c r="J123" s="59"/>
      <c r="K123" s="60">
        <v>0</v>
      </c>
      <c r="L123" s="60">
        <v>0</v>
      </c>
      <c r="M123" s="60">
        <v>0</v>
      </c>
      <c r="N123" s="60">
        <v>0</v>
      </c>
      <c r="O123" s="60">
        <v>0</v>
      </c>
      <c r="P123" s="60">
        <v>0</v>
      </c>
      <c r="Q123" s="60">
        <v>0</v>
      </c>
      <c r="R123" s="60">
        <v>0</v>
      </c>
      <c r="S123" s="60">
        <v>0</v>
      </c>
      <c r="T123" s="60">
        <v>0</v>
      </c>
      <c r="U123" s="60">
        <v>0</v>
      </c>
      <c r="V123" s="60">
        <v>0</v>
      </c>
      <c r="W123" s="60">
        <v>0</v>
      </c>
      <c r="X123" s="60">
        <v>0</v>
      </c>
      <c r="Y123" s="60">
        <v>0</v>
      </c>
      <c r="Z123" s="60">
        <v>0</v>
      </c>
      <c r="AA123" s="60">
        <v>0</v>
      </c>
      <c r="AB123" s="60">
        <v>0</v>
      </c>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61"/>
    </row>
    <row r="124" spans="1:53" ht="15.7" customHeight="1" x14ac:dyDescent="0.35">
      <c r="A124" s="22" t="s">
        <v>1105</v>
      </c>
      <c r="B124" s="58" t="s">
        <v>1106</v>
      </c>
      <c r="C124" s="58" t="s">
        <v>1106</v>
      </c>
      <c r="D124" s="33"/>
      <c r="E124" s="33"/>
      <c r="F124" s="33"/>
      <c r="G124" s="59"/>
      <c r="H124" s="59"/>
      <c r="I124" s="59"/>
      <c r="J124" s="59"/>
      <c r="K124" s="60">
        <v>0</v>
      </c>
      <c r="L124" s="60">
        <v>0</v>
      </c>
      <c r="M124" s="60">
        <v>0</v>
      </c>
      <c r="N124" s="60">
        <v>0</v>
      </c>
      <c r="O124" s="60">
        <v>0</v>
      </c>
      <c r="P124" s="60">
        <v>0</v>
      </c>
      <c r="Q124" s="60">
        <v>0</v>
      </c>
      <c r="R124" s="60">
        <v>0</v>
      </c>
      <c r="S124" s="60">
        <v>0</v>
      </c>
      <c r="T124" s="60">
        <v>0</v>
      </c>
      <c r="U124" s="60">
        <v>0</v>
      </c>
      <c r="V124" s="60">
        <v>0</v>
      </c>
      <c r="W124" s="60">
        <v>0</v>
      </c>
      <c r="X124" s="60">
        <v>0</v>
      </c>
      <c r="Y124" s="60">
        <v>0</v>
      </c>
      <c r="Z124" s="60">
        <v>0</v>
      </c>
      <c r="AA124" s="60">
        <v>0</v>
      </c>
      <c r="AB124" s="60">
        <v>0</v>
      </c>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61"/>
    </row>
    <row r="125" spans="1:53" ht="15.7" customHeight="1" x14ac:dyDescent="0.35">
      <c r="A125" s="22" t="s">
        <v>1107</v>
      </c>
      <c r="B125" s="58" t="s">
        <v>1108</v>
      </c>
      <c r="C125" s="58" t="s">
        <v>1108</v>
      </c>
      <c r="D125" s="33"/>
      <c r="E125" s="33"/>
      <c r="F125" s="33"/>
      <c r="G125" s="59"/>
      <c r="H125" s="59"/>
      <c r="I125" s="59"/>
      <c r="J125" s="59"/>
      <c r="K125" s="60">
        <f>BS!H88</f>
        <v>2979.4588250000002</v>
      </c>
      <c r="L125" s="60">
        <f>BS!I88</f>
        <v>3586.7435209999999</v>
      </c>
      <c r="M125" s="60">
        <f>BS!J88</f>
        <v>3887.4473830000002</v>
      </c>
      <c r="N125" s="60">
        <f>BS!K88</f>
        <v>3888.2939999999999</v>
      </c>
      <c r="O125" s="60">
        <f>BS!L88</f>
        <v>3895.85</v>
      </c>
      <c r="P125" s="60">
        <f>BS!M88</f>
        <v>4056.3146219999999</v>
      </c>
      <c r="Q125" s="60">
        <f>BS!N88</f>
        <v>4488.1392610000003</v>
      </c>
      <c r="R125" s="60">
        <f>BS!O88</f>
        <v>5049.1566999999995</v>
      </c>
      <c r="S125" s="60">
        <f>BS!P88</f>
        <v>5049.1566999999995</v>
      </c>
      <c r="T125" s="60">
        <f>BS!Q88</f>
        <v>5049.1566999999995</v>
      </c>
      <c r="U125" s="60">
        <f>BS!R88</f>
        <v>5049.1566999999995</v>
      </c>
      <c r="V125" s="60">
        <f>BS!S88</f>
        <v>5037.6166999999996</v>
      </c>
      <c r="W125" s="60">
        <f>BS!T88</f>
        <v>5037.6166999999996</v>
      </c>
      <c r="X125" s="60">
        <f>BS!U88</f>
        <v>5037.6166999999996</v>
      </c>
      <c r="Y125" s="60">
        <f>BS!V88</f>
        <v>5037.6166999999996</v>
      </c>
      <c r="Z125" s="60">
        <f>BS!W88</f>
        <v>5282.2166999999999</v>
      </c>
      <c r="AA125" s="60">
        <f>BS!X88</f>
        <v>5282.2166999999999</v>
      </c>
      <c r="AB125" s="60">
        <f>BS!Y88</f>
        <v>5282.2166999999999</v>
      </c>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61"/>
    </row>
    <row r="126" spans="1:53" ht="15.7" customHeight="1" x14ac:dyDescent="0.35">
      <c r="A126" s="22" t="s">
        <v>1109</v>
      </c>
      <c r="B126" s="58" t="s">
        <v>1110</v>
      </c>
      <c r="C126" s="58" t="s">
        <v>1110</v>
      </c>
      <c r="D126" s="33"/>
      <c r="E126" s="33"/>
      <c r="F126" s="33"/>
      <c r="G126" s="59"/>
      <c r="H126" s="59"/>
      <c r="I126" s="59"/>
      <c r="J126" s="59"/>
      <c r="K126" s="60">
        <f t="shared" ref="K126:AB126" si="28">AVERAGE(J62,K62)</f>
        <v>18679.421999999999</v>
      </c>
      <c r="L126" s="60">
        <f t="shared" si="28"/>
        <v>22706.282999999999</v>
      </c>
      <c r="M126" s="60">
        <f t="shared" si="28"/>
        <v>31972.969499999999</v>
      </c>
      <c r="N126" s="60">
        <f t="shared" si="28"/>
        <v>44831.729499999994</v>
      </c>
      <c r="O126" s="60">
        <f t="shared" si="28"/>
        <v>59514.885499999997</v>
      </c>
      <c r="P126" s="60">
        <f t="shared" si="28"/>
        <v>69841.600999999995</v>
      </c>
      <c r="Q126" s="60">
        <f t="shared" si="28"/>
        <v>79639.27</v>
      </c>
      <c r="R126" s="60">
        <f t="shared" si="28"/>
        <v>102346.35900000001</v>
      </c>
      <c r="S126" s="60">
        <f t="shared" si="28"/>
        <v>127320.18200000002</v>
      </c>
      <c r="T126" s="60">
        <f t="shared" si="28"/>
        <v>148772.997</v>
      </c>
      <c r="U126" s="60">
        <f t="shared" si="28"/>
        <v>174117.60500000001</v>
      </c>
      <c r="V126" s="60">
        <f t="shared" si="28"/>
        <v>203047.86600000001</v>
      </c>
      <c r="W126" s="60">
        <f t="shared" si="28"/>
        <v>224067.277</v>
      </c>
      <c r="X126" s="60">
        <f t="shared" si="28"/>
        <v>239062.40700000001</v>
      </c>
      <c r="Y126" s="60">
        <f t="shared" ref="Y126" si="29">AVERAGE(X62,Y62)</f>
        <v>256356.28349999999</v>
      </c>
      <c r="Z126" s="60">
        <f t="shared" si="28"/>
        <v>272063.60399999993</v>
      </c>
      <c r="AA126" s="60">
        <f t="shared" ca="1" si="28"/>
        <v>286303.61028786621</v>
      </c>
      <c r="AB126" s="60">
        <f t="shared" ca="1" si="28"/>
        <v>303001.53091439378</v>
      </c>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61"/>
    </row>
    <row r="127" spans="1:53" ht="15.7" customHeight="1" x14ac:dyDescent="0.35">
      <c r="A127" s="22" t="s">
        <v>1111</v>
      </c>
      <c r="B127" s="58" t="s">
        <v>1112</v>
      </c>
      <c r="C127" s="58" t="s">
        <v>1112</v>
      </c>
      <c r="D127" s="33"/>
      <c r="E127" s="33"/>
      <c r="F127" s="33"/>
      <c r="G127" s="59"/>
      <c r="H127" s="59"/>
      <c r="I127" s="59"/>
      <c r="J127" s="59"/>
      <c r="K127" s="60">
        <f t="shared" ref="K127:AB127" si="30">AVERAGE(J80,K80)</f>
        <v>4462.116</v>
      </c>
      <c r="L127" s="60">
        <f t="shared" si="30"/>
        <v>7054.9009999999998</v>
      </c>
      <c r="M127" s="60">
        <f t="shared" si="30"/>
        <v>11500.088</v>
      </c>
      <c r="N127" s="60">
        <f t="shared" si="30"/>
        <v>14721.73</v>
      </c>
      <c r="O127" s="60">
        <f t="shared" si="30"/>
        <v>17881.866000000002</v>
      </c>
      <c r="P127" s="60">
        <f t="shared" si="30"/>
        <v>21507.325000000001</v>
      </c>
      <c r="Q127" s="60">
        <f t="shared" si="30"/>
        <v>24316.256000000001</v>
      </c>
      <c r="R127" s="60">
        <f t="shared" si="30"/>
        <v>31767.7935</v>
      </c>
      <c r="S127" s="60">
        <f t="shared" si="30"/>
        <v>40210.232499999998</v>
      </c>
      <c r="T127" s="60">
        <f t="shared" si="30"/>
        <v>46131.483999999997</v>
      </c>
      <c r="U127" s="60">
        <f t="shared" si="30"/>
        <v>53411.557000000001</v>
      </c>
      <c r="V127" s="60">
        <f t="shared" si="30"/>
        <v>60566.538499999995</v>
      </c>
      <c r="W127" s="60">
        <f t="shared" si="30"/>
        <v>64915.705000000002</v>
      </c>
      <c r="X127" s="60">
        <f t="shared" si="30"/>
        <v>68666.258000000002</v>
      </c>
      <c r="Y127" s="60">
        <f t="shared" ref="Y127" si="31">AVERAGE(X80,Y80)</f>
        <v>70167.775999999998</v>
      </c>
      <c r="Z127" s="60">
        <f t="shared" si="30"/>
        <v>72869.295500000007</v>
      </c>
      <c r="AA127" s="60">
        <f t="shared" ca="1" si="30"/>
        <v>80492.690754207637</v>
      </c>
      <c r="AB127" s="60">
        <f t="shared" ca="1" si="30"/>
        <v>87397.746032916766</v>
      </c>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61"/>
    </row>
    <row r="128" spans="1:53" ht="15.7" customHeight="1" x14ac:dyDescent="0.35">
      <c r="A128" s="22" t="s">
        <v>1113</v>
      </c>
      <c r="B128" s="58" t="s">
        <v>1114</v>
      </c>
      <c r="C128" s="58" t="s">
        <v>1114</v>
      </c>
      <c r="D128" s="33"/>
      <c r="E128" s="33"/>
      <c r="F128" s="33"/>
      <c r="G128" s="59"/>
      <c r="H128" s="59"/>
      <c r="I128" s="59"/>
      <c r="J128" s="59"/>
      <c r="K128" s="60">
        <f t="shared" ref="K128:X128" si="32">K65+K69+K70+K80</f>
        <v>9970.3489999999983</v>
      </c>
      <c r="L128" s="60">
        <f t="shared" si="32"/>
        <v>15749.486999999999</v>
      </c>
      <c r="M128" s="60">
        <f t="shared" si="32"/>
        <v>23554.963000000003</v>
      </c>
      <c r="N128" s="60">
        <f t="shared" si="32"/>
        <v>24795.782999999996</v>
      </c>
      <c r="O128" s="60">
        <f t="shared" si="32"/>
        <v>30779.169000000002</v>
      </c>
      <c r="P128" s="60">
        <f t="shared" si="32"/>
        <v>37078.445</v>
      </c>
      <c r="Q128" s="60">
        <f t="shared" si="32"/>
        <v>42752.634000000005</v>
      </c>
      <c r="R128" s="60">
        <f t="shared" si="32"/>
        <v>61260.661999999997</v>
      </c>
      <c r="S128" s="60">
        <f t="shared" si="32"/>
        <v>77162.618000000002</v>
      </c>
      <c r="T128" s="60">
        <f t="shared" si="32"/>
        <v>92030.581999999995</v>
      </c>
      <c r="U128" s="60">
        <f t="shared" si="32"/>
        <v>104932.836</v>
      </c>
      <c r="V128" s="60">
        <f t="shared" si="32"/>
        <v>125149.04000000001</v>
      </c>
      <c r="W128" s="60">
        <f t="shared" si="32"/>
        <v>127495.452</v>
      </c>
      <c r="X128" s="60">
        <f t="shared" si="32"/>
        <v>139566.66399999999</v>
      </c>
      <c r="Y128" s="60">
        <f t="shared" ref="Y128:Z128" si="33">Y65+Y69+Y70+Y80</f>
        <v>136670.58299999998</v>
      </c>
      <c r="Z128" s="60">
        <f t="shared" si="33"/>
        <v>149302.21000000002</v>
      </c>
      <c r="AA128" s="60">
        <f t="shared" ref="AA128:AB128" ca="1" si="34">AA65+AA69+AA70+AA80</f>
        <v>160162.48426841528</v>
      </c>
      <c r="AB128" s="60">
        <f t="shared" ca="1" si="34"/>
        <v>171522.33353261824</v>
      </c>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61"/>
    </row>
    <row r="129" spans="1:53" ht="15.7" customHeight="1" x14ac:dyDescent="0.35">
      <c r="A129" s="22" t="s">
        <v>1115</v>
      </c>
      <c r="B129" s="58" t="s">
        <v>1116</v>
      </c>
      <c r="C129" s="58" t="s">
        <v>1116</v>
      </c>
      <c r="D129" s="33"/>
      <c r="E129" s="33"/>
      <c r="F129" s="33"/>
      <c r="G129" s="59"/>
      <c r="H129" s="59"/>
      <c r="I129" s="59"/>
      <c r="J129" s="59"/>
      <c r="K129" s="60">
        <f t="shared" ref="K129:AB129" si="35">AVERAGE(J128,K128)</f>
        <v>9970.3489999999983</v>
      </c>
      <c r="L129" s="60">
        <f t="shared" si="35"/>
        <v>12859.917999999998</v>
      </c>
      <c r="M129" s="60">
        <f t="shared" si="35"/>
        <v>19652.225000000002</v>
      </c>
      <c r="N129" s="60">
        <f t="shared" si="35"/>
        <v>24175.373</v>
      </c>
      <c r="O129" s="60">
        <f t="shared" si="35"/>
        <v>27787.475999999999</v>
      </c>
      <c r="P129" s="60">
        <f t="shared" si="35"/>
        <v>33928.807000000001</v>
      </c>
      <c r="Q129" s="60">
        <f t="shared" si="35"/>
        <v>39915.539499999999</v>
      </c>
      <c r="R129" s="60">
        <f t="shared" si="35"/>
        <v>52006.648000000001</v>
      </c>
      <c r="S129" s="60">
        <f t="shared" si="35"/>
        <v>69211.64</v>
      </c>
      <c r="T129" s="60">
        <f t="shared" si="35"/>
        <v>84596.6</v>
      </c>
      <c r="U129" s="60">
        <f t="shared" si="35"/>
        <v>98481.709000000003</v>
      </c>
      <c r="V129" s="60">
        <f t="shared" si="35"/>
        <v>115040.93799999999</v>
      </c>
      <c r="W129" s="60">
        <f t="shared" si="35"/>
        <v>126322.24600000001</v>
      </c>
      <c r="X129" s="60">
        <f t="shared" si="35"/>
        <v>133531.05799999999</v>
      </c>
      <c r="Y129" s="60">
        <f t="shared" si="35"/>
        <v>138118.62349999999</v>
      </c>
      <c r="Z129" s="60">
        <f t="shared" si="35"/>
        <v>142986.3965</v>
      </c>
      <c r="AA129" s="60">
        <f t="shared" ca="1" si="35"/>
        <v>154732.34713420767</v>
      </c>
      <c r="AB129" s="60">
        <f t="shared" ca="1" si="35"/>
        <v>165842.40890051675</v>
      </c>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61"/>
    </row>
    <row r="130" spans="1:53" ht="15.7" customHeight="1" x14ac:dyDescent="0.4">
      <c r="A130" s="22" t="s">
        <v>14</v>
      </c>
      <c r="B130" s="58" t="s">
        <v>15</v>
      </c>
      <c r="C130" s="58" t="s">
        <v>15</v>
      </c>
      <c r="D130" s="33"/>
      <c r="E130" s="33"/>
      <c r="F130" s="33"/>
      <c r="G130" s="33"/>
      <c r="H130" s="33"/>
      <c r="I130" s="33"/>
      <c r="J130" s="33"/>
      <c r="K130" s="84"/>
      <c r="L130" s="84"/>
      <c r="M130" s="84"/>
      <c r="N130" s="84"/>
      <c r="O130" s="84"/>
      <c r="P130" s="84"/>
      <c r="Q130" s="84"/>
      <c r="R130" s="84"/>
      <c r="S130" s="84"/>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61"/>
    </row>
    <row r="131" spans="1:53" ht="15.7" customHeight="1" x14ac:dyDescent="0.4">
      <c r="A131" s="22" t="s">
        <v>1117</v>
      </c>
      <c r="B131" s="72" t="s">
        <v>1118</v>
      </c>
      <c r="C131" s="72" t="s">
        <v>1118</v>
      </c>
      <c r="D131" s="32"/>
      <c r="E131" s="32"/>
      <c r="F131" s="32"/>
      <c r="G131" s="32"/>
      <c r="H131" s="32"/>
      <c r="I131" s="32"/>
      <c r="J131" s="32"/>
      <c r="K131" s="85"/>
      <c r="L131" s="85"/>
      <c r="M131" s="85"/>
      <c r="N131" s="85"/>
      <c r="O131" s="85"/>
      <c r="P131" s="85"/>
      <c r="Q131" s="85"/>
      <c r="R131" s="85"/>
      <c r="S131" s="85"/>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75"/>
    </row>
    <row r="132" spans="1:53" ht="15.7" customHeight="1" x14ac:dyDescent="0.4">
      <c r="A132" s="22" t="s">
        <v>1119</v>
      </c>
      <c r="B132" s="62" t="s">
        <v>1120</v>
      </c>
      <c r="C132" s="62" t="s">
        <v>1120</v>
      </c>
      <c r="D132" s="63"/>
      <c r="E132" s="63"/>
      <c r="F132" s="63"/>
      <c r="G132" s="63"/>
      <c r="H132" s="63"/>
      <c r="I132" s="63"/>
      <c r="J132" s="63"/>
      <c r="K132" s="86"/>
      <c r="L132" s="86"/>
      <c r="M132" s="86"/>
      <c r="N132" s="86"/>
      <c r="O132" s="86"/>
      <c r="P132" s="86"/>
      <c r="Q132" s="86"/>
      <c r="R132" s="86"/>
      <c r="S132" s="86"/>
      <c r="T132" s="63"/>
      <c r="U132" s="63"/>
      <c r="V132" s="63"/>
      <c r="W132" s="63"/>
      <c r="X132" s="63"/>
      <c r="Y132" s="63"/>
      <c r="Z132" s="63"/>
      <c r="AA132" s="63"/>
      <c r="AB132" s="63"/>
      <c r="AC132" s="63"/>
      <c r="AD132" s="63"/>
      <c r="AE132" s="63"/>
      <c r="AF132" s="63"/>
      <c r="AG132" s="63"/>
      <c r="AH132" s="63"/>
      <c r="AI132" s="63"/>
      <c r="AJ132" s="63"/>
      <c r="AK132" s="63"/>
      <c r="AL132" s="63"/>
      <c r="AM132" s="63"/>
      <c r="AN132" s="63"/>
      <c r="AO132" s="63"/>
      <c r="AP132" s="63"/>
      <c r="AQ132" s="63"/>
      <c r="AR132" s="63"/>
      <c r="AS132" s="63"/>
      <c r="AT132" s="63"/>
      <c r="AU132" s="63"/>
      <c r="AV132" s="63"/>
      <c r="AW132" s="63"/>
      <c r="AX132" s="63"/>
      <c r="AY132" s="63"/>
      <c r="AZ132" s="63"/>
      <c r="BA132" s="57"/>
    </row>
    <row r="133" spans="1:53" ht="15.7" customHeight="1" x14ac:dyDescent="0.4">
      <c r="A133" s="22"/>
      <c r="B133" s="50"/>
      <c r="C133" s="50"/>
      <c r="D133" s="33"/>
      <c r="E133" s="33"/>
      <c r="F133" s="33"/>
      <c r="G133" s="33"/>
      <c r="H133" s="33"/>
      <c r="I133" s="33"/>
      <c r="J133" s="33"/>
      <c r="K133" s="84"/>
      <c r="L133" s="84"/>
      <c r="M133" s="84"/>
      <c r="N133" s="84"/>
      <c r="O133" s="84"/>
      <c r="P133" s="84"/>
      <c r="Q133" s="84"/>
      <c r="R133" s="84"/>
      <c r="S133" s="84"/>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row>
    <row r="134" spans="1:53" ht="15.7" customHeight="1" x14ac:dyDescent="0.4">
      <c r="A134" s="22"/>
      <c r="B134" s="51" t="s">
        <v>1371</v>
      </c>
      <c r="C134" s="51" t="s">
        <v>126</v>
      </c>
      <c r="D134" s="52"/>
      <c r="E134" s="52"/>
      <c r="F134" s="52"/>
      <c r="G134" s="52"/>
      <c r="H134" s="52"/>
      <c r="I134" s="52"/>
      <c r="J134" s="52"/>
      <c r="K134" s="87"/>
      <c r="L134" s="87"/>
      <c r="M134" s="87"/>
      <c r="N134" s="87"/>
      <c r="O134" s="87"/>
      <c r="P134" s="87"/>
      <c r="Q134" s="87"/>
      <c r="R134" s="87"/>
      <c r="S134" s="87"/>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row>
    <row r="135" spans="1:53" ht="15.7" customHeight="1" x14ac:dyDescent="0.4">
      <c r="A135" s="22"/>
      <c r="B135" s="53"/>
      <c r="C135" s="53"/>
      <c r="D135" s="33"/>
      <c r="E135" s="33"/>
      <c r="F135" s="33"/>
      <c r="G135" s="33"/>
      <c r="H135" s="33"/>
      <c r="I135" s="33"/>
      <c r="J135" s="33"/>
      <c r="K135" s="84"/>
      <c r="L135" s="84"/>
      <c r="M135" s="84"/>
      <c r="N135" s="84"/>
      <c r="O135" s="84"/>
      <c r="P135" s="84"/>
      <c r="Q135" s="84"/>
      <c r="R135" s="84"/>
      <c r="S135" s="84"/>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row>
    <row r="136" spans="1:53" ht="15.7" customHeight="1" x14ac:dyDescent="0.4">
      <c r="A136" s="22" t="s">
        <v>1121</v>
      </c>
      <c r="B136" s="72" t="s">
        <v>1122</v>
      </c>
      <c r="C136" s="72" t="s">
        <v>1122</v>
      </c>
      <c r="D136" s="32"/>
      <c r="E136" s="32"/>
      <c r="F136" s="32"/>
      <c r="G136" s="32"/>
      <c r="H136" s="32"/>
      <c r="I136" s="32"/>
      <c r="J136" s="32"/>
      <c r="K136" s="85"/>
      <c r="L136" s="85"/>
      <c r="M136" s="85"/>
      <c r="N136" s="85"/>
      <c r="O136" s="85"/>
      <c r="P136" s="85"/>
      <c r="Q136" s="85"/>
      <c r="R136" s="85"/>
      <c r="S136" s="85"/>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75"/>
    </row>
    <row r="137" spans="1:53" ht="15.7" customHeight="1" x14ac:dyDescent="0.4">
      <c r="A137" s="22" t="s">
        <v>1123</v>
      </c>
      <c r="B137" s="72" t="s">
        <v>1124</v>
      </c>
      <c r="C137" s="72" t="s">
        <v>1124</v>
      </c>
      <c r="D137" s="32"/>
      <c r="E137" s="32"/>
      <c r="F137" s="32"/>
      <c r="G137" s="32"/>
      <c r="H137" s="32"/>
      <c r="I137" s="32"/>
      <c r="J137" s="32"/>
      <c r="K137" s="85"/>
      <c r="L137" s="85"/>
      <c r="M137" s="85"/>
      <c r="N137" s="85"/>
      <c r="O137" s="85"/>
      <c r="P137" s="85"/>
      <c r="Q137" s="85"/>
      <c r="R137" s="85"/>
      <c r="S137" s="85"/>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75"/>
    </row>
    <row r="138" spans="1:53" ht="15.7" customHeight="1" x14ac:dyDescent="0.4">
      <c r="A138" s="22" t="s">
        <v>1125</v>
      </c>
      <c r="B138" s="72" t="s">
        <v>1126</v>
      </c>
      <c r="C138" s="72" t="s">
        <v>1126</v>
      </c>
      <c r="D138" s="32"/>
      <c r="E138" s="32"/>
      <c r="F138" s="32"/>
      <c r="G138" s="32"/>
      <c r="H138" s="32"/>
      <c r="I138" s="32"/>
      <c r="J138" s="32"/>
      <c r="K138" s="85"/>
      <c r="L138" s="85"/>
      <c r="M138" s="85"/>
      <c r="N138" s="85"/>
      <c r="O138" s="85"/>
      <c r="P138" s="85"/>
      <c r="Q138" s="85"/>
      <c r="R138" s="85"/>
      <c r="S138" s="85"/>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75"/>
    </row>
    <row r="139" spans="1:53" ht="15.7" customHeight="1" x14ac:dyDescent="0.4">
      <c r="A139" s="22" t="s">
        <v>1127</v>
      </c>
      <c r="B139" s="72" t="s">
        <v>1128</v>
      </c>
      <c r="C139" s="72" t="s">
        <v>1128</v>
      </c>
      <c r="D139" s="32"/>
      <c r="E139" s="32"/>
      <c r="F139" s="32"/>
      <c r="G139" s="32"/>
      <c r="H139" s="32"/>
      <c r="I139" s="32"/>
      <c r="J139" s="32"/>
      <c r="K139" s="85"/>
      <c r="L139" s="85"/>
      <c r="M139" s="85"/>
      <c r="N139" s="85"/>
      <c r="O139" s="85"/>
      <c r="P139" s="85"/>
      <c r="Q139" s="85"/>
      <c r="R139" s="85"/>
      <c r="S139" s="85"/>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75"/>
    </row>
    <row r="140" spans="1:53" ht="15.7" customHeight="1" x14ac:dyDescent="0.4">
      <c r="A140" s="22" t="s">
        <v>1129</v>
      </c>
      <c r="B140" s="72" t="s">
        <v>1130</v>
      </c>
      <c r="C140" s="72" t="s">
        <v>1130</v>
      </c>
      <c r="D140" s="32"/>
      <c r="E140" s="32"/>
      <c r="F140" s="32"/>
      <c r="G140" s="32"/>
      <c r="H140" s="32"/>
      <c r="I140" s="32"/>
      <c r="J140" s="32"/>
      <c r="K140" s="85"/>
      <c r="L140" s="85"/>
      <c r="M140" s="85"/>
      <c r="N140" s="85"/>
      <c r="O140" s="85"/>
      <c r="P140" s="85"/>
      <c r="Q140" s="85"/>
      <c r="R140" s="85"/>
      <c r="S140" s="85"/>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75"/>
    </row>
    <row r="141" spans="1:53" ht="15.7" customHeight="1" x14ac:dyDescent="0.4">
      <c r="A141" s="22" t="s">
        <v>1131</v>
      </c>
      <c r="B141" s="72" t="s">
        <v>1132</v>
      </c>
      <c r="C141" s="72" t="s">
        <v>1132</v>
      </c>
      <c r="D141" s="32"/>
      <c r="E141" s="32"/>
      <c r="F141" s="32"/>
      <c r="G141" s="32"/>
      <c r="H141" s="32"/>
      <c r="I141" s="32"/>
      <c r="J141" s="32"/>
      <c r="K141" s="85"/>
      <c r="L141" s="85"/>
      <c r="M141" s="85"/>
      <c r="N141" s="85"/>
      <c r="O141" s="85"/>
      <c r="P141" s="85"/>
      <c r="Q141" s="85"/>
      <c r="R141" s="85"/>
      <c r="S141" s="85"/>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75"/>
    </row>
    <row r="142" spans="1:53" ht="15.7" customHeight="1" x14ac:dyDescent="0.4">
      <c r="A142" s="22" t="s">
        <v>1133</v>
      </c>
      <c r="B142" s="72" t="s">
        <v>1134</v>
      </c>
      <c r="C142" s="72" t="s">
        <v>1134</v>
      </c>
      <c r="D142" s="32"/>
      <c r="E142" s="32"/>
      <c r="F142" s="32"/>
      <c r="G142" s="32"/>
      <c r="H142" s="32"/>
      <c r="I142" s="32"/>
      <c r="J142" s="32"/>
      <c r="K142" s="85"/>
      <c r="L142" s="85"/>
      <c r="M142" s="85"/>
      <c r="N142" s="85"/>
      <c r="O142" s="85"/>
      <c r="P142" s="85"/>
      <c r="Q142" s="85"/>
      <c r="R142" s="85"/>
      <c r="S142" s="85"/>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75"/>
    </row>
    <row r="143" spans="1:53" ht="15.7" customHeight="1" x14ac:dyDescent="0.4">
      <c r="A143" s="22" t="s">
        <v>1135</v>
      </c>
      <c r="B143" s="58" t="s">
        <v>1136</v>
      </c>
      <c r="C143" s="58" t="s">
        <v>1136</v>
      </c>
      <c r="D143" s="33"/>
      <c r="E143" s="33"/>
      <c r="F143" s="33"/>
      <c r="G143" s="33"/>
      <c r="H143" s="33"/>
      <c r="I143" s="33"/>
      <c r="J143" s="33"/>
      <c r="K143" s="84"/>
      <c r="L143" s="84"/>
      <c r="M143" s="84"/>
      <c r="N143" s="84"/>
      <c r="O143" s="84"/>
      <c r="P143" s="84"/>
      <c r="Q143" s="84"/>
      <c r="R143" s="84"/>
      <c r="S143" s="84"/>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61"/>
    </row>
    <row r="144" spans="1:53" ht="15.7" customHeight="1" x14ac:dyDescent="0.4">
      <c r="A144" s="22" t="s">
        <v>1137</v>
      </c>
      <c r="B144" s="58" t="s">
        <v>1138</v>
      </c>
      <c r="C144" s="58" t="s">
        <v>1138</v>
      </c>
      <c r="D144" s="33"/>
      <c r="E144" s="33"/>
      <c r="F144" s="33"/>
      <c r="G144" s="33"/>
      <c r="H144" s="33"/>
      <c r="I144" s="33"/>
      <c r="J144" s="33"/>
      <c r="K144" s="84"/>
      <c r="L144" s="84"/>
      <c r="M144" s="84"/>
      <c r="N144" s="84"/>
      <c r="O144" s="84"/>
      <c r="P144" s="84"/>
      <c r="Q144" s="84"/>
      <c r="R144" s="84"/>
      <c r="S144" s="84"/>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61"/>
    </row>
    <row r="145" spans="1:53" ht="15.7" customHeight="1" x14ac:dyDescent="0.4">
      <c r="A145" s="22" t="s">
        <v>1139</v>
      </c>
      <c r="B145" s="58" t="s">
        <v>1140</v>
      </c>
      <c r="C145" s="58" t="s">
        <v>1140</v>
      </c>
      <c r="D145" s="33"/>
      <c r="E145" s="33"/>
      <c r="F145" s="33"/>
      <c r="G145" s="33"/>
      <c r="H145" s="33"/>
      <c r="I145" s="33"/>
      <c r="J145" s="33"/>
      <c r="K145" s="84"/>
      <c r="L145" s="84"/>
      <c r="M145" s="84"/>
      <c r="N145" s="84"/>
      <c r="O145" s="84"/>
      <c r="P145" s="84"/>
      <c r="Q145" s="84"/>
      <c r="R145" s="84"/>
      <c r="S145" s="84"/>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61"/>
    </row>
    <row r="146" spans="1:53" ht="15.7" customHeight="1" x14ac:dyDescent="0.4">
      <c r="A146" s="22" t="s">
        <v>1141</v>
      </c>
      <c r="B146" s="58" t="s">
        <v>1142</v>
      </c>
      <c r="C146" s="58" t="s">
        <v>1142</v>
      </c>
      <c r="D146" s="33"/>
      <c r="E146" s="33"/>
      <c r="F146" s="33"/>
      <c r="G146" s="33"/>
      <c r="H146" s="33"/>
      <c r="I146" s="33"/>
      <c r="J146" s="33"/>
      <c r="K146" s="84"/>
      <c r="L146" s="84"/>
      <c r="M146" s="84"/>
      <c r="N146" s="84"/>
      <c r="O146" s="84"/>
      <c r="P146" s="84"/>
      <c r="Q146" s="84"/>
      <c r="R146" s="84"/>
      <c r="S146" s="84"/>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61"/>
    </row>
    <row r="147" spans="1:53" ht="15.7" customHeight="1" x14ac:dyDescent="0.4">
      <c r="A147" s="22" t="s">
        <v>1143</v>
      </c>
      <c r="B147" s="58" t="s">
        <v>1144</v>
      </c>
      <c r="C147" s="58" t="s">
        <v>1144</v>
      </c>
      <c r="D147" s="33"/>
      <c r="E147" s="33"/>
      <c r="F147" s="33"/>
      <c r="G147" s="33"/>
      <c r="H147" s="33"/>
      <c r="I147" s="33"/>
      <c r="J147" s="33"/>
      <c r="K147" s="84"/>
      <c r="L147" s="84"/>
      <c r="M147" s="84"/>
      <c r="N147" s="84"/>
      <c r="O147" s="84"/>
      <c r="P147" s="84"/>
      <c r="Q147" s="84"/>
      <c r="R147" s="84"/>
      <c r="S147" s="84"/>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61"/>
    </row>
    <row r="148" spans="1:53" ht="15.7" customHeight="1" x14ac:dyDescent="0.4">
      <c r="A148" s="22" t="s">
        <v>1145</v>
      </c>
      <c r="B148" s="58" t="s">
        <v>1146</v>
      </c>
      <c r="C148" s="58" t="s">
        <v>1146</v>
      </c>
      <c r="D148" s="33"/>
      <c r="E148" s="33"/>
      <c r="F148" s="33"/>
      <c r="G148" s="33"/>
      <c r="H148" s="33"/>
      <c r="I148" s="33"/>
      <c r="J148" s="33"/>
      <c r="K148" s="84"/>
      <c r="L148" s="84"/>
      <c r="M148" s="84"/>
      <c r="N148" s="84"/>
      <c r="O148" s="84"/>
      <c r="P148" s="84"/>
      <c r="Q148" s="84"/>
      <c r="R148" s="84"/>
      <c r="S148" s="84"/>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61"/>
    </row>
    <row r="149" spans="1:53" ht="15.7" customHeight="1" x14ac:dyDescent="0.4">
      <c r="A149" s="22" t="s">
        <v>1147</v>
      </c>
      <c r="B149" s="58" t="s">
        <v>1148</v>
      </c>
      <c r="C149" s="58" t="s">
        <v>1148</v>
      </c>
      <c r="D149" s="33"/>
      <c r="E149" s="33"/>
      <c r="F149" s="33"/>
      <c r="G149" s="33"/>
      <c r="H149" s="33"/>
      <c r="I149" s="33"/>
      <c r="J149" s="33"/>
      <c r="K149" s="84"/>
      <c r="L149" s="84"/>
      <c r="M149" s="84"/>
      <c r="N149" s="84"/>
      <c r="O149" s="84"/>
      <c r="P149" s="84"/>
      <c r="Q149" s="84"/>
      <c r="R149" s="84"/>
      <c r="S149" s="84"/>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61"/>
    </row>
    <row r="150" spans="1:53" ht="15.7" customHeight="1" x14ac:dyDescent="0.4">
      <c r="A150" s="22" t="s">
        <v>1149</v>
      </c>
      <c r="B150" s="58" t="s">
        <v>1150</v>
      </c>
      <c r="C150" s="58" t="s">
        <v>1150</v>
      </c>
      <c r="D150" s="33"/>
      <c r="E150" s="33"/>
      <c r="F150" s="33"/>
      <c r="G150" s="33"/>
      <c r="H150" s="33"/>
      <c r="I150" s="33"/>
      <c r="J150" s="33"/>
      <c r="K150" s="84"/>
      <c r="L150" s="84"/>
      <c r="M150" s="84"/>
      <c r="N150" s="84"/>
      <c r="O150" s="84"/>
      <c r="P150" s="84"/>
      <c r="Q150" s="84"/>
      <c r="R150" s="84"/>
      <c r="S150" s="84"/>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61"/>
    </row>
    <row r="151" spans="1:53" ht="15.7" customHeight="1" x14ac:dyDescent="0.4">
      <c r="A151" s="22" t="s">
        <v>1151</v>
      </c>
      <c r="B151" s="58" t="s">
        <v>1152</v>
      </c>
      <c r="C151" s="58" t="s">
        <v>1152</v>
      </c>
      <c r="D151" s="33"/>
      <c r="E151" s="33"/>
      <c r="F151" s="33"/>
      <c r="G151" s="33"/>
      <c r="H151" s="33"/>
      <c r="I151" s="33"/>
      <c r="J151" s="33"/>
      <c r="K151" s="84"/>
      <c r="L151" s="84"/>
      <c r="M151" s="84"/>
      <c r="N151" s="84"/>
      <c r="O151" s="84"/>
      <c r="P151" s="84"/>
      <c r="Q151" s="84"/>
      <c r="R151" s="84"/>
      <c r="S151" s="84"/>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61"/>
    </row>
    <row r="152" spans="1:53" ht="15.7" customHeight="1" x14ac:dyDescent="0.4">
      <c r="A152" s="22" t="s">
        <v>1153</v>
      </c>
      <c r="B152" s="58" t="s">
        <v>1154</v>
      </c>
      <c r="C152" s="58" t="s">
        <v>1154</v>
      </c>
      <c r="D152" s="33"/>
      <c r="E152" s="33"/>
      <c r="F152" s="33"/>
      <c r="G152" s="33"/>
      <c r="H152" s="33"/>
      <c r="I152" s="33"/>
      <c r="J152" s="33"/>
      <c r="K152" s="84"/>
      <c r="L152" s="84"/>
      <c r="M152" s="84"/>
      <c r="N152" s="84"/>
      <c r="O152" s="84"/>
      <c r="P152" s="84"/>
      <c r="Q152" s="84"/>
      <c r="R152" s="84"/>
      <c r="S152" s="84"/>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61"/>
    </row>
    <row r="153" spans="1:53" ht="15.7" customHeight="1" x14ac:dyDescent="0.4">
      <c r="A153" s="22" t="s">
        <v>1155</v>
      </c>
      <c r="B153" s="72" t="s">
        <v>1156</v>
      </c>
      <c r="C153" s="72" t="s">
        <v>1156</v>
      </c>
      <c r="D153" s="32"/>
      <c r="E153" s="32"/>
      <c r="F153" s="32"/>
      <c r="G153" s="32"/>
      <c r="H153" s="32"/>
      <c r="I153" s="32"/>
      <c r="J153" s="32"/>
      <c r="K153" s="85"/>
      <c r="L153" s="85"/>
      <c r="M153" s="85"/>
      <c r="N153" s="85"/>
      <c r="O153" s="85"/>
      <c r="P153" s="85"/>
      <c r="Q153" s="85"/>
      <c r="R153" s="85"/>
      <c r="S153" s="85"/>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75"/>
    </row>
    <row r="154" spans="1:53" ht="15.7" customHeight="1" x14ac:dyDescent="0.4">
      <c r="A154" s="22" t="s">
        <v>1157</v>
      </c>
      <c r="B154" s="72" t="s">
        <v>1158</v>
      </c>
      <c r="C154" s="72" t="s">
        <v>1158</v>
      </c>
      <c r="D154" s="32"/>
      <c r="E154" s="32"/>
      <c r="F154" s="32"/>
      <c r="G154" s="32"/>
      <c r="H154" s="32"/>
      <c r="I154" s="32"/>
      <c r="J154" s="32"/>
      <c r="K154" s="85"/>
      <c r="L154" s="85"/>
      <c r="M154" s="85"/>
      <c r="N154" s="85"/>
      <c r="O154" s="85"/>
      <c r="P154" s="85"/>
      <c r="Q154" s="85"/>
      <c r="R154" s="85"/>
      <c r="S154" s="85"/>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75"/>
    </row>
    <row r="155" spans="1:53" ht="15.7" customHeight="1" x14ac:dyDescent="0.4">
      <c r="A155" s="22" t="s">
        <v>1159</v>
      </c>
      <c r="B155" s="88" t="s">
        <v>781</v>
      </c>
      <c r="C155" s="88" t="s">
        <v>781</v>
      </c>
      <c r="D155" s="89"/>
      <c r="E155" s="89"/>
      <c r="F155" s="89"/>
      <c r="G155" s="89"/>
      <c r="H155" s="89"/>
      <c r="I155" s="89"/>
      <c r="J155" s="89"/>
      <c r="K155" s="90"/>
      <c r="L155" s="90"/>
      <c r="M155" s="90"/>
      <c r="N155" s="90"/>
      <c r="O155" s="90"/>
      <c r="P155" s="90"/>
      <c r="Q155" s="90"/>
      <c r="R155" s="90"/>
      <c r="S155" s="90"/>
      <c r="T155" s="89"/>
      <c r="U155" s="89"/>
      <c r="V155" s="89"/>
      <c r="W155" s="89"/>
      <c r="X155" s="89"/>
      <c r="Y155" s="89"/>
      <c r="Z155" s="89"/>
      <c r="AA155" s="89"/>
      <c r="AB155" s="89"/>
      <c r="AC155" s="89"/>
      <c r="AD155" s="89"/>
      <c r="AE155" s="89"/>
      <c r="AF155" s="89"/>
      <c r="AG155" s="89"/>
      <c r="AH155" s="89"/>
      <c r="AI155" s="89"/>
      <c r="AJ155" s="89"/>
      <c r="AK155" s="89"/>
      <c r="AL155" s="89"/>
      <c r="AM155" s="89"/>
      <c r="AN155" s="89"/>
      <c r="AO155" s="89"/>
      <c r="AP155" s="89"/>
      <c r="AQ155" s="89"/>
      <c r="AR155" s="89"/>
      <c r="AS155" s="89"/>
      <c r="AT155" s="89"/>
      <c r="AU155" s="89"/>
      <c r="AV155" s="89"/>
      <c r="AW155" s="89"/>
      <c r="AX155" s="89"/>
      <c r="AY155" s="89"/>
      <c r="AZ155" s="89"/>
      <c r="BA155" s="75"/>
    </row>
    <row r="156" spans="1:53" ht="15.7" customHeight="1" x14ac:dyDescent="0.4">
      <c r="A156" s="22"/>
      <c r="B156" s="50"/>
      <c r="C156" s="50"/>
      <c r="D156" s="33"/>
      <c r="E156" s="33"/>
      <c r="F156" s="33"/>
      <c r="G156" s="33"/>
      <c r="H156" s="33"/>
      <c r="I156" s="33"/>
      <c r="J156" s="33"/>
      <c r="K156" s="84"/>
      <c r="L156" s="84"/>
      <c r="M156" s="84"/>
      <c r="N156" s="84"/>
      <c r="O156" s="84"/>
      <c r="P156" s="84"/>
      <c r="Q156" s="84"/>
      <c r="R156" s="84"/>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row>
    <row r="157" spans="1:53" ht="15.7" customHeight="1" x14ac:dyDescent="0.4">
      <c r="A157" s="22"/>
      <c r="B157" s="51" t="s">
        <v>1372</v>
      </c>
      <c r="C157" s="51" t="s">
        <v>16</v>
      </c>
      <c r="D157" s="52"/>
      <c r="E157" s="52"/>
      <c r="F157" s="52"/>
      <c r="G157" s="52"/>
      <c r="H157" s="52"/>
      <c r="I157" s="52"/>
      <c r="J157" s="52"/>
      <c r="K157" s="87"/>
      <c r="L157" s="87"/>
      <c r="M157" s="87"/>
      <c r="N157" s="87"/>
      <c r="O157" s="87"/>
      <c r="P157" s="87"/>
      <c r="Q157" s="87"/>
      <c r="R157" s="87"/>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row>
    <row r="158" spans="1:53" ht="15.7" customHeight="1" x14ac:dyDescent="0.4">
      <c r="A158" s="22"/>
      <c r="B158" s="53"/>
      <c r="C158" s="53"/>
      <c r="D158" s="33"/>
      <c r="E158" s="33"/>
      <c r="F158" s="33"/>
      <c r="G158" s="33"/>
      <c r="H158" s="33"/>
      <c r="I158" s="33"/>
      <c r="J158" s="33"/>
      <c r="K158" s="84"/>
      <c r="L158" s="84"/>
      <c r="M158" s="84"/>
      <c r="N158" s="84"/>
      <c r="O158" s="84"/>
      <c r="P158" s="84"/>
      <c r="Q158" s="84"/>
      <c r="R158" s="84"/>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row>
    <row r="159" spans="1:53" ht="15.7" customHeight="1" x14ac:dyDescent="0.4">
      <c r="A159" s="22" t="s">
        <v>1160</v>
      </c>
      <c r="B159" s="88" t="s">
        <v>1161</v>
      </c>
      <c r="C159" s="88" t="s">
        <v>1161</v>
      </c>
      <c r="D159" s="89"/>
      <c r="E159" s="89"/>
      <c r="F159" s="89"/>
      <c r="G159" s="89"/>
      <c r="H159" s="89"/>
      <c r="I159" s="89"/>
      <c r="J159" s="89"/>
      <c r="K159" s="90"/>
      <c r="L159" s="90"/>
      <c r="M159" s="90"/>
      <c r="N159" s="90"/>
      <c r="O159" s="90"/>
      <c r="P159" s="90"/>
      <c r="Q159" s="90"/>
      <c r="R159" s="90"/>
      <c r="S159" s="89"/>
      <c r="T159" s="89"/>
      <c r="U159" s="89"/>
      <c r="V159" s="89"/>
      <c r="W159" s="89"/>
      <c r="X159" s="89"/>
      <c r="Y159" s="89"/>
      <c r="Z159" s="89"/>
      <c r="AA159" s="89"/>
      <c r="AB159" s="89"/>
      <c r="AC159" s="89"/>
      <c r="AD159" s="89"/>
      <c r="AE159" s="89"/>
      <c r="AF159" s="89"/>
      <c r="AG159" s="89"/>
      <c r="AH159" s="89"/>
      <c r="AI159" s="89"/>
      <c r="AJ159" s="89"/>
      <c r="AK159" s="89"/>
      <c r="AL159" s="89"/>
      <c r="AM159" s="89"/>
      <c r="AN159" s="89"/>
      <c r="AO159" s="89"/>
      <c r="AP159" s="89"/>
      <c r="AQ159" s="89"/>
      <c r="AR159" s="89"/>
      <c r="AS159" s="89"/>
      <c r="AT159" s="89"/>
      <c r="AU159" s="89"/>
      <c r="AV159" s="89"/>
      <c r="AW159" s="89"/>
      <c r="AX159" s="89"/>
      <c r="AY159" s="89"/>
      <c r="AZ159" s="89"/>
      <c r="BA159" s="75"/>
    </row>
    <row r="160" spans="1:53" ht="15.7" customHeight="1" x14ac:dyDescent="0.4">
      <c r="A160" s="49" t="s">
        <v>127</v>
      </c>
      <c r="B160" s="91"/>
      <c r="C160" s="91"/>
      <c r="D160" s="92"/>
      <c r="E160" s="92"/>
      <c r="F160" s="92"/>
      <c r="G160" s="92"/>
      <c r="H160" s="92"/>
      <c r="I160" s="92"/>
      <c r="J160" s="92"/>
      <c r="K160" s="93"/>
      <c r="L160" s="93"/>
      <c r="M160" s="93"/>
      <c r="N160" s="93"/>
      <c r="O160" s="93"/>
      <c r="P160" s="93"/>
      <c r="Q160" s="93"/>
      <c r="R160" s="93"/>
      <c r="S160" s="92"/>
      <c r="T160" s="92"/>
      <c r="U160" s="92"/>
      <c r="V160" s="92"/>
      <c r="W160" s="92"/>
      <c r="X160" s="92"/>
      <c r="Y160" s="92"/>
      <c r="Z160" s="92"/>
      <c r="AA160" s="92"/>
      <c r="AB160" s="92"/>
      <c r="AC160" s="92"/>
      <c r="AD160" s="92"/>
      <c r="AE160" s="92"/>
      <c r="AF160" s="92"/>
      <c r="AG160" s="92"/>
      <c r="AH160" s="92"/>
      <c r="AI160" s="92"/>
      <c r="AJ160" s="92"/>
      <c r="AK160" s="92"/>
      <c r="AL160" s="92"/>
      <c r="AM160" s="92"/>
      <c r="AN160" s="92"/>
      <c r="AO160" s="92"/>
      <c r="AP160" s="92"/>
      <c r="AQ160" s="92"/>
      <c r="AR160" s="92"/>
      <c r="AS160" s="92"/>
      <c r="AT160" s="92"/>
      <c r="AU160" s="92"/>
      <c r="AV160" s="92"/>
      <c r="AW160" s="92"/>
      <c r="AX160" s="92"/>
      <c r="AY160" s="92"/>
      <c r="AZ160" s="92"/>
    </row>
    <row r="161" spans="1:52" ht="15.7" customHeight="1" x14ac:dyDescent="0.4">
      <c r="A161" s="22"/>
      <c r="B161" s="91"/>
      <c r="C161" s="91"/>
      <c r="D161" s="92"/>
      <c r="E161" s="92"/>
      <c r="F161" s="92"/>
      <c r="G161" s="92"/>
      <c r="H161" s="92"/>
      <c r="I161" s="92"/>
      <c r="J161" s="92"/>
      <c r="K161" s="93"/>
      <c r="L161" s="93"/>
      <c r="M161" s="93"/>
      <c r="N161" s="93"/>
      <c r="O161" s="93"/>
      <c r="P161" s="93"/>
      <c r="Q161" s="93"/>
      <c r="R161" s="93"/>
      <c r="S161" s="92"/>
      <c r="T161" s="92"/>
      <c r="U161" s="92"/>
      <c r="V161" s="92"/>
      <c r="W161" s="92"/>
      <c r="X161" s="92"/>
      <c r="Y161" s="92"/>
      <c r="Z161" s="92"/>
      <c r="AA161" s="92"/>
      <c r="AB161" s="92"/>
      <c r="AC161" s="92"/>
      <c r="AD161" s="92"/>
      <c r="AE161" s="92"/>
      <c r="AF161" s="92"/>
      <c r="AG161" s="92"/>
      <c r="AH161" s="92"/>
      <c r="AI161" s="92"/>
      <c r="AJ161" s="92"/>
      <c r="AK161" s="92"/>
      <c r="AL161" s="92"/>
      <c r="AM161" s="92"/>
      <c r="AN161" s="92"/>
      <c r="AO161" s="92"/>
      <c r="AP161" s="92"/>
      <c r="AQ161" s="92"/>
      <c r="AR161" s="92"/>
      <c r="AS161" s="92"/>
      <c r="AT161" s="92"/>
      <c r="AU161" s="92"/>
      <c r="AV161" s="92"/>
      <c r="AW161" s="92"/>
      <c r="AX161" s="92"/>
      <c r="AY161" s="92"/>
      <c r="AZ161" s="92"/>
    </row>
    <row r="162" spans="1:52" ht="15.7" customHeight="1" x14ac:dyDescent="0.4">
      <c r="A162" s="22"/>
      <c r="B162" s="91"/>
      <c r="C162" s="91"/>
      <c r="D162" s="92"/>
      <c r="E162" s="92"/>
      <c r="F162" s="92"/>
      <c r="G162" s="92"/>
      <c r="H162" s="92"/>
      <c r="I162" s="92"/>
      <c r="J162" s="92"/>
      <c r="K162" s="93"/>
      <c r="L162" s="93"/>
      <c r="M162" s="93"/>
      <c r="N162" s="93"/>
      <c r="O162" s="93"/>
      <c r="P162" s="93"/>
      <c r="Q162" s="93"/>
      <c r="R162" s="93"/>
      <c r="S162" s="92"/>
      <c r="T162" s="92"/>
      <c r="U162" s="92"/>
      <c r="V162" s="92"/>
      <c r="W162" s="92"/>
      <c r="X162" s="92"/>
      <c r="Y162" s="92"/>
      <c r="Z162" s="92"/>
      <c r="AA162" s="92"/>
      <c r="AB162" s="92"/>
      <c r="AC162" s="92"/>
      <c r="AD162" s="92"/>
      <c r="AE162" s="92"/>
      <c r="AF162" s="92"/>
      <c r="AG162" s="92"/>
      <c r="AH162" s="92"/>
      <c r="AI162" s="92"/>
      <c r="AJ162" s="92"/>
      <c r="AK162" s="92"/>
      <c r="AL162" s="92"/>
      <c r="AM162" s="92"/>
      <c r="AN162" s="92"/>
      <c r="AO162" s="92"/>
      <c r="AP162" s="92"/>
      <c r="AQ162" s="92"/>
      <c r="AR162" s="92"/>
      <c r="AS162" s="92"/>
      <c r="AT162" s="92"/>
      <c r="AU162" s="92"/>
      <c r="AV162" s="92"/>
      <c r="AW162" s="92"/>
      <c r="AX162" s="92"/>
      <c r="AY162" s="92"/>
      <c r="AZ162" s="92"/>
    </row>
    <row r="163" spans="1:52" ht="15.7" customHeight="1" x14ac:dyDescent="0.4">
      <c r="A163" s="22"/>
      <c r="B163" s="91"/>
      <c r="C163" s="91"/>
      <c r="D163" s="92"/>
      <c r="E163" s="92"/>
      <c r="F163" s="92"/>
      <c r="G163" s="92"/>
      <c r="H163" s="92"/>
      <c r="I163" s="92"/>
      <c r="J163" s="92"/>
      <c r="K163" s="93"/>
      <c r="L163" s="93"/>
      <c r="M163" s="93"/>
      <c r="N163" s="93"/>
      <c r="O163" s="93"/>
      <c r="P163" s="93"/>
      <c r="Q163" s="93"/>
      <c r="R163" s="93"/>
      <c r="S163" s="92"/>
      <c r="T163" s="92"/>
      <c r="U163" s="92"/>
      <c r="V163" s="92"/>
      <c r="W163" s="92"/>
      <c r="X163" s="92"/>
      <c r="Y163" s="92"/>
      <c r="Z163" s="92"/>
      <c r="AA163" s="92"/>
      <c r="AB163" s="92"/>
      <c r="AC163" s="92"/>
      <c r="AD163" s="92"/>
      <c r="AE163" s="92"/>
      <c r="AF163" s="92"/>
      <c r="AG163" s="92"/>
      <c r="AH163" s="92"/>
      <c r="AI163" s="92"/>
      <c r="AJ163" s="92"/>
      <c r="AK163" s="92"/>
      <c r="AL163" s="92"/>
      <c r="AM163" s="92"/>
      <c r="AN163" s="92"/>
      <c r="AO163" s="92"/>
      <c r="AP163" s="92"/>
      <c r="AQ163" s="92"/>
      <c r="AR163" s="92"/>
      <c r="AS163" s="92"/>
      <c r="AT163" s="92"/>
      <c r="AU163" s="92"/>
      <c r="AV163" s="92"/>
      <c r="AW163" s="92"/>
      <c r="AX163" s="92"/>
      <c r="AY163" s="92"/>
      <c r="AZ163" s="92"/>
    </row>
    <row r="164" spans="1:52" ht="15.7" customHeight="1" x14ac:dyDescent="0.4">
      <c r="A164" s="22"/>
      <c r="B164" s="91"/>
      <c r="C164" s="91"/>
      <c r="D164" s="92"/>
      <c r="E164" s="92"/>
      <c r="F164" s="92"/>
      <c r="G164" s="92"/>
      <c r="H164" s="92"/>
      <c r="I164" s="92"/>
      <c r="J164" s="92"/>
      <c r="K164" s="93"/>
      <c r="L164" s="93"/>
      <c r="M164" s="93"/>
      <c r="N164" s="93"/>
      <c r="O164" s="93"/>
      <c r="P164" s="93"/>
      <c r="Q164" s="93"/>
      <c r="R164" s="93"/>
      <c r="S164" s="92"/>
      <c r="T164" s="92"/>
      <c r="U164" s="92"/>
      <c r="V164" s="92"/>
      <c r="W164" s="92"/>
      <c r="X164" s="92"/>
      <c r="Y164" s="92"/>
      <c r="Z164" s="92"/>
      <c r="AA164" s="92"/>
      <c r="AB164" s="92"/>
      <c r="AC164" s="92"/>
      <c r="AD164" s="92"/>
      <c r="AE164" s="92"/>
      <c r="AF164" s="92"/>
      <c r="AG164" s="92"/>
      <c r="AH164" s="92"/>
      <c r="AI164" s="92"/>
      <c r="AJ164" s="92"/>
      <c r="AK164" s="92"/>
      <c r="AL164" s="92"/>
      <c r="AM164" s="92"/>
      <c r="AN164" s="92"/>
      <c r="AO164" s="92"/>
      <c r="AP164" s="92"/>
      <c r="AQ164" s="92"/>
      <c r="AR164" s="92"/>
      <c r="AS164" s="92"/>
      <c r="AT164" s="92"/>
      <c r="AU164" s="92"/>
      <c r="AV164" s="92"/>
      <c r="AW164" s="92"/>
      <c r="AX164" s="92"/>
      <c r="AY164" s="92"/>
      <c r="AZ164" s="92"/>
    </row>
    <row r="165" spans="1:52" ht="15.7" customHeight="1" x14ac:dyDescent="0.4">
      <c r="A165" s="22"/>
      <c r="B165" s="91"/>
      <c r="C165" s="91"/>
      <c r="D165" s="92"/>
      <c r="E165" s="92"/>
      <c r="F165" s="92"/>
      <c r="G165" s="92"/>
      <c r="H165" s="92"/>
      <c r="I165" s="92"/>
      <c r="J165" s="92"/>
      <c r="K165" s="93"/>
      <c r="L165" s="93"/>
      <c r="M165" s="93"/>
      <c r="N165" s="93"/>
      <c r="O165" s="93"/>
      <c r="P165" s="93"/>
      <c r="Q165" s="93"/>
      <c r="R165" s="93"/>
      <c r="S165" s="92"/>
      <c r="T165" s="92"/>
      <c r="U165" s="92"/>
      <c r="V165" s="92"/>
      <c r="W165" s="92"/>
      <c r="X165" s="92"/>
      <c r="Y165" s="92"/>
      <c r="Z165" s="92"/>
      <c r="AA165" s="92"/>
      <c r="AB165" s="92"/>
      <c r="AC165" s="92"/>
      <c r="AD165" s="92"/>
      <c r="AE165" s="92"/>
      <c r="AF165" s="92"/>
      <c r="AG165" s="92"/>
      <c r="AH165" s="92"/>
      <c r="AI165" s="92"/>
      <c r="AJ165" s="92"/>
      <c r="AK165" s="92"/>
      <c r="AL165" s="92"/>
      <c r="AM165" s="92"/>
      <c r="AN165" s="92"/>
      <c r="AO165" s="92"/>
      <c r="AP165" s="92"/>
      <c r="AQ165" s="92"/>
      <c r="AR165" s="92"/>
      <c r="AS165" s="92"/>
      <c r="AT165" s="92"/>
      <c r="AU165" s="92"/>
      <c r="AV165" s="92"/>
      <c r="AW165" s="92"/>
      <c r="AX165" s="92"/>
      <c r="AY165" s="92"/>
      <c r="AZ165" s="92"/>
    </row>
    <row r="166" spans="1:52" ht="15.7" customHeight="1" x14ac:dyDescent="0.4">
      <c r="A166" s="22"/>
      <c r="B166" s="91"/>
      <c r="C166" s="91"/>
      <c r="D166" s="92"/>
      <c r="E166" s="92"/>
      <c r="F166" s="92"/>
      <c r="G166" s="92"/>
      <c r="H166" s="92"/>
      <c r="I166" s="92"/>
      <c r="J166" s="92"/>
      <c r="K166" s="93"/>
      <c r="L166" s="93"/>
      <c r="M166" s="93"/>
      <c r="N166" s="93"/>
      <c r="O166" s="93"/>
      <c r="P166" s="93"/>
      <c r="Q166" s="93"/>
      <c r="R166" s="93"/>
      <c r="S166" s="92"/>
      <c r="T166" s="92"/>
      <c r="U166" s="92"/>
      <c r="V166" s="92"/>
      <c r="W166" s="92"/>
      <c r="X166" s="92"/>
      <c r="Y166" s="92"/>
      <c r="Z166" s="92"/>
      <c r="AA166" s="92"/>
      <c r="AB166" s="92"/>
      <c r="AC166" s="92"/>
      <c r="AD166" s="92"/>
      <c r="AE166" s="92"/>
      <c r="AF166" s="92"/>
      <c r="AG166" s="92"/>
      <c r="AH166" s="92"/>
      <c r="AI166" s="92"/>
      <c r="AJ166" s="92"/>
      <c r="AK166" s="92"/>
      <c r="AL166" s="92"/>
      <c r="AM166" s="92"/>
      <c r="AN166" s="92"/>
      <c r="AO166" s="92"/>
      <c r="AP166" s="92"/>
      <c r="AQ166" s="92"/>
      <c r="AR166" s="92"/>
      <c r="AS166" s="92"/>
      <c r="AT166" s="92"/>
      <c r="AU166" s="92"/>
      <c r="AV166" s="92"/>
      <c r="AW166" s="92"/>
      <c r="AX166" s="92"/>
      <c r="AY166" s="92"/>
      <c r="AZ166" s="92"/>
    </row>
    <row r="167" spans="1:52" ht="15.7" customHeight="1" x14ac:dyDescent="0.4">
      <c r="A167" s="22"/>
      <c r="B167" s="91"/>
      <c r="C167" s="91"/>
      <c r="D167" s="92"/>
      <c r="E167" s="92"/>
      <c r="F167" s="92"/>
      <c r="G167" s="92"/>
      <c r="H167" s="92"/>
      <c r="I167" s="92"/>
      <c r="J167" s="92"/>
      <c r="K167" s="93"/>
      <c r="L167" s="93"/>
      <c r="M167" s="93"/>
      <c r="N167" s="93"/>
      <c r="O167" s="93"/>
      <c r="P167" s="93"/>
      <c r="Q167" s="93"/>
      <c r="R167" s="93"/>
      <c r="S167" s="92"/>
      <c r="T167" s="92"/>
      <c r="U167" s="92"/>
      <c r="V167" s="92"/>
      <c r="W167" s="92"/>
      <c r="X167" s="92"/>
      <c r="Y167" s="92"/>
      <c r="Z167" s="92"/>
      <c r="AA167" s="92"/>
      <c r="AB167" s="92"/>
      <c r="AC167" s="92"/>
      <c r="AD167" s="92"/>
      <c r="AE167" s="92"/>
      <c r="AF167" s="92"/>
      <c r="AG167" s="92"/>
      <c r="AH167" s="92"/>
      <c r="AI167" s="92"/>
      <c r="AJ167" s="92"/>
      <c r="AK167" s="92"/>
      <c r="AL167" s="92"/>
      <c r="AM167" s="92"/>
      <c r="AN167" s="92"/>
      <c r="AO167" s="92"/>
      <c r="AP167" s="92"/>
      <c r="AQ167" s="92"/>
      <c r="AR167" s="92"/>
      <c r="AS167" s="92"/>
      <c r="AT167" s="92"/>
      <c r="AU167" s="92"/>
      <c r="AV167" s="92"/>
      <c r="AW167" s="92"/>
      <c r="AX167" s="92"/>
      <c r="AY167" s="92"/>
      <c r="AZ167" s="92"/>
    </row>
    <row r="168" spans="1:52" ht="15.7" customHeight="1" x14ac:dyDescent="0.4">
      <c r="A168" s="22"/>
      <c r="B168" s="91"/>
      <c r="C168" s="91"/>
      <c r="D168" s="92"/>
      <c r="E168" s="92"/>
      <c r="F168" s="92"/>
      <c r="G168" s="92"/>
      <c r="H168" s="92"/>
      <c r="I168" s="92"/>
      <c r="J168" s="92"/>
      <c r="K168" s="93"/>
      <c r="L168" s="93"/>
      <c r="M168" s="93"/>
      <c r="N168" s="93"/>
      <c r="O168" s="93"/>
      <c r="P168" s="93"/>
      <c r="Q168" s="93"/>
      <c r="R168" s="93"/>
      <c r="S168" s="92"/>
      <c r="T168" s="92"/>
      <c r="U168" s="92"/>
      <c r="V168" s="92"/>
      <c r="W168" s="92"/>
      <c r="X168" s="92"/>
      <c r="Y168" s="92"/>
      <c r="Z168" s="92"/>
      <c r="AA168" s="92"/>
      <c r="AB168" s="92"/>
      <c r="AC168" s="92"/>
      <c r="AD168" s="92"/>
      <c r="AE168" s="92"/>
      <c r="AF168" s="92"/>
      <c r="AG168" s="92"/>
      <c r="AH168" s="92"/>
      <c r="AI168" s="92"/>
      <c r="AJ168" s="92"/>
      <c r="AK168" s="92"/>
      <c r="AL168" s="92"/>
      <c r="AM168" s="92"/>
      <c r="AN168" s="92"/>
      <c r="AO168" s="92"/>
      <c r="AP168" s="92"/>
      <c r="AQ168" s="92"/>
      <c r="AR168" s="92"/>
      <c r="AS168" s="92"/>
      <c r="AT168" s="92"/>
      <c r="AU168" s="92"/>
      <c r="AV168" s="92"/>
      <c r="AW168" s="92"/>
      <c r="AX168" s="92"/>
      <c r="AY168" s="92"/>
      <c r="AZ168" s="92"/>
    </row>
    <row r="169" spans="1:52" ht="15.7" customHeight="1" x14ac:dyDescent="0.4">
      <c r="A169" s="22"/>
      <c r="B169" s="91"/>
      <c r="C169" s="91"/>
      <c r="D169" s="92"/>
      <c r="E169" s="92"/>
      <c r="F169" s="92"/>
      <c r="G169" s="92"/>
      <c r="H169" s="92"/>
      <c r="I169" s="92"/>
      <c r="J169" s="92"/>
      <c r="K169" s="93"/>
      <c r="L169" s="93"/>
      <c r="M169" s="93"/>
      <c r="N169" s="93"/>
      <c r="O169" s="93"/>
      <c r="P169" s="93"/>
      <c r="Q169" s="93"/>
      <c r="R169" s="93"/>
      <c r="S169" s="92"/>
      <c r="T169" s="92"/>
      <c r="U169" s="92"/>
      <c r="V169" s="92"/>
      <c r="W169" s="92"/>
      <c r="X169" s="92"/>
      <c r="Y169" s="92"/>
      <c r="Z169" s="92"/>
      <c r="AA169" s="92"/>
      <c r="AB169" s="92"/>
      <c r="AC169" s="92"/>
      <c r="AD169" s="92"/>
      <c r="AE169" s="92"/>
      <c r="AF169" s="92"/>
      <c r="AG169" s="92"/>
      <c r="AH169" s="92"/>
      <c r="AI169" s="92"/>
      <c r="AJ169" s="92"/>
      <c r="AK169" s="92"/>
      <c r="AL169" s="92"/>
      <c r="AM169" s="92"/>
      <c r="AN169" s="92"/>
      <c r="AO169" s="92"/>
      <c r="AP169" s="92"/>
      <c r="AQ169" s="92"/>
      <c r="AR169" s="92"/>
      <c r="AS169" s="92"/>
      <c r="AT169" s="92"/>
      <c r="AU169" s="92"/>
      <c r="AV169" s="92"/>
      <c r="AW169" s="92"/>
      <c r="AX169" s="92"/>
      <c r="AY169" s="92"/>
      <c r="AZ169" s="92"/>
    </row>
    <row r="170" spans="1:52" ht="15.7" customHeight="1" x14ac:dyDescent="0.4">
      <c r="A170" s="22"/>
      <c r="B170" s="91"/>
      <c r="C170" s="91"/>
      <c r="D170" s="92"/>
      <c r="E170" s="92"/>
      <c r="F170" s="92"/>
      <c r="G170" s="92"/>
      <c r="H170" s="92"/>
      <c r="I170" s="92"/>
      <c r="J170" s="92"/>
      <c r="K170" s="93"/>
      <c r="L170" s="93"/>
      <c r="M170" s="93"/>
      <c r="N170" s="93"/>
      <c r="O170" s="93"/>
      <c r="P170" s="93"/>
      <c r="Q170" s="93"/>
      <c r="R170" s="93"/>
      <c r="S170" s="92"/>
      <c r="T170" s="92"/>
      <c r="U170" s="92"/>
      <c r="V170" s="92"/>
      <c r="W170" s="92"/>
      <c r="X170" s="92"/>
      <c r="Y170" s="92"/>
      <c r="Z170" s="92"/>
      <c r="AA170" s="92"/>
      <c r="AB170" s="92"/>
      <c r="AC170" s="92"/>
      <c r="AD170" s="92"/>
      <c r="AE170" s="92"/>
      <c r="AF170" s="92"/>
      <c r="AG170" s="92"/>
      <c r="AH170" s="92"/>
      <c r="AI170" s="92"/>
      <c r="AJ170" s="92"/>
      <c r="AK170" s="92"/>
      <c r="AL170" s="92"/>
      <c r="AM170" s="92"/>
      <c r="AN170" s="92"/>
      <c r="AO170" s="92"/>
      <c r="AP170" s="92"/>
      <c r="AQ170" s="92"/>
      <c r="AR170" s="92"/>
      <c r="AS170" s="92"/>
      <c r="AT170" s="92"/>
      <c r="AU170" s="92"/>
      <c r="AV170" s="92"/>
      <c r="AW170" s="92"/>
      <c r="AX170" s="92"/>
      <c r="AY170" s="92"/>
      <c r="AZ170" s="92"/>
    </row>
    <row r="171" spans="1:52" ht="15.7" customHeight="1" x14ac:dyDescent="0.4">
      <c r="A171" s="22"/>
      <c r="B171" s="91"/>
      <c r="C171" s="91"/>
      <c r="D171" s="92"/>
      <c r="E171" s="92"/>
      <c r="F171" s="92"/>
      <c r="G171" s="92"/>
      <c r="H171" s="92"/>
      <c r="I171" s="92"/>
      <c r="J171" s="92"/>
      <c r="K171" s="93"/>
      <c r="L171" s="93"/>
      <c r="M171" s="93"/>
      <c r="N171" s="93"/>
      <c r="O171" s="93"/>
      <c r="P171" s="93"/>
      <c r="Q171" s="93"/>
      <c r="R171" s="93"/>
      <c r="S171" s="92"/>
      <c r="T171" s="92"/>
      <c r="U171" s="92"/>
      <c r="V171" s="92"/>
      <c r="W171" s="92"/>
      <c r="X171" s="92"/>
      <c r="Y171" s="92"/>
      <c r="Z171" s="92"/>
      <c r="AA171" s="92"/>
      <c r="AB171" s="92"/>
      <c r="AC171" s="92"/>
      <c r="AD171" s="92"/>
      <c r="AE171" s="92"/>
      <c r="AF171" s="92"/>
      <c r="AG171" s="92"/>
      <c r="AH171" s="92"/>
      <c r="AI171" s="92"/>
      <c r="AJ171" s="92"/>
      <c r="AK171" s="92"/>
      <c r="AL171" s="92"/>
      <c r="AM171" s="92"/>
      <c r="AN171" s="92"/>
      <c r="AO171" s="92"/>
      <c r="AP171" s="92"/>
      <c r="AQ171" s="92"/>
      <c r="AR171" s="92"/>
      <c r="AS171" s="92"/>
      <c r="AT171" s="92"/>
      <c r="AU171" s="92"/>
      <c r="AV171" s="92"/>
      <c r="AW171" s="92"/>
      <c r="AX171" s="92"/>
      <c r="AY171" s="92"/>
      <c r="AZ171" s="92"/>
    </row>
    <row r="172" spans="1:52" ht="15.7" customHeight="1" x14ac:dyDescent="0.4">
      <c r="A172" s="22"/>
      <c r="B172" s="91"/>
      <c r="C172" s="91"/>
      <c r="D172" s="92"/>
      <c r="E172" s="92"/>
      <c r="F172" s="92"/>
      <c r="G172" s="92"/>
      <c r="H172" s="92"/>
      <c r="I172" s="92"/>
      <c r="J172" s="92"/>
      <c r="K172" s="93"/>
      <c r="L172" s="93"/>
      <c r="M172" s="93"/>
      <c r="N172" s="93"/>
      <c r="O172" s="93"/>
      <c r="P172" s="93"/>
      <c r="Q172" s="93"/>
      <c r="R172" s="93"/>
      <c r="S172" s="92"/>
      <c r="T172" s="92"/>
      <c r="U172" s="92"/>
      <c r="V172" s="92"/>
      <c r="W172" s="92"/>
      <c r="X172" s="92"/>
      <c r="Y172" s="92"/>
      <c r="Z172" s="92"/>
      <c r="AA172" s="92"/>
      <c r="AB172" s="92"/>
      <c r="AC172" s="92"/>
      <c r="AD172" s="92"/>
      <c r="AE172" s="92"/>
      <c r="AF172" s="92"/>
      <c r="AG172" s="92"/>
      <c r="AH172" s="92"/>
      <c r="AI172" s="92"/>
      <c r="AJ172" s="92"/>
      <c r="AK172" s="92"/>
      <c r="AL172" s="92"/>
      <c r="AM172" s="92"/>
      <c r="AN172" s="92"/>
      <c r="AO172" s="92"/>
      <c r="AP172" s="92"/>
      <c r="AQ172" s="92"/>
      <c r="AR172" s="92"/>
      <c r="AS172" s="92"/>
      <c r="AT172" s="92"/>
      <c r="AU172" s="92"/>
      <c r="AV172" s="92"/>
      <c r="AW172" s="92"/>
      <c r="AX172" s="92"/>
      <c r="AY172" s="92"/>
      <c r="AZ172" s="92"/>
    </row>
    <row r="173" spans="1:52" ht="15.7" customHeight="1" x14ac:dyDescent="0.4">
      <c r="A173" s="22"/>
      <c r="B173" s="91"/>
      <c r="C173" s="91"/>
      <c r="D173" s="92"/>
      <c r="E173" s="92"/>
      <c r="F173" s="92"/>
      <c r="G173" s="92"/>
      <c r="H173" s="92"/>
      <c r="I173" s="92"/>
      <c r="J173" s="92"/>
      <c r="K173" s="93"/>
      <c r="L173" s="93"/>
      <c r="M173" s="93"/>
      <c r="N173" s="93"/>
      <c r="O173" s="93"/>
      <c r="P173" s="93"/>
      <c r="Q173" s="93"/>
      <c r="R173" s="93"/>
      <c r="S173" s="92"/>
      <c r="T173" s="92"/>
      <c r="U173" s="92"/>
      <c r="V173" s="92"/>
      <c r="W173" s="92"/>
      <c r="X173" s="92"/>
      <c r="Y173" s="92"/>
      <c r="Z173" s="92"/>
      <c r="AA173" s="92"/>
      <c r="AB173" s="92"/>
      <c r="AC173" s="92"/>
      <c r="AD173" s="92"/>
      <c r="AE173" s="92"/>
      <c r="AF173" s="92"/>
      <c r="AG173" s="92"/>
      <c r="AH173" s="92"/>
      <c r="AI173" s="92"/>
      <c r="AJ173" s="92"/>
      <c r="AK173" s="92"/>
      <c r="AL173" s="92"/>
      <c r="AM173" s="92"/>
      <c r="AN173" s="92"/>
      <c r="AO173" s="92"/>
      <c r="AP173" s="92"/>
      <c r="AQ173" s="92"/>
      <c r="AR173" s="92"/>
      <c r="AS173" s="92"/>
      <c r="AT173" s="92"/>
      <c r="AU173" s="92"/>
      <c r="AV173" s="92"/>
      <c r="AW173" s="92"/>
      <c r="AX173" s="92"/>
      <c r="AY173" s="92"/>
      <c r="AZ173" s="92"/>
    </row>
    <row r="174" spans="1:52" ht="15.7" customHeight="1" x14ac:dyDescent="0.4">
      <c r="A174" s="22"/>
      <c r="B174" s="91"/>
      <c r="C174" s="91"/>
      <c r="D174" s="92"/>
      <c r="E174" s="92"/>
      <c r="F174" s="92"/>
      <c r="G174" s="92"/>
      <c r="H174" s="92"/>
      <c r="I174" s="92"/>
      <c r="J174" s="92"/>
      <c r="K174" s="93"/>
      <c r="L174" s="93"/>
      <c r="M174" s="93"/>
      <c r="N174" s="93"/>
      <c r="O174" s="93"/>
      <c r="P174" s="93"/>
      <c r="Q174" s="93"/>
      <c r="R174" s="93"/>
      <c r="S174" s="92"/>
      <c r="T174" s="92"/>
      <c r="U174" s="92"/>
      <c r="V174" s="92"/>
      <c r="W174" s="92"/>
      <c r="X174" s="92"/>
      <c r="Y174" s="92"/>
      <c r="Z174" s="92"/>
      <c r="AA174" s="92"/>
      <c r="AB174" s="92"/>
      <c r="AC174" s="92"/>
      <c r="AD174" s="92"/>
      <c r="AE174" s="92"/>
      <c r="AF174" s="92"/>
      <c r="AG174" s="92"/>
      <c r="AH174" s="92"/>
      <c r="AI174" s="92"/>
      <c r="AJ174" s="92"/>
      <c r="AK174" s="92"/>
      <c r="AL174" s="92"/>
      <c r="AM174" s="92"/>
      <c r="AN174" s="92"/>
      <c r="AO174" s="92"/>
      <c r="AP174" s="92"/>
      <c r="AQ174" s="92"/>
      <c r="AR174" s="92"/>
      <c r="AS174" s="92"/>
      <c r="AT174" s="92"/>
      <c r="AU174" s="92"/>
      <c r="AV174" s="92"/>
      <c r="AW174" s="92"/>
      <c r="AX174" s="92"/>
      <c r="AY174" s="92"/>
      <c r="AZ174" s="92"/>
    </row>
    <row r="175" spans="1:52" ht="15.7" customHeight="1" x14ac:dyDescent="0.4">
      <c r="A175" s="22"/>
      <c r="B175" s="91"/>
      <c r="C175" s="91"/>
      <c r="D175" s="92"/>
      <c r="E175" s="92"/>
      <c r="F175" s="92"/>
      <c r="G175" s="92"/>
      <c r="H175" s="92"/>
      <c r="I175" s="92"/>
      <c r="J175" s="92"/>
      <c r="K175" s="93"/>
      <c r="L175" s="93"/>
      <c r="M175" s="93"/>
      <c r="N175" s="93"/>
      <c r="O175" s="93"/>
      <c r="P175" s="93"/>
      <c r="Q175" s="93"/>
      <c r="R175" s="93"/>
      <c r="S175" s="92"/>
      <c r="T175" s="92"/>
      <c r="U175" s="92"/>
      <c r="V175" s="92"/>
      <c r="W175" s="92"/>
      <c r="X175" s="92"/>
      <c r="Y175" s="92"/>
      <c r="Z175" s="92"/>
      <c r="AA175" s="92"/>
      <c r="AB175" s="92"/>
      <c r="AC175" s="92"/>
      <c r="AD175" s="92"/>
      <c r="AE175" s="92"/>
      <c r="AF175" s="92"/>
      <c r="AG175" s="92"/>
      <c r="AH175" s="92"/>
      <c r="AI175" s="92"/>
      <c r="AJ175" s="92"/>
      <c r="AK175" s="92"/>
      <c r="AL175" s="92"/>
      <c r="AM175" s="92"/>
      <c r="AN175" s="92"/>
      <c r="AO175" s="92"/>
      <c r="AP175" s="92"/>
      <c r="AQ175" s="92"/>
      <c r="AR175" s="92"/>
      <c r="AS175" s="92"/>
      <c r="AT175" s="92"/>
      <c r="AU175" s="92"/>
      <c r="AV175" s="92"/>
      <c r="AW175" s="92"/>
      <c r="AX175" s="92"/>
      <c r="AY175" s="92"/>
      <c r="AZ175" s="92"/>
    </row>
    <row r="176" spans="1:52" ht="15.7" customHeight="1" x14ac:dyDescent="0.4">
      <c r="A176" s="22"/>
      <c r="B176" s="91"/>
      <c r="C176" s="91"/>
      <c r="D176" s="92"/>
      <c r="E176" s="92"/>
      <c r="F176" s="92"/>
      <c r="G176" s="92"/>
      <c r="H176" s="92"/>
      <c r="I176" s="92"/>
      <c r="J176" s="92"/>
      <c r="K176" s="93"/>
      <c r="L176" s="93"/>
      <c r="M176" s="93"/>
      <c r="N176" s="93"/>
      <c r="O176" s="93"/>
      <c r="P176" s="93"/>
      <c r="Q176" s="93"/>
      <c r="R176" s="93"/>
      <c r="S176" s="92"/>
      <c r="T176" s="92"/>
      <c r="U176" s="92"/>
      <c r="V176" s="92"/>
      <c r="W176" s="92"/>
      <c r="X176" s="92"/>
      <c r="Y176" s="92"/>
      <c r="Z176" s="92"/>
      <c r="AA176" s="92"/>
      <c r="AB176" s="92"/>
      <c r="AC176" s="92"/>
      <c r="AD176" s="92"/>
      <c r="AE176" s="92"/>
      <c r="AF176" s="92"/>
      <c r="AG176" s="92"/>
      <c r="AH176" s="92"/>
      <c r="AI176" s="92"/>
      <c r="AJ176" s="92"/>
      <c r="AK176" s="92"/>
      <c r="AL176" s="92"/>
      <c r="AM176" s="92"/>
      <c r="AN176" s="92"/>
      <c r="AO176" s="92"/>
      <c r="AP176" s="92"/>
      <c r="AQ176" s="92"/>
      <c r="AR176" s="92"/>
      <c r="AS176" s="92"/>
      <c r="AT176" s="92"/>
      <c r="AU176" s="92"/>
      <c r="AV176" s="92"/>
      <c r="AW176" s="92"/>
      <c r="AX176" s="92"/>
      <c r="AY176" s="92"/>
      <c r="AZ176" s="92"/>
    </row>
    <row r="177" spans="1:52" ht="15.7" customHeight="1" x14ac:dyDescent="0.4">
      <c r="A177" s="22"/>
      <c r="B177" s="91"/>
      <c r="C177" s="91"/>
      <c r="D177" s="92"/>
      <c r="E177" s="92"/>
      <c r="F177" s="92"/>
      <c r="G177" s="92"/>
      <c r="H177" s="92"/>
      <c r="I177" s="92"/>
      <c r="J177" s="92"/>
      <c r="K177" s="93"/>
      <c r="L177" s="93"/>
      <c r="M177" s="93"/>
      <c r="N177" s="93"/>
      <c r="O177" s="93"/>
      <c r="P177" s="93"/>
      <c r="Q177" s="93"/>
      <c r="R177" s="93"/>
      <c r="S177" s="92"/>
      <c r="T177" s="92"/>
      <c r="U177" s="92"/>
      <c r="V177" s="92"/>
      <c r="W177" s="92"/>
      <c r="X177" s="92"/>
      <c r="Y177" s="92"/>
      <c r="Z177" s="92"/>
      <c r="AA177" s="92"/>
      <c r="AB177" s="92"/>
      <c r="AC177" s="92"/>
      <c r="AD177" s="92"/>
      <c r="AE177" s="92"/>
      <c r="AF177" s="92"/>
      <c r="AG177" s="92"/>
      <c r="AH177" s="92"/>
      <c r="AI177" s="92"/>
      <c r="AJ177" s="92"/>
      <c r="AK177" s="92"/>
      <c r="AL177" s="92"/>
      <c r="AM177" s="92"/>
      <c r="AN177" s="92"/>
      <c r="AO177" s="92"/>
      <c r="AP177" s="92"/>
      <c r="AQ177" s="92"/>
      <c r="AR177" s="92"/>
      <c r="AS177" s="92"/>
      <c r="AT177" s="92"/>
      <c r="AU177" s="92"/>
      <c r="AV177" s="92"/>
      <c r="AW177" s="92"/>
      <c r="AX177" s="92"/>
      <c r="AY177" s="92"/>
      <c r="AZ177" s="92"/>
    </row>
    <row r="178" spans="1:52" ht="15.7" customHeight="1" x14ac:dyDescent="0.4">
      <c r="A178" s="22"/>
      <c r="B178" s="91"/>
      <c r="C178" s="91"/>
      <c r="D178" s="92"/>
      <c r="E178" s="92"/>
      <c r="F178" s="92"/>
      <c r="G178" s="92"/>
      <c r="H178" s="92"/>
      <c r="I178" s="92"/>
      <c r="J178" s="92"/>
      <c r="K178" s="93"/>
      <c r="L178" s="93"/>
      <c r="M178" s="93"/>
      <c r="N178" s="93"/>
      <c r="O178" s="93"/>
      <c r="P178" s="93"/>
      <c r="Q178" s="93"/>
      <c r="R178" s="93"/>
      <c r="S178" s="92"/>
      <c r="T178" s="92"/>
      <c r="U178" s="92"/>
      <c r="V178" s="92"/>
      <c r="W178" s="92"/>
      <c r="X178" s="92"/>
      <c r="Y178" s="92"/>
      <c r="Z178" s="92"/>
      <c r="AA178" s="92"/>
      <c r="AB178" s="92"/>
      <c r="AC178" s="92"/>
      <c r="AD178" s="92"/>
      <c r="AE178" s="92"/>
      <c r="AF178" s="92"/>
      <c r="AG178" s="92"/>
      <c r="AH178" s="92"/>
      <c r="AI178" s="92"/>
      <c r="AJ178" s="92"/>
      <c r="AK178" s="92"/>
      <c r="AL178" s="92"/>
      <c r="AM178" s="92"/>
      <c r="AN178" s="92"/>
      <c r="AO178" s="92"/>
      <c r="AP178" s="92"/>
      <c r="AQ178" s="92"/>
      <c r="AR178" s="92"/>
      <c r="AS178" s="92"/>
      <c r="AT178" s="92"/>
      <c r="AU178" s="92"/>
      <c r="AV178" s="92"/>
      <c r="AW178" s="92"/>
      <c r="AX178" s="92"/>
      <c r="AY178" s="92"/>
      <c r="AZ178" s="92"/>
    </row>
    <row r="179" spans="1:52" ht="15.7" customHeight="1" x14ac:dyDescent="0.4">
      <c r="A179" s="22"/>
      <c r="B179" s="91"/>
      <c r="C179" s="91"/>
      <c r="D179" s="92"/>
      <c r="E179" s="92"/>
      <c r="F179" s="92"/>
      <c r="G179" s="92"/>
      <c r="H179" s="92"/>
      <c r="I179" s="92"/>
      <c r="J179" s="92"/>
      <c r="K179" s="93"/>
      <c r="L179" s="93"/>
      <c r="M179" s="93"/>
      <c r="N179" s="93"/>
      <c r="O179" s="93"/>
      <c r="P179" s="93"/>
      <c r="Q179" s="93"/>
      <c r="R179" s="93"/>
      <c r="S179" s="92"/>
      <c r="T179" s="92"/>
      <c r="U179" s="92"/>
      <c r="V179" s="92"/>
      <c r="W179" s="92"/>
      <c r="X179" s="92"/>
      <c r="Y179" s="92"/>
      <c r="Z179" s="92"/>
      <c r="AA179" s="92"/>
      <c r="AB179" s="92"/>
      <c r="AC179" s="92"/>
      <c r="AD179" s="92"/>
      <c r="AE179" s="92"/>
      <c r="AF179" s="92"/>
      <c r="AG179" s="92"/>
      <c r="AH179" s="92"/>
      <c r="AI179" s="92"/>
      <c r="AJ179" s="92"/>
      <c r="AK179" s="92"/>
      <c r="AL179" s="92"/>
      <c r="AM179" s="92"/>
      <c r="AN179" s="92"/>
      <c r="AO179" s="92"/>
      <c r="AP179" s="92"/>
      <c r="AQ179" s="92"/>
      <c r="AR179" s="92"/>
      <c r="AS179" s="92"/>
      <c r="AT179" s="92"/>
      <c r="AU179" s="92"/>
      <c r="AV179" s="92"/>
      <c r="AW179" s="92"/>
      <c r="AX179" s="92"/>
      <c r="AY179" s="92"/>
      <c r="AZ179" s="92"/>
    </row>
    <row r="180" spans="1:52" ht="15.7" customHeight="1" x14ac:dyDescent="0.4">
      <c r="A180" s="22"/>
      <c r="B180" s="91"/>
      <c r="C180" s="91"/>
      <c r="D180" s="92"/>
      <c r="E180" s="92"/>
      <c r="F180" s="92"/>
      <c r="G180" s="92"/>
      <c r="H180" s="92"/>
      <c r="I180" s="92"/>
      <c r="J180" s="92"/>
      <c r="K180" s="93"/>
      <c r="L180" s="93"/>
      <c r="M180" s="93"/>
      <c r="N180" s="93"/>
      <c r="O180" s="93"/>
      <c r="P180" s="93"/>
      <c r="Q180" s="93"/>
      <c r="R180" s="93"/>
      <c r="S180" s="92"/>
      <c r="T180" s="92"/>
      <c r="U180" s="92"/>
      <c r="V180" s="92"/>
      <c r="W180" s="92"/>
      <c r="X180" s="92"/>
      <c r="Y180" s="92"/>
      <c r="Z180" s="92"/>
      <c r="AA180" s="92"/>
      <c r="AB180" s="92"/>
      <c r="AC180" s="92"/>
      <c r="AD180" s="92"/>
      <c r="AE180" s="92"/>
      <c r="AF180" s="92"/>
      <c r="AG180" s="92"/>
      <c r="AH180" s="92"/>
      <c r="AI180" s="92"/>
      <c r="AJ180" s="92"/>
      <c r="AK180" s="92"/>
      <c r="AL180" s="92"/>
      <c r="AM180" s="92"/>
      <c r="AN180" s="92"/>
      <c r="AO180" s="92"/>
      <c r="AP180" s="92"/>
      <c r="AQ180" s="92"/>
      <c r="AR180" s="92"/>
      <c r="AS180" s="92"/>
      <c r="AT180" s="92"/>
      <c r="AU180" s="92"/>
      <c r="AV180" s="92"/>
      <c r="AW180" s="92"/>
      <c r="AX180" s="92"/>
      <c r="AY180" s="92"/>
      <c r="AZ180" s="92"/>
    </row>
    <row r="181" spans="1:52" ht="15.7" customHeight="1" x14ac:dyDescent="0.4">
      <c r="A181" s="22"/>
      <c r="B181" s="91"/>
      <c r="C181" s="91"/>
      <c r="D181" s="92"/>
      <c r="E181" s="92"/>
      <c r="F181" s="92"/>
      <c r="G181" s="92"/>
      <c r="H181" s="92"/>
      <c r="I181" s="92"/>
      <c r="J181" s="92"/>
      <c r="K181" s="93"/>
      <c r="L181" s="93"/>
      <c r="M181" s="93"/>
      <c r="N181" s="93"/>
      <c r="O181" s="93"/>
      <c r="P181" s="93"/>
      <c r="Q181" s="93"/>
      <c r="R181" s="93"/>
      <c r="S181" s="92"/>
      <c r="T181" s="92"/>
      <c r="U181" s="92"/>
      <c r="V181" s="92"/>
      <c r="W181" s="92"/>
      <c r="X181" s="92"/>
      <c r="Y181" s="92"/>
      <c r="Z181" s="92"/>
      <c r="AA181" s="92"/>
      <c r="AB181" s="92"/>
      <c r="AC181" s="92"/>
      <c r="AD181" s="92"/>
      <c r="AE181" s="92"/>
      <c r="AF181" s="92"/>
      <c r="AG181" s="92"/>
      <c r="AH181" s="92"/>
      <c r="AI181" s="92"/>
      <c r="AJ181" s="92"/>
      <c r="AK181" s="92"/>
      <c r="AL181" s="92"/>
      <c r="AM181" s="92"/>
      <c r="AN181" s="92"/>
      <c r="AO181" s="92"/>
      <c r="AP181" s="92"/>
      <c r="AQ181" s="92"/>
      <c r="AR181" s="92"/>
      <c r="AS181" s="92"/>
      <c r="AT181" s="92"/>
      <c r="AU181" s="92"/>
      <c r="AV181" s="92"/>
      <c r="AW181" s="92"/>
      <c r="AX181" s="92"/>
      <c r="AY181" s="92"/>
      <c r="AZ181" s="92"/>
    </row>
    <row r="182" spans="1:52" ht="15.7" customHeight="1" x14ac:dyDescent="0.4">
      <c r="A182" s="22"/>
      <c r="B182" s="91"/>
      <c r="C182" s="91"/>
      <c r="D182" s="92"/>
      <c r="E182" s="92"/>
      <c r="F182" s="92"/>
      <c r="G182" s="92"/>
      <c r="H182" s="92"/>
      <c r="I182" s="92"/>
      <c r="J182" s="92"/>
      <c r="K182" s="93"/>
      <c r="L182" s="93"/>
      <c r="M182" s="93"/>
      <c r="N182" s="93"/>
      <c r="O182" s="93"/>
      <c r="P182" s="93"/>
      <c r="Q182" s="93"/>
      <c r="R182" s="93"/>
      <c r="S182" s="92"/>
      <c r="T182" s="92"/>
      <c r="U182" s="92"/>
      <c r="V182" s="92"/>
      <c r="W182" s="92"/>
      <c r="X182" s="92"/>
      <c r="Y182" s="92"/>
      <c r="Z182" s="92"/>
      <c r="AA182" s="92"/>
      <c r="AB182" s="92"/>
      <c r="AC182" s="92"/>
      <c r="AD182" s="92"/>
      <c r="AE182" s="92"/>
      <c r="AF182" s="92"/>
      <c r="AG182" s="92"/>
      <c r="AH182" s="92"/>
      <c r="AI182" s="92"/>
      <c r="AJ182" s="92"/>
      <c r="AK182" s="92"/>
      <c r="AL182" s="92"/>
      <c r="AM182" s="92"/>
      <c r="AN182" s="92"/>
      <c r="AO182" s="92"/>
      <c r="AP182" s="92"/>
      <c r="AQ182" s="92"/>
      <c r="AR182" s="92"/>
      <c r="AS182" s="92"/>
      <c r="AT182" s="92"/>
      <c r="AU182" s="92"/>
      <c r="AV182" s="92"/>
      <c r="AW182" s="92"/>
      <c r="AX182" s="92"/>
      <c r="AY182" s="92"/>
      <c r="AZ182" s="92"/>
    </row>
    <row r="183" spans="1:52" ht="15.7" customHeight="1" x14ac:dyDescent="0.4">
      <c r="A183" s="22"/>
      <c r="B183" s="91"/>
      <c r="C183" s="91"/>
      <c r="D183" s="92"/>
      <c r="E183" s="92"/>
      <c r="F183" s="92"/>
      <c r="G183" s="92"/>
      <c r="H183" s="92"/>
      <c r="I183" s="92"/>
      <c r="J183" s="92"/>
      <c r="K183" s="93"/>
      <c r="L183" s="93"/>
      <c r="M183" s="93"/>
      <c r="N183" s="93"/>
      <c r="O183" s="93"/>
      <c r="P183" s="93"/>
      <c r="Q183" s="93"/>
      <c r="R183" s="93"/>
      <c r="S183" s="92"/>
      <c r="T183" s="92"/>
      <c r="U183" s="92"/>
      <c r="V183" s="92"/>
      <c r="W183" s="92"/>
      <c r="X183" s="92"/>
      <c r="Y183" s="92"/>
      <c r="Z183" s="92"/>
      <c r="AA183" s="92"/>
      <c r="AB183" s="92"/>
      <c r="AC183" s="92"/>
      <c r="AD183" s="92"/>
      <c r="AE183" s="92"/>
      <c r="AF183" s="92"/>
      <c r="AG183" s="92"/>
      <c r="AH183" s="92"/>
      <c r="AI183" s="92"/>
      <c r="AJ183" s="92"/>
      <c r="AK183" s="92"/>
      <c r="AL183" s="92"/>
      <c r="AM183" s="92"/>
      <c r="AN183" s="92"/>
      <c r="AO183" s="92"/>
      <c r="AP183" s="92"/>
      <c r="AQ183" s="92"/>
      <c r="AR183" s="92"/>
      <c r="AS183" s="92"/>
      <c r="AT183" s="92"/>
      <c r="AU183" s="92"/>
      <c r="AV183" s="92"/>
      <c r="AW183" s="92"/>
      <c r="AX183" s="92"/>
      <c r="AY183" s="92"/>
      <c r="AZ183" s="92"/>
    </row>
    <row r="184" spans="1:52" ht="15.7" customHeight="1" x14ac:dyDescent="0.4">
      <c r="A184" s="22"/>
      <c r="B184" s="91"/>
      <c r="C184" s="91"/>
      <c r="D184" s="92"/>
      <c r="E184" s="92"/>
      <c r="F184" s="92"/>
      <c r="G184" s="92"/>
      <c r="H184" s="92"/>
      <c r="I184" s="92"/>
      <c r="J184" s="92"/>
      <c r="K184" s="93"/>
      <c r="L184" s="93"/>
      <c r="M184" s="93"/>
      <c r="N184" s="93"/>
      <c r="O184" s="93"/>
      <c r="P184" s="93"/>
      <c r="Q184" s="93"/>
      <c r="R184" s="93"/>
      <c r="S184" s="92"/>
      <c r="T184" s="92"/>
      <c r="U184" s="92"/>
      <c r="V184" s="92"/>
      <c r="W184" s="92"/>
      <c r="X184" s="92"/>
      <c r="Y184" s="92"/>
      <c r="Z184" s="92"/>
      <c r="AA184" s="92"/>
      <c r="AB184" s="92"/>
      <c r="AC184" s="92"/>
      <c r="AD184" s="92"/>
      <c r="AE184" s="92"/>
      <c r="AF184" s="92"/>
      <c r="AG184" s="92"/>
      <c r="AH184" s="92"/>
      <c r="AI184" s="92"/>
      <c r="AJ184" s="92"/>
      <c r="AK184" s="92"/>
      <c r="AL184" s="92"/>
      <c r="AM184" s="92"/>
      <c r="AN184" s="92"/>
      <c r="AO184" s="92"/>
      <c r="AP184" s="92"/>
      <c r="AQ184" s="92"/>
      <c r="AR184" s="92"/>
      <c r="AS184" s="92"/>
      <c r="AT184" s="92"/>
      <c r="AU184" s="92"/>
      <c r="AV184" s="92"/>
      <c r="AW184" s="92"/>
      <c r="AX184" s="92"/>
      <c r="AY184" s="92"/>
      <c r="AZ184" s="92"/>
    </row>
    <row r="185" spans="1:52" ht="15.7" customHeight="1" x14ac:dyDescent="0.4">
      <c r="A185" s="22"/>
      <c r="B185" s="91"/>
      <c r="C185" s="91"/>
      <c r="D185" s="92"/>
      <c r="E185" s="92"/>
      <c r="F185" s="92"/>
      <c r="G185" s="92"/>
      <c r="H185" s="92"/>
      <c r="I185" s="92"/>
      <c r="J185" s="92"/>
      <c r="K185" s="93"/>
      <c r="L185" s="93"/>
      <c r="M185" s="93"/>
      <c r="N185" s="93"/>
      <c r="O185" s="93"/>
      <c r="P185" s="93"/>
      <c r="Q185" s="93"/>
      <c r="R185" s="93"/>
      <c r="S185" s="92"/>
      <c r="T185" s="92"/>
      <c r="U185" s="92"/>
      <c r="V185" s="92"/>
      <c r="W185" s="92"/>
      <c r="X185" s="92"/>
      <c r="Y185" s="92"/>
      <c r="Z185" s="92"/>
      <c r="AA185" s="92"/>
      <c r="AB185" s="92"/>
      <c r="AC185" s="92"/>
      <c r="AD185" s="92"/>
      <c r="AE185" s="92"/>
      <c r="AF185" s="92"/>
      <c r="AG185" s="92"/>
      <c r="AH185" s="92"/>
      <c r="AI185" s="92"/>
      <c r="AJ185" s="92"/>
      <c r="AK185" s="92"/>
      <c r="AL185" s="92"/>
      <c r="AM185" s="92"/>
      <c r="AN185" s="92"/>
      <c r="AO185" s="92"/>
      <c r="AP185" s="92"/>
      <c r="AQ185" s="92"/>
      <c r="AR185" s="92"/>
      <c r="AS185" s="92"/>
      <c r="AT185" s="92"/>
      <c r="AU185" s="92"/>
      <c r="AV185" s="92"/>
      <c r="AW185" s="92"/>
      <c r="AX185" s="92"/>
      <c r="AY185" s="92"/>
      <c r="AZ185" s="92"/>
    </row>
    <row r="186" spans="1:52" ht="15.7" customHeight="1" x14ac:dyDescent="0.4">
      <c r="A186" s="22"/>
      <c r="B186" s="91"/>
      <c r="C186" s="91"/>
      <c r="D186" s="92"/>
      <c r="E186" s="92"/>
      <c r="F186" s="92"/>
      <c r="G186" s="92"/>
      <c r="H186" s="92"/>
      <c r="I186" s="92"/>
      <c r="J186" s="92"/>
      <c r="K186" s="93"/>
      <c r="L186" s="93"/>
      <c r="M186" s="93"/>
      <c r="N186" s="93"/>
      <c r="O186" s="93"/>
      <c r="P186" s="93"/>
      <c r="Q186" s="93"/>
      <c r="R186" s="93"/>
      <c r="S186" s="92"/>
      <c r="T186" s="92"/>
      <c r="U186" s="92"/>
      <c r="V186" s="92"/>
      <c r="W186" s="92"/>
      <c r="X186" s="92"/>
      <c r="Y186" s="92"/>
      <c r="Z186" s="92"/>
      <c r="AA186" s="92"/>
      <c r="AB186" s="92"/>
      <c r="AC186" s="92"/>
      <c r="AD186" s="92"/>
      <c r="AE186" s="92"/>
      <c r="AF186" s="92"/>
      <c r="AG186" s="92"/>
      <c r="AH186" s="92"/>
      <c r="AI186" s="92"/>
      <c r="AJ186" s="92"/>
      <c r="AK186" s="92"/>
      <c r="AL186" s="92"/>
      <c r="AM186" s="92"/>
      <c r="AN186" s="92"/>
      <c r="AO186" s="92"/>
      <c r="AP186" s="92"/>
      <c r="AQ186" s="92"/>
      <c r="AR186" s="92"/>
      <c r="AS186" s="92"/>
      <c r="AT186" s="92"/>
      <c r="AU186" s="92"/>
      <c r="AV186" s="92"/>
      <c r="AW186" s="92"/>
      <c r="AX186" s="92"/>
      <c r="AY186" s="92"/>
      <c r="AZ186" s="92"/>
    </row>
    <row r="187" spans="1:52" ht="15.7" customHeight="1" x14ac:dyDescent="0.4">
      <c r="A187" s="22"/>
      <c r="B187" s="91"/>
      <c r="C187" s="91"/>
      <c r="D187" s="92"/>
      <c r="E187" s="92"/>
      <c r="F187" s="92"/>
      <c r="G187" s="92"/>
      <c r="H187" s="92"/>
      <c r="I187" s="92"/>
      <c r="J187" s="92"/>
      <c r="K187" s="93"/>
      <c r="L187" s="93"/>
      <c r="M187" s="93"/>
      <c r="N187" s="93"/>
      <c r="O187" s="93"/>
      <c r="P187" s="93"/>
      <c r="Q187" s="93"/>
      <c r="R187" s="93"/>
      <c r="S187" s="92"/>
      <c r="T187" s="92"/>
      <c r="U187" s="92"/>
      <c r="V187" s="92"/>
      <c r="W187" s="92"/>
      <c r="X187" s="92"/>
      <c r="Y187" s="92"/>
      <c r="Z187" s="92"/>
      <c r="AA187" s="92"/>
      <c r="AB187" s="92"/>
      <c r="AC187" s="92"/>
      <c r="AD187" s="92"/>
      <c r="AE187" s="92"/>
      <c r="AF187" s="92"/>
      <c r="AG187" s="92"/>
      <c r="AH187" s="92"/>
      <c r="AI187" s="92"/>
      <c r="AJ187" s="92"/>
      <c r="AK187" s="92"/>
      <c r="AL187" s="92"/>
      <c r="AM187" s="92"/>
      <c r="AN187" s="92"/>
      <c r="AO187" s="92"/>
      <c r="AP187" s="92"/>
      <c r="AQ187" s="92"/>
      <c r="AR187" s="92"/>
      <c r="AS187" s="92"/>
      <c r="AT187" s="92"/>
      <c r="AU187" s="92"/>
      <c r="AV187" s="92"/>
      <c r="AW187" s="92"/>
      <c r="AX187" s="92"/>
      <c r="AY187" s="92"/>
      <c r="AZ187" s="92"/>
    </row>
    <row r="188" spans="1:52" ht="15.7" customHeight="1" x14ac:dyDescent="0.4">
      <c r="A188" s="22"/>
      <c r="B188" s="91"/>
      <c r="C188" s="91"/>
      <c r="D188" s="92"/>
      <c r="E188" s="92"/>
      <c r="F188" s="92"/>
      <c r="G188" s="92"/>
      <c r="H188" s="92"/>
      <c r="I188" s="92"/>
      <c r="J188" s="92"/>
      <c r="K188" s="93"/>
      <c r="L188" s="93"/>
      <c r="M188" s="93"/>
      <c r="N188" s="93"/>
      <c r="O188" s="93"/>
      <c r="P188" s="93"/>
      <c r="Q188" s="93"/>
      <c r="R188" s="93"/>
      <c r="S188" s="92"/>
      <c r="T188" s="92"/>
      <c r="U188" s="92"/>
      <c r="V188" s="92"/>
      <c r="W188" s="92"/>
      <c r="X188" s="92"/>
      <c r="Y188" s="92"/>
      <c r="Z188" s="92"/>
      <c r="AA188" s="92"/>
      <c r="AB188" s="92"/>
      <c r="AC188" s="92"/>
      <c r="AD188" s="92"/>
      <c r="AE188" s="92"/>
      <c r="AF188" s="92"/>
      <c r="AG188" s="92"/>
      <c r="AH188" s="92"/>
      <c r="AI188" s="92"/>
      <c r="AJ188" s="92"/>
      <c r="AK188" s="92"/>
      <c r="AL188" s="92"/>
      <c r="AM188" s="92"/>
      <c r="AN188" s="92"/>
      <c r="AO188" s="92"/>
      <c r="AP188" s="92"/>
      <c r="AQ188" s="92"/>
      <c r="AR188" s="92"/>
      <c r="AS188" s="92"/>
      <c r="AT188" s="92"/>
      <c r="AU188" s="92"/>
      <c r="AV188" s="92"/>
      <c r="AW188" s="92"/>
      <c r="AX188" s="92"/>
      <c r="AY188" s="92"/>
      <c r="AZ188" s="92"/>
    </row>
    <row r="189" spans="1:52" ht="15.7" customHeight="1" x14ac:dyDescent="0.4">
      <c r="A189" s="22"/>
      <c r="B189" s="91"/>
      <c r="C189" s="91"/>
      <c r="D189" s="92"/>
      <c r="E189" s="92"/>
      <c r="F189" s="92"/>
      <c r="G189" s="92"/>
      <c r="H189" s="92"/>
      <c r="I189" s="92"/>
      <c r="J189" s="92"/>
      <c r="K189" s="93"/>
      <c r="L189" s="93"/>
      <c r="M189" s="93"/>
      <c r="N189" s="93"/>
      <c r="O189" s="93"/>
      <c r="P189" s="93"/>
      <c r="Q189" s="93"/>
      <c r="R189" s="93"/>
      <c r="S189" s="92"/>
      <c r="T189" s="92"/>
      <c r="U189" s="92"/>
      <c r="V189" s="92"/>
      <c r="W189" s="92"/>
      <c r="X189" s="92"/>
      <c r="Y189" s="92"/>
      <c r="Z189" s="92"/>
      <c r="AA189" s="92"/>
      <c r="AB189" s="92"/>
      <c r="AC189" s="92"/>
      <c r="AD189" s="92"/>
      <c r="AE189" s="92"/>
      <c r="AF189" s="92"/>
      <c r="AG189" s="92"/>
      <c r="AH189" s="92"/>
      <c r="AI189" s="92"/>
      <c r="AJ189" s="92"/>
      <c r="AK189" s="92"/>
      <c r="AL189" s="92"/>
      <c r="AM189" s="92"/>
      <c r="AN189" s="92"/>
      <c r="AO189" s="92"/>
      <c r="AP189" s="92"/>
      <c r="AQ189" s="92"/>
      <c r="AR189" s="92"/>
      <c r="AS189" s="92"/>
      <c r="AT189" s="92"/>
      <c r="AU189" s="92"/>
      <c r="AV189" s="92"/>
      <c r="AW189" s="92"/>
      <c r="AX189" s="92"/>
      <c r="AY189" s="92"/>
      <c r="AZ189" s="92"/>
    </row>
    <row r="190" spans="1:52" ht="15.7" customHeight="1" x14ac:dyDescent="0.4">
      <c r="A190" s="22"/>
      <c r="B190" s="91"/>
      <c r="C190" s="91"/>
      <c r="D190" s="92"/>
      <c r="E190" s="92"/>
      <c r="F190" s="92"/>
      <c r="G190" s="92"/>
      <c r="H190" s="92"/>
      <c r="I190" s="92"/>
      <c r="J190" s="92"/>
      <c r="K190" s="93"/>
      <c r="L190" s="93"/>
      <c r="M190" s="93"/>
      <c r="N190" s="93"/>
      <c r="O190" s="93"/>
      <c r="P190" s="93"/>
      <c r="Q190" s="93"/>
      <c r="R190" s="93"/>
      <c r="S190" s="92"/>
      <c r="T190" s="92"/>
      <c r="U190" s="92"/>
      <c r="V190" s="92"/>
      <c r="W190" s="92"/>
      <c r="X190" s="92"/>
      <c r="Y190" s="92"/>
      <c r="Z190" s="92"/>
      <c r="AA190" s="92"/>
      <c r="AB190" s="92"/>
      <c r="AC190" s="92"/>
      <c r="AD190" s="92"/>
      <c r="AE190" s="92"/>
      <c r="AF190" s="92"/>
      <c r="AG190" s="92"/>
      <c r="AH190" s="92"/>
      <c r="AI190" s="92"/>
      <c r="AJ190" s="92"/>
      <c r="AK190" s="92"/>
      <c r="AL190" s="92"/>
      <c r="AM190" s="92"/>
      <c r="AN190" s="92"/>
      <c r="AO190" s="92"/>
      <c r="AP190" s="92"/>
      <c r="AQ190" s="92"/>
      <c r="AR190" s="92"/>
      <c r="AS190" s="92"/>
      <c r="AT190" s="92"/>
      <c r="AU190" s="92"/>
      <c r="AV190" s="92"/>
      <c r="AW190" s="92"/>
      <c r="AX190" s="92"/>
      <c r="AY190" s="92"/>
      <c r="AZ190" s="92"/>
    </row>
    <row r="191" spans="1:52" ht="15.7" customHeight="1" x14ac:dyDescent="0.4">
      <c r="A191" s="22"/>
      <c r="B191" s="91"/>
      <c r="C191" s="91"/>
      <c r="D191" s="92"/>
      <c r="E191" s="92"/>
      <c r="F191" s="92"/>
      <c r="G191" s="92"/>
      <c r="H191" s="92"/>
      <c r="I191" s="92"/>
      <c r="J191" s="92"/>
      <c r="K191" s="93"/>
      <c r="L191" s="93"/>
      <c r="M191" s="93"/>
      <c r="N191" s="93"/>
      <c r="O191" s="93"/>
      <c r="P191" s="93"/>
      <c r="Q191" s="93"/>
      <c r="R191" s="93"/>
      <c r="S191" s="92"/>
      <c r="T191" s="92"/>
      <c r="U191" s="92"/>
      <c r="V191" s="92"/>
      <c r="W191" s="92"/>
      <c r="X191" s="92"/>
      <c r="Y191" s="92"/>
      <c r="Z191" s="92"/>
      <c r="AA191" s="92"/>
      <c r="AB191" s="92"/>
      <c r="AC191" s="92"/>
      <c r="AD191" s="92"/>
      <c r="AE191" s="92"/>
      <c r="AF191" s="92"/>
      <c r="AG191" s="92"/>
      <c r="AH191" s="92"/>
      <c r="AI191" s="92"/>
      <c r="AJ191" s="92"/>
      <c r="AK191" s="92"/>
      <c r="AL191" s="92"/>
      <c r="AM191" s="92"/>
      <c r="AN191" s="92"/>
      <c r="AO191" s="92"/>
      <c r="AP191" s="92"/>
      <c r="AQ191" s="92"/>
      <c r="AR191" s="92"/>
      <c r="AS191" s="92"/>
      <c r="AT191" s="92"/>
      <c r="AU191" s="92"/>
      <c r="AV191" s="92"/>
      <c r="AW191" s="92"/>
      <c r="AX191" s="92"/>
      <c r="AY191" s="92"/>
      <c r="AZ191" s="92"/>
    </row>
    <row r="192" spans="1:52" ht="15.7" customHeight="1" x14ac:dyDescent="0.4">
      <c r="A192" s="22"/>
      <c r="B192" s="91"/>
      <c r="C192" s="91"/>
      <c r="D192" s="92"/>
      <c r="E192" s="92"/>
      <c r="F192" s="92"/>
      <c r="G192" s="92"/>
      <c r="H192" s="92"/>
      <c r="I192" s="92"/>
      <c r="J192" s="92"/>
      <c r="K192" s="93"/>
      <c r="L192" s="93"/>
      <c r="M192" s="93"/>
      <c r="N192" s="93"/>
      <c r="O192" s="93"/>
      <c r="P192" s="93"/>
      <c r="Q192" s="93"/>
      <c r="R192" s="93"/>
      <c r="S192" s="92"/>
      <c r="T192" s="92"/>
      <c r="U192" s="92"/>
      <c r="V192" s="92"/>
      <c r="W192" s="92"/>
      <c r="X192" s="92"/>
      <c r="Y192" s="92"/>
      <c r="Z192" s="92"/>
      <c r="AA192" s="92"/>
      <c r="AB192" s="92"/>
      <c r="AC192" s="92"/>
      <c r="AD192" s="92"/>
      <c r="AE192" s="92"/>
      <c r="AF192" s="92"/>
      <c r="AG192" s="92"/>
      <c r="AH192" s="92"/>
      <c r="AI192" s="92"/>
      <c r="AJ192" s="92"/>
      <c r="AK192" s="92"/>
      <c r="AL192" s="92"/>
      <c r="AM192" s="92"/>
      <c r="AN192" s="92"/>
      <c r="AO192" s="92"/>
      <c r="AP192" s="92"/>
      <c r="AQ192" s="92"/>
      <c r="AR192" s="92"/>
      <c r="AS192" s="92"/>
      <c r="AT192" s="92"/>
      <c r="AU192" s="92"/>
      <c r="AV192" s="92"/>
      <c r="AW192" s="92"/>
      <c r="AX192" s="92"/>
      <c r="AY192" s="92"/>
      <c r="AZ192" s="92"/>
    </row>
    <row r="193" spans="1:52" ht="15.7" customHeight="1" x14ac:dyDescent="0.4">
      <c r="A193" s="22"/>
      <c r="B193" s="91"/>
      <c r="C193" s="91"/>
      <c r="D193" s="92"/>
      <c r="E193" s="92"/>
      <c r="F193" s="92"/>
      <c r="G193" s="92"/>
      <c r="H193" s="92"/>
      <c r="I193" s="92"/>
      <c r="J193" s="92"/>
      <c r="K193" s="93"/>
      <c r="L193" s="93"/>
      <c r="M193" s="93"/>
      <c r="N193" s="93"/>
      <c r="O193" s="93"/>
      <c r="P193" s="93"/>
      <c r="Q193" s="93"/>
      <c r="R193" s="93"/>
      <c r="S193" s="92"/>
      <c r="T193" s="92"/>
      <c r="U193" s="92"/>
      <c r="V193" s="92"/>
      <c r="W193" s="92"/>
      <c r="X193" s="92"/>
      <c r="Y193" s="92"/>
      <c r="Z193" s="92"/>
      <c r="AA193" s="92"/>
      <c r="AB193" s="92"/>
      <c r="AC193" s="92"/>
      <c r="AD193" s="92"/>
      <c r="AE193" s="92"/>
      <c r="AF193" s="92"/>
      <c r="AG193" s="92"/>
      <c r="AH193" s="92"/>
      <c r="AI193" s="92"/>
      <c r="AJ193" s="92"/>
      <c r="AK193" s="92"/>
      <c r="AL193" s="92"/>
      <c r="AM193" s="92"/>
      <c r="AN193" s="92"/>
      <c r="AO193" s="92"/>
      <c r="AP193" s="92"/>
      <c r="AQ193" s="92"/>
      <c r="AR193" s="92"/>
      <c r="AS193" s="92"/>
      <c r="AT193" s="92"/>
      <c r="AU193" s="92"/>
      <c r="AV193" s="92"/>
      <c r="AW193" s="92"/>
      <c r="AX193" s="92"/>
      <c r="AY193" s="92"/>
      <c r="AZ193" s="92"/>
    </row>
    <row r="194" spans="1:52" ht="15.7" customHeight="1" x14ac:dyDescent="0.4">
      <c r="A194" s="22"/>
      <c r="B194" s="91"/>
      <c r="C194" s="91"/>
      <c r="D194" s="92"/>
      <c r="E194" s="92"/>
      <c r="F194" s="92"/>
      <c r="G194" s="92"/>
      <c r="H194" s="92"/>
      <c r="I194" s="92"/>
      <c r="J194" s="92"/>
      <c r="K194" s="93"/>
      <c r="L194" s="93"/>
      <c r="M194" s="93"/>
      <c r="N194" s="93"/>
      <c r="O194" s="93"/>
      <c r="P194" s="93"/>
      <c r="Q194" s="93"/>
      <c r="R194" s="93"/>
      <c r="S194" s="92"/>
      <c r="T194" s="92"/>
      <c r="U194" s="92"/>
      <c r="V194" s="92"/>
      <c r="W194" s="92"/>
      <c r="X194" s="92"/>
      <c r="Y194" s="92"/>
      <c r="Z194" s="92"/>
      <c r="AA194" s="92"/>
      <c r="AB194" s="92"/>
      <c r="AC194" s="92"/>
      <c r="AD194" s="92"/>
      <c r="AE194" s="92"/>
      <c r="AF194" s="92"/>
      <c r="AG194" s="92"/>
      <c r="AH194" s="92"/>
      <c r="AI194" s="92"/>
      <c r="AJ194" s="92"/>
      <c r="AK194" s="92"/>
      <c r="AL194" s="92"/>
      <c r="AM194" s="92"/>
      <c r="AN194" s="92"/>
      <c r="AO194" s="92"/>
      <c r="AP194" s="92"/>
      <c r="AQ194" s="92"/>
      <c r="AR194" s="92"/>
      <c r="AS194" s="92"/>
      <c r="AT194" s="92"/>
      <c r="AU194" s="92"/>
      <c r="AV194" s="92"/>
      <c r="AW194" s="92"/>
      <c r="AX194" s="92"/>
      <c r="AY194" s="92"/>
      <c r="AZ194" s="92"/>
    </row>
    <row r="195" spans="1:52" ht="15.7" customHeight="1" x14ac:dyDescent="0.4">
      <c r="A195" s="22"/>
      <c r="B195" s="91"/>
      <c r="C195" s="91"/>
      <c r="D195" s="92"/>
      <c r="E195" s="92"/>
      <c r="F195" s="92"/>
      <c r="G195" s="92"/>
      <c r="H195" s="92"/>
      <c r="I195" s="92"/>
      <c r="J195" s="92"/>
      <c r="K195" s="93"/>
      <c r="L195" s="93"/>
      <c r="M195" s="93"/>
      <c r="N195" s="93"/>
      <c r="O195" s="93"/>
      <c r="P195" s="93"/>
      <c r="Q195" s="93"/>
      <c r="R195" s="93"/>
      <c r="S195" s="92"/>
      <c r="T195" s="92"/>
      <c r="U195" s="92"/>
      <c r="V195" s="92"/>
      <c r="W195" s="92"/>
      <c r="X195" s="92"/>
      <c r="Y195" s="92"/>
      <c r="Z195" s="92"/>
      <c r="AA195" s="92"/>
      <c r="AB195" s="92"/>
      <c r="AC195" s="92"/>
      <c r="AD195" s="92"/>
      <c r="AE195" s="92"/>
      <c r="AF195" s="92"/>
      <c r="AG195" s="92"/>
      <c r="AH195" s="92"/>
      <c r="AI195" s="92"/>
      <c r="AJ195" s="92"/>
      <c r="AK195" s="92"/>
      <c r="AL195" s="92"/>
      <c r="AM195" s="92"/>
      <c r="AN195" s="92"/>
      <c r="AO195" s="92"/>
      <c r="AP195" s="92"/>
      <c r="AQ195" s="92"/>
      <c r="AR195" s="92"/>
      <c r="AS195" s="92"/>
      <c r="AT195" s="92"/>
      <c r="AU195" s="92"/>
      <c r="AV195" s="92"/>
      <c r="AW195" s="92"/>
      <c r="AX195" s="92"/>
      <c r="AY195" s="92"/>
      <c r="AZ195" s="92"/>
    </row>
    <row r="196" spans="1:52" ht="15.7" customHeight="1" x14ac:dyDescent="0.4">
      <c r="A196" s="22"/>
      <c r="B196" s="91"/>
      <c r="C196" s="91"/>
      <c r="D196" s="92"/>
      <c r="E196" s="92"/>
      <c r="F196" s="92"/>
      <c r="G196" s="92"/>
      <c r="H196" s="92"/>
      <c r="I196" s="92"/>
      <c r="J196" s="92"/>
      <c r="K196" s="93"/>
      <c r="L196" s="93"/>
      <c r="M196" s="93"/>
      <c r="N196" s="93"/>
      <c r="O196" s="93"/>
      <c r="P196" s="93"/>
      <c r="Q196" s="93"/>
      <c r="R196" s="93"/>
      <c r="S196" s="92"/>
      <c r="T196" s="92"/>
      <c r="U196" s="92"/>
      <c r="V196" s="92"/>
      <c r="W196" s="92"/>
      <c r="X196" s="92"/>
      <c r="Y196" s="92"/>
      <c r="Z196" s="92"/>
      <c r="AA196" s="92"/>
      <c r="AB196" s="92"/>
      <c r="AC196" s="92"/>
      <c r="AD196" s="92"/>
      <c r="AE196" s="92"/>
      <c r="AF196" s="92"/>
      <c r="AG196" s="92"/>
      <c r="AH196" s="92"/>
      <c r="AI196" s="92"/>
      <c r="AJ196" s="92"/>
      <c r="AK196" s="92"/>
      <c r="AL196" s="92"/>
      <c r="AM196" s="92"/>
      <c r="AN196" s="92"/>
      <c r="AO196" s="92"/>
      <c r="AP196" s="92"/>
      <c r="AQ196" s="92"/>
      <c r="AR196" s="92"/>
      <c r="AS196" s="92"/>
      <c r="AT196" s="92"/>
      <c r="AU196" s="92"/>
      <c r="AV196" s="92"/>
      <c r="AW196" s="92"/>
      <c r="AX196" s="92"/>
      <c r="AY196" s="92"/>
      <c r="AZ196" s="92"/>
    </row>
    <row r="197" spans="1:52" ht="15.7" customHeight="1" x14ac:dyDescent="0.4">
      <c r="A197" s="22"/>
      <c r="B197" s="91"/>
      <c r="C197" s="91"/>
      <c r="D197" s="92"/>
      <c r="E197" s="92"/>
      <c r="F197" s="92"/>
      <c r="G197" s="92"/>
      <c r="H197" s="92"/>
      <c r="I197" s="92"/>
      <c r="J197" s="92"/>
      <c r="K197" s="93"/>
      <c r="L197" s="93"/>
      <c r="M197" s="93"/>
      <c r="N197" s="93"/>
      <c r="O197" s="93"/>
      <c r="P197" s="93"/>
      <c r="Q197" s="93"/>
      <c r="R197" s="93"/>
      <c r="S197" s="92"/>
      <c r="T197" s="92"/>
      <c r="U197" s="92"/>
      <c r="V197" s="92"/>
      <c r="W197" s="92"/>
      <c r="X197" s="92"/>
      <c r="Y197" s="92"/>
      <c r="Z197" s="92"/>
      <c r="AA197" s="92"/>
      <c r="AB197" s="92"/>
      <c r="AC197" s="92"/>
      <c r="AD197" s="92"/>
      <c r="AE197" s="92"/>
      <c r="AF197" s="92"/>
      <c r="AG197" s="92"/>
      <c r="AH197" s="92"/>
      <c r="AI197" s="92"/>
      <c r="AJ197" s="92"/>
      <c r="AK197" s="92"/>
      <c r="AL197" s="92"/>
      <c r="AM197" s="92"/>
      <c r="AN197" s="92"/>
      <c r="AO197" s="92"/>
      <c r="AP197" s="92"/>
      <c r="AQ197" s="92"/>
      <c r="AR197" s="92"/>
      <c r="AS197" s="92"/>
      <c r="AT197" s="92"/>
      <c r="AU197" s="92"/>
      <c r="AV197" s="92"/>
      <c r="AW197" s="92"/>
      <c r="AX197" s="92"/>
      <c r="AY197" s="92"/>
      <c r="AZ197" s="92"/>
    </row>
    <row r="198" spans="1:52" ht="15.7" customHeight="1" x14ac:dyDescent="0.4">
      <c r="A198" s="22"/>
      <c r="B198" s="91"/>
      <c r="C198" s="91"/>
      <c r="D198" s="92"/>
      <c r="E198" s="92"/>
      <c r="F198" s="92"/>
      <c r="G198" s="92"/>
      <c r="H198" s="92"/>
      <c r="I198" s="92"/>
      <c r="J198" s="92"/>
      <c r="K198" s="93"/>
      <c r="L198" s="93"/>
      <c r="M198" s="93"/>
      <c r="N198" s="93"/>
      <c r="O198" s="93"/>
      <c r="P198" s="93"/>
      <c r="Q198" s="93"/>
      <c r="R198" s="93"/>
      <c r="S198" s="92"/>
      <c r="T198" s="92"/>
      <c r="U198" s="92"/>
      <c r="V198" s="92"/>
      <c r="W198" s="92"/>
      <c r="X198" s="92"/>
      <c r="Y198" s="92"/>
      <c r="Z198" s="92"/>
      <c r="AA198" s="92"/>
      <c r="AB198" s="92"/>
      <c r="AC198" s="92"/>
      <c r="AD198" s="92"/>
      <c r="AE198" s="92"/>
      <c r="AF198" s="92"/>
      <c r="AG198" s="92"/>
      <c r="AH198" s="92"/>
      <c r="AI198" s="92"/>
      <c r="AJ198" s="92"/>
      <c r="AK198" s="92"/>
      <c r="AL198" s="92"/>
      <c r="AM198" s="92"/>
      <c r="AN198" s="92"/>
      <c r="AO198" s="92"/>
      <c r="AP198" s="92"/>
      <c r="AQ198" s="92"/>
      <c r="AR198" s="92"/>
      <c r="AS198" s="92"/>
      <c r="AT198" s="92"/>
      <c r="AU198" s="92"/>
      <c r="AV198" s="92"/>
      <c r="AW198" s="92"/>
      <c r="AX198" s="92"/>
      <c r="AY198" s="92"/>
      <c r="AZ198" s="92"/>
    </row>
    <row r="199" spans="1:52" ht="15.7" customHeight="1" x14ac:dyDescent="0.4">
      <c r="A199" s="22"/>
      <c r="B199" s="91"/>
      <c r="C199" s="91"/>
      <c r="D199" s="92"/>
      <c r="E199" s="92"/>
      <c r="F199" s="92"/>
      <c r="G199" s="92"/>
      <c r="H199" s="92"/>
      <c r="I199" s="92"/>
      <c r="J199" s="92"/>
      <c r="K199" s="93"/>
      <c r="L199" s="93"/>
      <c r="M199" s="93"/>
      <c r="N199" s="93"/>
      <c r="O199" s="93"/>
      <c r="P199" s="93"/>
      <c r="Q199" s="93"/>
      <c r="R199" s="93"/>
      <c r="S199" s="92"/>
      <c r="T199" s="92"/>
      <c r="U199" s="92"/>
      <c r="V199" s="92"/>
      <c r="W199" s="92"/>
      <c r="X199" s="92"/>
      <c r="Y199" s="92"/>
      <c r="Z199" s="92"/>
      <c r="AA199" s="92"/>
      <c r="AB199" s="92"/>
      <c r="AC199" s="92"/>
      <c r="AD199" s="92"/>
      <c r="AE199" s="92"/>
      <c r="AF199" s="92"/>
      <c r="AG199" s="92"/>
      <c r="AH199" s="92"/>
      <c r="AI199" s="92"/>
      <c r="AJ199" s="92"/>
      <c r="AK199" s="92"/>
      <c r="AL199" s="92"/>
      <c r="AM199" s="92"/>
      <c r="AN199" s="92"/>
      <c r="AO199" s="92"/>
      <c r="AP199" s="92"/>
      <c r="AQ199" s="92"/>
      <c r="AR199" s="92"/>
      <c r="AS199" s="92"/>
      <c r="AT199" s="92"/>
      <c r="AU199" s="92"/>
      <c r="AV199" s="92"/>
      <c r="AW199" s="92"/>
      <c r="AX199" s="92"/>
      <c r="AY199" s="92"/>
      <c r="AZ199" s="92"/>
    </row>
    <row r="200" spans="1:52" ht="15.7" customHeight="1" x14ac:dyDescent="0.4">
      <c r="A200" s="22"/>
      <c r="B200" s="91"/>
      <c r="C200" s="91"/>
      <c r="D200" s="92"/>
      <c r="E200" s="92"/>
      <c r="F200" s="92"/>
      <c r="G200" s="92"/>
      <c r="H200" s="92"/>
      <c r="I200" s="92"/>
      <c r="J200" s="92"/>
      <c r="K200" s="93"/>
      <c r="L200" s="93"/>
      <c r="M200" s="93"/>
      <c r="N200" s="93"/>
      <c r="O200" s="93"/>
      <c r="P200" s="93"/>
      <c r="Q200" s="93"/>
      <c r="R200" s="93"/>
      <c r="S200" s="92"/>
      <c r="T200" s="92"/>
      <c r="U200" s="92"/>
      <c r="V200" s="92"/>
      <c r="W200" s="92"/>
      <c r="X200" s="92"/>
      <c r="Y200" s="92"/>
      <c r="Z200" s="92"/>
      <c r="AA200" s="92"/>
      <c r="AB200" s="92"/>
      <c r="AC200" s="92"/>
      <c r="AD200" s="92"/>
      <c r="AE200" s="92"/>
      <c r="AF200" s="92"/>
      <c r="AG200" s="92"/>
      <c r="AH200" s="92"/>
      <c r="AI200" s="92"/>
      <c r="AJ200" s="92"/>
      <c r="AK200" s="92"/>
      <c r="AL200" s="92"/>
      <c r="AM200" s="92"/>
      <c r="AN200" s="92"/>
      <c r="AO200" s="92"/>
      <c r="AP200" s="92"/>
      <c r="AQ200" s="92"/>
      <c r="AR200" s="92"/>
      <c r="AS200" s="92"/>
      <c r="AT200" s="92"/>
      <c r="AU200" s="92"/>
      <c r="AV200" s="92"/>
      <c r="AW200" s="92"/>
      <c r="AX200" s="92"/>
      <c r="AY200" s="92"/>
      <c r="AZ200" s="92"/>
    </row>
    <row r="201" spans="1:52" ht="15.7" customHeight="1" x14ac:dyDescent="0.4">
      <c r="A201" s="22"/>
      <c r="B201" s="91"/>
      <c r="C201" s="91"/>
      <c r="D201" s="92"/>
      <c r="E201" s="92"/>
      <c r="F201" s="92"/>
      <c r="G201" s="92"/>
      <c r="H201" s="92"/>
      <c r="I201" s="92"/>
      <c r="J201" s="92"/>
      <c r="K201" s="93"/>
      <c r="L201" s="93"/>
      <c r="M201" s="93"/>
      <c r="N201" s="93"/>
      <c r="O201" s="93"/>
      <c r="P201" s="93"/>
      <c r="Q201" s="93"/>
      <c r="R201" s="93"/>
      <c r="S201" s="92"/>
      <c r="T201" s="92"/>
      <c r="U201" s="92"/>
      <c r="V201" s="92"/>
      <c r="W201" s="92"/>
      <c r="X201" s="92"/>
      <c r="Y201" s="92"/>
      <c r="Z201" s="92"/>
      <c r="AA201" s="92"/>
      <c r="AB201" s="92"/>
      <c r="AC201" s="92"/>
      <c r="AD201" s="92"/>
      <c r="AE201" s="92"/>
      <c r="AF201" s="92"/>
      <c r="AG201" s="92"/>
      <c r="AH201" s="92"/>
      <c r="AI201" s="92"/>
      <c r="AJ201" s="92"/>
      <c r="AK201" s="92"/>
      <c r="AL201" s="92"/>
      <c r="AM201" s="92"/>
      <c r="AN201" s="92"/>
      <c r="AO201" s="92"/>
      <c r="AP201" s="92"/>
      <c r="AQ201" s="92"/>
      <c r="AR201" s="92"/>
      <c r="AS201" s="92"/>
      <c r="AT201" s="92"/>
      <c r="AU201" s="92"/>
      <c r="AV201" s="92"/>
      <c r="AW201" s="92"/>
      <c r="AX201" s="92"/>
      <c r="AY201" s="92"/>
      <c r="AZ201" s="92"/>
    </row>
    <row r="202" spans="1:52" ht="15.7" customHeight="1" x14ac:dyDescent="0.4">
      <c r="A202" s="22"/>
      <c r="B202" s="91"/>
      <c r="C202" s="91"/>
      <c r="D202" s="92"/>
      <c r="E202" s="92"/>
      <c r="F202" s="92"/>
      <c r="G202" s="92"/>
      <c r="H202" s="92"/>
      <c r="I202" s="92"/>
      <c r="J202" s="92"/>
      <c r="K202" s="93"/>
      <c r="L202" s="93"/>
      <c r="M202" s="93"/>
      <c r="N202" s="93"/>
      <c r="O202" s="93"/>
      <c r="P202" s="93"/>
      <c r="Q202" s="93"/>
      <c r="R202" s="93"/>
      <c r="S202" s="92"/>
      <c r="T202" s="92"/>
      <c r="U202" s="92"/>
      <c r="V202" s="92"/>
      <c r="W202" s="92"/>
      <c r="X202" s="92"/>
      <c r="Y202" s="92"/>
      <c r="Z202" s="92"/>
      <c r="AA202" s="92"/>
      <c r="AB202" s="92"/>
      <c r="AC202" s="92"/>
      <c r="AD202" s="92"/>
      <c r="AE202" s="92"/>
      <c r="AF202" s="92"/>
      <c r="AG202" s="92"/>
      <c r="AH202" s="92"/>
      <c r="AI202" s="92"/>
      <c r="AJ202" s="92"/>
      <c r="AK202" s="92"/>
      <c r="AL202" s="92"/>
      <c r="AM202" s="92"/>
      <c r="AN202" s="92"/>
      <c r="AO202" s="92"/>
      <c r="AP202" s="92"/>
      <c r="AQ202" s="92"/>
      <c r="AR202" s="92"/>
      <c r="AS202" s="92"/>
      <c r="AT202" s="92"/>
      <c r="AU202" s="92"/>
      <c r="AV202" s="92"/>
      <c r="AW202" s="92"/>
      <c r="AX202" s="92"/>
      <c r="AY202" s="92"/>
      <c r="AZ202" s="92"/>
    </row>
    <row r="203" spans="1:52" ht="15.7" customHeight="1" x14ac:dyDescent="0.4">
      <c r="A203" s="22"/>
      <c r="B203" s="91"/>
      <c r="C203" s="91"/>
      <c r="D203" s="92"/>
      <c r="E203" s="92"/>
      <c r="F203" s="92"/>
      <c r="G203" s="92"/>
      <c r="H203" s="92"/>
      <c r="I203" s="92"/>
      <c r="J203" s="92"/>
      <c r="K203" s="93"/>
      <c r="L203" s="93"/>
      <c r="M203" s="93"/>
      <c r="N203" s="93"/>
      <c r="O203" s="93"/>
      <c r="P203" s="93"/>
      <c r="Q203" s="93"/>
      <c r="R203" s="93"/>
      <c r="S203" s="92"/>
      <c r="T203" s="92"/>
      <c r="U203" s="92"/>
      <c r="V203" s="92"/>
      <c r="W203" s="92"/>
      <c r="X203" s="92"/>
      <c r="Y203" s="92"/>
      <c r="Z203" s="92"/>
      <c r="AA203" s="92"/>
      <c r="AB203" s="92"/>
      <c r="AC203" s="92"/>
      <c r="AD203" s="92"/>
      <c r="AE203" s="92"/>
      <c r="AF203" s="92"/>
      <c r="AG203" s="92"/>
      <c r="AH203" s="92"/>
      <c r="AI203" s="92"/>
      <c r="AJ203" s="92"/>
      <c r="AK203" s="92"/>
      <c r="AL203" s="92"/>
      <c r="AM203" s="92"/>
      <c r="AN203" s="92"/>
      <c r="AO203" s="92"/>
      <c r="AP203" s="92"/>
      <c r="AQ203" s="92"/>
      <c r="AR203" s="92"/>
      <c r="AS203" s="92"/>
      <c r="AT203" s="92"/>
      <c r="AU203" s="92"/>
      <c r="AV203" s="92"/>
      <c r="AW203" s="92"/>
      <c r="AX203" s="92"/>
      <c r="AY203" s="92"/>
      <c r="AZ203" s="92"/>
    </row>
    <row r="204" spans="1:52" ht="15.7" customHeight="1" x14ac:dyDescent="0.4">
      <c r="A204" s="22"/>
      <c r="B204" s="91"/>
      <c r="C204" s="91"/>
      <c r="D204" s="92"/>
      <c r="E204" s="92"/>
      <c r="F204" s="92"/>
      <c r="G204" s="92"/>
      <c r="H204" s="92"/>
      <c r="I204" s="92"/>
      <c r="J204" s="92"/>
      <c r="K204" s="93"/>
      <c r="L204" s="93"/>
      <c r="M204" s="93"/>
      <c r="N204" s="93"/>
      <c r="O204" s="93"/>
      <c r="P204" s="93"/>
      <c r="Q204" s="93"/>
      <c r="R204" s="93"/>
      <c r="S204" s="92"/>
      <c r="T204" s="92"/>
      <c r="U204" s="92"/>
      <c r="V204" s="92"/>
      <c r="W204" s="92"/>
      <c r="X204" s="92"/>
      <c r="Y204" s="92"/>
      <c r="Z204" s="92"/>
      <c r="AA204" s="92"/>
      <c r="AB204" s="92"/>
      <c r="AC204" s="92"/>
      <c r="AD204" s="92"/>
      <c r="AE204" s="92"/>
      <c r="AF204" s="92"/>
      <c r="AG204" s="92"/>
      <c r="AH204" s="92"/>
      <c r="AI204" s="92"/>
      <c r="AJ204" s="92"/>
      <c r="AK204" s="92"/>
      <c r="AL204" s="92"/>
      <c r="AM204" s="92"/>
      <c r="AN204" s="92"/>
      <c r="AO204" s="92"/>
      <c r="AP204" s="92"/>
      <c r="AQ204" s="92"/>
      <c r="AR204" s="92"/>
      <c r="AS204" s="92"/>
      <c r="AT204" s="92"/>
      <c r="AU204" s="92"/>
      <c r="AV204" s="92"/>
      <c r="AW204" s="92"/>
      <c r="AX204" s="92"/>
      <c r="AY204" s="92"/>
      <c r="AZ204" s="92"/>
    </row>
    <row r="205" spans="1:52" ht="15.7" customHeight="1" x14ac:dyDescent="0.4">
      <c r="A205" s="22"/>
      <c r="B205" s="91"/>
      <c r="C205" s="91"/>
      <c r="D205" s="92"/>
      <c r="E205" s="92"/>
      <c r="F205" s="92"/>
      <c r="G205" s="92"/>
      <c r="H205" s="92"/>
      <c r="I205" s="92"/>
      <c r="J205" s="92"/>
      <c r="K205" s="93"/>
      <c r="L205" s="93"/>
      <c r="M205" s="93"/>
      <c r="N205" s="93"/>
      <c r="O205" s="93"/>
      <c r="P205" s="93"/>
      <c r="Q205" s="93"/>
      <c r="R205" s="93"/>
      <c r="S205" s="92"/>
      <c r="T205" s="92"/>
      <c r="U205" s="92"/>
      <c r="V205" s="92"/>
      <c r="W205" s="92"/>
      <c r="X205" s="92"/>
      <c r="Y205" s="92"/>
      <c r="Z205" s="92"/>
      <c r="AA205" s="92"/>
      <c r="AB205" s="92"/>
      <c r="AC205" s="92"/>
      <c r="AD205" s="92"/>
      <c r="AE205" s="92"/>
      <c r="AF205" s="92"/>
      <c r="AG205" s="92"/>
      <c r="AH205" s="92"/>
      <c r="AI205" s="92"/>
      <c r="AJ205" s="92"/>
      <c r="AK205" s="92"/>
      <c r="AL205" s="92"/>
      <c r="AM205" s="92"/>
      <c r="AN205" s="92"/>
      <c r="AO205" s="92"/>
      <c r="AP205" s="92"/>
      <c r="AQ205" s="92"/>
      <c r="AR205" s="92"/>
      <c r="AS205" s="92"/>
      <c r="AT205" s="92"/>
      <c r="AU205" s="92"/>
      <c r="AV205" s="92"/>
      <c r="AW205" s="92"/>
      <c r="AX205" s="92"/>
      <c r="AY205" s="92"/>
      <c r="AZ205" s="92"/>
    </row>
    <row r="206" spans="1:52" ht="15.7" customHeight="1" x14ac:dyDescent="0.4">
      <c r="A206" s="22"/>
      <c r="B206" s="91"/>
      <c r="C206" s="91"/>
      <c r="D206" s="92"/>
      <c r="E206" s="92"/>
      <c r="F206" s="92"/>
      <c r="G206" s="92"/>
      <c r="H206" s="92"/>
      <c r="I206" s="92"/>
      <c r="J206" s="92"/>
      <c r="K206" s="93"/>
      <c r="L206" s="93"/>
      <c r="M206" s="93"/>
      <c r="N206" s="93"/>
      <c r="O206" s="93"/>
      <c r="P206" s="93"/>
      <c r="Q206" s="93"/>
      <c r="R206" s="93"/>
      <c r="S206" s="92"/>
      <c r="T206" s="92"/>
      <c r="U206" s="92"/>
      <c r="V206" s="92"/>
      <c r="W206" s="92"/>
      <c r="X206" s="92"/>
      <c r="Y206" s="92"/>
      <c r="Z206" s="92"/>
      <c r="AA206" s="92"/>
      <c r="AB206" s="92"/>
      <c r="AC206" s="92"/>
      <c r="AD206" s="92"/>
      <c r="AE206" s="92"/>
      <c r="AF206" s="92"/>
      <c r="AG206" s="92"/>
      <c r="AH206" s="92"/>
      <c r="AI206" s="92"/>
      <c r="AJ206" s="92"/>
      <c r="AK206" s="92"/>
      <c r="AL206" s="92"/>
      <c r="AM206" s="92"/>
      <c r="AN206" s="92"/>
      <c r="AO206" s="92"/>
      <c r="AP206" s="92"/>
      <c r="AQ206" s="92"/>
      <c r="AR206" s="92"/>
      <c r="AS206" s="92"/>
      <c r="AT206" s="92"/>
      <c r="AU206" s="92"/>
      <c r="AV206" s="92"/>
      <c r="AW206" s="92"/>
      <c r="AX206" s="92"/>
      <c r="AY206" s="92"/>
      <c r="AZ206" s="92"/>
    </row>
    <row r="207" spans="1:52" ht="15.7" customHeight="1" x14ac:dyDescent="0.4">
      <c r="A207" s="22"/>
      <c r="B207" s="91"/>
      <c r="C207" s="91"/>
      <c r="D207" s="92"/>
      <c r="E207" s="92"/>
      <c r="F207" s="92"/>
      <c r="G207" s="92"/>
      <c r="H207" s="92"/>
      <c r="I207" s="92"/>
      <c r="J207" s="92"/>
      <c r="K207" s="93"/>
      <c r="L207" s="93"/>
      <c r="M207" s="93"/>
      <c r="N207" s="93"/>
      <c r="O207" s="93"/>
      <c r="P207" s="93"/>
      <c r="Q207" s="93"/>
      <c r="R207" s="93"/>
      <c r="S207" s="92"/>
      <c r="T207" s="92"/>
      <c r="U207" s="92"/>
      <c r="V207" s="92"/>
      <c r="W207" s="92"/>
      <c r="X207" s="92"/>
      <c r="Y207" s="92"/>
      <c r="Z207" s="92"/>
      <c r="AA207" s="92"/>
      <c r="AB207" s="92"/>
      <c r="AC207" s="92"/>
      <c r="AD207" s="92"/>
      <c r="AE207" s="92"/>
      <c r="AF207" s="92"/>
      <c r="AG207" s="92"/>
      <c r="AH207" s="92"/>
      <c r="AI207" s="92"/>
      <c r="AJ207" s="92"/>
      <c r="AK207" s="92"/>
      <c r="AL207" s="92"/>
      <c r="AM207" s="92"/>
      <c r="AN207" s="92"/>
      <c r="AO207" s="92"/>
      <c r="AP207" s="92"/>
      <c r="AQ207" s="92"/>
      <c r="AR207" s="92"/>
      <c r="AS207" s="92"/>
      <c r="AT207" s="92"/>
      <c r="AU207" s="92"/>
      <c r="AV207" s="92"/>
      <c r="AW207" s="92"/>
      <c r="AX207" s="92"/>
      <c r="AY207" s="92"/>
      <c r="AZ207" s="92"/>
    </row>
    <row r="208" spans="1:52" ht="15.7" customHeight="1" x14ac:dyDescent="0.4">
      <c r="A208" s="22"/>
      <c r="B208" s="91"/>
      <c r="C208" s="91"/>
      <c r="D208" s="92"/>
      <c r="E208" s="92"/>
      <c r="F208" s="92"/>
      <c r="G208" s="92"/>
      <c r="H208" s="92"/>
      <c r="I208" s="92"/>
      <c r="J208" s="92"/>
      <c r="K208" s="93"/>
      <c r="L208" s="93"/>
      <c r="M208" s="93"/>
      <c r="N208" s="93"/>
      <c r="O208" s="93"/>
      <c r="P208" s="93"/>
      <c r="Q208" s="93"/>
      <c r="R208" s="93"/>
      <c r="S208" s="92"/>
      <c r="T208" s="92"/>
      <c r="U208" s="92"/>
      <c r="V208" s="92"/>
      <c r="W208" s="92"/>
      <c r="X208" s="92"/>
      <c r="Y208" s="92"/>
      <c r="Z208" s="92"/>
      <c r="AA208" s="92"/>
      <c r="AB208" s="92"/>
      <c r="AC208" s="92"/>
      <c r="AD208" s="92"/>
      <c r="AE208" s="92"/>
      <c r="AF208" s="92"/>
      <c r="AG208" s="92"/>
      <c r="AH208" s="92"/>
      <c r="AI208" s="92"/>
      <c r="AJ208" s="92"/>
      <c r="AK208" s="92"/>
      <c r="AL208" s="92"/>
      <c r="AM208" s="92"/>
      <c r="AN208" s="92"/>
      <c r="AO208" s="92"/>
      <c r="AP208" s="92"/>
      <c r="AQ208" s="92"/>
      <c r="AR208" s="92"/>
      <c r="AS208" s="92"/>
      <c r="AT208" s="92"/>
      <c r="AU208" s="92"/>
      <c r="AV208" s="92"/>
      <c r="AW208" s="92"/>
      <c r="AX208" s="92"/>
      <c r="AY208" s="92"/>
      <c r="AZ208" s="92"/>
    </row>
    <row r="209" spans="1:52" ht="15.7" customHeight="1" x14ac:dyDescent="0.4">
      <c r="A209" s="22"/>
      <c r="B209" s="91"/>
      <c r="C209" s="91"/>
      <c r="D209" s="92"/>
      <c r="E209" s="92"/>
      <c r="F209" s="92"/>
      <c r="G209" s="92"/>
      <c r="H209" s="92"/>
      <c r="I209" s="92"/>
      <c r="J209" s="92"/>
      <c r="K209" s="93"/>
      <c r="L209" s="93"/>
      <c r="M209" s="93"/>
      <c r="N209" s="93"/>
      <c r="O209" s="93"/>
      <c r="P209" s="93"/>
      <c r="Q209" s="93"/>
      <c r="R209" s="93"/>
      <c r="S209" s="92"/>
      <c r="T209" s="92"/>
      <c r="U209" s="92"/>
      <c r="V209" s="92"/>
      <c r="W209" s="92"/>
      <c r="X209" s="92"/>
      <c r="Y209" s="92"/>
      <c r="Z209" s="92"/>
      <c r="AA209" s="92"/>
      <c r="AB209" s="92"/>
      <c r="AC209" s="92"/>
      <c r="AD209" s="92"/>
      <c r="AE209" s="92"/>
      <c r="AF209" s="92"/>
      <c r="AG209" s="92"/>
      <c r="AH209" s="92"/>
      <c r="AI209" s="92"/>
      <c r="AJ209" s="92"/>
      <c r="AK209" s="92"/>
      <c r="AL209" s="92"/>
      <c r="AM209" s="92"/>
      <c r="AN209" s="92"/>
      <c r="AO209" s="92"/>
      <c r="AP209" s="92"/>
      <c r="AQ209" s="92"/>
      <c r="AR209" s="92"/>
      <c r="AS209" s="92"/>
      <c r="AT209" s="92"/>
      <c r="AU209" s="92"/>
      <c r="AV209" s="92"/>
      <c r="AW209" s="92"/>
      <c r="AX209" s="92"/>
      <c r="AY209" s="92"/>
      <c r="AZ209" s="92"/>
    </row>
    <row r="210" spans="1:52" ht="15.7" customHeight="1" x14ac:dyDescent="0.4">
      <c r="A210" s="22"/>
      <c r="B210" s="91"/>
      <c r="C210" s="91"/>
      <c r="D210" s="92"/>
      <c r="E210" s="92"/>
      <c r="F210" s="92"/>
      <c r="G210" s="92"/>
      <c r="H210" s="92"/>
      <c r="I210" s="92"/>
      <c r="J210" s="92"/>
      <c r="K210" s="93"/>
      <c r="L210" s="93"/>
      <c r="M210" s="93"/>
      <c r="N210" s="93"/>
      <c r="O210" s="93"/>
      <c r="P210" s="93"/>
      <c r="Q210" s="93"/>
      <c r="R210" s="93"/>
      <c r="S210" s="92"/>
      <c r="T210" s="92"/>
      <c r="U210" s="92"/>
      <c r="V210" s="92"/>
      <c r="W210" s="92"/>
      <c r="X210" s="92"/>
      <c r="Y210" s="92"/>
      <c r="Z210" s="92"/>
      <c r="AA210" s="92"/>
      <c r="AB210" s="92"/>
      <c r="AC210" s="92"/>
      <c r="AD210" s="92"/>
      <c r="AE210" s="92"/>
      <c r="AF210" s="92"/>
      <c r="AG210" s="92"/>
      <c r="AH210" s="92"/>
      <c r="AI210" s="92"/>
      <c r="AJ210" s="92"/>
      <c r="AK210" s="92"/>
      <c r="AL210" s="92"/>
      <c r="AM210" s="92"/>
      <c r="AN210" s="92"/>
      <c r="AO210" s="92"/>
      <c r="AP210" s="92"/>
      <c r="AQ210" s="92"/>
      <c r="AR210" s="92"/>
      <c r="AS210" s="92"/>
      <c r="AT210" s="92"/>
      <c r="AU210" s="92"/>
      <c r="AV210" s="92"/>
      <c r="AW210" s="92"/>
      <c r="AX210" s="92"/>
      <c r="AY210" s="92"/>
      <c r="AZ210" s="92"/>
    </row>
    <row r="211" spans="1:52" ht="15.7" customHeight="1" x14ac:dyDescent="0.4">
      <c r="A211" s="22"/>
      <c r="B211" s="91"/>
      <c r="C211" s="91"/>
      <c r="D211" s="92"/>
      <c r="E211" s="92"/>
      <c r="F211" s="92"/>
      <c r="G211" s="92"/>
      <c r="H211" s="92"/>
      <c r="I211" s="92"/>
      <c r="J211" s="92"/>
      <c r="K211" s="93"/>
      <c r="L211" s="93"/>
      <c r="M211" s="93"/>
      <c r="N211" s="93"/>
      <c r="O211" s="93"/>
      <c r="P211" s="93"/>
      <c r="Q211" s="93"/>
      <c r="R211" s="93"/>
      <c r="S211" s="92"/>
      <c r="T211" s="92"/>
      <c r="U211" s="92"/>
      <c r="V211" s="92"/>
      <c r="W211" s="92"/>
      <c r="X211" s="92"/>
      <c r="Y211" s="92"/>
      <c r="Z211" s="92"/>
      <c r="AA211" s="92"/>
      <c r="AB211" s="92"/>
      <c r="AC211" s="92"/>
      <c r="AD211" s="92"/>
      <c r="AE211" s="92"/>
      <c r="AF211" s="92"/>
      <c r="AG211" s="92"/>
      <c r="AH211" s="92"/>
      <c r="AI211" s="92"/>
      <c r="AJ211" s="92"/>
      <c r="AK211" s="92"/>
      <c r="AL211" s="92"/>
      <c r="AM211" s="92"/>
      <c r="AN211" s="92"/>
      <c r="AO211" s="92"/>
      <c r="AP211" s="92"/>
      <c r="AQ211" s="92"/>
      <c r="AR211" s="92"/>
      <c r="AS211" s="92"/>
      <c r="AT211" s="92"/>
      <c r="AU211" s="92"/>
      <c r="AV211" s="92"/>
      <c r="AW211" s="92"/>
      <c r="AX211" s="92"/>
      <c r="AY211" s="92"/>
      <c r="AZ211" s="92"/>
    </row>
    <row r="212" spans="1:52" ht="15.7" customHeight="1" x14ac:dyDescent="0.4">
      <c r="A212" s="22"/>
      <c r="B212" s="91"/>
      <c r="C212" s="91"/>
      <c r="D212" s="92"/>
      <c r="E212" s="92"/>
      <c r="F212" s="92"/>
      <c r="G212" s="92"/>
      <c r="H212" s="92"/>
      <c r="I212" s="92"/>
      <c r="J212" s="92"/>
      <c r="K212" s="93"/>
      <c r="L212" s="93"/>
      <c r="M212" s="93"/>
      <c r="N212" s="93"/>
      <c r="O212" s="93"/>
      <c r="P212" s="93"/>
      <c r="Q212" s="93"/>
      <c r="R212" s="93"/>
      <c r="S212" s="92"/>
      <c r="T212" s="92"/>
      <c r="U212" s="92"/>
      <c r="V212" s="92"/>
      <c r="W212" s="92"/>
      <c r="X212" s="92"/>
      <c r="Y212" s="92"/>
      <c r="Z212" s="92"/>
      <c r="AA212" s="92"/>
      <c r="AB212" s="92"/>
      <c r="AC212" s="92"/>
      <c r="AD212" s="92"/>
      <c r="AE212" s="92"/>
      <c r="AF212" s="92"/>
      <c r="AG212" s="92"/>
      <c r="AH212" s="92"/>
      <c r="AI212" s="92"/>
      <c r="AJ212" s="92"/>
      <c r="AK212" s="92"/>
      <c r="AL212" s="92"/>
      <c r="AM212" s="92"/>
      <c r="AN212" s="92"/>
      <c r="AO212" s="92"/>
      <c r="AP212" s="92"/>
      <c r="AQ212" s="92"/>
      <c r="AR212" s="92"/>
      <c r="AS212" s="92"/>
      <c r="AT212" s="92"/>
      <c r="AU212" s="92"/>
      <c r="AV212" s="92"/>
      <c r="AW212" s="92"/>
      <c r="AX212" s="92"/>
      <c r="AY212" s="92"/>
      <c r="AZ212" s="92"/>
    </row>
    <row r="213" spans="1:52" ht="15.7" customHeight="1" x14ac:dyDescent="0.4">
      <c r="A213" s="22"/>
      <c r="B213" s="91"/>
      <c r="C213" s="91"/>
      <c r="D213" s="92"/>
      <c r="E213" s="92"/>
      <c r="F213" s="92"/>
      <c r="G213" s="92"/>
      <c r="H213" s="92"/>
      <c r="I213" s="92"/>
      <c r="J213" s="92"/>
      <c r="K213" s="93"/>
      <c r="L213" s="93"/>
      <c r="M213" s="93"/>
      <c r="N213" s="93"/>
      <c r="O213" s="93"/>
      <c r="P213" s="93"/>
      <c r="Q213" s="93"/>
      <c r="R213" s="93"/>
      <c r="S213" s="92"/>
      <c r="T213" s="92"/>
      <c r="U213" s="92"/>
      <c r="V213" s="92"/>
      <c r="W213" s="92"/>
      <c r="X213" s="92"/>
      <c r="Y213" s="92"/>
      <c r="Z213" s="92"/>
      <c r="AA213" s="92"/>
      <c r="AB213" s="92"/>
      <c r="AC213" s="92"/>
      <c r="AD213" s="92"/>
      <c r="AE213" s="92"/>
      <c r="AF213" s="92"/>
      <c r="AG213" s="92"/>
      <c r="AH213" s="92"/>
      <c r="AI213" s="92"/>
      <c r="AJ213" s="92"/>
      <c r="AK213" s="92"/>
      <c r="AL213" s="92"/>
      <c r="AM213" s="92"/>
      <c r="AN213" s="92"/>
      <c r="AO213" s="92"/>
      <c r="AP213" s="92"/>
      <c r="AQ213" s="92"/>
      <c r="AR213" s="92"/>
      <c r="AS213" s="92"/>
      <c r="AT213" s="92"/>
      <c r="AU213" s="92"/>
      <c r="AV213" s="92"/>
      <c r="AW213" s="92"/>
      <c r="AX213" s="92"/>
      <c r="AY213" s="92"/>
      <c r="AZ213" s="92"/>
    </row>
    <row r="214" spans="1:52" ht="15.7" customHeight="1" x14ac:dyDescent="0.4">
      <c r="A214" s="22"/>
      <c r="B214" s="91"/>
      <c r="C214" s="91"/>
      <c r="D214" s="92"/>
      <c r="E214" s="92"/>
      <c r="F214" s="92"/>
      <c r="G214" s="92"/>
      <c r="H214" s="92"/>
      <c r="I214" s="92"/>
      <c r="J214" s="92"/>
      <c r="K214" s="93"/>
      <c r="L214" s="93"/>
      <c r="M214" s="93"/>
      <c r="N214" s="93"/>
      <c r="O214" s="93"/>
      <c r="P214" s="93"/>
      <c r="Q214" s="93"/>
      <c r="R214" s="93"/>
      <c r="S214" s="92"/>
      <c r="T214" s="92"/>
      <c r="U214" s="92"/>
      <c r="V214" s="92"/>
      <c r="W214" s="92"/>
      <c r="X214" s="92"/>
      <c r="Y214" s="92"/>
      <c r="Z214" s="92"/>
      <c r="AA214" s="92"/>
      <c r="AB214" s="92"/>
      <c r="AC214" s="92"/>
      <c r="AD214" s="92"/>
      <c r="AE214" s="92"/>
      <c r="AF214" s="92"/>
      <c r="AG214" s="92"/>
      <c r="AH214" s="92"/>
      <c r="AI214" s="92"/>
      <c r="AJ214" s="92"/>
      <c r="AK214" s="92"/>
      <c r="AL214" s="92"/>
      <c r="AM214" s="92"/>
      <c r="AN214" s="92"/>
      <c r="AO214" s="92"/>
      <c r="AP214" s="92"/>
      <c r="AQ214" s="92"/>
      <c r="AR214" s="92"/>
      <c r="AS214" s="92"/>
      <c r="AT214" s="92"/>
      <c r="AU214" s="92"/>
      <c r="AV214" s="92"/>
      <c r="AW214" s="92"/>
      <c r="AX214" s="92"/>
      <c r="AY214" s="92"/>
      <c r="AZ214" s="92"/>
    </row>
    <row r="215" spans="1:52" ht="15.7" customHeight="1" x14ac:dyDescent="0.4">
      <c r="A215" s="22"/>
      <c r="B215" s="91"/>
      <c r="C215" s="91"/>
      <c r="D215" s="92"/>
      <c r="E215" s="92"/>
      <c r="F215" s="92"/>
      <c r="G215" s="92"/>
      <c r="H215" s="92"/>
      <c r="I215" s="92"/>
      <c r="J215" s="92"/>
      <c r="K215" s="93"/>
      <c r="L215" s="93"/>
      <c r="M215" s="93"/>
      <c r="N215" s="93"/>
      <c r="O215" s="93"/>
      <c r="P215" s="93"/>
      <c r="Q215" s="93"/>
      <c r="R215" s="93"/>
      <c r="S215" s="92"/>
      <c r="T215" s="92"/>
      <c r="U215" s="92"/>
      <c r="V215" s="92"/>
      <c r="W215" s="92"/>
      <c r="X215" s="92"/>
      <c r="Y215" s="92"/>
      <c r="Z215" s="92"/>
      <c r="AA215" s="92"/>
      <c r="AB215" s="92"/>
      <c r="AC215" s="92"/>
      <c r="AD215" s="92"/>
      <c r="AE215" s="92"/>
      <c r="AF215" s="92"/>
      <c r="AG215" s="92"/>
      <c r="AH215" s="92"/>
      <c r="AI215" s="92"/>
      <c r="AJ215" s="92"/>
      <c r="AK215" s="92"/>
      <c r="AL215" s="92"/>
      <c r="AM215" s="92"/>
      <c r="AN215" s="92"/>
      <c r="AO215" s="92"/>
      <c r="AP215" s="92"/>
      <c r="AQ215" s="92"/>
      <c r="AR215" s="92"/>
      <c r="AS215" s="92"/>
      <c r="AT215" s="92"/>
      <c r="AU215" s="92"/>
      <c r="AV215" s="92"/>
      <c r="AW215" s="92"/>
      <c r="AX215" s="92"/>
      <c r="AY215" s="92"/>
      <c r="AZ215" s="92"/>
    </row>
    <row r="216" spans="1:52" ht="15.7" customHeight="1" x14ac:dyDescent="0.4">
      <c r="A216" s="22"/>
      <c r="B216" s="91"/>
      <c r="C216" s="91"/>
      <c r="D216" s="92"/>
      <c r="E216" s="92"/>
      <c r="F216" s="92"/>
      <c r="G216" s="92"/>
      <c r="H216" s="92"/>
      <c r="I216" s="92"/>
      <c r="J216" s="92"/>
      <c r="K216" s="93"/>
      <c r="L216" s="93"/>
      <c r="M216" s="93"/>
      <c r="N216" s="93"/>
      <c r="O216" s="93"/>
      <c r="P216" s="93"/>
      <c r="Q216" s="93"/>
      <c r="R216" s="93"/>
      <c r="S216" s="92"/>
      <c r="T216" s="92"/>
      <c r="U216" s="92"/>
      <c r="V216" s="92"/>
      <c r="W216" s="92"/>
      <c r="X216" s="92"/>
      <c r="Y216" s="92"/>
      <c r="Z216" s="92"/>
      <c r="AA216" s="92"/>
      <c r="AB216" s="92"/>
      <c r="AC216" s="92"/>
      <c r="AD216" s="92"/>
      <c r="AE216" s="92"/>
      <c r="AF216" s="92"/>
      <c r="AG216" s="92"/>
      <c r="AH216" s="92"/>
      <c r="AI216" s="92"/>
      <c r="AJ216" s="92"/>
      <c r="AK216" s="92"/>
      <c r="AL216" s="92"/>
      <c r="AM216" s="92"/>
      <c r="AN216" s="92"/>
      <c r="AO216" s="92"/>
      <c r="AP216" s="92"/>
      <c r="AQ216" s="92"/>
      <c r="AR216" s="92"/>
      <c r="AS216" s="92"/>
      <c r="AT216" s="92"/>
      <c r="AU216" s="92"/>
      <c r="AV216" s="92"/>
      <c r="AW216" s="92"/>
      <c r="AX216" s="92"/>
      <c r="AY216" s="92"/>
      <c r="AZ216" s="92"/>
    </row>
    <row r="217" spans="1:52" ht="15.7" customHeight="1" x14ac:dyDescent="0.4">
      <c r="A217" s="22"/>
      <c r="B217" s="91"/>
      <c r="C217" s="91"/>
      <c r="D217" s="92"/>
      <c r="E217" s="92"/>
      <c r="F217" s="92"/>
      <c r="G217" s="92"/>
      <c r="H217" s="92"/>
      <c r="I217" s="92"/>
      <c r="J217" s="92"/>
      <c r="K217" s="93"/>
      <c r="L217" s="93"/>
      <c r="M217" s="93"/>
      <c r="N217" s="93"/>
      <c r="O217" s="93"/>
      <c r="P217" s="93"/>
      <c r="Q217" s="93"/>
      <c r="R217" s="93"/>
      <c r="S217" s="92"/>
      <c r="T217" s="92"/>
      <c r="U217" s="92"/>
      <c r="V217" s="92"/>
      <c r="W217" s="92"/>
      <c r="X217" s="92"/>
      <c r="Y217" s="92"/>
      <c r="Z217" s="92"/>
      <c r="AA217" s="92"/>
      <c r="AB217" s="92"/>
      <c r="AC217" s="92"/>
      <c r="AD217" s="92"/>
      <c r="AE217" s="92"/>
      <c r="AF217" s="92"/>
      <c r="AG217" s="92"/>
      <c r="AH217" s="92"/>
      <c r="AI217" s="92"/>
      <c r="AJ217" s="92"/>
      <c r="AK217" s="92"/>
      <c r="AL217" s="92"/>
      <c r="AM217" s="92"/>
      <c r="AN217" s="92"/>
      <c r="AO217" s="92"/>
      <c r="AP217" s="92"/>
      <c r="AQ217" s="92"/>
      <c r="AR217" s="92"/>
      <c r="AS217" s="92"/>
      <c r="AT217" s="92"/>
      <c r="AU217" s="92"/>
      <c r="AV217" s="92"/>
      <c r="AW217" s="92"/>
      <c r="AX217" s="92"/>
      <c r="AY217" s="92"/>
      <c r="AZ217" s="92"/>
    </row>
    <row r="218" spans="1:52" ht="15.7" customHeight="1" x14ac:dyDescent="0.4">
      <c r="A218" s="22"/>
      <c r="B218" s="91"/>
      <c r="C218" s="91"/>
      <c r="D218" s="92"/>
      <c r="E218" s="92"/>
      <c r="F218" s="92"/>
      <c r="G218" s="92"/>
      <c r="H218" s="92"/>
      <c r="I218" s="92"/>
      <c r="J218" s="92"/>
      <c r="K218" s="93"/>
      <c r="L218" s="93"/>
      <c r="M218" s="93"/>
      <c r="N218" s="93"/>
      <c r="O218" s="93"/>
      <c r="P218" s="93"/>
      <c r="Q218" s="93"/>
      <c r="R218" s="93"/>
      <c r="S218" s="92"/>
      <c r="T218" s="92"/>
      <c r="U218" s="92"/>
      <c r="V218" s="92"/>
      <c r="W218" s="92"/>
      <c r="X218" s="92"/>
      <c r="Y218" s="92"/>
      <c r="Z218" s="92"/>
      <c r="AA218" s="92"/>
      <c r="AB218" s="92"/>
      <c r="AC218" s="92"/>
      <c r="AD218" s="92"/>
      <c r="AE218" s="92"/>
      <c r="AF218" s="92"/>
      <c r="AG218" s="92"/>
      <c r="AH218" s="92"/>
      <c r="AI218" s="92"/>
      <c r="AJ218" s="92"/>
      <c r="AK218" s="92"/>
      <c r="AL218" s="92"/>
      <c r="AM218" s="92"/>
      <c r="AN218" s="92"/>
      <c r="AO218" s="92"/>
      <c r="AP218" s="92"/>
      <c r="AQ218" s="92"/>
      <c r="AR218" s="92"/>
      <c r="AS218" s="92"/>
      <c r="AT218" s="92"/>
      <c r="AU218" s="92"/>
      <c r="AV218" s="92"/>
      <c r="AW218" s="92"/>
      <c r="AX218" s="92"/>
      <c r="AY218" s="92"/>
      <c r="AZ218" s="92"/>
    </row>
    <row r="219" spans="1:52" ht="15.7" customHeight="1" x14ac:dyDescent="0.4">
      <c r="A219" s="22"/>
      <c r="B219" s="91"/>
      <c r="C219" s="91"/>
      <c r="D219" s="92"/>
      <c r="E219" s="92"/>
      <c r="F219" s="92"/>
      <c r="G219" s="92"/>
      <c r="H219" s="92"/>
      <c r="I219" s="92"/>
      <c r="J219" s="92"/>
      <c r="K219" s="93"/>
      <c r="L219" s="93"/>
      <c r="M219" s="93"/>
      <c r="N219" s="93"/>
      <c r="O219" s="93"/>
      <c r="P219" s="93"/>
      <c r="Q219" s="93"/>
      <c r="R219" s="93"/>
      <c r="S219" s="92"/>
      <c r="T219" s="92"/>
      <c r="U219" s="92"/>
      <c r="V219" s="92"/>
      <c r="W219" s="92"/>
      <c r="X219" s="92"/>
      <c r="Y219" s="92"/>
      <c r="Z219" s="92"/>
      <c r="AA219" s="92"/>
      <c r="AB219" s="92"/>
      <c r="AC219" s="92"/>
      <c r="AD219" s="92"/>
      <c r="AE219" s="92"/>
      <c r="AF219" s="92"/>
      <c r="AG219" s="92"/>
      <c r="AH219" s="92"/>
      <c r="AI219" s="92"/>
      <c r="AJ219" s="92"/>
      <c r="AK219" s="92"/>
      <c r="AL219" s="92"/>
      <c r="AM219" s="92"/>
      <c r="AN219" s="92"/>
      <c r="AO219" s="92"/>
      <c r="AP219" s="92"/>
      <c r="AQ219" s="92"/>
      <c r="AR219" s="92"/>
      <c r="AS219" s="92"/>
      <c r="AT219" s="92"/>
      <c r="AU219" s="92"/>
      <c r="AV219" s="92"/>
      <c r="AW219" s="92"/>
      <c r="AX219" s="92"/>
      <c r="AY219" s="92"/>
      <c r="AZ219" s="92"/>
    </row>
    <row r="220" spans="1:52" ht="15.7" customHeight="1" x14ac:dyDescent="0.4">
      <c r="A220" s="22"/>
      <c r="B220" s="91"/>
      <c r="C220" s="91"/>
      <c r="D220" s="92"/>
      <c r="E220" s="92"/>
      <c r="F220" s="92"/>
      <c r="G220" s="92"/>
      <c r="H220" s="92"/>
      <c r="I220" s="92"/>
      <c r="J220" s="92"/>
      <c r="K220" s="93"/>
      <c r="L220" s="93"/>
      <c r="M220" s="93"/>
      <c r="N220" s="93"/>
      <c r="O220" s="93"/>
      <c r="P220" s="93"/>
      <c r="Q220" s="93"/>
      <c r="R220" s="93"/>
      <c r="S220" s="92"/>
      <c r="T220" s="92"/>
      <c r="U220" s="92"/>
      <c r="V220" s="92"/>
      <c r="W220" s="92"/>
      <c r="X220" s="92"/>
      <c r="Y220" s="92"/>
      <c r="Z220" s="92"/>
      <c r="AA220" s="92"/>
      <c r="AB220" s="92"/>
      <c r="AC220" s="92"/>
      <c r="AD220" s="92"/>
      <c r="AE220" s="92"/>
      <c r="AF220" s="92"/>
      <c r="AG220" s="92"/>
      <c r="AH220" s="92"/>
      <c r="AI220" s="92"/>
      <c r="AJ220" s="92"/>
      <c r="AK220" s="92"/>
      <c r="AL220" s="92"/>
      <c r="AM220" s="92"/>
      <c r="AN220" s="92"/>
      <c r="AO220" s="92"/>
      <c r="AP220" s="92"/>
      <c r="AQ220" s="92"/>
      <c r="AR220" s="92"/>
      <c r="AS220" s="92"/>
      <c r="AT220" s="92"/>
      <c r="AU220" s="92"/>
      <c r="AV220" s="92"/>
      <c r="AW220" s="92"/>
      <c r="AX220" s="92"/>
      <c r="AY220" s="92"/>
      <c r="AZ220" s="92"/>
    </row>
    <row r="221" spans="1:52" ht="15.7" customHeight="1" x14ac:dyDescent="0.4">
      <c r="A221" s="22"/>
      <c r="B221" s="91"/>
      <c r="C221" s="91"/>
      <c r="D221" s="92"/>
      <c r="E221" s="92"/>
      <c r="F221" s="92"/>
      <c r="G221" s="92"/>
      <c r="H221" s="92"/>
      <c r="I221" s="92"/>
      <c r="J221" s="92"/>
      <c r="K221" s="93"/>
      <c r="L221" s="93"/>
      <c r="M221" s="93"/>
      <c r="N221" s="93"/>
      <c r="O221" s="93"/>
      <c r="P221" s="93"/>
      <c r="Q221" s="93"/>
      <c r="R221" s="93"/>
      <c r="S221" s="92"/>
      <c r="T221" s="92"/>
      <c r="U221" s="92"/>
      <c r="V221" s="92"/>
      <c r="W221" s="92"/>
      <c r="X221" s="92"/>
      <c r="Y221" s="92"/>
      <c r="Z221" s="92"/>
      <c r="AA221" s="92"/>
      <c r="AB221" s="92"/>
      <c r="AC221" s="92"/>
      <c r="AD221" s="92"/>
      <c r="AE221" s="92"/>
      <c r="AF221" s="92"/>
      <c r="AG221" s="92"/>
      <c r="AH221" s="92"/>
      <c r="AI221" s="92"/>
      <c r="AJ221" s="92"/>
      <c r="AK221" s="92"/>
      <c r="AL221" s="92"/>
      <c r="AM221" s="92"/>
      <c r="AN221" s="92"/>
      <c r="AO221" s="92"/>
      <c r="AP221" s="92"/>
      <c r="AQ221" s="92"/>
      <c r="AR221" s="92"/>
      <c r="AS221" s="92"/>
      <c r="AT221" s="92"/>
      <c r="AU221" s="92"/>
      <c r="AV221" s="92"/>
      <c r="AW221" s="92"/>
      <c r="AX221" s="92"/>
      <c r="AY221" s="92"/>
      <c r="AZ221" s="92"/>
    </row>
    <row r="222" spans="1:52" ht="15.7" customHeight="1" x14ac:dyDescent="0.4">
      <c r="A222" s="22"/>
      <c r="B222" s="91"/>
      <c r="C222" s="91"/>
      <c r="D222" s="92"/>
      <c r="E222" s="92"/>
      <c r="F222" s="92"/>
      <c r="G222" s="92"/>
      <c r="H222" s="92"/>
      <c r="I222" s="92"/>
      <c r="J222" s="92"/>
      <c r="K222" s="93"/>
      <c r="L222" s="93"/>
      <c r="M222" s="93"/>
      <c r="N222" s="93"/>
      <c r="O222" s="93"/>
      <c r="P222" s="93"/>
      <c r="Q222" s="93"/>
      <c r="R222" s="93"/>
      <c r="S222" s="92"/>
      <c r="T222" s="92"/>
      <c r="U222" s="92"/>
      <c r="V222" s="92"/>
      <c r="W222" s="92"/>
      <c r="X222" s="92"/>
      <c r="Y222" s="92"/>
      <c r="Z222" s="92"/>
      <c r="AA222" s="92"/>
      <c r="AB222" s="92"/>
      <c r="AC222" s="92"/>
      <c r="AD222" s="92"/>
      <c r="AE222" s="92"/>
      <c r="AF222" s="92"/>
      <c r="AG222" s="92"/>
      <c r="AH222" s="92"/>
      <c r="AI222" s="92"/>
      <c r="AJ222" s="92"/>
      <c r="AK222" s="92"/>
      <c r="AL222" s="92"/>
      <c r="AM222" s="92"/>
      <c r="AN222" s="92"/>
      <c r="AO222" s="92"/>
      <c r="AP222" s="92"/>
      <c r="AQ222" s="92"/>
      <c r="AR222" s="92"/>
      <c r="AS222" s="92"/>
      <c r="AT222" s="92"/>
      <c r="AU222" s="92"/>
      <c r="AV222" s="92"/>
      <c r="AW222" s="92"/>
      <c r="AX222" s="92"/>
      <c r="AY222" s="92"/>
      <c r="AZ222" s="92"/>
    </row>
    <row r="223" spans="1:52" ht="15.7" customHeight="1" x14ac:dyDescent="0.4">
      <c r="A223" s="22"/>
      <c r="B223" s="91"/>
      <c r="C223" s="91"/>
      <c r="D223" s="92"/>
      <c r="E223" s="92"/>
      <c r="F223" s="92"/>
      <c r="G223" s="92"/>
      <c r="H223" s="92"/>
      <c r="I223" s="92"/>
      <c r="J223" s="92"/>
      <c r="K223" s="93"/>
      <c r="L223" s="93"/>
      <c r="M223" s="93"/>
      <c r="N223" s="93"/>
      <c r="O223" s="93"/>
      <c r="P223" s="93"/>
      <c r="Q223" s="93"/>
      <c r="R223" s="93"/>
      <c r="S223" s="92"/>
      <c r="T223" s="92"/>
      <c r="U223" s="92"/>
      <c r="V223" s="92"/>
      <c r="W223" s="92"/>
      <c r="X223" s="92"/>
      <c r="Y223" s="92"/>
      <c r="Z223" s="92"/>
      <c r="AA223" s="92"/>
      <c r="AB223" s="92"/>
      <c r="AC223" s="92"/>
      <c r="AD223" s="92"/>
      <c r="AE223" s="92"/>
      <c r="AF223" s="92"/>
      <c r="AG223" s="92"/>
      <c r="AH223" s="92"/>
      <c r="AI223" s="92"/>
      <c r="AJ223" s="92"/>
      <c r="AK223" s="92"/>
      <c r="AL223" s="92"/>
      <c r="AM223" s="92"/>
      <c r="AN223" s="92"/>
      <c r="AO223" s="92"/>
      <c r="AP223" s="92"/>
      <c r="AQ223" s="92"/>
      <c r="AR223" s="92"/>
      <c r="AS223" s="92"/>
      <c r="AT223" s="92"/>
      <c r="AU223" s="92"/>
      <c r="AV223" s="92"/>
      <c r="AW223" s="92"/>
      <c r="AX223" s="92"/>
      <c r="AY223" s="92"/>
      <c r="AZ223" s="92"/>
    </row>
    <row r="224" spans="1:52" ht="15.7" customHeight="1" x14ac:dyDescent="0.4">
      <c r="A224" s="22"/>
      <c r="B224" s="91"/>
      <c r="C224" s="91"/>
      <c r="D224" s="92"/>
      <c r="E224" s="92"/>
      <c r="F224" s="92"/>
      <c r="G224" s="92"/>
      <c r="H224" s="92"/>
      <c r="I224" s="92"/>
      <c r="J224" s="92"/>
      <c r="K224" s="93"/>
      <c r="L224" s="93"/>
      <c r="M224" s="93"/>
      <c r="N224" s="93"/>
      <c r="O224" s="93"/>
      <c r="P224" s="93"/>
      <c r="Q224" s="93"/>
      <c r="R224" s="93"/>
      <c r="S224" s="92"/>
      <c r="T224" s="92"/>
      <c r="U224" s="92"/>
      <c r="V224" s="92"/>
      <c r="W224" s="92"/>
      <c r="X224" s="92"/>
      <c r="Y224" s="92"/>
      <c r="Z224" s="92"/>
      <c r="AA224" s="92"/>
      <c r="AB224" s="92"/>
      <c r="AC224" s="92"/>
      <c r="AD224" s="92"/>
      <c r="AE224" s="92"/>
      <c r="AF224" s="92"/>
      <c r="AG224" s="92"/>
      <c r="AH224" s="92"/>
      <c r="AI224" s="92"/>
      <c r="AJ224" s="92"/>
      <c r="AK224" s="92"/>
      <c r="AL224" s="92"/>
      <c r="AM224" s="92"/>
      <c r="AN224" s="92"/>
      <c r="AO224" s="92"/>
      <c r="AP224" s="92"/>
      <c r="AQ224" s="92"/>
      <c r="AR224" s="92"/>
      <c r="AS224" s="92"/>
      <c r="AT224" s="92"/>
      <c r="AU224" s="92"/>
      <c r="AV224" s="92"/>
      <c r="AW224" s="92"/>
      <c r="AX224" s="92"/>
      <c r="AY224" s="92"/>
      <c r="AZ224" s="92"/>
    </row>
    <row r="225" spans="1:52" ht="15.7" customHeight="1" x14ac:dyDescent="0.4">
      <c r="A225" s="22"/>
      <c r="B225" s="91"/>
      <c r="C225" s="91"/>
      <c r="D225" s="92"/>
      <c r="E225" s="92"/>
      <c r="F225" s="92"/>
      <c r="G225" s="92"/>
      <c r="H225" s="92"/>
      <c r="I225" s="92"/>
      <c r="J225" s="92"/>
      <c r="K225" s="93"/>
      <c r="L225" s="93"/>
      <c r="M225" s="93"/>
      <c r="N225" s="93"/>
      <c r="O225" s="93"/>
      <c r="P225" s="93"/>
      <c r="Q225" s="93"/>
      <c r="R225" s="93"/>
      <c r="S225" s="92"/>
      <c r="T225" s="92"/>
      <c r="U225" s="92"/>
      <c r="V225" s="92"/>
      <c r="W225" s="92"/>
      <c r="X225" s="92"/>
      <c r="Y225" s="92"/>
      <c r="Z225" s="92"/>
      <c r="AA225" s="92"/>
      <c r="AB225" s="92"/>
      <c r="AC225" s="92"/>
      <c r="AD225" s="92"/>
      <c r="AE225" s="92"/>
      <c r="AF225" s="92"/>
      <c r="AG225" s="92"/>
      <c r="AH225" s="92"/>
      <c r="AI225" s="92"/>
      <c r="AJ225" s="92"/>
      <c r="AK225" s="92"/>
      <c r="AL225" s="92"/>
      <c r="AM225" s="92"/>
      <c r="AN225" s="92"/>
      <c r="AO225" s="92"/>
      <c r="AP225" s="92"/>
      <c r="AQ225" s="92"/>
      <c r="AR225" s="92"/>
      <c r="AS225" s="92"/>
      <c r="AT225" s="92"/>
      <c r="AU225" s="92"/>
      <c r="AV225" s="92"/>
      <c r="AW225" s="92"/>
      <c r="AX225" s="92"/>
      <c r="AY225" s="92"/>
      <c r="AZ225" s="92"/>
    </row>
    <row r="226" spans="1:52" ht="15.7" customHeight="1" x14ac:dyDescent="0.4">
      <c r="A226" s="22"/>
      <c r="B226" s="91"/>
      <c r="C226" s="91"/>
      <c r="D226" s="92"/>
      <c r="E226" s="92"/>
      <c r="F226" s="92"/>
      <c r="G226" s="92"/>
      <c r="H226" s="92"/>
      <c r="I226" s="92"/>
      <c r="J226" s="92"/>
      <c r="K226" s="93"/>
      <c r="L226" s="93"/>
      <c r="M226" s="93"/>
      <c r="N226" s="93"/>
      <c r="O226" s="93"/>
      <c r="P226" s="93"/>
      <c r="Q226" s="93"/>
      <c r="R226" s="93"/>
      <c r="S226" s="92"/>
      <c r="T226" s="92"/>
      <c r="U226" s="92"/>
      <c r="V226" s="92"/>
      <c r="W226" s="92"/>
      <c r="X226" s="92"/>
      <c r="Y226" s="92"/>
      <c r="Z226" s="92"/>
      <c r="AA226" s="92"/>
      <c r="AB226" s="92"/>
      <c r="AC226" s="92"/>
      <c r="AD226" s="92"/>
      <c r="AE226" s="92"/>
      <c r="AF226" s="92"/>
      <c r="AG226" s="92"/>
      <c r="AH226" s="92"/>
      <c r="AI226" s="92"/>
      <c r="AJ226" s="92"/>
      <c r="AK226" s="92"/>
      <c r="AL226" s="92"/>
      <c r="AM226" s="92"/>
      <c r="AN226" s="92"/>
      <c r="AO226" s="92"/>
      <c r="AP226" s="92"/>
      <c r="AQ226" s="92"/>
      <c r="AR226" s="92"/>
      <c r="AS226" s="92"/>
      <c r="AT226" s="92"/>
      <c r="AU226" s="92"/>
      <c r="AV226" s="92"/>
      <c r="AW226" s="92"/>
      <c r="AX226" s="92"/>
      <c r="AY226" s="92"/>
      <c r="AZ226" s="92"/>
    </row>
    <row r="227" spans="1:52" ht="15.7" customHeight="1" x14ac:dyDescent="0.4">
      <c r="A227" s="22"/>
      <c r="B227" s="91"/>
      <c r="C227" s="91"/>
      <c r="D227" s="92"/>
      <c r="E227" s="92"/>
      <c r="F227" s="92"/>
      <c r="G227" s="92"/>
      <c r="H227" s="92"/>
      <c r="I227" s="92"/>
      <c r="J227" s="92"/>
      <c r="K227" s="93"/>
      <c r="L227" s="93"/>
      <c r="M227" s="93"/>
      <c r="N227" s="93"/>
      <c r="O227" s="93"/>
      <c r="P227" s="93"/>
      <c r="Q227" s="93"/>
      <c r="R227" s="93"/>
      <c r="S227" s="92"/>
      <c r="T227" s="92"/>
      <c r="U227" s="92"/>
      <c r="V227" s="92"/>
      <c r="W227" s="92"/>
      <c r="X227" s="92"/>
      <c r="Y227" s="92"/>
      <c r="Z227" s="92"/>
      <c r="AA227" s="92"/>
      <c r="AB227" s="92"/>
      <c r="AC227" s="92"/>
      <c r="AD227" s="92"/>
      <c r="AE227" s="92"/>
      <c r="AF227" s="92"/>
      <c r="AG227" s="92"/>
      <c r="AH227" s="92"/>
      <c r="AI227" s="92"/>
      <c r="AJ227" s="92"/>
      <c r="AK227" s="92"/>
      <c r="AL227" s="92"/>
      <c r="AM227" s="92"/>
      <c r="AN227" s="92"/>
      <c r="AO227" s="92"/>
      <c r="AP227" s="92"/>
      <c r="AQ227" s="92"/>
      <c r="AR227" s="92"/>
      <c r="AS227" s="92"/>
      <c r="AT227" s="92"/>
      <c r="AU227" s="92"/>
      <c r="AV227" s="92"/>
      <c r="AW227" s="92"/>
      <c r="AX227" s="92"/>
      <c r="AY227" s="92"/>
      <c r="AZ227" s="92"/>
    </row>
    <row r="228" spans="1:52" ht="15.7" customHeight="1" x14ac:dyDescent="0.4">
      <c r="A228" s="22"/>
      <c r="B228" s="91"/>
      <c r="C228" s="91"/>
      <c r="D228" s="92"/>
      <c r="E228" s="92"/>
      <c r="F228" s="92"/>
      <c r="G228" s="92"/>
      <c r="H228" s="92"/>
      <c r="I228" s="92"/>
      <c r="J228" s="92"/>
      <c r="K228" s="93"/>
      <c r="L228" s="93"/>
      <c r="M228" s="93"/>
      <c r="N228" s="93"/>
      <c r="O228" s="93"/>
      <c r="P228" s="93"/>
      <c r="Q228" s="93"/>
      <c r="R228" s="93"/>
      <c r="S228" s="92"/>
      <c r="T228" s="92"/>
      <c r="U228" s="92"/>
      <c r="V228" s="92"/>
      <c r="W228" s="92"/>
      <c r="X228" s="92"/>
      <c r="Y228" s="92"/>
      <c r="Z228" s="92"/>
      <c r="AA228" s="92"/>
      <c r="AB228" s="92"/>
      <c r="AC228" s="92"/>
      <c r="AD228" s="92"/>
      <c r="AE228" s="92"/>
      <c r="AF228" s="92"/>
      <c r="AG228" s="92"/>
      <c r="AH228" s="92"/>
      <c r="AI228" s="92"/>
      <c r="AJ228" s="92"/>
      <c r="AK228" s="92"/>
      <c r="AL228" s="92"/>
      <c r="AM228" s="92"/>
      <c r="AN228" s="92"/>
      <c r="AO228" s="92"/>
      <c r="AP228" s="92"/>
      <c r="AQ228" s="92"/>
      <c r="AR228" s="92"/>
      <c r="AS228" s="92"/>
      <c r="AT228" s="92"/>
      <c r="AU228" s="92"/>
      <c r="AV228" s="92"/>
      <c r="AW228" s="92"/>
      <c r="AX228" s="92"/>
      <c r="AY228" s="92"/>
      <c r="AZ228" s="92"/>
    </row>
    <row r="229" spans="1:52" ht="15.7" customHeight="1" x14ac:dyDescent="0.4">
      <c r="A229" s="22"/>
      <c r="B229" s="91"/>
      <c r="C229" s="91"/>
      <c r="D229" s="92"/>
      <c r="E229" s="92"/>
      <c r="F229" s="92"/>
      <c r="G229" s="92"/>
      <c r="H229" s="92"/>
      <c r="I229" s="92"/>
      <c r="J229" s="92"/>
      <c r="K229" s="93"/>
      <c r="L229" s="93"/>
      <c r="M229" s="93"/>
      <c r="N229" s="93"/>
      <c r="O229" s="93"/>
      <c r="P229" s="93"/>
      <c r="Q229" s="93"/>
      <c r="R229" s="93"/>
      <c r="S229" s="92"/>
      <c r="T229" s="92"/>
      <c r="U229" s="92"/>
      <c r="V229" s="92"/>
      <c r="W229" s="92"/>
      <c r="X229" s="92"/>
      <c r="Y229" s="92"/>
      <c r="Z229" s="92"/>
      <c r="AA229" s="92"/>
      <c r="AB229" s="92"/>
      <c r="AC229" s="92"/>
      <c r="AD229" s="92"/>
      <c r="AE229" s="92"/>
      <c r="AF229" s="92"/>
      <c r="AG229" s="92"/>
      <c r="AH229" s="92"/>
      <c r="AI229" s="92"/>
      <c r="AJ229" s="92"/>
      <c r="AK229" s="92"/>
      <c r="AL229" s="92"/>
      <c r="AM229" s="92"/>
      <c r="AN229" s="92"/>
      <c r="AO229" s="92"/>
      <c r="AP229" s="92"/>
      <c r="AQ229" s="92"/>
      <c r="AR229" s="92"/>
      <c r="AS229" s="92"/>
      <c r="AT229" s="92"/>
      <c r="AU229" s="92"/>
      <c r="AV229" s="92"/>
      <c r="AW229" s="92"/>
      <c r="AX229" s="92"/>
      <c r="AY229" s="92"/>
      <c r="AZ229" s="92"/>
    </row>
    <row r="230" spans="1:52" ht="15.7" customHeight="1" x14ac:dyDescent="0.4">
      <c r="A230" s="22"/>
      <c r="B230" s="91"/>
      <c r="C230" s="91"/>
      <c r="D230" s="92"/>
      <c r="E230" s="92"/>
      <c r="F230" s="92"/>
      <c r="G230" s="92"/>
      <c r="H230" s="92"/>
      <c r="I230" s="92"/>
      <c r="J230" s="92"/>
      <c r="K230" s="93"/>
      <c r="L230" s="93"/>
      <c r="M230" s="93"/>
      <c r="N230" s="93"/>
      <c r="O230" s="93"/>
      <c r="P230" s="93"/>
      <c r="Q230" s="93"/>
      <c r="R230" s="93"/>
      <c r="S230" s="92"/>
      <c r="T230" s="92"/>
      <c r="U230" s="92"/>
      <c r="V230" s="92"/>
      <c r="W230" s="92"/>
      <c r="X230" s="92"/>
      <c r="Y230" s="92"/>
      <c r="Z230" s="92"/>
      <c r="AA230" s="92"/>
      <c r="AB230" s="92"/>
      <c r="AC230" s="92"/>
      <c r="AD230" s="92"/>
      <c r="AE230" s="92"/>
      <c r="AF230" s="92"/>
      <c r="AG230" s="92"/>
      <c r="AH230" s="92"/>
      <c r="AI230" s="92"/>
      <c r="AJ230" s="92"/>
      <c r="AK230" s="92"/>
      <c r="AL230" s="92"/>
      <c r="AM230" s="92"/>
      <c r="AN230" s="92"/>
      <c r="AO230" s="92"/>
      <c r="AP230" s="92"/>
      <c r="AQ230" s="92"/>
      <c r="AR230" s="92"/>
      <c r="AS230" s="92"/>
      <c r="AT230" s="92"/>
      <c r="AU230" s="92"/>
      <c r="AV230" s="92"/>
      <c r="AW230" s="92"/>
      <c r="AX230" s="92"/>
      <c r="AY230" s="92"/>
      <c r="AZ230" s="92"/>
    </row>
    <row r="231" spans="1:52" ht="15.7" customHeight="1" x14ac:dyDescent="0.4">
      <c r="A231" s="22"/>
      <c r="B231" s="91"/>
      <c r="C231" s="91"/>
      <c r="D231" s="92"/>
      <c r="E231" s="92"/>
      <c r="F231" s="92"/>
      <c r="G231" s="92"/>
      <c r="H231" s="92"/>
      <c r="I231" s="92"/>
      <c r="J231" s="92"/>
      <c r="K231" s="93"/>
      <c r="L231" s="93"/>
      <c r="M231" s="93"/>
      <c r="N231" s="93"/>
      <c r="O231" s="93"/>
      <c r="P231" s="93"/>
      <c r="Q231" s="93"/>
      <c r="R231" s="93"/>
      <c r="S231" s="92"/>
      <c r="T231" s="92"/>
      <c r="U231" s="92"/>
      <c r="V231" s="92"/>
      <c r="W231" s="92"/>
      <c r="X231" s="92"/>
      <c r="Y231" s="92"/>
      <c r="Z231" s="92"/>
      <c r="AA231" s="92"/>
      <c r="AB231" s="92"/>
      <c r="AC231" s="92"/>
      <c r="AD231" s="92"/>
      <c r="AE231" s="92"/>
      <c r="AF231" s="92"/>
      <c r="AG231" s="92"/>
      <c r="AH231" s="92"/>
      <c r="AI231" s="92"/>
      <c r="AJ231" s="92"/>
      <c r="AK231" s="92"/>
      <c r="AL231" s="92"/>
      <c r="AM231" s="92"/>
      <c r="AN231" s="92"/>
      <c r="AO231" s="92"/>
      <c r="AP231" s="92"/>
      <c r="AQ231" s="92"/>
      <c r="AR231" s="92"/>
      <c r="AS231" s="92"/>
      <c r="AT231" s="92"/>
      <c r="AU231" s="92"/>
      <c r="AV231" s="92"/>
      <c r="AW231" s="92"/>
      <c r="AX231" s="92"/>
      <c r="AY231" s="92"/>
      <c r="AZ231" s="92"/>
    </row>
    <row r="232" spans="1:52" ht="15.7" customHeight="1" x14ac:dyDescent="0.4">
      <c r="A232" s="22"/>
      <c r="B232" s="91"/>
      <c r="C232" s="91"/>
      <c r="D232" s="92"/>
      <c r="E232" s="92"/>
      <c r="F232" s="92"/>
      <c r="G232" s="92"/>
      <c r="H232" s="92"/>
      <c r="I232" s="92"/>
      <c r="J232" s="92"/>
      <c r="K232" s="93"/>
      <c r="L232" s="93"/>
      <c r="M232" s="93"/>
      <c r="N232" s="93"/>
      <c r="O232" s="93"/>
      <c r="P232" s="93"/>
      <c r="Q232" s="93"/>
      <c r="R232" s="93"/>
      <c r="S232" s="92"/>
      <c r="T232" s="92"/>
      <c r="U232" s="92"/>
      <c r="V232" s="92"/>
      <c r="W232" s="92"/>
      <c r="X232" s="92"/>
      <c r="Y232" s="92"/>
      <c r="Z232" s="92"/>
      <c r="AA232" s="92"/>
      <c r="AB232" s="92"/>
      <c r="AC232" s="92"/>
      <c r="AD232" s="92"/>
      <c r="AE232" s="92"/>
      <c r="AF232" s="92"/>
      <c r="AG232" s="92"/>
      <c r="AH232" s="92"/>
      <c r="AI232" s="92"/>
      <c r="AJ232" s="92"/>
      <c r="AK232" s="92"/>
      <c r="AL232" s="92"/>
      <c r="AM232" s="92"/>
      <c r="AN232" s="92"/>
      <c r="AO232" s="92"/>
      <c r="AP232" s="92"/>
      <c r="AQ232" s="92"/>
      <c r="AR232" s="92"/>
      <c r="AS232" s="92"/>
      <c r="AT232" s="92"/>
      <c r="AU232" s="92"/>
      <c r="AV232" s="92"/>
      <c r="AW232" s="92"/>
      <c r="AX232" s="92"/>
      <c r="AY232" s="92"/>
      <c r="AZ232" s="92"/>
    </row>
    <row r="233" spans="1:52" ht="15.7" customHeight="1" x14ac:dyDescent="0.4">
      <c r="A233" s="22"/>
      <c r="B233" s="91"/>
      <c r="C233" s="91"/>
      <c r="D233" s="92"/>
      <c r="E233" s="92"/>
      <c r="F233" s="92"/>
      <c r="G233" s="92"/>
      <c r="H233" s="92"/>
      <c r="I233" s="92"/>
      <c r="J233" s="92"/>
      <c r="K233" s="93"/>
      <c r="L233" s="93"/>
      <c r="M233" s="93"/>
      <c r="N233" s="93"/>
      <c r="O233" s="93"/>
      <c r="P233" s="93"/>
      <c r="Q233" s="93"/>
      <c r="R233" s="93"/>
      <c r="S233" s="92"/>
      <c r="T233" s="92"/>
      <c r="U233" s="92"/>
      <c r="V233" s="92"/>
      <c r="W233" s="92"/>
      <c r="X233" s="92"/>
      <c r="Y233" s="92"/>
      <c r="Z233" s="92"/>
      <c r="AA233" s="92"/>
      <c r="AB233" s="92"/>
      <c r="AC233" s="92"/>
      <c r="AD233" s="92"/>
      <c r="AE233" s="92"/>
      <c r="AF233" s="92"/>
      <c r="AG233" s="92"/>
      <c r="AH233" s="92"/>
      <c r="AI233" s="92"/>
      <c r="AJ233" s="92"/>
      <c r="AK233" s="92"/>
      <c r="AL233" s="92"/>
      <c r="AM233" s="92"/>
      <c r="AN233" s="92"/>
      <c r="AO233" s="92"/>
      <c r="AP233" s="92"/>
      <c r="AQ233" s="92"/>
      <c r="AR233" s="92"/>
      <c r="AS233" s="92"/>
      <c r="AT233" s="92"/>
      <c r="AU233" s="92"/>
      <c r="AV233" s="92"/>
      <c r="AW233" s="92"/>
      <c r="AX233" s="92"/>
      <c r="AY233" s="92"/>
      <c r="AZ233" s="92"/>
    </row>
    <row r="234" spans="1:52" ht="15.7" customHeight="1" x14ac:dyDescent="0.4">
      <c r="A234" s="22"/>
      <c r="B234" s="91"/>
      <c r="C234" s="91"/>
      <c r="D234" s="92"/>
      <c r="E234" s="92"/>
      <c r="F234" s="92"/>
      <c r="G234" s="92"/>
      <c r="H234" s="92"/>
      <c r="I234" s="92"/>
      <c r="J234" s="92"/>
      <c r="K234" s="93"/>
      <c r="L234" s="93"/>
      <c r="M234" s="93"/>
      <c r="N234" s="93"/>
      <c r="O234" s="93"/>
      <c r="P234" s="93"/>
      <c r="Q234" s="93"/>
      <c r="R234" s="93"/>
      <c r="S234" s="92"/>
      <c r="T234" s="92"/>
      <c r="U234" s="92"/>
      <c r="V234" s="92"/>
      <c r="W234" s="92"/>
      <c r="X234" s="92"/>
      <c r="Y234" s="92"/>
      <c r="Z234" s="92"/>
      <c r="AA234" s="92"/>
      <c r="AB234" s="92"/>
      <c r="AC234" s="92"/>
      <c r="AD234" s="92"/>
      <c r="AE234" s="92"/>
      <c r="AF234" s="92"/>
      <c r="AG234" s="92"/>
      <c r="AH234" s="92"/>
      <c r="AI234" s="92"/>
      <c r="AJ234" s="92"/>
      <c r="AK234" s="92"/>
      <c r="AL234" s="92"/>
      <c r="AM234" s="92"/>
      <c r="AN234" s="92"/>
      <c r="AO234" s="92"/>
      <c r="AP234" s="92"/>
      <c r="AQ234" s="92"/>
      <c r="AR234" s="92"/>
      <c r="AS234" s="92"/>
      <c r="AT234" s="92"/>
      <c r="AU234" s="92"/>
      <c r="AV234" s="92"/>
      <c r="AW234" s="92"/>
      <c r="AX234" s="92"/>
      <c r="AY234" s="92"/>
      <c r="AZ234" s="92"/>
    </row>
    <row r="235" spans="1:52" ht="15.7" customHeight="1" x14ac:dyDescent="0.4">
      <c r="A235" s="22"/>
      <c r="B235" s="91"/>
      <c r="C235" s="91"/>
      <c r="D235" s="92"/>
      <c r="E235" s="92"/>
      <c r="F235" s="92"/>
      <c r="G235" s="92"/>
      <c r="H235" s="92"/>
      <c r="I235" s="92"/>
      <c r="J235" s="92"/>
      <c r="K235" s="93"/>
      <c r="L235" s="93"/>
      <c r="M235" s="93"/>
      <c r="N235" s="93"/>
      <c r="O235" s="93"/>
      <c r="P235" s="93"/>
      <c r="Q235" s="93"/>
      <c r="R235" s="93"/>
      <c r="S235" s="92"/>
      <c r="T235" s="92"/>
      <c r="U235" s="92"/>
      <c r="V235" s="92"/>
      <c r="W235" s="92"/>
      <c r="X235" s="92"/>
      <c r="Y235" s="92"/>
      <c r="Z235" s="92"/>
      <c r="AA235" s="92"/>
      <c r="AB235" s="92"/>
      <c r="AC235" s="92"/>
      <c r="AD235" s="92"/>
      <c r="AE235" s="92"/>
      <c r="AF235" s="92"/>
      <c r="AG235" s="92"/>
      <c r="AH235" s="92"/>
      <c r="AI235" s="92"/>
      <c r="AJ235" s="92"/>
      <c r="AK235" s="92"/>
      <c r="AL235" s="92"/>
      <c r="AM235" s="92"/>
      <c r="AN235" s="92"/>
      <c r="AO235" s="92"/>
      <c r="AP235" s="92"/>
      <c r="AQ235" s="92"/>
      <c r="AR235" s="92"/>
      <c r="AS235" s="92"/>
      <c r="AT235" s="92"/>
      <c r="AU235" s="92"/>
      <c r="AV235" s="92"/>
      <c r="AW235" s="92"/>
      <c r="AX235" s="92"/>
      <c r="AY235" s="92"/>
      <c r="AZ235" s="92"/>
    </row>
    <row r="236" spans="1:52" ht="15.7" customHeight="1" x14ac:dyDescent="0.4">
      <c r="A236" s="22"/>
      <c r="B236" s="91"/>
      <c r="C236" s="91"/>
      <c r="D236" s="92"/>
      <c r="E236" s="92"/>
      <c r="F236" s="92"/>
      <c r="G236" s="92"/>
      <c r="H236" s="92"/>
      <c r="I236" s="92"/>
      <c r="J236" s="92"/>
      <c r="K236" s="93"/>
      <c r="L236" s="93"/>
      <c r="M236" s="93"/>
      <c r="N236" s="93"/>
      <c r="O236" s="93"/>
      <c r="P236" s="93"/>
      <c r="Q236" s="93"/>
      <c r="R236" s="93"/>
      <c r="S236" s="92"/>
      <c r="T236" s="92"/>
      <c r="U236" s="92"/>
      <c r="V236" s="92"/>
      <c r="W236" s="92"/>
      <c r="X236" s="92"/>
      <c r="Y236" s="92"/>
      <c r="Z236" s="92"/>
      <c r="AA236" s="92"/>
      <c r="AB236" s="92"/>
      <c r="AC236" s="92"/>
      <c r="AD236" s="92"/>
      <c r="AE236" s="92"/>
      <c r="AF236" s="92"/>
      <c r="AG236" s="92"/>
      <c r="AH236" s="92"/>
      <c r="AI236" s="92"/>
      <c r="AJ236" s="92"/>
      <c r="AK236" s="92"/>
      <c r="AL236" s="92"/>
      <c r="AM236" s="92"/>
      <c r="AN236" s="92"/>
      <c r="AO236" s="92"/>
      <c r="AP236" s="92"/>
      <c r="AQ236" s="92"/>
      <c r="AR236" s="92"/>
      <c r="AS236" s="92"/>
      <c r="AT236" s="92"/>
      <c r="AU236" s="92"/>
      <c r="AV236" s="92"/>
      <c r="AW236" s="92"/>
      <c r="AX236" s="92"/>
      <c r="AY236" s="92"/>
      <c r="AZ236" s="92"/>
    </row>
    <row r="237" spans="1:52" ht="15.7" customHeight="1" x14ac:dyDescent="0.4">
      <c r="A237" s="22"/>
      <c r="B237" s="91"/>
      <c r="C237" s="91"/>
      <c r="D237" s="92"/>
      <c r="E237" s="92"/>
      <c r="F237" s="92"/>
      <c r="G237" s="92"/>
      <c r="H237" s="92"/>
      <c r="I237" s="92"/>
      <c r="J237" s="92"/>
      <c r="K237" s="93"/>
      <c r="L237" s="93"/>
      <c r="M237" s="93"/>
      <c r="N237" s="93"/>
      <c r="O237" s="93"/>
      <c r="P237" s="93"/>
      <c r="Q237" s="93"/>
      <c r="R237" s="93"/>
      <c r="S237" s="92"/>
      <c r="T237" s="92"/>
      <c r="U237" s="92"/>
      <c r="V237" s="92"/>
      <c r="W237" s="92"/>
      <c r="X237" s="92"/>
      <c r="Y237" s="92"/>
      <c r="Z237" s="92"/>
      <c r="AA237" s="92"/>
      <c r="AB237" s="92"/>
      <c r="AC237" s="92"/>
      <c r="AD237" s="92"/>
      <c r="AE237" s="92"/>
      <c r="AF237" s="92"/>
      <c r="AG237" s="92"/>
      <c r="AH237" s="92"/>
      <c r="AI237" s="92"/>
      <c r="AJ237" s="92"/>
      <c r="AK237" s="92"/>
      <c r="AL237" s="92"/>
      <c r="AM237" s="92"/>
      <c r="AN237" s="92"/>
      <c r="AO237" s="92"/>
      <c r="AP237" s="92"/>
      <c r="AQ237" s="92"/>
      <c r="AR237" s="92"/>
      <c r="AS237" s="92"/>
      <c r="AT237" s="92"/>
      <c r="AU237" s="92"/>
      <c r="AV237" s="92"/>
      <c r="AW237" s="92"/>
      <c r="AX237" s="92"/>
      <c r="AY237" s="92"/>
      <c r="AZ237" s="92"/>
    </row>
    <row r="238" spans="1:52" ht="15.7" customHeight="1" x14ac:dyDescent="0.4">
      <c r="A238" s="22"/>
      <c r="B238" s="91"/>
      <c r="C238" s="91"/>
      <c r="D238" s="92"/>
      <c r="E238" s="92"/>
      <c r="F238" s="92"/>
      <c r="G238" s="92"/>
      <c r="H238" s="92"/>
      <c r="I238" s="92"/>
      <c r="J238" s="92"/>
      <c r="K238" s="93"/>
      <c r="L238" s="93"/>
      <c r="M238" s="93"/>
      <c r="N238" s="93"/>
      <c r="O238" s="93"/>
      <c r="P238" s="93"/>
      <c r="Q238" s="93"/>
      <c r="R238" s="93"/>
      <c r="S238" s="92"/>
      <c r="T238" s="92"/>
      <c r="U238" s="92"/>
      <c r="V238" s="92"/>
      <c r="W238" s="92"/>
      <c r="X238" s="92"/>
      <c r="Y238" s="92"/>
      <c r="Z238" s="92"/>
      <c r="AA238" s="92"/>
      <c r="AB238" s="92"/>
      <c r="AC238" s="92"/>
      <c r="AD238" s="92"/>
      <c r="AE238" s="92"/>
      <c r="AF238" s="92"/>
      <c r="AG238" s="92"/>
      <c r="AH238" s="92"/>
      <c r="AI238" s="92"/>
      <c r="AJ238" s="92"/>
      <c r="AK238" s="92"/>
      <c r="AL238" s="92"/>
      <c r="AM238" s="92"/>
      <c r="AN238" s="92"/>
      <c r="AO238" s="92"/>
      <c r="AP238" s="92"/>
      <c r="AQ238" s="92"/>
      <c r="AR238" s="92"/>
      <c r="AS238" s="92"/>
      <c r="AT238" s="92"/>
      <c r="AU238" s="92"/>
      <c r="AV238" s="92"/>
      <c r="AW238" s="92"/>
      <c r="AX238" s="92"/>
      <c r="AY238" s="92"/>
      <c r="AZ238" s="92"/>
    </row>
    <row r="239" spans="1:52" ht="15.7" customHeight="1" x14ac:dyDescent="0.4">
      <c r="A239" s="22"/>
      <c r="B239" s="91"/>
      <c r="C239" s="91"/>
      <c r="D239" s="92"/>
      <c r="E239" s="92"/>
      <c r="F239" s="92"/>
      <c r="G239" s="92"/>
      <c r="H239" s="92"/>
      <c r="I239" s="92"/>
      <c r="J239" s="92"/>
      <c r="K239" s="93"/>
      <c r="L239" s="93"/>
      <c r="M239" s="93"/>
      <c r="N239" s="93"/>
      <c r="O239" s="93"/>
      <c r="P239" s="93"/>
      <c r="Q239" s="93"/>
      <c r="R239" s="93"/>
      <c r="S239" s="92"/>
      <c r="T239" s="92"/>
      <c r="U239" s="92"/>
      <c r="V239" s="92"/>
      <c r="W239" s="92"/>
      <c r="X239" s="92"/>
      <c r="Y239" s="92"/>
      <c r="Z239" s="92"/>
      <c r="AA239" s="92"/>
      <c r="AB239" s="92"/>
      <c r="AC239" s="92"/>
      <c r="AD239" s="92"/>
      <c r="AE239" s="92"/>
      <c r="AF239" s="92"/>
      <c r="AG239" s="92"/>
      <c r="AH239" s="92"/>
      <c r="AI239" s="92"/>
      <c r="AJ239" s="92"/>
      <c r="AK239" s="92"/>
      <c r="AL239" s="92"/>
      <c r="AM239" s="92"/>
      <c r="AN239" s="92"/>
      <c r="AO239" s="92"/>
      <c r="AP239" s="92"/>
      <c r="AQ239" s="92"/>
      <c r="AR239" s="92"/>
      <c r="AS239" s="92"/>
      <c r="AT239" s="92"/>
      <c r="AU239" s="92"/>
      <c r="AV239" s="92"/>
      <c r="AW239" s="92"/>
      <c r="AX239" s="92"/>
      <c r="AY239" s="92"/>
      <c r="AZ239" s="92"/>
    </row>
    <row r="240" spans="1:52" ht="15.7" customHeight="1" x14ac:dyDescent="0.4">
      <c r="A240" s="22"/>
      <c r="B240" s="91"/>
      <c r="C240" s="91"/>
      <c r="D240" s="92"/>
      <c r="E240" s="92"/>
      <c r="F240" s="92"/>
      <c r="G240" s="92"/>
      <c r="H240" s="92"/>
      <c r="I240" s="92"/>
      <c r="J240" s="92"/>
      <c r="K240" s="93"/>
      <c r="L240" s="93"/>
      <c r="M240" s="93"/>
      <c r="N240" s="93"/>
      <c r="O240" s="93"/>
      <c r="P240" s="93"/>
      <c r="Q240" s="93"/>
      <c r="R240" s="93"/>
      <c r="S240" s="92"/>
      <c r="T240" s="92"/>
      <c r="U240" s="92"/>
      <c r="V240" s="92"/>
      <c r="W240" s="92"/>
      <c r="X240" s="92"/>
      <c r="Y240" s="92"/>
      <c r="Z240" s="92"/>
      <c r="AA240" s="92"/>
      <c r="AB240" s="92"/>
      <c r="AC240" s="92"/>
      <c r="AD240" s="92"/>
      <c r="AE240" s="92"/>
      <c r="AF240" s="92"/>
      <c r="AG240" s="92"/>
      <c r="AH240" s="92"/>
      <c r="AI240" s="92"/>
      <c r="AJ240" s="92"/>
      <c r="AK240" s="92"/>
      <c r="AL240" s="92"/>
      <c r="AM240" s="92"/>
      <c r="AN240" s="92"/>
      <c r="AO240" s="92"/>
      <c r="AP240" s="92"/>
      <c r="AQ240" s="92"/>
      <c r="AR240" s="92"/>
      <c r="AS240" s="92"/>
      <c r="AT240" s="92"/>
      <c r="AU240" s="92"/>
      <c r="AV240" s="92"/>
      <c r="AW240" s="92"/>
      <c r="AX240" s="92"/>
      <c r="AY240" s="92"/>
      <c r="AZ240" s="92"/>
    </row>
    <row r="241" spans="1:52" ht="15.7" customHeight="1" x14ac:dyDescent="0.4">
      <c r="A241" s="22"/>
      <c r="B241" s="91"/>
      <c r="C241" s="91"/>
      <c r="D241" s="92"/>
      <c r="E241" s="92"/>
      <c r="F241" s="92"/>
      <c r="G241" s="92"/>
      <c r="H241" s="92"/>
      <c r="I241" s="92"/>
      <c r="J241" s="92"/>
      <c r="K241" s="93"/>
      <c r="L241" s="93"/>
      <c r="M241" s="93"/>
      <c r="N241" s="93"/>
      <c r="O241" s="93"/>
      <c r="P241" s="93"/>
      <c r="Q241" s="93"/>
      <c r="R241" s="93"/>
      <c r="S241" s="92"/>
      <c r="T241" s="92"/>
      <c r="U241" s="92"/>
      <c r="V241" s="92"/>
      <c r="W241" s="92"/>
      <c r="X241" s="92"/>
      <c r="Y241" s="92"/>
      <c r="Z241" s="92"/>
      <c r="AA241" s="92"/>
      <c r="AB241" s="92"/>
      <c r="AC241" s="92"/>
      <c r="AD241" s="92"/>
      <c r="AE241" s="92"/>
      <c r="AF241" s="92"/>
      <c r="AG241" s="92"/>
      <c r="AH241" s="92"/>
      <c r="AI241" s="92"/>
      <c r="AJ241" s="92"/>
      <c r="AK241" s="92"/>
      <c r="AL241" s="92"/>
      <c r="AM241" s="92"/>
      <c r="AN241" s="92"/>
      <c r="AO241" s="92"/>
      <c r="AP241" s="92"/>
      <c r="AQ241" s="92"/>
      <c r="AR241" s="92"/>
      <c r="AS241" s="92"/>
      <c r="AT241" s="92"/>
      <c r="AU241" s="92"/>
      <c r="AV241" s="92"/>
      <c r="AW241" s="92"/>
      <c r="AX241" s="92"/>
      <c r="AY241" s="92"/>
      <c r="AZ241" s="92"/>
    </row>
    <row r="242" spans="1:52" ht="15.7" customHeight="1" x14ac:dyDescent="0.4">
      <c r="A242" s="22"/>
      <c r="B242" s="91"/>
      <c r="C242" s="91"/>
      <c r="D242" s="92"/>
      <c r="E242" s="92"/>
      <c r="F242" s="92"/>
      <c r="G242" s="92"/>
      <c r="H242" s="92"/>
      <c r="I242" s="92"/>
      <c r="J242" s="92"/>
      <c r="K242" s="93"/>
      <c r="L242" s="93"/>
      <c r="M242" s="93"/>
      <c r="N242" s="93"/>
      <c r="O242" s="93"/>
      <c r="P242" s="93"/>
      <c r="Q242" s="93"/>
      <c r="R242" s="93"/>
      <c r="S242" s="92"/>
      <c r="T242" s="92"/>
      <c r="U242" s="92"/>
      <c r="V242" s="92"/>
      <c r="W242" s="92"/>
      <c r="X242" s="92"/>
      <c r="Y242" s="92"/>
      <c r="Z242" s="92"/>
      <c r="AA242" s="92"/>
      <c r="AB242" s="92"/>
      <c r="AC242" s="92"/>
      <c r="AD242" s="92"/>
      <c r="AE242" s="92"/>
      <c r="AF242" s="92"/>
      <c r="AG242" s="92"/>
      <c r="AH242" s="92"/>
      <c r="AI242" s="92"/>
      <c r="AJ242" s="92"/>
      <c r="AK242" s="92"/>
      <c r="AL242" s="92"/>
      <c r="AM242" s="92"/>
      <c r="AN242" s="92"/>
      <c r="AO242" s="92"/>
      <c r="AP242" s="92"/>
      <c r="AQ242" s="92"/>
      <c r="AR242" s="92"/>
      <c r="AS242" s="92"/>
      <c r="AT242" s="92"/>
      <c r="AU242" s="92"/>
      <c r="AV242" s="92"/>
      <c r="AW242" s="92"/>
      <c r="AX242" s="92"/>
      <c r="AY242" s="92"/>
      <c r="AZ242" s="92"/>
    </row>
    <row r="243" spans="1:52" ht="15.7" customHeight="1" x14ac:dyDescent="0.4">
      <c r="A243" s="22"/>
      <c r="B243" s="91"/>
      <c r="C243" s="91"/>
      <c r="D243" s="92"/>
      <c r="E243" s="92"/>
      <c r="F243" s="92"/>
      <c r="G243" s="92"/>
      <c r="H243" s="92"/>
      <c r="I243" s="92"/>
      <c r="J243" s="92"/>
      <c r="K243" s="93"/>
      <c r="L243" s="93"/>
      <c r="M243" s="93"/>
      <c r="N243" s="93"/>
      <c r="O243" s="93"/>
      <c r="P243" s="93"/>
      <c r="Q243" s="93"/>
      <c r="R243" s="93"/>
      <c r="S243" s="92"/>
      <c r="T243" s="92"/>
      <c r="U243" s="92"/>
      <c r="V243" s="92"/>
      <c r="W243" s="92"/>
      <c r="X243" s="92"/>
      <c r="Y243" s="92"/>
      <c r="Z243" s="92"/>
      <c r="AA243" s="92"/>
      <c r="AB243" s="92"/>
      <c r="AC243" s="92"/>
      <c r="AD243" s="92"/>
      <c r="AE243" s="92"/>
      <c r="AF243" s="92"/>
      <c r="AG243" s="92"/>
      <c r="AH243" s="92"/>
      <c r="AI243" s="92"/>
      <c r="AJ243" s="92"/>
      <c r="AK243" s="92"/>
      <c r="AL243" s="92"/>
      <c r="AM243" s="92"/>
      <c r="AN243" s="92"/>
      <c r="AO243" s="92"/>
      <c r="AP243" s="92"/>
      <c r="AQ243" s="92"/>
      <c r="AR243" s="92"/>
      <c r="AS243" s="92"/>
      <c r="AT243" s="92"/>
      <c r="AU243" s="92"/>
      <c r="AV243" s="92"/>
      <c r="AW243" s="92"/>
      <c r="AX243" s="92"/>
      <c r="AY243" s="92"/>
      <c r="AZ243" s="92"/>
    </row>
    <row r="244" spans="1:52" ht="15.7" customHeight="1" x14ac:dyDescent="0.4">
      <c r="A244" s="22"/>
      <c r="B244" s="91"/>
      <c r="C244" s="91"/>
      <c r="D244" s="92"/>
      <c r="E244" s="92"/>
      <c r="F244" s="92"/>
      <c r="G244" s="92"/>
      <c r="H244" s="92"/>
      <c r="I244" s="92"/>
      <c r="J244" s="92"/>
      <c r="K244" s="93"/>
      <c r="L244" s="93"/>
      <c r="M244" s="93"/>
      <c r="N244" s="93"/>
      <c r="O244" s="93"/>
      <c r="P244" s="93"/>
      <c r="Q244" s="93"/>
      <c r="R244" s="93"/>
      <c r="S244" s="92"/>
      <c r="T244" s="92"/>
      <c r="U244" s="92"/>
      <c r="V244" s="92"/>
      <c r="W244" s="92"/>
      <c r="X244" s="92"/>
      <c r="Y244" s="92"/>
      <c r="Z244" s="92"/>
      <c r="AA244" s="92"/>
      <c r="AB244" s="92"/>
      <c r="AC244" s="92"/>
      <c r="AD244" s="92"/>
      <c r="AE244" s="92"/>
      <c r="AF244" s="92"/>
      <c r="AG244" s="92"/>
      <c r="AH244" s="92"/>
      <c r="AI244" s="92"/>
      <c r="AJ244" s="92"/>
      <c r="AK244" s="92"/>
      <c r="AL244" s="92"/>
      <c r="AM244" s="92"/>
      <c r="AN244" s="92"/>
      <c r="AO244" s="92"/>
      <c r="AP244" s="92"/>
      <c r="AQ244" s="92"/>
      <c r="AR244" s="92"/>
      <c r="AS244" s="92"/>
      <c r="AT244" s="92"/>
      <c r="AU244" s="92"/>
      <c r="AV244" s="92"/>
      <c r="AW244" s="92"/>
      <c r="AX244" s="92"/>
      <c r="AY244" s="92"/>
      <c r="AZ244" s="92"/>
    </row>
    <row r="245" spans="1:52" ht="15.7" customHeight="1" x14ac:dyDescent="0.4">
      <c r="A245" s="22"/>
      <c r="B245" s="91"/>
      <c r="C245" s="91"/>
      <c r="D245" s="92"/>
      <c r="E245" s="92"/>
      <c r="F245" s="92"/>
      <c r="G245" s="92"/>
      <c r="H245" s="92"/>
      <c r="I245" s="92"/>
      <c r="J245" s="92"/>
      <c r="K245" s="93"/>
      <c r="L245" s="93"/>
      <c r="M245" s="93"/>
      <c r="N245" s="93"/>
      <c r="O245" s="93"/>
      <c r="P245" s="93"/>
      <c r="Q245" s="93"/>
      <c r="R245" s="93"/>
      <c r="S245" s="92"/>
      <c r="T245" s="92"/>
      <c r="U245" s="92"/>
      <c r="V245" s="92"/>
      <c r="W245" s="92"/>
      <c r="X245" s="92"/>
      <c r="Y245" s="92"/>
      <c r="Z245" s="92"/>
      <c r="AA245" s="92"/>
      <c r="AB245" s="92"/>
      <c r="AC245" s="92"/>
      <c r="AD245" s="92"/>
      <c r="AE245" s="92"/>
      <c r="AF245" s="92"/>
      <c r="AG245" s="92"/>
      <c r="AH245" s="92"/>
      <c r="AI245" s="92"/>
      <c r="AJ245" s="92"/>
      <c r="AK245" s="92"/>
      <c r="AL245" s="92"/>
      <c r="AM245" s="92"/>
      <c r="AN245" s="92"/>
      <c r="AO245" s="92"/>
      <c r="AP245" s="92"/>
      <c r="AQ245" s="92"/>
      <c r="AR245" s="92"/>
      <c r="AS245" s="92"/>
      <c r="AT245" s="92"/>
      <c r="AU245" s="92"/>
      <c r="AV245" s="92"/>
      <c r="AW245" s="92"/>
      <c r="AX245" s="92"/>
      <c r="AY245" s="92"/>
      <c r="AZ245" s="92"/>
    </row>
    <row r="246" spans="1:52" ht="15.7" customHeight="1" x14ac:dyDescent="0.4">
      <c r="A246" s="22"/>
      <c r="B246" s="91"/>
      <c r="C246" s="91"/>
      <c r="D246" s="92"/>
      <c r="E246" s="92"/>
      <c r="F246" s="92"/>
      <c r="G246" s="92"/>
      <c r="H246" s="92"/>
      <c r="I246" s="92"/>
      <c r="J246" s="92"/>
      <c r="K246" s="93"/>
      <c r="L246" s="93"/>
      <c r="M246" s="93"/>
      <c r="N246" s="93"/>
      <c r="O246" s="93"/>
      <c r="P246" s="93"/>
      <c r="Q246" s="93"/>
      <c r="R246" s="93"/>
      <c r="S246" s="92"/>
      <c r="T246" s="92"/>
      <c r="U246" s="92"/>
      <c r="V246" s="92"/>
      <c r="W246" s="92"/>
      <c r="X246" s="92"/>
      <c r="Y246" s="92"/>
      <c r="Z246" s="92"/>
      <c r="AA246" s="92"/>
      <c r="AB246" s="92"/>
      <c r="AC246" s="92"/>
      <c r="AD246" s="92"/>
      <c r="AE246" s="92"/>
      <c r="AF246" s="92"/>
      <c r="AG246" s="92"/>
      <c r="AH246" s="92"/>
      <c r="AI246" s="92"/>
      <c r="AJ246" s="92"/>
      <c r="AK246" s="92"/>
      <c r="AL246" s="92"/>
      <c r="AM246" s="92"/>
      <c r="AN246" s="92"/>
      <c r="AO246" s="92"/>
      <c r="AP246" s="92"/>
      <c r="AQ246" s="92"/>
      <c r="AR246" s="92"/>
      <c r="AS246" s="92"/>
      <c r="AT246" s="92"/>
      <c r="AU246" s="92"/>
      <c r="AV246" s="92"/>
      <c r="AW246" s="92"/>
      <c r="AX246" s="92"/>
      <c r="AY246" s="92"/>
      <c r="AZ246" s="92"/>
    </row>
    <row r="247" spans="1:52" ht="15.7" customHeight="1" x14ac:dyDescent="0.4">
      <c r="A247" s="22"/>
      <c r="B247" s="91"/>
      <c r="C247" s="91"/>
      <c r="D247" s="92"/>
      <c r="E247" s="92"/>
      <c r="F247" s="92"/>
      <c r="G247" s="92"/>
      <c r="H247" s="92"/>
      <c r="I247" s="92"/>
      <c r="J247" s="92"/>
      <c r="K247" s="93"/>
      <c r="L247" s="93"/>
      <c r="M247" s="93"/>
      <c r="N247" s="93"/>
      <c r="O247" s="93"/>
      <c r="P247" s="93"/>
      <c r="Q247" s="93"/>
      <c r="R247" s="93"/>
      <c r="S247" s="92"/>
      <c r="T247" s="92"/>
      <c r="U247" s="92"/>
      <c r="V247" s="92"/>
      <c r="W247" s="92"/>
      <c r="X247" s="92"/>
      <c r="Y247" s="92"/>
      <c r="Z247" s="92"/>
      <c r="AA247" s="92"/>
      <c r="AB247" s="92"/>
      <c r="AC247" s="92"/>
      <c r="AD247" s="92"/>
      <c r="AE247" s="92"/>
      <c r="AF247" s="92"/>
      <c r="AG247" s="92"/>
      <c r="AH247" s="92"/>
      <c r="AI247" s="92"/>
      <c r="AJ247" s="92"/>
      <c r="AK247" s="92"/>
      <c r="AL247" s="92"/>
      <c r="AM247" s="92"/>
      <c r="AN247" s="92"/>
      <c r="AO247" s="92"/>
      <c r="AP247" s="92"/>
      <c r="AQ247" s="92"/>
      <c r="AR247" s="92"/>
      <c r="AS247" s="92"/>
      <c r="AT247" s="92"/>
      <c r="AU247" s="92"/>
      <c r="AV247" s="92"/>
      <c r="AW247" s="92"/>
      <c r="AX247" s="92"/>
      <c r="AY247" s="92"/>
      <c r="AZ247" s="92"/>
    </row>
    <row r="248" spans="1:52" ht="15.7" customHeight="1" x14ac:dyDescent="0.4">
      <c r="A248" s="22"/>
      <c r="B248" s="91"/>
      <c r="C248" s="91"/>
      <c r="D248" s="92"/>
      <c r="E248" s="92"/>
      <c r="F248" s="92"/>
      <c r="G248" s="92"/>
      <c r="H248" s="92"/>
      <c r="I248" s="92"/>
      <c r="J248" s="92"/>
      <c r="K248" s="93"/>
      <c r="L248" s="93"/>
      <c r="M248" s="93"/>
      <c r="N248" s="93"/>
      <c r="O248" s="93"/>
      <c r="P248" s="93"/>
      <c r="Q248" s="93"/>
      <c r="R248" s="93"/>
      <c r="S248" s="92"/>
      <c r="T248" s="92"/>
      <c r="U248" s="92"/>
      <c r="V248" s="92"/>
      <c r="W248" s="92"/>
      <c r="X248" s="92"/>
      <c r="Y248" s="92"/>
      <c r="Z248" s="92"/>
      <c r="AA248" s="92"/>
      <c r="AB248" s="92"/>
      <c r="AC248" s="92"/>
      <c r="AD248" s="92"/>
      <c r="AE248" s="92"/>
      <c r="AF248" s="92"/>
      <c r="AG248" s="92"/>
      <c r="AH248" s="92"/>
      <c r="AI248" s="92"/>
      <c r="AJ248" s="92"/>
      <c r="AK248" s="92"/>
      <c r="AL248" s="92"/>
      <c r="AM248" s="92"/>
      <c r="AN248" s="92"/>
      <c r="AO248" s="92"/>
      <c r="AP248" s="92"/>
      <c r="AQ248" s="92"/>
      <c r="AR248" s="92"/>
      <c r="AS248" s="92"/>
      <c r="AT248" s="92"/>
      <c r="AU248" s="92"/>
      <c r="AV248" s="92"/>
      <c r="AW248" s="92"/>
      <c r="AX248" s="92"/>
      <c r="AY248" s="92"/>
      <c r="AZ248" s="92"/>
    </row>
    <row r="249" spans="1:52" ht="15.7" customHeight="1" x14ac:dyDescent="0.4">
      <c r="A249" s="22"/>
      <c r="B249" s="91"/>
      <c r="C249" s="91"/>
      <c r="D249" s="92"/>
      <c r="E249" s="92"/>
      <c r="F249" s="92"/>
      <c r="G249" s="92"/>
      <c r="H249" s="92"/>
      <c r="I249" s="92"/>
      <c r="J249" s="92"/>
      <c r="K249" s="93"/>
      <c r="L249" s="93"/>
      <c r="M249" s="93"/>
      <c r="N249" s="93"/>
      <c r="O249" s="93"/>
      <c r="P249" s="93"/>
      <c r="Q249" s="93"/>
      <c r="R249" s="93"/>
      <c r="S249" s="92"/>
      <c r="T249" s="92"/>
      <c r="U249" s="92"/>
      <c r="V249" s="92"/>
      <c r="W249" s="92"/>
      <c r="X249" s="92"/>
      <c r="Y249" s="92"/>
      <c r="Z249" s="92"/>
      <c r="AA249" s="92"/>
      <c r="AB249" s="92"/>
      <c r="AC249" s="92"/>
      <c r="AD249" s="92"/>
      <c r="AE249" s="92"/>
      <c r="AF249" s="92"/>
      <c r="AG249" s="92"/>
      <c r="AH249" s="92"/>
      <c r="AI249" s="92"/>
      <c r="AJ249" s="92"/>
      <c r="AK249" s="92"/>
      <c r="AL249" s="92"/>
      <c r="AM249" s="92"/>
      <c r="AN249" s="92"/>
      <c r="AO249" s="92"/>
      <c r="AP249" s="92"/>
      <c r="AQ249" s="92"/>
      <c r="AR249" s="92"/>
      <c r="AS249" s="92"/>
      <c r="AT249" s="92"/>
      <c r="AU249" s="92"/>
      <c r="AV249" s="92"/>
      <c r="AW249" s="92"/>
      <c r="AX249" s="92"/>
      <c r="AY249" s="92"/>
      <c r="AZ249" s="92"/>
    </row>
    <row r="250" spans="1:52" ht="15.7" customHeight="1" x14ac:dyDescent="0.4">
      <c r="A250" s="22"/>
      <c r="B250" s="91"/>
      <c r="C250" s="91"/>
      <c r="D250" s="92"/>
      <c r="E250" s="92"/>
      <c r="F250" s="92"/>
      <c r="G250" s="92"/>
      <c r="H250" s="92"/>
      <c r="I250" s="92"/>
      <c r="J250" s="92"/>
      <c r="K250" s="93"/>
      <c r="L250" s="93"/>
      <c r="M250" s="93"/>
      <c r="N250" s="93"/>
      <c r="O250" s="93"/>
      <c r="P250" s="93"/>
      <c r="Q250" s="93"/>
      <c r="R250" s="93"/>
      <c r="S250" s="92"/>
      <c r="T250" s="92"/>
      <c r="U250" s="92"/>
      <c r="V250" s="92"/>
      <c r="W250" s="92"/>
      <c r="X250" s="92"/>
      <c r="Y250" s="92"/>
      <c r="Z250" s="92"/>
      <c r="AA250" s="92"/>
      <c r="AB250" s="92"/>
      <c r="AC250" s="92"/>
      <c r="AD250" s="92"/>
      <c r="AE250" s="92"/>
      <c r="AF250" s="92"/>
      <c r="AG250" s="92"/>
      <c r="AH250" s="92"/>
      <c r="AI250" s="92"/>
      <c r="AJ250" s="92"/>
      <c r="AK250" s="92"/>
      <c r="AL250" s="92"/>
      <c r="AM250" s="92"/>
      <c r="AN250" s="92"/>
      <c r="AO250" s="92"/>
      <c r="AP250" s="92"/>
      <c r="AQ250" s="92"/>
      <c r="AR250" s="92"/>
      <c r="AS250" s="92"/>
      <c r="AT250" s="92"/>
      <c r="AU250" s="92"/>
      <c r="AV250" s="92"/>
      <c r="AW250" s="92"/>
      <c r="AX250" s="92"/>
      <c r="AY250" s="92"/>
      <c r="AZ250" s="92"/>
    </row>
    <row r="251" spans="1:52" ht="15.7" customHeight="1" x14ac:dyDescent="0.4">
      <c r="A251" s="22"/>
      <c r="B251" s="91"/>
      <c r="C251" s="91"/>
      <c r="D251" s="92"/>
      <c r="E251" s="92"/>
      <c r="F251" s="92"/>
      <c r="G251" s="92"/>
      <c r="H251" s="92"/>
      <c r="I251" s="92"/>
      <c r="J251" s="92"/>
      <c r="K251" s="93"/>
      <c r="L251" s="93"/>
      <c r="M251" s="93"/>
      <c r="N251" s="93"/>
      <c r="O251" s="93"/>
      <c r="P251" s="93"/>
      <c r="Q251" s="93"/>
      <c r="R251" s="93"/>
      <c r="S251" s="92"/>
      <c r="T251" s="92"/>
      <c r="U251" s="92"/>
      <c r="V251" s="92"/>
      <c r="W251" s="92"/>
      <c r="X251" s="92"/>
      <c r="Y251" s="92"/>
      <c r="Z251" s="92"/>
      <c r="AA251" s="92"/>
      <c r="AB251" s="92"/>
      <c r="AC251" s="92"/>
      <c r="AD251" s="92"/>
      <c r="AE251" s="92"/>
      <c r="AF251" s="92"/>
      <c r="AG251" s="92"/>
      <c r="AH251" s="92"/>
      <c r="AI251" s="92"/>
      <c r="AJ251" s="92"/>
      <c r="AK251" s="92"/>
      <c r="AL251" s="92"/>
      <c r="AM251" s="92"/>
      <c r="AN251" s="92"/>
      <c r="AO251" s="92"/>
      <c r="AP251" s="92"/>
      <c r="AQ251" s="92"/>
      <c r="AR251" s="92"/>
      <c r="AS251" s="92"/>
      <c r="AT251" s="92"/>
      <c r="AU251" s="92"/>
      <c r="AV251" s="92"/>
      <c r="AW251" s="92"/>
      <c r="AX251" s="92"/>
      <c r="AY251" s="92"/>
      <c r="AZ251" s="92"/>
    </row>
    <row r="252" spans="1:52" ht="15.7" customHeight="1" x14ac:dyDescent="0.4">
      <c r="A252" s="22"/>
      <c r="B252" s="91"/>
      <c r="C252" s="91"/>
      <c r="D252" s="92"/>
      <c r="E252" s="92"/>
      <c r="F252" s="92"/>
      <c r="G252" s="92"/>
      <c r="H252" s="92"/>
      <c r="I252" s="92"/>
      <c r="J252" s="92"/>
      <c r="K252" s="93"/>
      <c r="L252" s="93"/>
      <c r="M252" s="93"/>
      <c r="N252" s="93"/>
      <c r="O252" s="93"/>
      <c r="P252" s="93"/>
      <c r="Q252" s="93"/>
      <c r="R252" s="93"/>
      <c r="S252" s="92"/>
      <c r="T252" s="92"/>
      <c r="U252" s="92"/>
      <c r="V252" s="92"/>
      <c r="W252" s="92"/>
      <c r="X252" s="92"/>
      <c r="Y252" s="92"/>
      <c r="Z252" s="92"/>
      <c r="AA252" s="92"/>
      <c r="AB252" s="92"/>
      <c r="AC252" s="92"/>
      <c r="AD252" s="92"/>
      <c r="AE252" s="92"/>
      <c r="AF252" s="92"/>
      <c r="AG252" s="92"/>
      <c r="AH252" s="92"/>
      <c r="AI252" s="92"/>
      <c r="AJ252" s="92"/>
      <c r="AK252" s="92"/>
      <c r="AL252" s="92"/>
      <c r="AM252" s="92"/>
      <c r="AN252" s="92"/>
      <c r="AO252" s="92"/>
      <c r="AP252" s="92"/>
      <c r="AQ252" s="92"/>
      <c r="AR252" s="92"/>
      <c r="AS252" s="92"/>
      <c r="AT252" s="92"/>
      <c r="AU252" s="92"/>
      <c r="AV252" s="92"/>
      <c r="AW252" s="92"/>
      <c r="AX252" s="92"/>
      <c r="AY252" s="92"/>
      <c r="AZ252" s="92"/>
    </row>
    <row r="253" spans="1:52" ht="15.7" customHeight="1" x14ac:dyDescent="0.4">
      <c r="A253" s="22"/>
      <c r="B253" s="91"/>
      <c r="C253" s="91"/>
      <c r="D253" s="92"/>
      <c r="E253" s="92"/>
      <c r="F253" s="92"/>
      <c r="G253" s="92"/>
      <c r="H253" s="92"/>
      <c r="I253" s="92"/>
      <c r="J253" s="92"/>
      <c r="K253" s="93"/>
      <c r="L253" s="93"/>
      <c r="M253" s="93"/>
      <c r="N253" s="93"/>
      <c r="O253" s="93"/>
      <c r="P253" s="93"/>
      <c r="Q253" s="93"/>
      <c r="R253" s="93"/>
      <c r="S253" s="92"/>
      <c r="T253" s="92"/>
      <c r="U253" s="92"/>
      <c r="V253" s="92"/>
      <c r="W253" s="92"/>
      <c r="X253" s="92"/>
      <c r="Y253" s="92"/>
      <c r="Z253" s="92"/>
      <c r="AA253" s="92"/>
      <c r="AB253" s="92"/>
      <c r="AC253" s="92"/>
      <c r="AD253" s="92"/>
      <c r="AE253" s="92"/>
      <c r="AF253" s="92"/>
      <c r="AG253" s="92"/>
      <c r="AH253" s="92"/>
      <c r="AI253" s="92"/>
      <c r="AJ253" s="92"/>
      <c r="AK253" s="92"/>
      <c r="AL253" s="92"/>
      <c r="AM253" s="92"/>
      <c r="AN253" s="92"/>
      <c r="AO253" s="92"/>
      <c r="AP253" s="92"/>
      <c r="AQ253" s="92"/>
      <c r="AR253" s="92"/>
      <c r="AS253" s="92"/>
      <c r="AT253" s="92"/>
      <c r="AU253" s="92"/>
      <c r="AV253" s="92"/>
      <c r="AW253" s="92"/>
      <c r="AX253" s="92"/>
      <c r="AY253" s="92"/>
      <c r="AZ253" s="92"/>
    </row>
    <row r="254" spans="1:52" ht="15.7" customHeight="1" x14ac:dyDescent="0.4">
      <c r="A254" s="22"/>
      <c r="B254" s="91"/>
      <c r="C254" s="91"/>
      <c r="D254" s="92"/>
      <c r="E254" s="92"/>
      <c r="F254" s="92"/>
      <c r="G254" s="92"/>
      <c r="H254" s="92"/>
      <c r="I254" s="92"/>
      <c r="J254" s="92"/>
      <c r="K254" s="93"/>
      <c r="L254" s="93"/>
      <c r="M254" s="93"/>
      <c r="N254" s="93"/>
      <c r="O254" s="93"/>
      <c r="P254" s="93"/>
      <c r="Q254" s="93"/>
      <c r="R254" s="93"/>
      <c r="S254" s="92"/>
      <c r="T254" s="92"/>
      <c r="U254" s="92"/>
      <c r="V254" s="92"/>
      <c r="W254" s="92"/>
      <c r="X254" s="92"/>
      <c r="Y254" s="92"/>
      <c r="Z254" s="92"/>
      <c r="AA254" s="92"/>
      <c r="AB254" s="92"/>
      <c r="AC254" s="92"/>
      <c r="AD254" s="92"/>
      <c r="AE254" s="92"/>
      <c r="AF254" s="92"/>
      <c r="AG254" s="92"/>
      <c r="AH254" s="92"/>
      <c r="AI254" s="92"/>
      <c r="AJ254" s="92"/>
      <c r="AK254" s="92"/>
      <c r="AL254" s="92"/>
      <c r="AM254" s="92"/>
      <c r="AN254" s="92"/>
      <c r="AO254" s="92"/>
      <c r="AP254" s="92"/>
      <c r="AQ254" s="92"/>
      <c r="AR254" s="92"/>
      <c r="AS254" s="92"/>
      <c r="AT254" s="92"/>
      <c r="AU254" s="92"/>
      <c r="AV254" s="92"/>
      <c r="AW254" s="92"/>
      <c r="AX254" s="92"/>
      <c r="AY254" s="92"/>
      <c r="AZ254" s="92"/>
    </row>
    <row r="255" spans="1:52" ht="15.7" customHeight="1" x14ac:dyDescent="0.4">
      <c r="A255" s="22"/>
      <c r="B255" s="91"/>
      <c r="C255" s="91"/>
      <c r="D255" s="92"/>
      <c r="E255" s="92"/>
      <c r="F255" s="92"/>
      <c r="G255" s="92"/>
      <c r="H255" s="92"/>
      <c r="I255" s="92"/>
      <c r="J255" s="92"/>
      <c r="K255" s="93"/>
      <c r="L255" s="93"/>
      <c r="M255" s="93"/>
      <c r="N255" s="93"/>
      <c r="O255" s="93"/>
      <c r="P255" s="93"/>
      <c r="Q255" s="93"/>
      <c r="R255" s="93"/>
      <c r="S255" s="92"/>
      <c r="T255" s="92"/>
      <c r="U255" s="92"/>
      <c r="V255" s="92"/>
      <c r="W255" s="92"/>
      <c r="X255" s="92"/>
      <c r="Y255" s="92"/>
      <c r="Z255" s="92"/>
      <c r="AA255" s="92"/>
      <c r="AB255" s="92"/>
      <c r="AC255" s="92"/>
      <c r="AD255" s="92"/>
      <c r="AE255" s="92"/>
      <c r="AF255" s="92"/>
      <c r="AG255" s="92"/>
      <c r="AH255" s="92"/>
      <c r="AI255" s="92"/>
      <c r="AJ255" s="92"/>
      <c r="AK255" s="92"/>
      <c r="AL255" s="92"/>
      <c r="AM255" s="92"/>
      <c r="AN255" s="92"/>
      <c r="AO255" s="92"/>
      <c r="AP255" s="92"/>
      <c r="AQ255" s="92"/>
      <c r="AR255" s="92"/>
      <c r="AS255" s="92"/>
      <c r="AT255" s="92"/>
      <c r="AU255" s="92"/>
      <c r="AV255" s="92"/>
      <c r="AW255" s="92"/>
      <c r="AX255" s="92"/>
      <c r="AY255" s="92"/>
      <c r="AZ255" s="92"/>
    </row>
    <row r="256" spans="1:52" ht="15.7" customHeight="1" x14ac:dyDescent="0.4">
      <c r="A256" s="22"/>
      <c r="B256" s="91"/>
      <c r="C256" s="91"/>
      <c r="D256" s="92"/>
      <c r="E256" s="92"/>
      <c r="F256" s="92"/>
      <c r="G256" s="92"/>
      <c r="H256" s="92"/>
      <c r="I256" s="92"/>
      <c r="J256" s="92"/>
      <c r="K256" s="93"/>
      <c r="L256" s="93"/>
      <c r="M256" s="93"/>
      <c r="N256" s="93"/>
      <c r="O256" s="93"/>
      <c r="P256" s="93"/>
      <c r="Q256" s="93"/>
      <c r="R256" s="93"/>
      <c r="S256" s="92"/>
      <c r="T256" s="92"/>
      <c r="U256" s="92"/>
      <c r="V256" s="92"/>
      <c r="W256" s="92"/>
      <c r="X256" s="92"/>
      <c r="Y256" s="92"/>
      <c r="Z256" s="92"/>
      <c r="AA256" s="92"/>
      <c r="AB256" s="92"/>
      <c r="AC256" s="92"/>
      <c r="AD256" s="92"/>
      <c r="AE256" s="92"/>
      <c r="AF256" s="92"/>
      <c r="AG256" s="92"/>
      <c r="AH256" s="92"/>
      <c r="AI256" s="92"/>
      <c r="AJ256" s="92"/>
      <c r="AK256" s="92"/>
      <c r="AL256" s="92"/>
      <c r="AM256" s="92"/>
      <c r="AN256" s="92"/>
      <c r="AO256" s="92"/>
      <c r="AP256" s="92"/>
      <c r="AQ256" s="92"/>
      <c r="AR256" s="92"/>
      <c r="AS256" s="92"/>
      <c r="AT256" s="92"/>
      <c r="AU256" s="92"/>
      <c r="AV256" s="92"/>
      <c r="AW256" s="92"/>
      <c r="AX256" s="92"/>
      <c r="AY256" s="92"/>
      <c r="AZ256" s="92"/>
    </row>
    <row r="257" spans="1:52" ht="15.7" customHeight="1" x14ac:dyDescent="0.4">
      <c r="A257" s="22"/>
      <c r="B257" s="91"/>
      <c r="C257" s="91"/>
      <c r="D257" s="92"/>
      <c r="E257" s="92"/>
      <c r="F257" s="92"/>
      <c r="G257" s="92"/>
      <c r="H257" s="92"/>
      <c r="I257" s="92"/>
      <c r="J257" s="92"/>
      <c r="K257" s="93"/>
      <c r="L257" s="93"/>
      <c r="M257" s="93"/>
      <c r="N257" s="93"/>
      <c r="O257" s="93"/>
      <c r="P257" s="93"/>
      <c r="Q257" s="93"/>
      <c r="R257" s="93"/>
      <c r="S257" s="92"/>
      <c r="T257" s="92"/>
      <c r="U257" s="92"/>
      <c r="V257" s="92"/>
      <c r="W257" s="92"/>
      <c r="X257" s="92"/>
      <c r="Y257" s="92"/>
      <c r="Z257" s="92"/>
      <c r="AA257" s="92"/>
      <c r="AB257" s="92"/>
      <c r="AC257" s="92"/>
      <c r="AD257" s="92"/>
      <c r="AE257" s="92"/>
      <c r="AF257" s="92"/>
      <c r="AG257" s="92"/>
      <c r="AH257" s="92"/>
      <c r="AI257" s="92"/>
      <c r="AJ257" s="92"/>
      <c r="AK257" s="92"/>
      <c r="AL257" s="92"/>
      <c r="AM257" s="92"/>
      <c r="AN257" s="92"/>
      <c r="AO257" s="92"/>
      <c r="AP257" s="92"/>
      <c r="AQ257" s="92"/>
      <c r="AR257" s="92"/>
      <c r="AS257" s="92"/>
      <c r="AT257" s="92"/>
      <c r="AU257" s="92"/>
      <c r="AV257" s="92"/>
      <c r="AW257" s="92"/>
      <c r="AX257" s="92"/>
      <c r="AY257" s="92"/>
      <c r="AZ257" s="92"/>
    </row>
    <row r="258" spans="1:52" ht="15.7" customHeight="1" x14ac:dyDescent="0.4">
      <c r="A258" s="22"/>
      <c r="B258" s="91"/>
      <c r="C258" s="91"/>
      <c r="D258" s="92"/>
      <c r="E258" s="92"/>
      <c r="F258" s="92"/>
      <c r="G258" s="92"/>
      <c r="H258" s="92"/>
      <c r="I258" s="92"/>
      <c r="J258" s="92"/>
      <c r="K258" s="93"/>
      <c r="L258" s="93"/>
      <c r="M258" s="93"/>
      <c r="N258" s="93"/>
      <c r="O258" s="93"/>
      <c r="P258" s="93"/>
      <c r="Q258" s="93"/>
      <c r="R258" s="93"/>
      <c r="S258" s="92"/>
      <c r="T258" s="92"/>
      <c r="U258" s="92"/>
      <c r="V258" s="92"/>
      <c r="W258" s="92"/>
      <c r="X258" s="92"/>
      <c r="Y258" s="92"/>
      <c r="Z258" s="92"/>
      <c r="AA258" s="92"/>
      <c r="AB258" s="92"/>
      <c r="AC258" s="92"/>
      <c r="AD258" s="92"/>
      <c r="AE258" s="92"/>
      <c r="AF258" s="92"/>
      <c r="AG258" s="92"/>
      <c r="AH258" s="92"/>
      <c r="AI258" s="92"/>
      <c r="AJ258" s="92"/>
      <c r="AK258" s="92"/>
      <c r="AL258" s="92"/>
      <c r="AM258" s="92"/>
      <c r="AN258" s="92"/>
      <c r="AO258" s="92"/>
      <c r="AP258" s="92"/>
      <c r="AQ258" s="92"/>
      <c r="AR258" s="92"/>
      <c r="AS258" s="92"/>
      <c r="AT258" s="92"/>
      <c r="AU258" s="92"/>
      <c r="AV258" s="92"/>
      <c r="AW258" s="92"/>
      <c r="AX258" s="92"/>
      <c r="AY258" s="92"/>
      <c r="AZ258" s="92"/>
    </row>
    <row r="259" spans="1:52" ht="15.7" customHeight="1" x14ac:dyDescent="0.4">
      <c r="A259" s="22"/>
      <c r="B259" s="91"/>
      <c r="C259" s="91"/>
      <c r="D259" s="92"/>
      <c r="E259" s="92"/>
      <c r="F259" s="92"/>
      <c r="G259" s="92"/>
      <c r="H259" s="92"/>
      <c r="I259" s="92"/>
      <c r="J259" s="92"/>
      <c r="K259" s="93"/>
      <c r="L259" s="93"/>
      <c r="M259" s="93"/>
      <c r="N259" s="93"/>
      <c r="O259" s="93"/>
      <c r="P259" s="93"/>
      <c r="Q259" s="93"/>
      <c r="R259" s="93"/>
      <c r="S259" s="92"/>
      <c r="T259" s="92"/>
      <c r="U259" s="92"/>
      <c r="V259" s="92"/>
      <c r="W259" s="92"/>
      <c r="X259" s="92"/>
      <c r="Y259" s="92"/>
      <c r="Z259" s="92"/>
      <c r="AA259" s="92"/>
      <c r="AB259" s="92"/>
      <c r="AC259" s="92"/>
      <c r="AD259" s="92"/>
      <c r="AE259" s="92"/>
      <c r="AF259" s="92"/>
      <c r="AG259" s="92"/>
      <c r="AH259" s="92"/>
      <c r="AI259" s="92"/>
      <c r="AJ259" s="92"/>
      <c r="AK259" s="92"/>
      <c r="AL259" s="92"/>
      <c r="AM259" s="92"/>
      <c r="AN259" s="92"/>
      <c r="AO259" s="92"/>
      <c r="AP259" s="92"/>
      <c r="AQ259" s="92"/>
      <c r="AR259" s="92"/>
      <c r="AS259" s="92"/>
      <c r="AT259" s="92"/>
      <c r="AU259" s="92"/>
      <c r="AV259" s="92"/>
      <c r="AW259" s="92"/>
      <c r="AX259" s="92"/>
      <c r="AY259" s="92"/>
      <c r="AZ259" s="92"/>
    </row>
    <row r="260" spans="1:52" ht="15.7" customHeight="1" x14ac:dyDescent="0.4">
      <c r="A260" s="22"/>
      <c r="B260" s="91"/>
      <c r="C260" s="91"/>
      <c r="D260" s="92"/>
      <c r="E260" s="92"/>
      <c r="F260" s="92"/>
      <c r="G260" s="92"/>
      <c r="H260" s="92"/>
      <c r="I260" s="92"/>
      <c r="J260" s="92"/>
      <c r="K260" s="93"/>
      <c r="L260" s="93"/>
      <c r="M260" s="93"/>
      <c r="N260" s="93"/>
      <c r="O260" s="93"/>
      <c r="P260" s="93"/>
      <c r="Q260" s="93"/>
      <c r="R260" s="93"/>
      <c r="S260" s="92"/>
      <c r="T260" s="92"/>
      <c r="U260" s="92"/>
      <c r="V260" s="92"/>
      <c r="W260" s="92"/>
      <c r="X260" s="92"/>
      <c r="Y260" s="92"/>
      <c r="Z260" s="92"/>
      <c r="AA260" s="92"/>
      <c r="AB260" s="92"/>
      <c r="AC260" s="92"/>
      <c r="AD260" s="92"/>
      <c r="AE260" s="92"/>
      <c r="AF260" s="92"/>
      <c r="AG260" s="92"/>
      <c r="AH260" s="92"/>
      <c r="AI260" s="92"/>
      <c r="AJ260" s="92"/>
      <c r="AK260" s="92"/>
      <c r="AL260" s="92"/>
      <c r="AM260" s="92"/>
      <c r="AN260" s="92"/>
      <c r="AO260" s="92"/>
      <c r="AP260" s="92"/>
      <c r="AQ260" s="92"/>
      <c r="AR260" s="92"/>
      <c r="AS260" s="92"/>
      <c r="AT260" s="92"/>
      <c r="AU260" s="92"/>
      <c r="AV260" s="92"/>
      <c r="AW260" s="92"/>
      <c r="AX260" s="92"/>
      <c r="AY260" s="92"/>
      <c r="AZ260" s="92"/>
    </row>
    <row r="261" spans="1:52" ht="15.7" customHeight="1" x14ac:dyDescent="0.4">
      <c r="A261" s="22"/>
      <c r="B261" s="91"/>
      <c r="C261" s="91"/>
      <c r="D261" s="92"/>
      <c r="E261" s="92"/>
      <c r="F261" s="92"/>
      <c r="G261" s="92"/>
      <c r="H261" s="92"/>
      <c r="I261" s="92"/>
      <c r="J261" s="92"/>
      <c r="K261" s="93"/>
      <c r="L261" s="93"/>
      <c r="M261" s="93"/>
      <c r="N261" s="93"/>
      <c r="O261" s="93"/>
      <c r="P261" s="93"/>
      <c r="Q261" s="93"/>
      <c r="R261" s="93"/>
      <c r="S261" s="92"/>
      <c r="T261" s="92"/>
      <c r="U261" s="92"/>
      <c r="V261" s="92"/>
      <c r="W261" s="92"/>
      <c r="X261" s="92"/>
      <c r="Y261" s="92"/>
      <c r="Z261" s="92"/>
      <c r="AA261" s="92"/>
      <c r="AB261" s="92"/>
      <c r="AC261" s="92"/>
      <c r="AD261" s="92"/>
      <c r="AE261" s="92"/>
      <c r="AF261" s="92"/>
      <c r="AG261" s="92"/>
      <c r="AH261" s="92"/>
      <c r="AI261" s="92"/>
      <c r="AJ261" s="92"/>
      <c r="AK261" s="92"/>
      <c r="AL261" s="92"/>
      <c r="AM261" s="92"/>
      <c r="AN261" s="92"/>
      <c r="AO261" s="92"/>
      <c r="AP261" s="92"/>
      <c r="AQ261" s="92"/>
      <c r="AR261" s="92"/>
      <c r="AS261" s="92"/>
      <c r="AT261" s="92"/>
      <c r="AU261" s="92"/>
      <c r="AV261" s="92"/>
      <c r="AW261" s="92"/>
      <c r="AX261" s="92"/>
      <c r="AY261" s="92"/>
      <c r="AZ261" s="92"/>
    </row>
    <row r="262" spans="1:52" ht="15.7" customHeight="1" x14ac:dyDescent="0.4">
      <c r="A262" s="22"/>
      <c r="B262" s="91"/>
      <c r="C262" s="91"/>
      <c r="D262" s="92"/>
      <c r="E262" s="92"/>
      <c r="F262" s="92"/>
      <c r="G262" s="92"/>
      <c r="H262" s="92"/>
      <c r="I262" s="92"/>
      <c r="J262" s="92"/>
      <c r="K262" s="93"/>
      <c r="L262" s="93"/>
      <c r="M262" s="93"/>
      <c r="N262" s="93"/>
      <c r="O262" s="93"/>
      <c r="P262" s="93"/>
      <c r="Q262" s="93"/>
      <c r="R262" s="93"/>
      <c r="S262" s="92"/>
      <c r="T262" s="92"/>
      <c r="U262" s="92"/>
      <c r="V262" s="92"/>
      <c r="W262" s="92"/>
      <c r="X262" s="92"/>
      <c r="Y262" s="92"/>
      <c r="Z262" s="92"/>
      <c r="AA262" s="92"/>
      <c r="AB262" s="92"/>
      <c r="AC262" s="92"/>
      <c r="AD262" s="92"/>
      <c r="AE262" s="92"/>
      <c r="AF262" s="92"/>
      <c r="AG262" s="92"/>
      <c r="AH262" s="92"/>
      <c r="AI262" s="92"/>
      <c r="AJ262" s="92"/>
      <c r="AK262" s="92"/>
      <c r="AL262" s="92"/>
      <c r="AM262" s="92"/>
      <c r="AN262" s="92"/>
      <c r="AO262" s="92"/>
      <c r="AP262" s="92"/>
      <c r="AQ262" s="92"/>
      <c r="AR262" s="92"/>
      <c r="AS262" s="92"/>
      <c r="AT262" s="92"/>
      <c r="AU262" s="92"/>
      <c r="AV262" s="92"/>
      <c r="AW262" s="92"/>
      <c r="AX262" s="92"/>
      <c r="AY262" s="92"/>
      <c r="AZ262" s="92"/>
    </row>
    <row r="263" spans="1:52" ht="15.7" customHeight="1" x14ac:dyDescent="0.4">
      <c r="A263" s="22"/>
      <c r="B263" s="91"/>
      <c r="C263" s="91"/>
      <c r="D263" s="92"/>
      <c r="E263" s="92"/>
      <c r="F263" s="92"/>
      <c r="G263" s="92"/>
      <c r="H263" s="92"/>
      <c r="I263" s="92"/>
      <c r="J263" s="92"/>
      <c r="K263" s="93"/>
      <c r="L263" s="93"/>
      <c r="M263" s="93"/>
      <c r="N263" s="93"/>
      <c r="O263" s="93"/>
      <c r="P263" s="93"/>
      <c r="Q263" s="93"/>
      <c r="R263" s="93"/>
      <c r="S263" s="92"/>
      <c r="T263" s="92"/>
      <c r="U263" s="92"/>
      <c r="V263" s="92"/>
      <c r="W263" s="92"/>
      <c r="X263" s="92"/>
      <c r="Y263" s="92"/>
      <c r="Z263" s="92"/>
      <c r="AA263" s="92"/>
      <c r="AB263" s="92"/>
      <c r="AC263" s="92"/>
      <c r="AD263" s="92"/>
      <c r="AE263" s="92"/>
      <c r="AF263" s="92"/>
      <c r="AG263" s="92"/>
      <c r="AH263" s="92"/>
      <c r="AI263" s="92"/>
      <c r="AJ263" s="92"/>
      <c r="AK263" s="92"/>
      <c r="AL263" s="92"/>
      <c r="AM263" s="92"/>
      <c r="AN263" s="92"/>
      <c r="AO263" s="92"/>
      <c r="AP263" s="92"/>
      <c r="AQ263" s="92"/>
      <c r="AR263" s="92"/>
      <c r="AS263" s="92"/>
      <c r="AT263" s="92"/>
      <c r="AU263" s="92"/>
      <c r="AV263" s="92"/>
      <c r="AW263" s="92"/>
      <c r="AX263" s="92"/>
      <c r="AY263" s="92"/>
      <c r="AZ263" s="92"/>
    </row>
    <row r="264" spans="1:52" ht="15.7" customHeight="1" x14ac:dyDescent="0.4">
      <c r="A264" s="22"/>
      <c r="B264" s="91"/>
      <c r="C264" s="91"/>
      <c r="D264" s="92"/>
      <c r="E264" s="92"/>
      <c r="F264" s="92"/>
      <c r="G264" s="92"/>
      <c r="H264" s="92"/>
      <c r="I264" s="92"/>
      <c r="J264" s="92"/>
      <c r="K264" s="93"/>
      <c r="L264" s="93"/>
      <c r="M264" s="93"/>
      <c r="N264" s="93"/>
      <c r="O264" s="93"/>
      <c r="P264" s="93"/>
      <c r="Q264" s="93"/>
      <c r="R264" s="93"/>
      <c r="S264" s="92"/>
      <c r="T264" s="92"/>
      <c r="U264" s="92"/>
      <c r="V264" s="92"/>
      <c r="W264" s="92"/>
      <c r="X264" s="92"/>
      <c r="Y264" s="92"/>
      <c r="Z264" s="92"/>
      <c r="AA264" s="92"/>
      <c r="AB264" s="92"/>
      <c r="AC264" s="92"/>
      <c r="AD264" s="92"/>
      <c r="AE264" s="92"/>
      <c r="AF264" s="92"/>
      <c r="AG264" s="92"/>
      <c r="AH264" s="92"/>
      <c r="AI264" s="92"/>
      <c r="AJ264" s="92"/>
      <c r="AK264" s="92"/>
      <c r="AL264" s="92"/>
      <c r="AM264" s="92"/>
      <c r="AN264" s="92"/>
      <c r="AO264" s="92"/>
      <c r="AP264" s="92"/>
      <c r="AQ264" s="92"/>
      <c r="AR264" s="92"/>
      <c r="AS264" s="92"/>
      <c r="AT264" s="92"/>
      <c r="AU264" s="92"/>
      <c r="AV264" s="92"/>
      <c r="AW264" s="92"/>
      <c r="AX264" s="92"/>
      <c r="AY264" s="92"/>
      <c r="AZ264" s="92"/>
    </row>
    <row r="265" spans="1:52" ht="15.7" customHeight="1" x14ac:dyDescent="0.4">
      <c r="A265" s="22"/>
      <c r="B265" s="91"/>
      <c r="C265" s="91"/>
      <c r="D265" s="92"/>
      <c r="E265" s="92"/>
      <c r="F265" s="92"/>
      <c r="G265" s="92"/>
      <c r="H265" s="92"/>
      <c r="I265" s="92"/>
      <c r="J265" s="92"/>
      <c r="K265" s="93"/>
      <c r="L265" s="93"/>
      <c r="M265" s="93"/>
      <c r="N265" s="93"/>
      <c r="O265" s="93"/>
      <c r="P265" s="93"/>
      <c r="Q265" s="93"/>
      <c r="R265" s="93"/>
      <c r="S265" s="92"/>
      <c r="T265" s="92"/>
      <c r="U265" s="92"/>
      <c r="V265" s="92"/>
      <c r="W265" s="92"/>
      <c r="X265" s="92"/>
      <c r="Y265" s="92"/>
      <c r="Z265" s="92"/>
      <c r="AA265" s="92"/>
      <c r="AB265" s="92"/>
      <c r="AC265" s="92"/>
      <c r="AD265" s="92"/>
      <c r="AE265" s="92"/>
      <c r="AF265" s="92"/>
      <c r="AG265" s="92"/>
      <c r="AH265" s="92"/>
      <c r="AI265" s="92"/>
      <c r="AJ265" s="92"/>
      <c r="AK265" s="92"/>
      <c r="AL265" s="92"/>
      <c r="AM265" s="92"/>
      <c r="AN265" s="92"/>
      <c r="AO265" s="92"/>
      <c r="AP265" s="92"/>
      <c r="AQ265" s="92"/>
      <c r="AR265" s="92"/>
      <c r="AS265" s="92"/>
      <c r="AT265" s="92"/>
      <c r="AU265" s="92"/>
      <c r="AV265" s="92"/>
      <c r="AW265" s="92"/>
      <c r="AX265" s="92"/>
      <c r="AY265" s="92"/>
      <c r="AZ265" s="92"/>
    </row>
    <row r="266" spans="1:52" ht="15.7" customHeight="1" x14ac:dyDescent="0.4">
      <c r="A266" s="22"/>
      <c r="B266" s="91"/>
      <c r="C266" s="91"/>
      <c r="D266" s="92"/>
      <c r="E266" s="92"/>
      <c r="F266" s="92"/>
      <c r="G266" s="92"/>
      <c r="H266" s="92"/>
      <c r="I266" s="92"/>
      <c r="J266" s="92"/>
      <c r="K266" s="93"/>
      <c r="L266" s="93"/>
      <c r="M266" s="93"/>
      <c r="N266" s="93"/>
      <c r="O266" s="93"/>
      <c r="P266" s="93"/>
      <c r="Q266" s="93"/>
      <c r="R266" s="93"/>
      <c r="S266" s="92"/>
      <c r="T266" s="92"/>
      <c r="U266" s="92"/>
      <c r="V266" s="92"/>
      <c r="W266" s="92"/>
      <c r="X266" s="92"/>
      <c r="Y266" s="92"/>
      <c r="Z266" s="92"/>
      <c r="AA266" s="92"/>
      <c r="AB266" s="92"/>
      <c r="AC266" s="92"/>
      <c r="AD266" s="92"/>
      <c r="AE266" s="92"/>
      <c r="AF266" s="92"/>
      <c r="AG266" s="92"/>
      <c r="AH266" s="92"/>
      <c r="AI266" s="92"/>
      <c r="AJ266" s="92"/>
      <c r="AK266" s="92"/>
      <c r="AL266" s="92"/>
      <c r="AM266" s="92"/>
      <c r="AN266" s="92"/>
      <c r="AO266" s="92"/>
      <c r="AP266" s="92"/>
      <c r="AQ266" s="92"/>
      <c r="AR266" s="92"/>
      <c r="AS266" s="92"/>
      <c r="AT266" s="92"/>
      <c r="AU266" s="92"/>
      <c r="AV266" s="92"/>
      <c r="AW266" s="92"/>
      <c r="AX266" s="92"/>
      <c r="AY266" s="92"/>
      <c r="AZ266" s="92"/>
    </row>
    <row r="267" spans="1:52" ht="15.7" customHeight="1" x14ac:dyDescent="0.4">
      <c r="A267" s="22"/>
      <c r="B267" s="91"/>
      <c r="C267" s="91"/>
      <c r="D267" s="92"/>
      <c r="E267" s="92"/>
      <c r="F267" s="92"/>
      <c r="G267" s="92"/>
      <c r="H267" s="92"/>
      <c r="I267" s="92"/>
      <c r="J267" s="92"/>
      <c r="K267" s="93"/>
      <c r="L267" s="93"/>
      <c r="M267" s="93"/>
      <c r="N267" s="93"/>
      <c r="O267" s="93"/>
      <c r="P267" s="93"/>
      <c r="Q267" s="93"/>
      <c r="R267" s="93"/>
      <c r="S267" s="92"/>
      <c r="T267" s="92"/>
      <c r="U267" s="92"/>
      <c r="V267" s="92"/>
      <c r="W267" s="92"/>
      <c r="X267" s="92"/>
      <c r="Y267" s="92"/>
      <c r="Z267" s="92"/>
      <c r="AA267" s="92"/>
      <c r="AB267" s="92"/>
      <c r="AC267" s="92"/>
      <c r="AD267" s="92"/>
      <c r="AE267" s="92"/>
      <c r="AF267" s="92"/>
      <c r="AG267" s="92"/>
      <c r="AH267" s="92"/>
      <c r="AI267" s="92"/>
      <c r="AJ267" s="92"/>
      <c r="AK267" s="92"/>
      <c r="AL267" s="92"/>
      <c r="AM267" s="92"/>
      <c r="AN267" s="92"/>
      <c r="AO267" s="92"/>
      <c r="AP267" s="92"/>
      <c r="AQ267" s="92"/>
      <c r="AR267" s="92"/>
      <c r="AS267" s="92"/>
      <c r="AT267" s="92"/>
      <c r="AU267" s="92"/>
      <c r="AV267" s="92"/>
      <c r="AW267" s="92"/>
      <c r="AX267" s="92"/>
      <c r="AY267" s="92"/>
      <c r="AZ267" s="92"/>
    </row>
    <row r="268" spans="1:52" ht="15.7" customHeight="1" x14ac:dyDescent="0.4">
      <c r="A268" s="22"/>
      <c r="B268" s="91"/>
      <c r="C268" s="91"/>
      <c r="D268" s="92"/>
      <c r="E268" s="92"/>
      <c r="F268" s="92"/>
      <c r="G268" s="92"/>
      <c r="H268" s="92"/>
      <c r="I268" s="92"/>
      <c r="J268" s="92"/>
      <c r="K268" s="93"/>
      <c r="L268" s="93"/>
      <c r="M268" s="93"/>
      <c r="N268" s="93"/>
      <c r="O268" s="93"/>
      <c r="P268" s="93"/>
      <c r="Q268" s="93"/>
      <c r="R268" s="93"/>
      <c r="S268" s="92"/>
      <c r="T268" s="92"/>
      <c r="U268" s="92"/>
      <c r="V268" s="92"/>
      <c r="W268" s="92"/>
      <c r="X268" s="92"/>
      <c r="Y268" s="92"/>
      <c r="Z268" s="92"/>
      <c r="AA268" s="92"/>
      <c r="AB268" s="92"/>
      <c r="AC268" s="92"/>
      <c r="AD268" s="92"/>
      <c r="AE268" s="92"/>
      <c r="AF268" s="92"/>
      <c r="AG268" s="92"/>
      <c r="AH268" s="92"/>
      <c r="AI268" s="92"/>
      <c r="AJ268" s="92"/>
      <c r="AK268" s="92"/>
      <c r="AL268" s="92"/>
      <c r="AM268" s="92"/>
      <c r="AN268" s="92"/>
      <c r="AO268" s="92"/>
      <c r="AP268" s="92"/>
      <c r="AQ268" s="92"/>
      <c r="AR268" s="92"/>
      <c r="AS268" s="92"/>
      <c r="AT268" s="92"/>
      <c r="AU268" s="92"/>
      <c r="AV268" s="92"/>
      <c r="AW268" s="92"/>
      <c r="AX268" s="92"/>
      <c r="AY268" s="92"/>
      <c r="AZ268" s="92"/>
    </row>
    <row r="269" spans="1:52" ht="15.7" customHeight="1" x14ac:dyDescent="0.4">
      <c r="A269" s="22"/>
      <c r="B269" s="91"/>
      <c r="C269" s="91"/>
      <c r="D269" s="92"/>
      <c r="E269" s="92"/>
      <c r="F269" s="92"/>
      <c r="G269" s="92"/>
      <c r="H269" s="92"/>
      <c r="I269" s="92"/>
      <c r="J269" s="92"/>
      <c r="K269" s="93"/>
      <c r="L269" s="93"/>
      <c r="M269" s="93"/>
      <c r="N269" s="93"/>
      <c r="O269" s="93"/>
      <c r="P269" s="93"/>
      <c r="Q269" s="93"/>
      <c r="R269" s="93"/>
      <c r="S269" s="92"/>
      <c r="T269" s="92"/>
      <c r="U269" s="92"/>
      <c r="V269" s="92"/>
      <c r="W269" s="92"/>
      <c r="X269" s="92"/>
      <c r="Y269" s="92"/>
      <c r="Z269" s="92"/>
      <c r="AA269" s="92"/>
      <c r="AB269" s="92"/>
      <c r="AC269" s="92"/>
      <c r="AD269" s="92"/>
      <c r="AE269" s="92"/>
      <c r="AF269" s="92"/>
      <c r="AG269" s="92"/>
      <c r="AH269" s="92"/>
      <c r="AI269" s="92"/>
      <c r="AJ269" s="92"/>
      <c r="AK269" s="92"/>
      <c r="AL269" s="92"/>
      <c r="AM269" s="92"/>
      <c r="AN269" s="92"/>
      <c r="AO269" s="92"/>
      <c r="AP269" s="92"/>
      <c r="AQ269" s="92"/>
      <c r="AR269" s="92"/>
      <c r="AS269" s="92"/>
      <c r="AT269" s="92"/>
      <c r="AU269" s="92"/>
      <c r="AV269" s="92"/>
      <c r="AW269" s="92"/>
      <c r="AX269" s="92"/>
      <c r="AY269" s="92"/>
      <c r="AZ269" s="92"/>
    </row>
    <row r="270" spans="1:52" ht="15.7" customHeight="1" x14ac:dyDescent="0.4">
      <c r="A270" s="22"/>
      <c r="B270" s="91"/>
      <c r="C270" s="91"/>
      <c r="D270" s="92"/>
      <c r="E270" s="92"/>
      <c r="F270" s="92"/>
      <c r="G270" s="92"/>
      <c r="H270" s="92"/>
      <c r="I270" s="92"/>
      <c r="J270" s="92"/>
      <c r="K270" s="93"/>
      <c r="L270" s="93"/>
      <c r="M270" s="93"/>
      <c r="N270" s="93"/>
      <c r="O270" s="93"/>
      <c r="P270" s="93"/>
      <c r="Q270" s="93"/>
      <c r="R270" s="93"/>
      <c r="S270" s="92"/>
      <c r="T270" s="92"/>
      <c r="U270" s="92"/>
      <c r="V270" s="92"/>
      <c r="W270" s="92"/>
      <c r="X270" s="92"/>
      <c r="Y270" s="92"/>
      <c r="Z270" s="92"/>
      <c r="AA270" s="92"/>
      <c r="AB270" s="92"/>
      <c r="AC270" s="92"/>
      <c r="AD270" s="92"/>
      <c r="AE270" s="92"/>
      <c r="AF270" s="92"/>
      <c r="AG270" s="92"/>
      <c r="AH270" s="92"/>
      <c r="AI270" s="92"/>
      <c r="AJ270" s="92"/>
      <c r="AK270" s="92"/>
      <c r="AL270" s="92"/>
      <c r="AM270" s="92"/>
      <c r="AN270" s="92"/>
      <c r="AO270" s="92"/>
      <c r="AP270" s="92"/>
      <c r="AQ270" s="92"/>
      <c r="AR270" s="92"/>
      <c r="AS270" s="92"/>
      <c r="AT270" s="92"/>
      <c r="AU270" s="92"/>
      <c r="AV270" s="92"/>
      <c r="AW270" s="92"/>
      <c r="AX270" s="92"/>
      <c r="AY270" s="92"/>
      <c r="AZ270" s="92"/>
    </row>
    <row r="271" spans="1:52" ht="15.7" customHeight="1" x14ac:dyDescent="0.4">
      <c r="A271" s="22"/>
      <c r="B271" s="91"/>
      <c r="C271" s="91"/>
      <c r="D271" s="92"/>
      <c r="E271" s="92"/>
      <c r="F271" s="92"/>
      <c r="G271" s="92"/>
      <c r="H271" s="92"/>
      <c r="I271" s="92"/>
      <c r="J271" s="92"/>
      <c r="K271" s="93"/>
      <c r="L271" s="93"/>
      <c r="M271" s="93"/>
      <c r="N271" s="93"/>
      <c r="O271" s="93"/>
      <c r="P271" s="93"/>
      <c r="Q271" s="93"/>
      <c r="R271" s="93"/>
      <c r="S271" s="92"/>
      <c r="T271" s="92"/>
      <c r="U271" s="92"/>
      <c r="V271" s="92"/>
      <c r="W271" s="92"/>
      <c r="X271" s="92"/>
      <c r="Y271" s="92"/>
      <c r="Z271" s="92"/>
      <c r="AA271" s="92"/>
      <c r="AB271" s="92"/>
      <c r="AC271" s="92"/>
      <c r="AD271" s="92"/>
      <c r="AE271" s="92"/>
      <c r="AF271" s="92"/>
      <c r="AG271" s="92"/>
      <c r="AH271" s="92"/>
      <c r="AI271" s="92"/>
      <c r="AJ271" s="92"/>
      <c r="AK271" s="92"/>
      <c r="AL271" s="92"/>
      <c r="AM271" s="92"/>
      <c r="AN271" s="92"/>
      <c r="AO271" s="92"/>
      <c r="AP271" s="92"/>
      <c r="AQ271" s="92"/>
      <c r="AR271" s="92"/>
      <c r="AS271" s="92"/>
      <c r="AT271" s="92"/>
      <c r="AU271" s="92"/>
      <c r="AV271" s="92"/>
      <c r="AW271" s="92"/>
      <c r="AX271" s="92"/>
      <c r="AY271" s="92"/>
      <c r="AZ271" s="92"/>
    </row>
    <row r="272" spans="1:52" ht="15.7" customHeight="1" x14ac:dyDescent="0.4">
      <c r="A272" s="22"/>
      <c r="B272" s="91"/>
      <c r="C272" s="91"/>
      <c r="D272" s="92"/>
      <c r="E272" s="92"/>
      <c r="F272" s="92"/>
      <c r="G272" s="92"/>
      <c r="H272" s="92"/>
      <c r="I272" s="92"/>
      <c r="J272" s="92"/>
      <c r="K272" s="93"/>
      <c r="L272" s="93"/>
      <c r="M272" s="93"/>
      <c r="N272" s="93"/>
      <c r="O272" s="93"/>
      <c r="P272" s="93"/>
      <c r="Q272" s="93"/>
      <c r="R272" s="93"/>
      <c r="S272" s="92"/>
      <c r="T272" s="92"/>
      <c r="U272" s="92"/>
      <c r="V272" s="92"/>
      <c r="W272" s="92"/>
      <c r="X272" s="92"/>
      <c r="Y272" s="92"/>
      <c r="Z272" s="92"/>
      <c r="AA272" s="92"/>
      <c r="AB272" s="92"/>
      <c r="AC272" s="92"/>
      <c r="AD272" s="92"/>
      <c r="AE272" s="92"/>
      <c r="AF272" s="92"/>
      <c r="AG272" s="92"/>
      <c r="AH272" s="92"/>
      <c r="AI272" s="92"/>
      <c r="AJ272" s="92"/>
      <c r="AK272" s="92"/>
      <c r="AL272" s="92"/>
      <c r="AM272" s="92"/>
      <c r="AN272" s="92"/>
      <c r="AO272" s="92"/>
      <c r="AP272" s="92"/>
      <c r="AQ272" s="92"/>
      <c r="AR272" s="92"/>
      <c r="AS272" s="92"/>
      <c r="AT272" s="92"/>
      <c r="AU272" s="92"/>
      <c r="AV272" s="92"/>
      <c r="AW272" s="92"/>
      <c r="AX272" s="92"/>
      <c r="AY272" s="92"/>
      <c r="AZ272" s="92"/>
    </row>
    <row r="273" spans="1:52" ht="15.7" customHeight="1" x14ac:dyDescent="0.4">
      <c r="A273" s="22"/>
      <c r="B273" s="91"/>
      <c r="C273" s="91"/>
      <c r="D273" s="92"/>
      <c r="E273" s="92"/>
      <c r="F273" s="92"/>
      <c r="G273" s="92"/>
      <c r="H273" s="92"/>
      <c r="I273" s="92"/>
      <c r="J273" s="92"/>
      <c r="K273" s="93"/>
      <c r="L273" s="93"/>
      <c r="M273" s="93"/>
      <c r="N273" s="93"/>
      <c r="O273" s="93"/>
      <c r="P273" s="93"/>
      <c r="Q273" s="93"/>
      <c r="R273" s="93"/>
      <c r="S273" s="92"/>
      <c r="T273" s="92"/>
      <c r="U273" s="92"/>
      <c r="V273" s="92"/>
      <c r="W273" s="92"/>
      <c r="X273" s="92"/>
      <c r="Y273" s="92"/>
      <c r="Z273" s="92"/>
      <c r="AA273" s="92"/>
      <c r="AB273" s="92"/>
      <c r="AC273" s="92"/>
      <c r="AD273" s="92"/>
      <c r="AE273" s="92"/>
      <c r="AF273" s="92"/>
      <c r="AG273" s="92"/>
      <c r="AH273" s="92"/>
      <c r="AI273" s="92"/>
      <c r="AJ273" s="92"/>
      <c r="AK273" s="92"/>
      <c r="AL273" s="92"/>
      <c r="AM273" s="92"/>
      <c r="AN273" s="92"/>
      <c r="AO273" s="92"/>
      <c r="AP273" s="92"/>
      <c r="AQ273" s="92"/>
      <c r="AR273" s="92"/>
      <c r="AS273" s="92"/>
      <c r="AT273" s="92"/>
      <c r="AU273" s="92"/>
      <c r="AV273" s="92"/>
      <c r="AW273" s="92"/>
      <c r="AX273" s="92"/>
      <c r="AY273" s="92"/>
      <c r="AZ273" s="92"/>
    </row>
    <row r="274" spans="1:52" ht="15.7" customHeight="1" x14ac:dyDescent="0.4">
      <c r="A274" s="22"/>
      <c r="B274" s="91"/>
      <c r="C274" s="91"/>
      <c r="D274" s="92"/>
      <c r="E274" s="92"/>
      <c r="F274" s="92"/>
      <c r="G274" s="92"/>
      <c r="H274" s="92"/>
      <c r="I274" s="92"/>
      <c r="J274" s="92"/>
      <c r="K274" s="93"/>
      <c r="L274" s="93"/>
      <c r="M274" s="93"/>
      <c r="N274" s="93"/>
      <c r="O274" s="93"/>
      <c r="P274" s="93"/>
      <c r="Q274" s="93"/>
      <c r="R274" s="93"/>
      <c r="S274" s="92"/>
      <c r="T274" s="92"/>
      <c r="U274" s="92"/>
      <c r="V274" s="92"/>
      <c r="W274" s="92"/>
      <c r="X274" s="92"/>
      <c r="Y274" s="92"/>
      <c r="Z274" s="92"/>
      <c r="AA274" s="92"/>
      <c r="AB274" s="92"/>
      <c r="AC274" s="92"/>
      <c r="AD274" s="92"/>
      <c r="AE274" s="92"/>
      <c r="AF274" s="92"/>
      <c r="AG274" s="92"/>
      <c r="AH274" s="92"/>
      <c r="AI274" s="92"/>
      <c r="AJ274" s="92"/>
      <c r="AK274" s="92"/>
      <c r="AL274" s="92"/>
      <c r="AM274" s="92"/>
      <c r="AN274" s="92"/>
      <c r="AO274" s="92"/>
      <c r="AP274" s="92"/>
      <c r="AQ274" s="92"/>
      <c r="AR274" s="92"/>
      <c r="AS274" s="92"/>
      <c r="AT274" s="92"/>
      <c r="AU274" s="92"/>
      <c r="AV274" s="92"/>
      <c r="AW274" s="92"/>
      <c r="AX274" s="92"/>
      <c r="AY274" s="92"/>
      <c r="AZ274" s="92"/>
    </row>
    <row r="275" spans="1:52" ht="15.7" customHeight="1" x14ac:dyDescent="0.4">
      <c r="A275" s="22"/>
      <c r="B275" s="91"/>
      <c r="C275" s="91"/>
      <c r="D275" s="92"/>
      <c r="E275" s="92"/>
      <c r="F275" s="92"/>
      <c r="G275" s="92"/>
      <c r="H275" s="92"/>
      <c r="I275" s="92"/>
      <c r="J275" s="92"/>
      <c r="K275" s="93"/>
      <c r="L275" s="93"/>
      <c r="M275" s="93"/>
      <c r="N275" s="93"/>
      <c r="O275" s="93"/>
      <c r="P275" s="93"/>
      <c r="Q275" s="93"/>
      <c r="R275" s="93"/>
      <c r="S275" s="92"/>
      <c r="T275" s="92"/>
      <c r="U275" s="92"/>
      <c r="V275" s="92"/>
      <c r="W275" s="92"/>
      <c r="X275" s="92"/>
      <c r="Y275" s="92"/>
      <c r="Z275" s="92"/>
      <c r="AA275" s="92"/>
      <c r="AB275" s="92"/>
      <c r="AC275" s="92"/>
      <c r="AD275" s="92"/>
      <c r="AE275" s="92"/>
      <c r="AF275" s="92"/>
      <c r="AG275" s="92"/>
      <c r="AH275" s="92"/>
      <c r="AI275" s="92"/>
      <c r="AJ275" s="92"/>
      <c r="AK275" s="92"/>
      <c r="AL275" s="92"/>
      <c r="AM275" s="92"/>
      <c r="AN275" s="92"/>
      <c r="AO275" s="92"/>
      <c r="AP275" s="92"/>
      <c r="AQ275" s="92"/>
      <c r="AR275" s="92"/>
      <c r="AS275" s="92"/>
      <c r="AT275" s="92"/>
      <c r="AU275" s="92"/>
      <c r="AV275" s="92"/>
      <c r="AW275" s="92"/>
      <c r="AX275" s="92"/>
      <c r="AY275" s="92"/>
      <c r="AZ275" s="92"/>
    </row>
    <row r="276" spans="1:52" ht="15.7" customHeight="1" x14ac:dyDescent="0.4">
      <c r="A276" s="22"/>
      <c r="B276" s="91"/>
      <c r="C276" s="91"/>
      <c r="D276" s="92"/>
      <c r="E276" s="92"/>
      <c r="F276" s="92"/>
      <c r="G276" s="92"/>
      <c r="H276" s="92"/>
      <c r="I276" s="92"/>
      <c r="J276" s="92"/>
      <c r="K276" s="93"/>
      <c r="L276" s="93"/>
      <c r="M276" s="93"/>
      <c r="N276" s="93"/>
      <c r="O276" s="93"/>
      <c r="P276" s="93"/>
      <c r="Q276" s="93"/>
      <c r="R276" s="93"/>
      <c r="S276" s="92"/>
      <c r="T276" s="92"/>
      <c r="U276" s="92"/>
      <c r="V276" s="92"/>
      <c r="W276" s="92"/>
      <c r="X276" s="92"/>
      <c r="Y276" s="92"/>
      <c r="Z276" s="92"/>
      <c r="AA276" s="92"/>
      <c r="AB276" s="92"/>
      <c r="AC276" s="92"/>
      <c r="AD276" s="92"/>
      <c r="AE276" s="92"/>
      <c r="AF276" s="92"/>
      <c r="AG276" s="92"/>
      <c r="AH276" s="92"/>
      <c r="AI276" s="92"/>
      <c r="AJ276" s="92"/>
      <c r="AK276" s="92"/>
      <c r="AL276" s="92"/>
      <c r="AM276" s="92"/>
      <c r="AN276" s="92"/>
      <c r="AO276" s="92"/>
      <c r="AP276" s="92"/>
      <c r="AQ276" s="92"/>
      <c r="AR276" s="92"/>
      <c r="AS276" s="92"/>
      <c r="AT276" s="92"/>
      <c r="AU276" s="92"/>
      <c r="AV276" s="92"/>
      <c r="AW276" s="92"/>
      <c r="AX276" s="92"/>
      <c r="AY276" s="92"/>
      <c r="AZ276" s="92"/>
    </row>
    <row r="277" spans="1:52" ht="15.7" customHeight="1" x14ac:dyDescent="0.4">
      <c r="A277" s="22"/>
      <c r="B277" s="91"/>
      <c r="C277" s="91"/>
      <c r="D277" s="92"/>
      <c r="E277" s="92"/>
      <c r="F277" s="92"/>
      <c r="G277" s="92"/>
      <c r="H277" s="92"/>
      <c r="I277" s="92"/>
      <c r="J277" s="92"/>
      <c r="K277" s="93"/>
      <c r="L277" s="93"/>
      <c r="M277" s="93"/>
      <c r="N277" s="93"/>
      <c r="O277" s="93"/>
      <c r="P277" s="93"/>
      <c r="Q277" s="93"/>
      <c r="R277" s="93"/>
      <c r="S277" s="92"/>
      <c r="T277" s="92"/>
      <c r="U277" s="92"/>
      <c r="V277" s="92"/>
      <c r="W277" s="92"/>
      <c r="X277" s="92"/>
      <c r="Y277" s="92"/>
      <c r="Z277" s="92"/>
      <c r="AA277" s="92"/>
      <c r="AB277" s="92"/>
      <c r="AC277" s="92"/>
      <c r="AD277" s="92"/>
      <c r="AE277" s="92"/>
      <c r="AF277" s="92"/>
      <c r="AG277" s="92"/>
      <c r="AH277" s="92"/>
      <c r="AI277" s="92"/>
      <c r="AJ277" s="92"/>
      <c r="AK277" s="92"/>
      <c r="AL277" s="92"/>
      <c r="AM277" s="92"/>
      <c r="AN277" s="92"/>
      <c r="AO277" s="92"/>
      <c r="AP277" s="92"/>
      <c r="AQ277" s="92"/>
      <c r="AR277" s="92"/>
      <c r="AS277" s="92"/>
      <c r="AT277" s="92"/>
      <c r="AU277" s="92"/>
      <c r="AV277" s="92"/>
      <c r="AW277" s="92"/>
      <c r="AX277" s="92"/>
      <c r="AY277" s="92"/>
      <c r="AZ277" s="92"/>
    </row>
    <row r="278" spans="1:52" ht="15.7" customHeight="1" x14ac:dyDescent="0.4">
      <c r="A278" s="22"/>
      <c r="B278" s="91"/>
      <c r="C278" s="91"/>
      <c r="D278" s="92"/>
      <c r="E278" s="92"/>
      <c r="F278" s="92"/>
      <c r="G278" s="92"/>
      <c r="H278" s="92"/>
      <c r="I278" s="92"/>
      <c r="J278" s="92"/>
      <c r="K278" s="93"/>
      <c r="L278" s="93"/>
      <c r="M278" s="93"/>
      <c r="N278" s="93"/>
      <c r="O278" s="93"/>
      <c r="P278" s="93"/>
      <c r="Q278" s="93"/>
      <c r="R278" s="93"/>
      <c r="S278" s="92"/>
      <c r="T278" s="92"/>
      <c r="U278" s="92"/>
      <c r="V278" s="92"/>
      <c r="W278" s="92"/>
      <c r="X278" s="92"/>
      <c r="Y278" s="92"/>
      <c r="Z278" s="92"/>
      <c r="AA278" s="92"/>
      <c r="AB278" s="92"/>
      <c r="AC278" s="92"/>
      <c r="AD278" s="92"/>
      <c r="AE278" s="92"/>
      <c r="AF278" s="92"/>
      <c r="AG278" s="92"/>
      <c r="AH278" s="92"/>
      <c r="AI278" s="92"/>
      <c r="AJ278" s="92"/>
      <c r="AK278" s="92"/>
      <c r="AL278" s="92"/>
      <c r="AM278" s="92"/>
      <c r="AN278" s="92"/>
      <c r="AO278" s="92"/>
      <c r="AP278" s="92"/>
      <c r="AQ278" s="92"/>
      <c r="AR278" s="92"/>
      <c r="AS278" s="92"/>
      <c r="AT278" s="92"/>
      <c r="AU278" s="92"/>
      <c r="AV278" s="92"/>
      <c r="AW278" s="92"/>
      <c r="AX278" s="92"/>
      <c r="AY278" s="92"/>
      <c r="AZ278" s="92"/>
    </row>
    <row r="279" spans="1:52" ht="15.7" customHeight="1" x14ac:dyDescent="0.4">
      <c r="A279" s="22"/>
      <c r="B279" s="91"/>
      <c r="C279" s="91"/>
      <c r="D279" s="92"/>
      <c r="E279" s="92"/>
      <c r="F279" s="92"/>
      <c r="G279" s="92"/>
      <c r="H279" s="92"/>
      <c r="I279" s="92"/>
      <c r="J279" s="92"/>
      <c r="K279" s="93"/>
      <c r="L279" s="93"/>
      <c r="M279" s="93"/>
      <c r="N279" s="93"/>
      <c r="O279" s="93"/>
      <c r="P279" s="93"/>
      <c r="Q279" s="93"/>
      <c r="R279" s="93"/>
      <c r="S279" s="92"/>
      <c r="T279" s="92"/>
      <c r="U279" s="92"/>
      <c r="V279" s="92"/>
      <c r="W279" s="92"/>
      <c r="X279" s="92"/>
      <c r="Y279" s="92"/>
      <c r="Z279" s="92"/>
      <c r="AA279" s="92"/>
      <c r="AB279" s="92"/>
      <c r="AC279" s="92"/>
      <c r="AD279" s="92"/>
      <c r="AE279" s="92"/>
      <c r="AF279" s="92"/>
      <c r="AG279" s="92"/>
      <c r="AH279" s="92"/>
      <c r="AI279" s="92"/>
      <c r="AJ279" s="92"/>
      <c r="AK279" s="92"/>
      <c r="AL279" s="92"/>
      <c r="AM279" s="92"/>
      <c r="AN279" s="92"/>
      <c r="AO279" s="92"/>
      <c r="AP279" s="92"/>
      <c r="AQ279" s="92"/>
      <c r="AR279" s="92"/>
      <c r="AS279" s="92"/>
      <c r="AT279" s="92"/>
      <c r="AU279" s="92"/>
      <c r="AV279" s="92"/>
      <c r="AW279" s="92"/>
      <c r="AX279" s="92"/>
      <c r="AY279" s="92"/>
      <c r="AZ279" s="92"/>
    </row>
    <row r="280" spans="1:52" ht="15.7" customHeight="1" x14ac:dyDescent="0.4">
      <c r="A280" s="22"/>
      <c r="B280" s="91"/>
      <c r="C280" s="91"/>
      <c r="D280" s="92"/>
      <c r="E280" s="92"/>
      <c r="F280" s="92"/>
      <c r="G280" s="92"/>
      <c r="H280" s="92"/>
      <c r="I280" s="92"/>
      <c r="J280" s="92"/>
      <c r="K280" s="93"/>
      <c r="L280" s="93"/>
      <c r="M280" s="93"/>
      <c r="N280" s="93"/>
      <c r="O280" s="93"/>
      <c r="P280" s="93"/>
      <c r="Q280" s="93"/>
      <c r="R280" s="93"/>
      <c r="S280" s="92"/>
      <c r="T280" s="92"/>
      <c r="U280" s="92"/>
      <c r="V280" s="92"/>
      <c r="W280" s="92"/>
      <c r="X280" s="92"/>
      <c r="Y280" s="92"/>
      <c r="Z280" s="92"/>
      <c r="AA280" s="92"/>
      <c r="AB280" s="92"/>
      <c r="AC280" s="92"/>
      <c r="AD280" s="92"/>
      <c r="AE280" s="92"/>
      <c r="AF280" s="92"/>
      <c r="AG280" s="92"/>
      <c r="AH280" s="92"/>
      <c r="AI280" s="92"/>
      <c r="AJ280" s="92"/>
      <c r="AK280" s="92"/>
      <c r="AL280" s="92"/>
      <c r="AM280" s="92"/>
      <c r="AN280" s="92"/>
      <c r="AO280" s="92"/>
      <c r="AP280" s="92"/>
      <c r="AQ280" s="92"/>
      <c r="AR280" s="92"/>
      <c r="AS280" s="92"/>
      <c r="AT280" s="92"/>
      <c r="AU280" s="92"/>
      <c r="AV280" s="92"/>
      <c r="AW280" s="92"/>
      <c r="AX280" s="92"/>
      <c r="AY280" s="92"/>
      <c r="AZ280" s="92"/>
    </row>
    <row r="281" spans="1:52" ht="15.7" customHeight="1" x14ac:dyDescent="0.4">
      <c r="A281" s="22"/>
      <c r="B281" s="91"/>
      <c r="C281" s="91"/>
      <c r="D281" s="92"/>
      <c r="E281" s="92"/>
      <c r="F281" s="92"/>
      <c r="G281" s="92"/>
      <c r="H281" s="92"/>
      <c r="I281" s="92"/>
      <c r="J281" s="92"/>
      <c r="K281" s="93"/>
      <c r="L281" s="93"/>
      <c r="M281" s="93"/>
      <c r="N281" s="93"/>
      <c r="O281" s="93"/>
      <c r="P281" s="93"/>
      <c r="Q281" s="93"/>
      <c r="R281" s="93"/>
      <c r="S281" s="92"/>
      <c r="T281" s="92"/>
      <c r="U281" s="92"/>
      <c r="V281" s="92"/>
      <c r="W281" s="92"/>
      <c r="X281" s="92"/>
      <c r="Y281" s="92"/>
      <c r="Z281" s="92"/>
      <c r="AA281" s="92"/>
      <c r="AB281" s="92"/>
      <c r="AC281" s="92"/>
      <c r="AD281" s="92"/>
      <c r="AE281" s="92"/>
      <c r="AF281" s="92"/>
      <c r="AG281" s="92"/>
      <c r="AH281" s="92"/>
      <c r="AI281" s="92"/>
      <c r="AJ281" s="92"/>
      <c r="AK281" s="92"/>
      <c r="AL281" s="92"/>
      <c r="AM281" s="92"/>
      <c r="AN281" s="92"/>
      <c r="AO281" s="92"/>
      <c r="AP281" s="92"/>
      <c r="AQ281" s="92"/>
      <c r="AR281" s="92"/>
      <c r="AS281" s="92"/>
      <c r="AT281" s="92"/>
      <c r="AU281" s="92"/>
      <c r="AV281" s="92"/>
      <c r="AW281" s="92"/>
      <c r="AX281" s="92"/>
      <c r="AY281" s="92"/>
      <c r="AZ281" s="92"/>
    </row>
    <row r="282" spans="1:52" ht="15.7" customHeight="1" x14ac:dyDescent="0.4">
      <c r="A282" s="22"/>
      <c r="B282" s="91"/>
      <c r="C282" s="91"/>
      <c r="D282" s="92"/>
      <c r="E282" s="92"/>
      <c r="F282" s="92"/>
      <c r="G282" s="92"/>
      <c r="H282" s="92"/>
      <c r="I282" s="92"/>
      <c r="J282" s="92"/>
      <c r="K282" s="93"/>
      <c r="L282" s="93"/>
      <c r="M282" s="93"/>
      <c r="N282" s="93"/>
      <c r="O282" s="93"/>
      <c r="P282" s="93"/>
      <c r="Q282" s="93"/>
      <c r="R282" s="93"/>
      <c r="S282" s="92"/>
      <c r="T282" s="92"/>
      <c r="U282" s="92"/>
      <c r="V282" s="92"/>
      <c r="W282" s="92"/>
      <c r="X282" s="92"/>
      <c r="Y282" s="92"/>
      <c r="Z282" s="92"/>
      <c r="AA282" s="92"/>
      <c r="AB282" s="92"/>
      <c r="AC282" s="92"/>
      <c r="AD282" s="92"/>
      <c r="AE282" s="92"/>
      <c r="AF282" s="92"/>
      <c r="AG282" s="92"/>
      <c r="AH282" s="92"/>
      <c r="AI282" s="92"/>
      <c r="AJ282" s="92"/>
      <c r="AK282" s="92"/>
      <c r="AL282" s="92"/>
      <c r="AM282" s="92"/>
      <c r="AN282" s="92"/>
      <c r="AO282" s="92"/>
      <c r="AP282" s="92"/>
      <c r="AQ282" s="92"/>
      <c r="AR282" s="92"/>
      <c r="AS282" s="92"/>
      <c r="AT282" s="92"/>
      <c r="AU282" s="92"/>
      <c r="AV282" s="92"/>
      <c r="AW282" s="92"/>
      <c r="AX282" s="92"/>
      <c r="AY282" s="92"/>
      <c r="AZ282" s="92"/>
    </row>
    <row r="283" spans="1:52" ht="15.7" customHeight="1" x14ac:dyDescent="0.4">
      <c r="A283" s="22"/>
      <c r="B283" s="91"/>
      <c r="C283" s="91"/>
      <c r="D283" s="92"/>
      <c r="E283" s="92"/>
      <c r="F283" s="92"/>
      <c r="G283" s="92"/>
      <c r="H283" s="92"/>
      <c r="I283" s="92"/>
      <c r="J283" s="92"/>
      <c r="K283" s="93"/>
      <c r="L283" s="93"/>
      <c r="M283" s="93"/>
      <c r="N283" s="93"/>
      <c r="O283" s="93"/>
      <c r="P283" s="93"/>
      <c r="Q283" s="93"/>
      <c r="R283" s="93"/>
      <c r="S283" s="92"/>
      <c r="T283" s="92"/>
      <c r="U283" s="92"/>
      <c r="V283" s="92"/>
      <c r="W283" s="92"/>
      <c r="X283" s="92"/>
      <c r="Y283" s="92"/>
      <c r="Z283" s="92"/>
      <c r="AA283" s="92"/>
      <c r="AB283" s="92"/>
      <c r="AC283" s="92"/>
      <c r="AD283" s="92"/>
      <c r="AE283" s="92"/>
      <c r="AF283" s="92"/>
      <c r="AG283" s="92"/>
      <c r="AH283" s="92"/>
      <c r="AI283" s="92"/>
      <c r="AJ283" s="92"/>
      <c r="AK283" s="92"/>
      <c r="AL283" s="92"/>
      <c r="AM283" s="92"/>
      <c r="AN283" s="92"/>
      <c r="AO283" s="92"/>
      <c r="AP283" s="92"/>
      <c r="AQ283" s="92"/>
      <c r="AR283" s="92"/>
      <c r="AS283" s="92"/>
      <c r="AT283" s="92"/>
      <c r="AU283" s="92"/>
      <c r="AV283" s="92"/>
      <c r="AW283" s="92"/>
      <c r="AX283" s="92"/>
      <c r="AY283" s="92"/>
      <c r="AZ283" s="92"/>
    </row>
    <row r="284" spans="1:52" ht="15.7" customHeight="1" x14ac:dyDescent="0.4">
      <c r="A284" s="22"/>
      <c r="B284" s="91"/>
      <c r="C284" s="91"/>
      <c r="D284" s="92"/>
      <c r="E284" s="92"/>
      <c r="F284" s="92"/>
      <c r="G284" s="92"/>
      <c r="H284" s="92"/>
      <c r="I284" s="92"/>
      <c r="J284" s="92"/>
      <c r="K284" s="93"/>
      <c r="L284" s="93"/>
      <c r="M284" s="93"/>
      <c r="N284" s="93"/>
      <c r="O284" s="93"/>
      <c r="P284" s="93"/>
      <c r="Q284" s="93"/>
      <c r="R284" s="93"/>
      <c r="S284" s="92"/>
      <c r="T284" s="92"/>
      <c r="U284" s="92"/>
      <c r="V284" s="92"/>
      <c r="W284" s="92"/>
      <c r="X284" s="92"/>
      <c r="Y284" s="92"/>
      <c r="Z284" s="92"/>
      <c r="AA284" s="92"/>
      <c r="AB284" s="92"/>
      <c r="AC284" s="92"/>
      <c r="AD284" s="92"/>
      <c r="AE284" s="92"/>
      <c r="AF284" s="92"/>
      <c r="AG284" s="92"/>
      <c r="AH284" s="92"/>
      <c r="AI284" s="92"/>
      <c r="AJ284" s="92"/>
      <c r="AK284" s="92"/>
      <c r="AL284" s="92"/>
      <c r="AM284" s="92"/>
      <c r="AN284" s="92"/>
      <c r="AO284" s="92"/>
      <c r="AP284" s="92"/>
      <c r="AQ284" s="92"/>
      <c r="AR284" s="92"/>
      <c r="AS284" s="92"/>
      <c r="AT284" s="92"/>
      <c r="AU284" s="92"/>
      <c r="AV284" s="92"/>
      <c r="AW284" s="92"/>
      <c r="AX284" s="92"/>
      <c r="AY284" s="92"/>
      <c r="AZ284" s="92"/>
    </row>
    <row r="285" spans="1:52" ht="15.7" customHeight="1" x14ac:dyDescent="0.4">
      <c r="A285" s="22"/>
      <c r="B285" s="91"/>
      <c r="C285" s="91"/>
      <c r="D285" s="92"/>
      <c r="E285" s="92"/>
      <c r="F285" s="92"/>
      <c r="G285" s="92"/>
      <c r="H285" s="92"/>
      <c r="I285" s="92"/>
      <c r="J285" s="92"/>
      <c r="K285" s="93"/>
      <c r="L285" s="93"/>
      <c r="M285" s="93"/>
      <c r="N285" s="93"/>
      <c r="O285" s="93"/>
      <c r="P285" s="93"/>
      <c r="Q285" s="93"/>
      <c r="R285" s="93"/>
      <c r="S285" s="92"/>
      <c r="T285" s="92"/>
      <c r="U285" s="92"/>
      <c r="V285" s="92"/>
      <c r="W285" s="92"/>
      <c r="X285" s="92"/>
      <c r="Y285" s="92"/>
      <c r="Z285" s="92"/>
      <c r="AA285" s="92"/>
      <c r="AB285" s="92"/>
      <c r="AC285" s="92"/>
      <c r="AD285" s="92"/>
      <c r="AE285" s="92"/>
      <c r="AF285" s="92"/>
      <c r="AG285" s="92"/>
      <c r="AH285" s="92"/>
      <c r="AI285" s="92"/>
      <c r="AJ285" s="92"/>
      <c r="AK285" s="92"/>
      <c r="AL285" s="92"/>
      <c r="AM285" s="92"/>
      <c r="AN285" s="92"/>
      <c r="AO285" s="92"/>
      <c r="AP285" s="92"/>
      <c r="AQ285" s="92"/>
      <c r="AR285" s="92"/>
      <c r="AS285" s="92"/>
      <c r="AT285" s="92"/>
      <c r="AU285" s="92"/>
      <c r="AV285" s="92"/>
      <c r="AW285" s="92"/>
      <c r="AX285" s="92"/>
      <c r="AY285" s="92"/>
      <c r="AZ285" s="92"/>
    </row>
    <row r="286" spans="1:52" ht="15.7" customHeight="1" x14ac:dyDescent="0.4">
      <c r="A286" s="22"/>
      <c r="B286" s="91"/>
      <c r="C286" s="91"/>
      <c r="D286" s="92"/>
      <c r="E286" s="92"/>
      <c r="F286" s="92"/>
      <c r="G286" s="92"/>
      <c r="H286" s="92"/>
      <c r="I286" s="92"/>
      <c r="J286" s="92"/>
      <c r="K286" s="93"/>
      <c r="L286" s="93"/>
      <c r="M286" s="93"/>
      <c r="N286" s="93"/>
      <c r="O286" s="93"/>
      <c r="P286" s="93"/>
      <c r="Q286" s="93"/>
      <c r="R286" s="93"/>
      <c r="S286" s="92"/>
      <c r="T286" s="92"/>
      <c r="U286" s="92"/>
      <c r="V286" s="92"/>
      <c r="W286" s="92"/>
      <c r="X286" s="92"/>
      <c r="Y286" s="92"/>
      <c r="Z286" s="92"/>
      <c r="AA286" s="92"/>
      <c r="AB286" s="92"/>
      <c r="AC286" s="92"/>
      <c r="AD286" s="92"/>
      <c r="AE286" s="92"/>
      <c r="AF286" s="92"/>
      <c r="AG286" s="92"/>
      <c r="AH286" s="92"/>
      <c r="AI286" s="92"/>
      <c r="AJ286" s="92"/>
      <c r="AK286" s="92"/>
      <c r="AL286" s="92"/>
      <c r="AM286" s="92"/>
      <c r="AN286" s="92"/>
      <c r="AO286" s="92"/>
      <c r="AP286" s="92"/>
      <c r="AQ286" s="92"/>
      <c r="AR286" s="92"/>
      <c r="AS286" s="92"/>
      <c r="AT286" s="92"/>
      <c r="AU286" s="92"/>
      <c r="AV286" s="92"/>
      <c r="AW286" s="92"/>
      <c r="AX286" s="92"/>
      <c r="AY286" s="92"/>
      <c r="AZ286" s="92"/>
    </row>
    <row r="287" spans="1:52" ht="15.7" customHeight="1" x14ac:dyDescent="0.4">
      <c r="A287" s="22"/>
      <c r="B287" s="91"/>
      <c r="C287" s="91"/>
      <c r="D287" s="92"/>
      <c r="E287" s="92"/>
      <c r="F287" s="92"/>
      <c r="G287" s="92"/>
      <c r="H287" s="92"/>
      <c r="I287" s="92"/>
      <c r="J287" s="92"/>
      <c r="K287" s="93"/>
      <c r="L287" s="93"/>
      <c r="M287" s="93"/>
      <c r="N287" s="93"/>
      <c r="O287" s="93"/>
      <c r="P287" s="93"/>
      <c r="Q287" s="93"/>
      <c r="R287" s="93"/>
      <c r="S287" s="92"/>
      <c r="T287" s="92"/>
      <c r="U287" s="92"/>
      <c r="V287" s="92"/>
      <c r="W287" s="92"/>
      <c r="X287" s="92"/>
      <c r="Y287" s="92"/>
      <c r="Z287" s="92"/>
      <c r="AA287" s="92"/>
      <c r="AB287" s="92"/>
      <c r="AC287" s="92"/>
      <c r="AD287" s="92"/>
      <c r="AE287" s="92"/>
      <c r="AF287" s="92"/>
      <c r="AG287" s="92"/>
      <c r="AH287" s="92"/>
      <c r="AI287" s="92"/>
      <c r="AJ287" s="92"/>
      <c r="AK287" s="92"/>
      <c r="AL287" s="92"/>
      <c r="AM287" s="92"/>
      <c r="AN287" s="92"/>
      <c r="AO287" s="92"/>
      <c r="AP287" s="92"/>
      <c r="AQ287" s="92"/>
      <c r="AR287" s="92"/>
      <c r="AS287" s="92"/>
      <c r="AT287" s="92"/>
      <c r="AU287" s="92"/>
      <c r="AV287" s="92"/>
      <c r="AW287" s="92"/>
      <c r="AX287" s="92"/>
      <c r="AY287" s="92"/>
      <c r="AZ287" s="92"/>
    </row>
    <row r="288" spans="1:52" ht="15.7" customHeight="1" x14ac:dyDescent="0.4">
      <c r="A288" s="22"/>
      <c r="B288" s="91"/>
      <c r="C288" s="91"/>
      <c r="D288" s="92"/>
      <c r="E288" s="92"/>
      <c r="F288" s="92"/>
      <c r="G288" s="92"/>
      <c r="H288" s="92"/>
      <c r="I288" s="92"/>
      <c r="J288" s="92"/>
      <c r="K288" s="93"/>
      <c r="L288" s="93"/>
      <c r="M288" s="93"/>
      <c r="N288" s="93"/>
      <c r="O288" s="93"/>
      <c r="P288" s="93"/>
      <c r="Q288" s="93"/>
      <c r="R288" s="93"/>
      <c r="S288" s="92"/>
      <c r="T288" s="92"/>
      <c r="U288" s="92"/>
      <c r="V288" s="92"/>
      <c r="W288" s="92"/>
      <c r="X288" s="92"/>
      <c r="Y288" s="92"/>
      <c r="Z288" s="92"/>
      <c r="AA288" s="92"/>
      <c r="AB288" s="92"/>
      <c r="AC288" s="92"/>
      <c r="AD288" s="92"/>
      <c r="AE288" s="92"/>
      <c r="AF288" s="92"/>
      <c r="AG288" s="92"/>
      <c r="AH288" s="92"/>
      <c r="AI288" s="92"/>
      <c r="AJ288" s="92"/>
      <c r="AK288" s="92"/>
      <c r="AL288" s="92"/>
      <c r="AM288" s="92"/>
      <c r="AN288" s="92"/>
      <c r="AO288" s="92"/>
      <c r="AP288" s="92"/>
      <c r="AQ288" s="92"/>
      <c r="AR288" s="92"/>
      <c r="AS288" s="92"/>
      <c r="AT288" s="92"/>
      <c r="AU288" s="92"/>
      <c r="AV288" s="92"/>
      <c r="AW288" s="92"/>
      <c r="AX288" s="92"/>
      <c r="AY288" s="92"/>
      <c r="AZ288" s="92"/>
    </row>
    <row r="289" spans="1:52" ht="15.7" customHeight="1" x14ac:dyDescent="0.4">
      <c r="A289" s="22"/>
      <c r="B289" s="91"/>
      <c r="C289" s="91"/>
      <c r="D289" s="92"/>
      <c r="E289" s="92"/>
      <c r="F289" s="92"/>
      <c r="G289" s="92"/>
      <c r="H289" s="92"/>
      <c r="I289" s="92"/>
      <c r="J289" s="92"/>
      <c r="K289" s="93"/>
      <c r="L289" s="93"/>
      <c r="M289" s="93"/>
      <c r="N289" s="93"/>
      <c r="O289" s="93"/>
      <c r="P289" s="93"/>
      <c r="Q289" s="93"/>
      <c r="R289" s="93"/>
      <c r="S289" s="92"/>
      <c r="T289" s="92"/>
      <c r="U289" s="92"/>
      <c r="V289" s="92"/>
      <c r="W289" s="92"/>
      <c r="X289" s="92"/>
      <c r="Y289" s="92"/>
      <c r="Z289" s="92"/>
      <c r="AA289" s="92"/>
      <c r="AB289" s="92"/>
      <c r="AC289" s="92"/>
      <c r="AD289" s="92"/>
      <c r="AE289" s="92"/>
      <c r="AF289" s="92"/>
      <c r="AG289" s="92"/>
      <c r="AH289" s="92"/>
      <c r="AI289" s="92"/>
      <c r="AJ289" s="92"/>
      <c r="AK289" s="92"/>
      <c r="AL289" s="92"/>
      <c r="AM289" s="92"/>
      <c r="AN289" s="92"/>
      <c r="AO289" s="92"/>
      <c r="AP289" s="92"/>
      <c r="AQ289" s="92"/>
      <c r="AR289" s="92"/>
      <c r="AS289" s="92"/>
      <c r="AT289" s="92"/>
      <c r="AU289" s="92"/>
      <c r="AV289" s="92"/>
      <c r="AW289" s="92"/>
      <c r="AX289" s="92"/>
      <c r="AY289" s="92"/>
      <c r="AZ289" s="92"/>
    </row>
    <row r="290" spans="1:52" ht="15.7" customHeight="1" x14ac:dyDescent="0.4">
      <c r="A290" s="22"/>
      <c r="B290" s="91"/>
      <c r="C290" s="91"/>
      <c r="D290" s="92"/>
      <c r="E290" s="92"/>
      <c r="F290" s="92"/>
      <c r="G290" s="92"/>
      <c r="H290" s="92"/>
      <c r="I290" s="92"/>
      <c r="J290" s="92"/>
      <c r="K290" s="93"/>
      <c r="L290" s="93"/>
      <c r="M290" s="93"/>
      <c r="N290" s="93"/>
      <c r="O290" s="93"/>
      <c r="P290" s="93"/>
      <c r="Q290" s="93"/>
      <c r="R290" s="93"/>
      <c r="S290" s="92"/>
      <c r="T290" s="92"/>
      <c r="U290" s="92"/>
      <c r="V290" s="92"/>
      <c r="W290" s="92"/>
      <c r="X290" s="92"/>
      <c r="Y290" s="92"/>
      <c r="Z290" s="92"/>
      <c r="AA290" s="92"/>
      <c r="AB290" s="92"/>
      <c r="AC290" s="92"/>
      <c r="AD290" s="92"/>
      <c r="AE290" s="92"/>
      <c r="AF290" s="92"/>
      <c r="AG290" s="92"/>
      <c r="AH290" s="92"/>
      <c r="AI290" s="92"/>
      <c r="AJ290" s="92"/>
      <c r="AK290" s="92"/>
      <c r="AL290" s="92"/>
      <c r="AM290" s="92"/>
      <c r="AN290" s="92"/>
      <c r="AO290" s="92"/>
      <c r="AP290" s="92"/>
      <c r="AQ290" s="92"/>
      <c r="AR290" s="92"/>
      <c r="AS290" s="92"/>
      <c r="AT290" s="92"/>
      <c r="AU290" s="92"/>
      <c r="AV290" s="92"/>
      <c r="AW290" s="92"/>
      <c r="AX290" s="92"/>
      <c r="AY290" s="92"/>
      <c r="AZ290" s="92"/>
    </row>
    <row r="291" spans="1:52" ht="15.7" customHeight="1" x14ac:dyDescent="0.4">
      <c r="A291" s="22"/>
      <c r="B291" s="91"/>
      <c r="C291" s="91"/>
      <c r="D291" s="92"/>
      <c r="E291" s="92"/>
      <c r="F291" s="92"/>
      <c r="G291" s="92"/>
      <c r="H291" s="92"/>
      <c r="I291" s="92"/>
      <c r="J291" s="92"/>
      <c r="K291" s="93"/>
      <c r="L291" s="93"/>
      <c r="M291" s="93"/>
      <c r="N291" s="93"/>
      <c r="O291" s="93"/>
      <c r="P291" s="93"/>
      <c r="Q291" s="93"/>
      <c r="R291" s="93"/>
      <c r="S291" s="92"/>
      <c r="T291" s="92"/>
      <c r="U291" s="92"/>
      <c r="V291" s="92"/>
      <c r="W291" s="92"/>
      <c r="X291" s="92"/>
      <c r="Y291" s="92"/>
      <c r="Z291" s="92"/>
      <c r="AA291" s="92"/>
      <c r="AB291" s="92"/>
      <c r="AC291" s="92"/>
      <c r="AD291" s="92"/>
      <c r="AE291" s="92"/>
      <c r="AF291" s="92"/>
      <c r="AG291" s="92"/>
      <c r="AH291" s="92"/>
      <c r="AI291" s="92"/>
      <c r="AJ291" s="92"/>
      <c r="AK291" s="92"/>
      <c r="AL291" s="92"/>
      <c r="AM291" s="92"/>
      <c r="AN291" s="92"/>
      <c r="AO291" s="92"/>
      <c r="AP291" s="92"/>
      <c r="AQ291" s="92"/>
      <c r="AR291" s="92"/>
      <c r="AS291" s="92"/>
      <c r="AT291" s="92"/>
      <c r="AU291" s="92"/>
      <c r="AV291" s="92"/>
      <c r="AW291" s="92"/>
      <c r="AX291" s="92"/>
      <c r="AY291" s="92"/>
      <c r="AZ291" s="92"/>
    </row>
    <row r="292" spans="1:52" ht="15.7" customHeight="1" x14ac:dyDescent="0.4">
      <c r="A292" s="22"/>
      <c r="B292" s="91"/>
      <c r="C292" s="91"/>
      <c r="D292" s="92"/>
      <c r="E292" s="92"/>
      <c r="F292" s="92"/>
      <c r="G292" s="92"/>
      <c r="H292" s="92"/>
      <c r="I292" s="92"/>
      <c r="J292" s="92"/>
      <c r="K292" s="93"/>
      <c r="L292" s="93"/>
      <c r="M292" s="93"/>
      <c r="N292" s="93"/>
      <c r="O292" s="93"/>
      <c r="P292" s="93"/>
      <c r="Q292" s="93"/>
      <c r="R292" s="93"/>
      <c r="S292" s="92"/>
      <c r="T292" s="92"/>
      <c r="U292" s="92"/>
      <c r="V292" s="92"/>
      <c r="W292" s="92"/>
      <c r="X292" s="92"/>
      <c r="Y292" s="92"/>
      <c r="Z292" s="92"/>
      <c r="AA292" s="92"/>
      <c r="AB292" s="92"/>
      <c r="AC292" s="92"/>
      <c r="AD292" s="92"/>
      <c r="AE292" s="92"/>
      <c r="AF292" s="92"/>
      <c r="AG292" s="92"/>
      <c r="AH292" s="92"/>
      <c r="AI292" s="92"/>
      <c r="AJ292" s="92"/>
      <c r="AK292" s="92"/>
      <c r="AL292" s="92"/>
      <c r="AM292" s="92"/>
      <c r="AN292" s="92"/>
      <c r="AO292" s="92"/>
      <c r="AP292" s="92"/>
      <c r="AQ292" s="92"/>
      <c r="AR292" s="92"/>
      <c r="AS292" s="92"/>
      <c r="AT292" s="92"/>
      <c r="AU292" s="92"/>
      <c r="AV292" s="92"/>
      <c r="AW292" s="92"/>
      <c r="AX292" s="92"/>
      <c r="AY292" s="92"/>
      <c r="AZ292" s="92"/>
    </row>
    <row r="293" spans="1:52" ht="15.7" customHeight="1" x14ac:dyDescent="0.4">
      <c r="A293" s="22"/>
      <c r="B293" s="91"/>
      <c r="C293" s="91"/>
      <c r="D293" s="92"/>
      <c r="E293" s="92"/>
      <c r="F293" s="92"/>
      <c r="G293" s="92"/>
      <c r="H293" s="92"/>
      <c r="I293" s="92"/>
      <c r="J293" s="92"/>
      <c r="K293" s="93"/>
      <c r="L293" s="93"/>
      <c r="M293" s="93"/>
      <c r="N293" s="93"/>
      <c r="O293" s="93"/>
      <c r="P293" s="93"/>
      <c r="Q293" s="93"/>
      <c r="R293" s="93"/>
      <c r="S293" s="92"/>
      <c r="T293" s="92"/>
      <c r="U293" s="92"/>
      <c r="V293" s="92"/>
      <c r="W293" s="92"/>
      <c r="X293" s="92"/>
      <c r="Y293" s="92"/>
      <c r="Z293" s="92"/>
      <c r="AA293" s="92"/>
      <c r="AB293" s="92"/>
      <c r="AC293" s="92"/>
      <c r="AD293" s="92"/>
      <c r="AE293" s="92"/>
      <c r="AF293" s="92"/>
      <c r="AG293" s="92"/>
      <c r="AH293" s="92"/>
      <c r="AI293" s="92"/>
      <c r="AJ293" s="92"/>
      <c r="AK293" s="92"/>
      <c r="AL293" s="92"/>
      <c r="AM293" s="92"/>
      <c r="AN293" s="92"/>
      <c r="AO293" s="92"/>
      <c r="AP293" s="92"/>
      <c r="AQ293" s="92"/>
      <c r="AR293" s="92"/>
      <c r="AS293" s="92"/>
      <c r="AT293" s="92"/>
      <c r="AU293" s="92"/>
      <c r="AV293" s="92"/>
      <c r="AW293" s="92"/>
      <c r="AX293" s="92"/>
      <c r="AY293" s="92"/>
      <c r="AZ293" s="92"/>
    </row>
    <row r="294" spans="1:52" ht="15.7" customHeight="1" x14ac:dyDescent="0.4">
      <c r="A294" s="22"/>
      <c r="B294" s="91"/>
      <c r="C294" s="91"/>
      <c r="D294" s="92"/>
      <c r="E294" s="92"/>
      <c r="F294" s="92"/>
      <c r="G294" s="92"/>
      <c r="H294" s="92"/>
      <c r="I294" s="92"/>
      <c r="J294" s="92"/>
      <c r="K294" s="93"/>
      <c r="L294" s="93"/>
      <c r="M294" s="93"/>
      <c r="N294" s="93"/>
      <c r="O294" s="93"/>
      <c r="P294" s="93"/>
      <c r="Q294" s="93"/>
      <c r="R294" s="93"/>
      <c r="S294" s="92"/>
      <c r="T294" s="92"/>
      <c r="U294" s="92"/>
      <c r="V294" s="92"/>
      <c r="W294" s="92"/>
      <c r="X294" s="92"/>
      <c r="Y294" s="92"/>
      <c r="Z294" s="92"/>
      <c r="AA294" s="92"/>
      <c r="AB294" s="92"/>
      <c r="AC294" s="92"/>
      <c r="AD294" s="92"/>
      <c r="AE294" s="92"/>
      <c r="AF294" s="92"/>
      <c r="AG294" s="92"/>
      <c r="AH294" s="92"/>
      <c r="AI294" s="92"/>
      <c r="AJ294" s="92"/>
      <c r="AK294" s="92"/>
      <c r="AL294" s="92"/>
      <c r="AM294" s="92"/>
      <c r="AN294" s="92"/>
      <c r="AO294" s="92"/>
      <c r="AP294" s="92"/>
      <c r="AQ294" s="92"/>
      <c r="AR294" s="92"/>
      <c r="AS294" s="92"/>
      <c r="AT294" s="92"/>
      <c r="AU294" s="92"/>
      <c r="AV294" s="92"/>
      <c r="AW294" s="92"/>
      <c r="AX294" s="92"/>
      <c r="AY294" s="92"/>
      <c r="AZ294" s="92"/>
    </row>
    <row r="295" spans="1:52" ht="15.7" customHeight="1" x14ac:dyDescent="0.4">
      <c r="A295" s="22"/>
      <c r="B295" s="91"/>
      <c r="C295" s="91"/>
      <c r="D295" s="92"/>
      <c r="E295" s="92"/>
      <c r="F295" s="92"/>
      <c r="G295" s="92"/>
      <c r="H295" s="92"/>
      <c r="I295" s="92"/>
      <c r="J295" s="92"/>
      <c r="K295" s="93"/>
      <c r="L295" s="93"/>
      <c r="M295" s="93"/>
      <c r="N295" s="93"/>
      <c r="O295" s="93"/>
      <c r="P295" s="93"/>
      <c r="Q295" s="93"/>
      <c r="R295" s="93"/>
      <c r="S295" s="92"/>
      <c r="T295" s="92"/>
      <c r="U295" s="92"/>
      <c r="V295" s="92"/>
      <c r="W295" s="92"/>
      <c r="X295" s="92"/>
      <c r="Y295" s="92"/>
      <c r="Z295" s="92"/>
      <c r="AA295" s="92"/>
      <c r="AB295" s="92"/>
      <c r="AC295" s="92"/>
      <c r="AD295" s="92"/>
      <c r="AE295" s="92"/>
      <c r="AF295" s="92"/>
      <c r="AG295" s="92"/>
      <c r="AH295" s="92"/>
      <c r="AI295" s="92"/>
      <c r="AJ295" s="92"/>
      <c r="AK295" s="92"/>
      <c r="AL295" s="92"/>
      <c r="AM295" s="92"/>
      <c r="AN295" s="92"/>
      <c r="AO295" s="92"/>
      <c r="AP295" s="92"/>
      <c r="AQ295" s="92"/>
      <c r="AR295" s="92"/>
      <c r="AS295" s="92"/>
      <c r="AT295" s="92"/>
      <c r="AU295" s="92"/>
      <c r="AV295" s="92"/>
      <c r="AW295" s="92"/>
      <c r="AX295" s="92"/>
      <c r="AY295" s="92"/>
      <c r="AZ295" s="92"/>
    </row>
    <row r="296" spans="1:52" ht="15.7" customHeight="1" x14ac:dyDescent="0.4">
      <c r="A296" s="22"/>
      <c r="B296" s="91"/>
      <c r="C296" s="91"/>
      <c r="D296" s="92"/>
      <c r="E296" s="92"/>
      <c r="F296" s="92"/>
      <c r="G296" s="92"/>
      <c r="H296" s="92"/>
      <c r="I296" s="92"/>
      <c r="J296" s="92"/>
      <c r="K296" s="93"/>
      <c r="L296" s="93"/>
      <c r="M296" s="93"/>
      <c r="N296" s="93"/>
      <c r="O296" s="93"/>
      <c r="P296" s="93"/>
      <c r="Q296" s="93"/>
      <c r="R296" s="93"/>
      <c r="S296" s="92"/>
      <c r="T296" s="92"/>
      <c r="U296" s="92"/>
      <c r="V296" s="92"/>
      <c r="W296" s="92"/>
      <c r="X296" s="92"/>
      <c r="Y296" s="92"/>
      <c r="Z296" s="92"/>
      <c r="AA296" s="92"/>
      <c r="AB296" s="92"/>
      <c r="AC296" s="92"/>
      <c r="AD296" s="92"/>
      <c r="AE296" s="92"/>
      <c r="AF296" s="92"/>
      <c r="AG296" s="92"/>
      <c r="AH296" s="92"/>
      <c r="AI296" s="92"/>
      <c r="AJ296" s="92"/>
      <c r="AK296" s="92"/>
      <c r="AL296" s="92"/>
      <c r="AM296" s="92"/>
      <c r="AN296" s="92"/>
      <c r="AO296" s="92"/>
      <c r="AP296" s="92"/>
      <c r="AQ296" s="92"/>
      <c r="AR296" s="92"/>
      <c r="AS296" s="92"/>
      <c r="AT296" s="92"/>
      <c r="AU296" s="92"/>
      <c r="AV296" s="92"/>
      <c r="AW296" s="92"/>
      <c r="AX296" s="92"/>
      <c r="AY296" s="92"/>
      <c r="AZ296" s="92"/>
    </row>
    <row r="297" spans="1:52" ht="15.7" customHeight="1" x14ac:dyDescent="0.4">
      <c r="A297" s="22"/>
      <c r="B297" s="91"/>
      <c r="C297" s="91"/>
      <c r="D297" s="92"/>
      <c r="E297" s="92"/>
      <c r="F297" s="92"/>
      <c r="G297" s="92"/>
      <c r="H297" s="92"/>
      <c r="I297" s="92"/>
      <c r="J297" s="92"/>
      <c r="K297" s="93"/>
      <c r="L297" s="93"/>
      <c r="M297" s="93"/>
      <c r="N297" s="93"/>
      <c r="O297" s="93"/>
      <c r="P297" s="93"/>
      <c r="Q297" s="93"/>
      <c r="R297" s="93"/>
      <c r="S297" s="92"/>
      <c r="T297" s="92"/>
      <c r="U297" s="92"/>
      <c r="V297" s="92"/>
      <c r="W297" s="92"/>
      <c r="X297" s="92"/>
      <c r="Y297" s="92"/>
      <c r="Z297" s="92"/>
      <c r="AA297" s="92"/>
      <c r="AB297" s="92"/>
      <c r="AC297" s="92"/>
      <c r="AD297" s="92"/>
      <c r="AE297" s="92"/>
      <c r="AF297" s="92"/>
      <c r="AG297" s="92"/>
      <c r="AH297" s="92"/>
      <c r="AI297" s="92"/>
      <c r="AJ297" s="92"/>
      <c r="AK297" s="92"/>
      <c r="AL297" s="92"/>
      <c r="AM297" s="92"/>
      <c r="AN297" s="92"/>
      <c r="AO297" s="92"/>
      <c r="AP297" s="92"/>
      <c r="AQ297" s="92"/>
      <c r="AR297" s="92"/>
      <c r="AS297" s="92"/>
      <c r="AT297" s="92"/>
      <c r="AU297" s="92"/>
      <c r="AV297" s="92"/>
      <c r="AW297" s="92"/>
      <c r="AX297" s="92"/>
      <c r="AY297" s="92"/>
      <c r="AZ297" s="92"/>
    </row>
    <row r="298" spans="1:52" ht="15.7" customHeight="1" x14ac:dyDescent="0.4">
      <c r="A298" s="22"/>
      <c r="B298" s="91"/>
      <c r="C298" s="91"/>
      <c r="D298" s="92"/>
      <c r="E298" s="92"/>
      <c r="F298" s="92"/>
      <c r="G298" s="92"/>
      <c r="H298" s="92"/>
      <c r="I298" s="92"/>
      <c r="J298" s="92"/>
      <c r="K298" s="93"/>
      <c r="L298" s="93"/>
      <c r="M298" s="93"/>
      <c r="N298" s="93"/>
      <c r="O298" s="93"/>
      <c r="P298" s="93"/>
      <c r="Q298" s="93"/>
      <c r="R298" s="93"/>
      <c r="S298" s="92"/>
      <c r="T298" s="92"/>
      <c r="U298" s="92"/>
      <c r="V298" s="92"/>
      <c r="W298" s="92"/>
      <c r="X298" s="92"/>
      <c r="Y298" s="92"/>
      <c r="Z298" s="92"/>
      <c r="AA298" s="92"/>
      <c r="AB298" s="92"/>
      <c r="AC298" s="92"/>
      <c r="AD298" s="92"/>
      <c r="AE298" s="92"/>
      <c r="AF298" s="92"/>
      <c r="AG298" s="92"/>
      <c r="AH298" s="92"/>
      <c r="AI298" s="92"/>
      <c r="AJ298" s="92"/>
      <c r="AK298" s="92"/>
      <c r="AL298" s="92"/>
      <c r="AM298" s="92"/>
      <c r="AN298" s="92"/>
      <c r="AO298" s="92"/>
      <c r="AP298" s="92"/>
      <c r="AQ298" s="92"/>
      <c r="AR298" s="92"/>
      <c r="AS298" s="92"/>
      <c r="AT298" s="92"/>
      <c r="AU298" s="92"/>
      <c r="AV298" s="92"/>
      <c r="AW298" s="92"/>
      <c r="AX298" s="92"/>
      <c r="AY298" s="92"/>
      <c r="AZ298" s="92"/>
    </row>
    <row r="299" spans="1:52" ht="15.7" customHeight="1" x14ac:dyDescent="0.4">
      <c r="A299" s="22"/>
      <c r="B299" s="91"/>
      <c r="C299" s="91"/>
      <c r="D299" s="92"/>
      <c r="E299" s="92"/>
      <c r="F299" s="92"/>
      <c r="G299" s="92"/>
      <c r="H299" s="92"/>
      <c r="I299" s="92"/>
      <c r="J299" s="92"/>
      <c r="K299" s="93"/>
      <c r="L299" s="93"/>
      <c r="M299" s="93"/>
      <c r="N299" s="93"/>
      <c r="O299" s="93"/>
      <c r="P299" s="93"/>
      <c r="Q299" s="93"/>
      <c r="R299" s="93"/>
      <c r="S299" s="92"/>
      <c r="T299" s="92"/>
      <c r="U299" s="92"/>
      <c r="V299" s="92"/>
      <c r="W299" s="92"/>
      <c r="X299" s="92"/>
      <c r="Y299" s="92"/>
      <c r="Z299" s="92"/>
      <c r="AA299" s="92"/>
      <c r="AB299" s="92"/>
      <c r="AC299" s="92"/>
      <c r="AD299" s="92"/>
      <c r="AE299" s="92"/>
      <c r="AF299" s="92"/>
      <c r="AG299" s="92"/>
      <c r="AH299" s="92"/>
      <c r="AI299" s="92"/>
      <c r="AJ299" s="92"/>
      <c r="AK299" s="92"/>
      <c r="AL299" s="92"/>
      <c r="AM299" s="92"/>
      <c r="AN299" s="92"/>
      <c r="AO299" s="92"/>
      <c r="AP299" s="92"/>
      <c r="AQ299" s="92"/>
      <c r="AR299" s="92"/>
      <c r="AS299" s="92"/>
      <c r="AT299" s="92"/>
      <c r="AU299" s="92"/>
      <c r="AV299" s="92"/>
      <c r="AW299" s="92"/>
      <c r="AX299" s="92"/>
      <c r="AY299" s="92"/>
      <c r="AZ299" s="92"/>
    </row>
    <row r="300" spans="1:52" ht="15.7" customHeight="1" x14ac:dyDescent="0.4">
      <c r="A300" s="22"/>
      <c r="B300" s="91"/>
      <c r="C300" s="91"/>
      <c r="D300" s="92"/>
      <c r="E300" s="92"/>
      <c r="F300" s="92"/>
      <c r="G300" s="92"/>
      <c r="H300" s="92"/>
      <c r="I300" s="92"/>
      <c r="J300" s="92"/>
      <c r="K300" s="93"/>
      <c r="L300" s="93"/>
      <c r="M300" s="93"/>
      <c r="N300" s="93"/>
      <c r="O300" s="93"/>
      <c r="P300" s="93"/>
      <c r="Q300" s="93"/>
      <c r="R300" s="93"/>
      <c r="S300" s="92"/>
      <c r="T300" s="92"/>
      <c r="U300" s="92"/>
      <c r="V300" s="92"/>
      <c r="W300" s="92"/>
      <c r="X300" s="92"/>
      <c r="Y300" s="92"/>
      <c r="Z300" s="92"/>
      <c r="AA300" s="92"/>
      <c r="AB300" s="92"/>
      <c r="AC300" s="92"/>
      <c r="AD300" s="92"/>
      <c r="AE300" s="92"/>
      <c r="AF300" s="92"/>
      <c r="AG300" s="92"/>
      <c r="AH300" s="92"/>
      <c r="AI300" s="92"/>
      <c r="AJ300" s="92"/>
      <c r="AK300" s="92"/>
      <c r="AL300" s="92"/>
      <c r="AM300" s="92"/>
      <c r="AN300" s="92"/>
      <c r="AO300" s="92"/>
      <c r="AP300" s="92"/>
      <c r="AQ300" s="92"/>
      <c r="AR300" s="92"/>
      <c r="AS300" s="92"/>
      <c r="AT300" s="92"/>
      <c r="AU300" s="92"/>
      <c r="AV300" s="92"/>
      <c r="AW300" s="92"/>
      <c r="AX300" s="92"/>
      <c r="AY300" s="92"/>
      <c r="AZ300" s="92"/>
    </row>
    <row r="301" spans="1:52" ht="15.7" customHeight="1" x14ac:dyDescent="0.4">
      <c r="A301" s="22"/>
      <c r="B301" s="91"/>
      <c r="C301" s="91"/>
      <c r="D301" s="92"/>
      <c r="E301" s="92"/>
      <c r="F301" s="92"/>
      <c r="G301" s="92"/>
      <c r="H301" s="92"/>
      <c r="I301" s="92"/>
      <c r="J301" s="92"/>
      <c r="K301" s="93"/>
      <c r="L301" s="93"/>
      <c r="M301" s="93"/>
      <c r="N301" s="93"/>
      <c r="O301" s="93"/>
      <c r="P301" s="93"/>
      <c r="Q301" s="93"/>
      <c r="R301" s="93"/>
      <c r="S301" s="92"/>
      <c r="T301" s="92"/>
      <c r="U301" s="92"/>
      <c r="V301" s="92"/>
      <c r="W301" s="92"/>
      <c r="X301" s="92"/>
      <c r="Y301" s="92"/>
      <c r="Z301" s="92"/>
      <c r="AA301" s="92"/>
      <c r="AB301" s="92"/>
      <c r="AC301" s="92"/>
      <c r="AD301" s="92"/>
      <c r="AE301" s="92"/>
      <c r="AF301" s="92"/>
      <c r="AG301" s="92"/>
      <c r="AH301" s="92"/>
      <c r="AI301" s="92"/>
      <c r="AJ301" s="92"/>
      <c r="AK301" s="92"/>
      <c r="AL301" s="92"/>
      <c r="AM301" s="92"/>
      <c r="AN301" s="92"/>
      <c r="AO301" s="92"/>
      <c r="AP301" s="92"/>
      <c r="AQ301" s="92"/>
      <c r="AR301" s="92"/>
      <c r="AS301" s="92"/>
      <c r="AT301" s="92"/>
      <c r="AU301" s="92"/>
      <c r="AV301" s="92"/>
      <c r="AW301" s="92"/>
      <c r="AX301" s="92"/>
      <c r="AY301" s="92"/>
      <c r="AZ301" s="92"/>
    </row>
    <row r="302" spans="1:52" ht="15.7" customHeight="1" x14ac:dyDescent="0.4">
      <c r="A302" s="22"/>
      <c r="B302" s="91"/>
      <c r="C302" s="91"/>
      <c r="D302" s="92"/>
      <c r="E302" s="92"/>
      <c r="F302" s="92"/>
      <c r="G302" s="92"/>
      <c r="H302" s="92"/>
      <c r="I302" s="92"/>
      <c r="J302" s="92"/>
      <c r="K302" s="93"/>
      <c r="L302" s="93"/>
      <c r="M302" s="93"/>
      <c r="N302" s="93"/>
      <c r="O302" s="93"/>
      <c r="P302" s="93"/>
      <c r="Q302" s="93"/>
      <c r="R302" s="93"/>
      <c r="S302" s="92"/>
      <c r="T302" s="92"/>
      <c r="U302" s="92"/>
      <c r="V302" s="92"/>
      <c r="W302" s="92"/>
      <c r="X302" s="92"/>
      <c r="Y302" s="92"/>
      <c r="Z302" s="92"/>
      <c r="AA302" s="92"/>
      <c r="AB302" s="92"/>
      <c r="AC302" s="92"/>
      <c r="AD302" s="92"/>
      <c r="AE302" s="92"/>
      <c r="AF302" s="92"/>
      <c r="AG302" s="92"/>
      <c r="AH302" s="92"/>
      <c r="AI302" s="92"/>
      <c r="AJ302" s="92"/>
      <c r="AK302" s="92"/>
      <c r="AL302" s="92"/>
      <c r="AM302" s="92"/>
      <c r="AN302" s="92"/>
      <c r="AO302" s="92"/>
      <c r="AP302" s="92"/>
      <c r="AQ302" s="92"/>
      <c r="AR302" s="92"/>
      <c r="AS302" s="92"/>
      <c r="AT302" s="92"/>
      <c r="AU302" s="92"/>
      <c r="AV302" s="92"/>
      <c r="AW302" s="92"/>
      <c r="AX302" s="92"/>
      <c r="AY302" s="92"/>
      <c r="AZ302" s="92"/>
    </row>
    <row r="303" spans="1:52" ht="15.7" customHeight="1" x14ac:dyDescent="0.4">
      <c r="A303" s="22"/>
      <c r="B303" s="91"/>
      <c r="C303" s="91"/>
      <c r="D303" s="92"/>
      <c r="E303" s="92"/>
      <c r="F303" s="92"/>
      <c r="G303" s="92"/>
      <c r="H303" s="92"/>
      <c r="I303" s="92"/>
      <c r="J303" s="92"/>
      <c r="K303" s="93"/>
      <c r="L303" s="93"/>
      <c r="M303" s="93"/>
      <c r="N303" s="93"/>
      <c r="O303" s="93"/>
      <c r="P303" s="93"/>
      <c r="Q303" s="93"/>
      <c r="R303" s="93"/>
      <c r="S303" s="92"/>
      <c r="T303" s="92"/>
      <c r="U303" s="92"/>
      <c r="V303" s="92"/>
      <c r="W303" s="92"/>
      <c r="X303" s="92"/>
      <c r="Y303" s="92"/>
      <c r="Z303" s="92"/>
      <c r="AA303" s="92"/>
      <c r="AB303" s="92"/>
      <c r="AC303" s="92"/>
      <c r="AD303" s="92"/>
      <c r="AE303" s="92"/>
      <c r="AF303" s="92"/>
      <c r="AG303" s="92"/>
      <c r="AH303" s="92"/>
      <c r="AI303" s="92"/>
      <c r="AJ303" s="92"/>
      <c r="AK303" s="92"/>
      <c r="AL303" s="92"/>
      <c r="AM303" s="92"/>
      <c r="AN303" s="92"/>
      <c r="AO303" s="92"/>
      <c r="AP303" s="92"/>
      <c r="AQ303" s="92"/>
      <c r="AR303" s="92"/>
      <c r="AS303" s="92"/>
      <c r="AT303" s="92"/>
      <c r="AU303" s="92"/>
      <c r="AV303" s="92"/>
      <c r="AW303" s="92"/>
      <c r="AX303" s="92"/>
      <c r="AY303" s="92"/>
      <c r="AZ303" s="92"/>
    </row>
    <row r="304" spans="1:52" ht="15.7" customHeight="1" x14ac:dyDescent="0.4">
      <c r="A304" s="22"/>
      <c r="B304" s="91"/>
      <c r="C304" s="91"/>
      <c r="D304" s="92"/>
      <c r="E304" s="92"/>
      <c r="F304" s="92"/>
      <c r="G304" s="92"/>
      <c r="H304" s="92"/>
      <c r="I304" s="92"/>
      <c r="J304" s="92"/>
      <c r="K304" s="93"/>
      <c r="L304" s="93"/>
      <c r="M304" s="93"/>
      <c r="N304" s="93"/>
      <c r="O304" s="93"/>
      <c r="P304" s="93"/>
      <c r="Q304" s="93"/>
      <c r="R304" s="93"/>
      <c r="S304" s="92"/>
      <c r="T304" s="92"/>
      <c r="U304" s="92"/>
      <c r="V304" s="92"/>
      <c r="W304" s="92"/>
      <c r="X304" s="92"/>
      <c r="Y304" s="92"/>
      <c r="Z304" s="92"/>
      <c r="AA304" s="92"/>
      <c r="AB304" s="92"/>
      <c r="AC304" s="92"/>
      <c r="AD304" s="92"/>
      <c r="AE304" s="92"/>
      <c r="AF304" s="92"/>
      <c r="AG304" s="92"/>
      <c r="AH304" s="92"/>
      <c r="AI304" s="92"/>
      <c r="AJ304" s="92"/>
      <c r="AK304" s="92"/>
      <c r="AL304" s="92"/>
      <c r="AM304" s="92"/>
      <c r="AN304" s="92"/>
      <c r="AO304" s="92"/>
      <c r="AP304" s="92"/>
      <c r="AQ304" s="92"/>
      <c r="AR304" s="92"/>
      <c r="AS304" s="92"/>
      <c r="AT304" s="92"/>
      <c r="AU304" s="92"/>
      <c r="AV304" s="92"/>
      <c r="AW304" s="92"/>
      <c r="AX304" s="92"/>
      <c r="AY304" s="92"/>
      <c r="AZ304" s="92"/>
    </row>
    <row r="305" spans="1:52" ht="15.7" customHeight="1" x14ac:dyDescent="0.4">
      <c r="A305" s="22"/>
      <c r="B305" s="91"/>
      <c r="C305" s="91"/>
      <c r="D305" s="92"/>
      <c r="E305" s="92"/>
      <c r="F305" s="92"/>
      <c r="G305" s="92"/>
      <c r="H305" s="92"/>
      <c r="I305" s="92"/>
      <c r="J305" s="92"/>
      <c r="K305" s="93"/>
      <c r="L305" s="93"/>
      <c r="M305" s="93"/>
      <c r="N305" s="93"/>
      <c r="O305" s="93"/>
      <c r="P305" s="93"/>
      <c r="Q305" s="93"/>
      <c r="R305" s="93"/>
      <c r="S305" s="92"/>
      <c r="T305" s="92"/>
      <c r="U305" s="92"/>
      <c r="V305" s="92"/>
      <c r="W305" s="92"/>
      <c r="X305" s="92"/>
      <c r="Y305" s="92"/>
      <c r="Z305" s="92"/>
      <c r="AA305" s="92"/>
      <c r="AB305" s="92"/>
      <c r="AC305" s="92"/>
      <c r="AD305" s="92"/>
      <c r="AE305" s="92"/>
      <c r="AF305" s="92"/>
      <c r="AG305" s="92"/>
      <c r="AH305" s="92"/>
      <c r="AI305" s="92"/>
      <c r="AJ305" s="92"/>
      <c r="AK305" s="92"/>
      <c r="AL305" s="92"/>
      <c r="AM305" s="92"/>
      <c r="AN305" s="92"/>
      <c r="AO305" s="92"/>
      <c r="AP305" s="92"/>
      <c r="AQ305" s="92"/>
      <c r="AR305" s="92"/>
      <c r="AS305" s="92"/>
      <c r="AT305" s="92"/>
      <c r="AU305" s="92"/>
      <c r="AV305" s="92"/>
      <c r="AW305" s="92"/>
      <c r="AX305" s="92"/>
      <c r="AY305" s="92"/>
      <c r="AZ305" s="92"/>
    </row>
    <row r="306" spans="1:52" ht="15.7" customHeight="1" x14ac:dyDescent="0.4">
      <c r="A306" s="22"/>
      <c r="B306" s="91"/>
      <c r="C306" s="91"/>
      <c r="D306" s="92"/>
      <c r="E306" s="92"/>
      <c r="F306" s="92"/>
      <c r="G306" s="92"/>
      <c r="H306" s="92"/>
      <c r="I306" s="92"/>
      <c r="J306" s="92"/>
      <c r="K306" s="93"/>
      <c r="L306" s="93"/>
      <c r="M306" s="93"/>
      <c r="N306" s="93"/>
      <c r="O306" s="93"/>
      <c r="P306" s="93"/>
      <c r="Q306" s="93"/>
      <c r="R306" s="93"/>
      <c r="S306" s="92"/>
      <c r="T306" s="92"/>
      <c r="U306" s="92"/>
      <c r="V306" s="92"/>
      <c r="W306" s="92"/>
      <c r="X306" s="92"/>
      <c r="Y306" s="92"/>
      <c r="Z306" s="92"/>
      <c r="AA306" s="92"/>
      <c r="AB306" s="92"/>
      <c r="AC306" s="92"/>
      <c r="AD306" s="92"/>
      <c r="AE306" s="92"/>
      <c r="AF306" s="92"/>
      <c r="AG306" s="92"/>
      <c r="AH306" s="92"/>
      <c r="AI306" s="92"/>
      <c r="AJ306" s="92"/>
      <c r="AK306" s="92"/>
      <c r="AL306" s="92"/>
      <c r="AM306" s="92"/>
      <c r="AN306" s="92"/>
      <c r="AO306" s="92"/>
      <c r="AP306" s="92"/>
      <c r="AQ306" s="92"/>
      <c r="AR306" s="92"/>
      <c r="AS306" s="92"/>
      <c r="AT306" s="92"/>
      <c r="AU306" s="92"/>
      <c r="AV306" s="92"/>
      <c r="AW306" s="92"/>
      <c r="AX306" s="92"/>
      <c r="AY306" s="92"/>
      <c r="AZ306" s="92"/>
    </row>
    <row r="307" spans="1:52" ht="15.7" customHeight="1" x14ac:dyDescent="0.4">
      <c r="A307" s="22"/>
      <c r="B307" s="91"/>
      <c r="C307" s="91"/>
      <c r="D307" s="92"/>
      <c r="E307" s="92"/>
      <c r="F307" s="92"/>
      <c r="G307" s="92"/>
      <c r="H307" s="92"/>
      <c r="I307" s="92"/>
      <c r="J307" s="92"/>
      <c r="K307" s="93"/>
      <c r="L307" s="93"/>
      <c r="M307" s="93"/>
      <c r="N307" s="93"/>
      <c r="O307" s="93"/>
      <c r="P307" s="93"/>
      <c r="Q307" s="93"/>
      <c r="R307" s="93"/>
      <c r="S307" s="92"/>
      <c r="T307" s="92"/>
      <c r="U307" s="92"/>
      <c r="V307" s="92"/>
      <c r="W307" s="92"/>
      <c r="X307" s="92"/>
      <c r="Y307" s="92"/>
      <c r="Z307" s="92"/>
      <c r="AA307" s="92"/>
      <c r="AB307" s="92"/>
      <c r="AC307" s="92"/>
      <c r="AD307" s="92"/>
      <c r="AE307" s="92"/>
      <c r="AF307" s="92"/>
      <c r="AG307" s="92"/>
      <c r="AH307" s="92"/>
      <c r="AI307" s="92"/>
      <c r="AJ307" s="92"/>
      <c r="AK307" s="92"/>
      <c r="AL307" s="92"/>
      <c r="AM307" s="92"/>
      <c r="AN307" s="92"/>
      <c r="AO307" s="92"/>
      <c r="AP307" s="92"/>
      <c r="AQ307" s="92"/>
      <c r="AR307" s="92"/>
      <c r="AS307" s="92"/>
      <c r="AT307" s="92"/>
      <c r="AU307" s="92"/>
      <c r="AV307" s="92"/>
      <c r="AW307" s="92"/>
      <c r="AX307" s="92"/>
      <c r="AY307" s="92"/>
      <c r="AZ307" s="92"/>
    </row>
    <row r="308" spans="1:52" ht="15.7" customHeight="1" x14ac:dyDescent="0.4">
      <c r="A308" s="22"/>
      <c r="B308" s="91"/>
      <c r="C308" s="91"/>
      <c r="D308" s="92"/>
      <c r="E308" s="92"/>
      <c r="F308" s="92"/>
      <c r="G308" s="92"/>
      <c r="H308" s="92"/>
      <c r="I308" s="92"/>
      <c r="J308" s="92"/>
      <c r="K308" s="93"/>
      <c r="L308" s="93"/>
      <c r="M308" s="93"/>
      <c r="N308" s="93"/>
      <c r="O308" s="93"/>
      <c r="P308" s="93"/>
      <c r="Q308" s="93"/>
      <c r="R308" s="93"/>
      <c r="S308" s="92"/>
      <c r="T308" s="92"/>
      <c r="U308" s="92"/>
      <c r="V308" s="92"/>
      <c r="W308" s="92"/>
      <c r="X308" s="92"/>
      <c r="Y308" s="92"/>
      <c r="Z308" s="92"/>
      <c r="AA308" s="92"/>
      <c r="AB308" s="92"/>
      <c r="AC308" s="92"/>
      <c r="AD308" s="92"/>
      <c r="AE308" s="92"/>
      <c r="AF308" s="92"/>
      <c r="AG308" s="92"/>
      <c r="AH308" s="92"/>
      <c r="AI308" s="92"/>
      <c r="AJ308" s="92"/>
      <c r="AK308" s="92"/>
      <c r="AL308" s="92"/>
      <c r="AM308" s="92"/>
      <c r="AN308" s="92"/>
      <c r="AO308" s="92"/>
      <c r="AP308" s="92"/>
      <c r="AQ308" s="92"/>
      <c r="AR308" s="92"/>
      <c r="AS308" s="92"/>
      <c r="AT308" s="92"/>
      <c r="AU308" s="92"/>
      <c r="AV308" s="92"/>
      <c r="AW308" s="92"/>
      <c r="AX308" s="92"/>
      <c r="AY308" s="92"/>
      <c r="AZ308" s="92"/>
    </row>
    <row r="309" spans="1:52" ht="15.7" customHeight="1" x14ac:dyDescent="0.4">
      <c r="A309" s="22"/>
      <c r="B309" s="91"/>
      <c r="C309" s="91"/>
      <c r="D309" s="92"/>
      <c r="E309" s="92"/>
      <c r="F309" s="92"/>
      <c r="G309" s="92"/>
      <c r="H309" s="92"/>
      <c r="I309" s="92"/>
      <c r="J309" s="92"/>
      <c r="K309" s="93"/>
      <c r="L309" s="93"/>
      <c r="M309" s="93"/>
      <c r="N309" s="93"/>
      <c r="O309" s="93"/>
      <c r="P309" s="93"/>
      <c r="Q309" s="93"/>
      <c r="R309" s="93"/>
      <c r="S309" s="92"/>
      <c r="T309" s="92"/>
      <c r="U309" s="92"/>
      <c r="V309" s="92"/>
      <c r="W309" s="92"/>
      <c r="X309" s="92"/>
      <c r="Y309" s="92"/>
      <c r="Z309" s="92"/>
      <c r="AA309" s="92"/>
      <c r="AB309" s="92"/>
      <c r="AC309" s="92"/>
      <c r="AD309" s="92"/>
      <c r="AE309" s="92"/>
      <c r="AF309" s="92"/>
      <c r="AG309" s="92"/>
      <c r="AH309" s="92"/>
      <c r="AI309" s="92"/>
      <c r="AJ309" s="92"/>
      <c r="AK309" s="92"/>
      <c r="AL309" s="92"/>
      <c r="AM309" s="92"/>
      <c r="AN309" s="92"/>
      <c r="AO309" s="92"/>
      <c r="AP309" s="92"/>
      <c r="AQ309" s="92"/>
      <c r="AR309" s="92"/>
      <c r="AS309" s="92"/>
      <c r="AT309" s="92"/>
      <c r="AU309" s="92"/>
      <c r="AV309" s="92"/>
      <c r="AW309" s="92"/>
      <c r="AX309" s="92"/>
      <c r="AY309" s="92"/>
      <c r="AZ309" s="92"/>
    </row>
    <row r="310" spans="1:52" ht="15.7" customHeight="1" x14ac:dyDescent="0.4">
      <c r="A310" s="22"/>
      <c r="B310" s="91"/>
      <c r="C310" s="91"/>
      <c r="D310" s="92"/>
      <c r="E310" s="92"/>
      <c r="F310" s="92"/>
      <c r="G310" s="92"/>
      <c r="H310" s="92"/>
      <c r="I310" s="92"/>
      <c r="J310" s="92"/>
      <c r="K310" s="93"/>
      <c r="L310" s="93"/>
      <c r="M310" s="93"/>
      <c r="N310" s="93"/>
      <c r="O310" s="93"/>
      <c r="P310" s="93"/>
      <c r="Q310" s="93"/>
      <c r="R310" s="93"/>
      <c r="S310" s="92"/>
      <c r="T310" s="92"/>
      <c r="U310" s="92"/>
      <c r="V310" s="92"/>
      <c r="W310" s="92"/>
      <c r="X310" s="92"/>
      <c r="Y310" s="92"/>
      <c r="Z310" s="92"/>
      <c r="AA310" s="92"/>
      <c r="AB310" s="92"/>
      <c r="AC310" s="92"/>
      <c r="AD310" s="92"/>
      <c r="AE310" s="92"/>
      <c r="AF310" s="92"/>
      <c r="AG310" s="92"/>
      <c r="AH310" s="92"/>
      <c r="AI310" s="92"/>
      <c r="AJ310" s="92"/>
      <c r="AK310" s="92"/>
      <c r="AL310" s="92"/>
      <c r="AM310" s="92"/>
      <c r="AN310" s="92"/>
      <c r="AO310" s="92"/>
      <c r="AP310" s="92"/>
      <c r="AQ310" s="92"/>
      <c r="AR310" s="92"/>
      <c r="AS310" s="92"/>
      <c r="AT310" s="92"/>
      <c r="AU310" s="92"/>
      <c r="AV310" s="92"/>
      <c r="AW310" s="92"/>
      <c r="AX310" s="92"/>
      <c r="AY310" s="92"/>
      <c r="AZ310" s="92"/>
    </row>
    <row r="311" spans="1:52" ht="15.7" customHeight="1" x14ac:dyDescent="0.4">
      <c r="A311" s="22"/>
      <c r="B311" s="91"/>
      <c r="C311" s="91"/>
      <c r="D311" s="92"/>
      <c r="E311" s="92"/>
      <c r="F311" s="92"/>
      <c r="G311" s="92"/>
      <c r="H311" s="92"/>
      <c r="I311" s="92"/>
      <c r="J311" s="92"/>
      <c r="K311" s="93"/>
      <c r="L311" s="93"/>
      <c r="M311" s="93"/>
      <c r="N311" s="93"/>
      <c r="O311" s="93"/>
      <c r="P311" s="93"/>
      <c r="Q311" s="93"/>
      <c r="R311" s="93"/>
      <c r="S311" s="92"/>
      <c r="T311" s="92"/>
      <c r="U311" s="92"/>
      <c r="V311" s="92"/>
      <c r="W311" s="92"/>
      <c r="X311" s="92"/>
      <c r="Y311" s="92"/>
      <c r="Z311" s="92"/>
      <c r="AA311" s="92"/>
      <c r="AB311" s="92"/>
      <c r="AC311" s="92"/>
      <c r="AD311" s="92"/>
      <c r="AE311" s="92"/>
      <c r="AF311" s="92"/>
      <c r="AG311" s="92"/>
      <c r="AH311" s="92"/>
      <c r="AI311" s="92"/>
      <c r="AJ311" s="92"/>
      <c r="AK311" s="92"/>
      <c r="AL311" s="92"/>
      <c r="AM311" s="92"/>
      <c r="AN311" s="92"/>
      <c r="AO311" s="92"/>
      <c r="AP311" s="92"/>
      <c r="AQ311" s="92"/>
      <c r="AR311" s="92"/>
      <c r="AS311" s="92"/>
      <c r="AT311" s="92"/>
      <c r="AU311" s="92"/>
      <c r="AV311" s="92"/>
      <c r="AW311" s="92"/>
      <c r="AX311" s="92"/>
      <c r="AY311" s="92"/>
      <c r="AZ311" s="92"/>
    </row>
    <row r="312" spans="1:52" ht="15.7" customHeight="1" x14ac:dyDescent="0.4">
      <c r="A312" s="22"/>
      <c r="B312" s="91"/>
      <c r="C312" s="91"/>
      <c r="D312" s="92"/>
      <c r="E312" s="92"/>
      <c r="F312" s="92"/>
      <c r="G312" s="92"/>
      <c r="H312" s="92"/>
      <c r="I312" s="92"/>
      <c r="J312" s="92"/>
      <c r="K312" s="93"/>
      <c r="L312" s="93"/>
      <c r="M312" s="93"/>
      <c r="N312" s="93"/>
      <c r="O312" s="93"/>
      <c r="P312" s="93"/>
      <c r="Q312" s="93"/>
      <c r="R312" s="93"/>
      <c r="S312" s="92"/>
      <c r="T312" s="92"/>
      <c r="U312" s="92"/>
      <c r="V312" s="92"/>
      <c r="W312" s="92"/>
      <c r="X312" s="92"/>
      <c r="Y312" s="92"/>
      <c r="Z312" s="92"/>
      <c r="AA312" s="92"/>
      <c r="AB312" s="92"/>
      <c r="AC312" s="92"/>
      <c r="AD312" s="92"/>
      <c r="AE312" s="92"/>
      <c r="AF312" s="92"/>
      <c r="AG312" s="92"/>
      <c r="AH312" s="92"/>
      <c r="AI312" s="92"/>
      <c r="AJ312" s="92"/>
      <c r="AK312" s="92"/>
      <c r="AL312" s="92"/>
      <c r="AM312" s="92"/>
      <c r="AN312" s="92"/>
      <c r="AO312" s="92"/>
      <c r="AP312" s="92"/>
      <c r="AQ312" s="92"/>
      <c r="AR312" s="92"/>
      <c r="AS312" s="92"/>
      <c r="AT312" s="92"/>
      <c r="AU312" s="92"/>
      <c r="AV312" s="92"/>
      <c r="AW312" s="92"/>
      <c r="AX312" s="92"/>
      <c r="AY312" s="92"/>
      <c r="AZ312" s="92"/>
    </row>
    <row r="313" spans="1:52" ht="15.7" customHeight="1" x14ac:dyDescent="0.4">
      <c r="A313" s="22"/>
      <c r="B313" s="91"/>
      <c r="C313" s="91"/>
      <c r="D313" s="92"/>
      <c r="E313" s="92"/>
      <c r="F313" s="92"/>
      <c r="G313" s="92"/>
      <c r="H313" s="92"/>
      <c r="I313" s="92"/>
      <c r="J313" s="92"/>
      <c r="K313" s="93"/>
      <c r="L313" s="93"/>
      <c r="M313" s="93"/>
      <c r="N313" s="93"/>
      <c r="O313" s="93"/>
      <c r="P313" s="93"/>
      <c r="Q313" s="93"/>
      <c r="R313" s="93"/>
      <c r="S313" s="92"/>
      <c r="T313" s="92"/>
      <c r="U313" s="92"/>
      <c r="V313" s="92"/>
      <c r="W313" s="92"/>
      <c r="X313" s="92"/>
      <c r="Y313" s="92"/>
      <c r="Z313" s="92"/>
      <c r="AA313" s="92"/>
      <c r="AB313" s="92"/>
      <c r="AC313" s="92"/>
      <c r="AD313" s="92"/>
      <c r="AE313" s="92"/>
      <c r="AF313" s="92"/>
      <c r="AG313" s="92"/>
      <c r="AH313" s="92"/>
      <c r="AI313" s="92"/>
      <c r="AJ313" s="92"/>
      <c r="AK313" s="92"/>
      <c r="AL313" s="92"/>
      <c r="AM313" s="92"/>
      <c r="AN313" s="92"/>
      <c r="AO313" s="92"/>
      <c r="AP313" s="92"/>
      <c r="AQ313" s="92"/>
      <c r="AR313" s="92"/>
      <c r="AS313" s="92"/>
      <c r="AT313" s="92"/>
      <c r="AU313" s="92"/>
      <c r="AV313" s="92"/>
      <c r="AW313" s="92"/>
      <c r="AX313" s="92"/>
      <c r="AY313" s="92"/>
      <c r="AZ313" s="92"/>
    </row>
    <row r="314" spans="1:52" ht="15.7" customHeight="1" x14ac:dyDescent="0.4">
      <c r="A314" s="22"/>
      <c r="B314" s="91"/>
      <c r="C314" s="91"/>
      <c r="D314" s="92"/>
      <c r="E314" s="92"/>
      <c r="F314" s="92"/>
      <c r="G314" s="92"/>
      <c r="H314" s="92"/>
      <c r="I314" s="92"/>
      <c r="J314" s="92"/>
      <c r="K314" s="93"/>
      <c r="L314" s="93"/>
      <c r="M314" s="93"/>
      <c r="N314" s="93"/>
      <c r="O314" s="93"/>
      <c r="P314" s="93"/>
      <c r="Q314" s="93"/>
      <c r="R314" s="93"/>
      <c r="S314" s="92"/>
      <c r="T314" s="92"/>
      <c r="U314" s="92"/>
      <c r="V314" s="92"/>
      <c r="W314" s="92"/>
      <c r="X314" s="92"/>
      <c r="Y314" s="92"/>
      <c r="Z314" s="92"/>
      <c r="AA314" s="92"/>
      <c r="AB314" s="92"/>
      <c r="AC314" s="92"/>
      <c r="AD314" s="92"/>
      <c r="AE314" s="92"/>
      <c r="AF314" s="92"/>
      <c r="AG314" s="92"/>
      <c r="AH314" s="92"/>
      <c r="AI314" s="92"/>
      <c r="AJ314" s="92"/>
      <c r="AK314" s="92"/>
      <c r="AL314" s="92"/>
      <c r="AM314" s="92"/>
      <c r="AN314" s="92"/>
      <c r="AO314" s="92"/>
      <c r="AP314" s="92"/>
      <c r="AQ314" s="92"/>
      <c r="AR314" s="92"/>
      <c r="AS314" s="92"/>
      <c r="AT314" s="92"/>
      <c r="AU314" s="92"/>
      <c r="AV314" s="92"/>
      <c r="AW314" s="92"/>
      <c r="AX314" s="92"/>
      <c r="AY314" s="92"/>
      <c r="AZ314" s="92"/>
    </row>
    <row r="315" spans="1:52" ht="15.7" customHeight="1" x14ac:dyDescent="0.4">
      <c r="A315" s="22"/>
      <c r="B315" s="91"/>
      <c r="C315" s="91"/>
      <c r="D315" s="92"/>
      <c r="E315" s="92"/>
      <c r="F315" s="92"/>
      <c r="G315" s="92"/>
      <c r="H315" s="92"/>
      <c r="I315" s="92"/>
      <c r="J315" s="92"/>
      <c r="K315" s="93"/>
      <c r="L315" s="93"/>
      <c r="M315" s="93"/>
      <c r="N315" s="93"/>
      <c r="O315" s="93"/>
      <c r="P315" s="93"/>
      <c r="Q315" s="93"/>
      <c r="R315" s="93"/>
      <c r="S315" s="92"/>
      <c r="T315" s="92"/>
      <c r="U315" s="92"/>
      <c r="V315" s="92"/>
      <c r="W315" s="92"/>
      <c r="X315" s="92"/>
      <c r="Y315" s="92"/>
      <c r="Z315" s="92"/>
      <c r="AA315" s="92"/>
      <c r="AB315" s="92"/>
      <c r="AC315" s="92"/>
      <c r="AD315" s="92"/>
      <c r="AE315" s="92"/>
      <c r="AF315" s="92"/>
      <c r="AG315" s="92"/>
      <c r="AH315" s="92"/>
      <c r="AI315" s="92"/>
      <c r="AJ315" s="92"/>
      <c r="AK315" s="92"/>
      <c r="AL315" s="92"/>
      <c r="AM315" s="92"/>
      <c r="AN315" s="92"/>
      <c r="AO315" s="92"/>
      <c r="AP315" s="92"/>
      <c r="AQ315" s="92"/>
      <c r="AR315" s="92"/>
      <c r="AS315" s="92"/>
      <c r="AT315" s="92"/>
      <c r="AU315" s="92"/>
      <c r="AV315" s="92"/>
      <c r="AW315" s="92"/>
      <c r="AX315" s="92"/>
      <c r="AY315" s="92"/>
      <c r="AZ315" s="92"/>
    </row>
    <row r="316" spans="1:52" ht="15.7" customHeight="1" x14ac:dyDescent="0.4">
      <c r="A316" s="22"/>
      <c r="B316" s="91"/>
      <c r="C316" s="91"/>
      <c r="D316" s="92"/>
      <c r="E316" s="92"/>
      <c r="F316" s="92"/>
      <c r="G316" s="92"/>
      <c r="H316" s="92"/>
      <c r="I316" s="92"/>
      <c r="J316" s="92"/>
      <c r="K316" s="93"/>
      <c r="L316" s="93"/>
      <c r="M316" s="93"/>
      <c r="N316" s="93"/>
      <c r="O316" s="93"/>
      <c r="P316" s="93"/>
      <c r="Q316" s="93"/>
      <c r="R316" s="93"/>
      <c r="S316" s="92"/>
      <c r="T316" s="92"/>
      <c r="U316" s="92"/>
      <c r="V316" s="92"/>
      <c r="W316" s="92"/>
      <c r="X316" s="92"/>
      <c r="Y316" s="92"/>
      <c r="Z316" s="92"/>
      <c r="AA316" s="92"/>
      <c r="AB316" s="92"/>
      <c r="AC316" s="92"/>
      <c r="AD316" s="92"/>
      <c r="AE316" s="92"/>
      <c r="AF316" s="92"/>
      <c r="AG316" s="92"/>
      <c r="AH316" s="92"/>
      <c r="AI316" s="92"/>
      <c r="AJ316" s="92"/>
      <c r="AK316" s="92"/>
      <c r="AL316" s="92"/>
      <c r="AM316" s="92"/>
      <c r="AN316" s="92"/>
      <c r="AO316" s="92"/>
      <c r="AP316" s="92"/>
      <c r="AQ316" s="92"/>
      <c r="AR316" s="92"/>
      <c r="AS316" s="92"/>
      <c r="AT316" s="92"/>
      <c r="AU316" s="92"/>
      <c r="AV316" s="92"/>
      <c r="AW316" s="92"/>
      <c r="AX316" s="92"/>
      <c r="AY316" s="92"/>
      <c r="AZ316" s="92"/>
    </row>
    <row r="317" spans="1:52" ht="15.7" customHeight="1" x14ac:dyDescent="0.4">
      <c r="A317" s="22"/>
      <c r="B317" s="91"/>
      <c r="C317" s="91"/>
      <c r="D317" s="92"/>
      <c r="E317" s="92"/>
      <c r="F317" s="92"/>
      <c r="G317" s="92"/>
      <c r="H317" s="92"/>
      <c r="I317" s="92"/>
      <c r="J317" s="92"/>
      <c r="K317" s="93"/>
      <c r="L317" s="93"/>
      <c r="M317" s="93"/>
      <c r="N317" s="93"/>
      <c r="O317" s="93"/>
      <c r="P317" s="93"/>
      <c r="Q317" s="93"/>
      <c r="R317" s="93"/>
      <c r="S317" s="92"/>
      <c r="T317" s="92"/>
      <c r="U317" s="92"/>
      <c r="V317" s="92"/>
      <c r="W317" s="92"/>
      <c r="X317" s="92"/>
      <c r="Y317" s="92"/>
      <c r="Z317" s="92"/>
      <c r="AA317" s="92"/>
      <c r="AB317" s="92"/>
      <c r="AC317" s="92"/>
      <c r="AD317" s="92"/>
      <c r="AE317" s="92"/>
      <c r="AF317" s="92"/>
      <c r="AG317" s="92"/>
      <c r="AH317" s="92"/>
      <c r="AI317" s="92"/>
      <c r="AJ317" s="92"/>
      <c r="AK317" s="92"/>
      <c r="AL317" s="92"/>
      <c r="AM317" s="92"/>
      <c r="AN317" s="92"/>
      <c r="AO317" s="92"/>
      <c r="AP317" s="92"/>
      <c r="AQ317" s="92"/>
      <c r="AR317" s="92"/>
      <c r="AS317" s="92"/>
      <c r="AT317" s="92"/>
      <c r="AU317" s="92"/>
      <c r="AV317" s="92"/>
      <c r="AW317" s="92"/>
      <c r="AX317" s="92"/>
      <c r="AY317" s="92"/>
      <c r="AZ317" s="92"/>
    </row>
    <row r="318" spans="1:52" ht="15.7" customHeight="1" x14ac:dyDescent="0.4">
      <c r="A318" s="22"/>
      <c r="B318" s="91"/>
      <c r="C318" s="91"/>
      <c r="D318" s="92"/>
      <c r="E318" s="92"/>
      <c r="F318" s="92"/>
      <c r="G318" s="92"/>
      <c r="H318" s="92"/>
      <c r="I318" s="92"/>
      <c r="J318" s="92"/>
      <c r="K318" s="93"/>
      <c r="L318" s="93"/>
      <c r="M318" s="93"/>
      <c r="N318" s="93"/>
      <c r="O318" s="93"/>
      <c r="P318" s="93"/>
      <c r="Q318" s="93"/>
      <c r="R318" s="93"/>
      <c r="S318" s="92"/>
      <c r="T318" s="92"/>
      <c r="U318" s="92"/>
      <c r="V318" s="92"/>
      <c r="W318" s="92"/>
      <c r="X318" s="92"/>
      <c r="Y318" s="92"/>
      <c r="Z318" s="92"/>
      <c r="AA318" s="92"/>
      <c r="AB318" s="92"/>
      <c r="AC318" s="92"/>
      <c r="AD318" s="92"/>
      <c r="AE318" s="92"/>
      <c r="AF318" s="92"/>
      <c r="AG318" s="92"/>
      <c r="AH318" s="92"/>
      <c r="AI318" s="92"/>
      <c r="AJ318" s="92"/>
      <c r="AK318" s="92"/>
      <c r="AL318" s="92"/>
      <c r="AM318" s="92"/>
      <c r="AN318" s="92"/>
      <c r="AO318" s="92"/>
      <c r="AP318" s="92"/>
      <c r="AQ318" s="92"/>
      <c r="AR318" s="92"/>
      <c r="AS318" s="92"/>
      <c r="AT318" s="92"/>
      <c r="AU318" s="92"/>
      <c r="AV318" s="92"/>
      <c r="AW318" s="92"/>
      <c r="AX318" s="92"/>
      <c r="AY318" s="92"/>
      <c r="AZ318" s="92"/>
    </row>
    <row r="319" spans="1:52" ht="15.7" customHeight="1" x14ac:dyDescent="0.4">
      <c r="A319" s="22"/>
      <c r="B319" s="91"/>
      <c r="C319" s="91"/>
      <c r="D319" s="92"/>
      <c r="E319" s="92"/>
      <c r="F319" s="92"/>
      <c r="G319" s="92"/>
      <c r="H319" s="92"/>
      <c r="I319" s="92"/>
      <c r="J319" s="92"/>
      <c r="K319" s="93"/>
      <c r="L319" s="93"/>
      <c r="M319" s="93"/>
      <c r="N319" s="93"/>
      <c r="O319" s="93"/>
      <c r="P319" s="93"/>
      <c r="Q319" s="93"/>
      <c r="R319" s="93"/>
      <c r="S319" s="92"/>
      <c r="T319" s="92"/>
      <c r="U319" s="92"/>
      <c r="V319" s="92"/>
      <c r="W319" s="92"/>
      <c r="X319" s="92"/>
      <c r="Y319" s="92"/>
      <c r="Z319" s="92"/>
      <c r="AA319" s="92"/>
      <c r="AB319" s="92"/>
      <c r="AC319" s="92"/>
      <c r="AD319" s="92"/>
      <c r="AE319" s="92"/>
      <c r="AF319" s="92"/>
      <c r="AG319" s="92"/>
      <c r="AH319" s="92"/>
      <c r="AI319" s="92"/>
      <c r="AJ319" s="92"/>
      <c r="AK319" s="92"/>
      <c r="AL319" s="92"/>
      <c r="AM319" s="92"/>
      <c r="AN319" s="92"/>
      <c r="AO319" s="92"/>
      <c r="AP319" s="92"/>
      <c r="AQ319" s="92"/>
      <c r="AR319" s="92"/>
      <c r="AS319" s="92"/>
      <c r="AT319" s="92"/>
      <c r="AU319" s="92"/>
      <c r="AV319" s="92"/>
      <c r="AW319" s="92"/>
      <c r="AX319" s="92"/>
      <c r="AY319" s="92"/>
      <c r="AZ319" s="92"/>
    </row>
    <row r="320" spans="1:52" ht="15.7" customHeight="1" x14ac:dyDescent="0.4">
      <c r="A320" s="22"/>
      <c r="B320" s="91"/>
      <c r="C320" s="91"/>
      <c r="D320" s="92"/>
      <c r="E320" s="92"/>
      <c r="F320" s="92"/>
      <c r="G320" s="92"/>
      <c r="H320" s="92"/>
      <c r="I320" s="92"/>
      <c r="J320" s="92"/>
      <c r="K320" s="93"/>
      <c r="L320" s="93"/>
      <c r="M320" s="93"/>
      <c r="N320" s="93"/>
      <c r="O320" s="93"/>
      <c r="P320" s="93"/>
      <c r="Q320" s="93"/>
      <c r="R320" s="93"/>
      <c r="S320" s="92"/>
      <c r="T320" s="92"/>
      <c r="U320" s="92"/>
      <c r="V320" s="92"/>
      <c r="W320" s="92"/>
      <c r="X320" s="92"/>
      <c r="Y320" s="92"/>
      <c r="Z320" s="92"/>
      <c r="AA320" s="92"/>
      <c r="AB320" s="92"/>
      <c r="AC320" s="92"/>
      <c r="AD320" s="92"/>
      <c r="AE320" s="92"/>
      <c r="AF320" s="92"/>
      <c r="AG320" s="92"/>
      <c r="AH320" s="92"/>
      <c r="AI320" s="92"/>
      <c r="AJ320" s="92"/>
      <c r="AK320" s="92"/>
      <c r="AL320" s="92"/>
      <c r="AM320" s="92"/>
      <c r="AN320" s="92"/>
      <c r="AO320" s="92"/>
      <c r="AP320" s="92"/>
      <c r="AQ320" s="92"/>
      <c r="AR320" s="92"/>
      <c r="AS320" s="92"/>
      <c r="AT320" s="92"/>
      <c r="AU320" s="92"/>
      <c r="AV320" s="92"/>
      <c r="AW320" s="92"/>
      <c r="AX320" s="92"/>
      <c r="AY320" s="92"/>
      <c r="AZ320" s="92"/>
    </row>
    <row r="321" spans="1:52" ht="15.7" customHeight="1" x14ac:dyDescent="0.4">
      <c r="A321" s="22"/>
      <c r="B321" s="91"/>
      <c r="C321" s="91"/>
      <c r="D321" s="92"/>
      <c r="E321" s="92"/>
      <c r="F321" s="92"/>
      <c r="G321" s="92"/>
      <c r="H321" s="92"/>
      <c r="I321" s="92"/>
      <c r="J321" s="92"/>
      <c r="K321" s="93"/>
      <c r="L321" s="93"/>
      <c r="M321" s="93"/>
      <c r="N321" s="93"/>
      <c r="O321" s="93"/>
      <c r="P321" s="93"/>
      <c r="Q321" s="93"/>
      <c r="R321" s="93"/>
      <c r="S321" s="92"/>
      <c r="T321" s="92"/>
      <c r="U321" s="92"/>
      <c r="V321" s="92"/>
      <c r="W321" s="92"/>
      <c r="X321" s="92"/>
      <c r="Y321" s="92"/>
      <c r="Z321" s="92"/>
      <c r="AA321" s="92"/>
      <c r="AB321" s="92"/>
      <c r="AC321" s="92"/>
      <c r="AD321" s="92"/>
      <c r="AE321" s="92"/>
      <c r="AF321" s="92"/>
      <c r="AG321" s="92"/>
      <c r="AH321" s="92"/>
      <c r="AI321" s="92"/>
      <c r="AJ321" s="92"/>
      <c r="AK321" s="92"/>
      <c r="AL321" s="92"/>
      <c r="AM321" s="92"/>
      <c r="AN321" s="92"/>
      <c r="AO321" s="92"/>
      <c r="AP321" s="92"/>
      <c r="AQ321" s="92"/>
      <c r="AR321" s="92"/>
      <c r="AS321" s="92"/>
      <c r="AT321" s="92"/>
      <c r="AU321" s="92"/>
      <c r="AV321" s="92"/>
      <c r="AW321" s="92"/>
      <c r="AX321" s="92"/>
      <c r="AY321" s="92"/>
      <c r="AZ321" s="92"/>
    </row>
    <row r="322" spans="1:52" ht="15.7" customHeight="1" x14ac:dyDescent="0.4">
      <c r="A322" s="22"/>
      <c r="B322" s="91"/>
      <c r="C322" s="91"/>
      <c r="D322" s="92"/>
      <c r="E322" s="92"/>
      <c r="F322" s="92"/>
      <c r="G322" s="92"/>
      <c r="H322" s="92"/>
      <c r="I322" s="92"/>
      <c r="J322" s="92"/>
      <c r="K322" s="93"/>
      <c r="L322" s="93"/>
      <c r="M322" s="93"/>
      <c r="N322" s="93"/>
      <c r="O322" s="93"/>
      <c r="P322" s="93"/>
      <c r="Q322" s="93"/>
      <c r="R322" s="93"/>
      <c r="S322" s="92"/>
      <c r="T322" s="92"/>
      <c r="U322" s="92"/>
      <c r="V322" s="92"/>
      <c r="W322" s="92"/>
      <c r="X322" s="92"/>
      <c r="Y322" s="92"/>
      <c r="Z322" s="92"/>
      <c r="AA322" s="92"/>
      <c r="AB322" s="92"/>
      <c r="AC322" s="92"/>
      <c r="AD322" s="92"/>
      <c r="AE322" s="92"/>
      <c r="AF322" s="92"/>
      <c r="AG322" s="92"/>
      <c r="AH322" s="92"/>
      <c r="AI322" s="92"/>
      <c r="AJ322" s="92"/>
      <c r="AK322" s="92"/>
      <c r="AL322" s="92"/>
      <c r="AM322" s="92"/>
      <c r="AN322" s="92"/>
      <c r="AO322" s="92"/>
      <c r="AP322" s="92"/>
      <c r="AQ322" s="92"/>
      <c r="AR322" s="92"/>
      <c r="AS322" s="92"/>
      <c r="AT322" s="92"/>
      <c r="AU322" s="92"/>
      <c r="AV322" s="92"/>
      <c r="AW322" s="92"/>
      <c r="AX322" s="92"/>
      <c r="AY322" s="92"/>
      <c r="AZ322" s="92"/>
    </row>
    <row r="323" spans="1:52" ht="15.7" customHeight="1" x14ac:dyDescent="0.4">
      <c r="A323" s="22"/>
      <c r="B323" s="91"/>
      <c r="C323" s="91"/>
      <c r="D323" s="92"/>
      <c r="E323" s="92"/>
      <c r="F323" s="92"/>
      <c r="G323" s="92"/>
      <c r="H323" s="92"/>
      <c r="I323" s="92"/>
      <c r="J323" s="92"/>
      <c r="K323" s="93"/>
      <c r="L323" s="93"/>
      <c r="M323" s="93"/>
      <c r="N323" s="93"/>
      <c r="O323" s="93"/>
      <c r="P323" s="93"/>
      <c r="Q323" s="93"/>
      <c r="R323" s="93"/>
      <c r="S323" s="92"/>
      <c r="T323" s="92"/>
      <c r="U323" s="92"/>
      <c r="V323" s="92"/>
      <c r="W323" s="92"/>
      <c r="X323" s="92"/>
      <c r="Y323" s="92"/>
      <c r="Z323" s="92"/>
      <c r="AA323" s="92"/>
      <c r="AB323" s="92"/>
      <c r="AC323" s="92"/>
      <c r="AD323" s="92"/>
      <c r="AE323" s="92"/>
      <c r="AF323" s="92"/>
      <c r="AG323" s="92"/>
      <c r="AH323" s="92"/>
      <c r="AI323" s="92"/>
      <c r="AJ323" s="92"/>
      <c r="AK323" s="92"/>
      <c r="AL323" s="92"/>
      <c r="AM323" s="92"/>
      <c r="AN323" s="92"/>
      <c r="AO323" s="92"/>
      <c r="AP323" s="92"/>
      <c r="AQ323" s="92"/>
      <c r="AR323" s="92"/>
      <c r="AS323" s="92"/>
      <c r="AT323" s="92"/>
      <c r="AU323" s="92"/>
      <c r="AV323" s="92"/>
      <c r="AW323" s="92"/>
      <c r="AX323" s="92"/>
      <c r="AY323" s="92"/>
      <c r="AZ323" s="92"/>
    </row>
    <row r="324" spans="1:52" ht="15.7" customHeight="1" x14ac:dyDescent="0.4">
      <c r="A324" s="22"/>
      <c r="B324" s="91"/>
      <c r="C324" s="91"/>
      <c r="D324" s="92"/>
      <c r="E324" s="92"/>
      <c r="F324" s="92"/>
      <c r="G324" s="92"/>
      <c r="H324" s="92"/>
      <c r="I324" s="92"/>
      <c r="J324" s="92"/>
      <c r="K324" s="93"/>
      <c r="L324" s="93"/>
      <c r="M324" s="93"/>
      <c r="N324" s="93"/>
      <c r="O324" s="93"/>
      <c r="P324" s="93"/>
      <c r="Q324" s="93"/>
      <c r="R324" s="93"/>
      <c r="S324" s="92"/>
      <c r="T324" s="92"/>
      <c r="U324" s="92"/>
      <c r="V324" s="92"/>
      <c r="W324" s="92"/>
      <c r="X324" s="92"/>
      <c r="Y324" s="92"/>
      <c r="Z324" s="92"/>
      <c r="AA324" s="92"/>
      <c r="AB324" s="92"/>
      <c r="AC324" s="92"/>
      <c r="AD324" s="92"/>
      <c r="AE324" s="92"/>
      <c r="AF324" s="92"/>
      <c r="AG324" s="92"/>
      <c r="AH324" s="92"/>
      <c r="AI324" s="92"/>
      <c r="AJ324" s="92"/>
      <c r="AK324" s="92"/>
      <c r="AL324" s="92"/>
      <c r="AM324" s="92"/>
      <c r="AN324" s="92"/>
      <c r="AO324" s="92"/>
      <c r="AP324" s="92"/>
      <c r="AQ324" s="92"/>
      <c r="AR324" s="92"/>
      <c r="AS324" s="92"/>
      <c r="AT324" s="92"/>
      <c r="AU324" s="92"/>
      <c r="AV324" s="92"/>
      <c r="AW324" s="92"/>
      <c r="AX324" s="92"/>
      <c r="AY324" s="92"/>
      <c r="AZ324" s="92"/>
    </row>
    <row r="325" spans="1:52" ht="15.7" customHeight="1" x14ac:dyDescent="0.4">
      <c r="A325" s="22"/>
      <c r="B325" s="91"/>
      <c r="C325" s="91"/>
      <c r="D325" s="92"/>
      <c r="E325" s="92"/>
      <c r="F325" s="92"/>
      <c r="G325" s="92"/>
      <c r="H325" s="92"/>
      <c r="I325" s="92"/>
      <c r="J325" s="92"/>
      <c r="K325" s="93"/>
      <c r="L325" s="93"/>
      <c r="M325" s="93"/>
      <c r="N325" s="93"/>
      <c r="O325" s="93"/>
      <c r="P325" s="93"/>
      <c r="Q325" s="93"/>
      <c r="R325" s="93"/>
      <c r="S325" s="92"/>
      <c r="T325" s="92"/>
      <c r="U325" s="92"/>
      <c r="V325" s="92"/>
      <c r="W325" s="92"/>
      <c r="X325" s="92"/>
      <c r="Y325" s="92"/>
      <c r="Z325" s="92"/>
      <c r="AA325" s="92"/>
      <c r="AB325" s="92"/>
      <c r="AC325" s="92"/>
      <c r="AD325" s="92"/>
      <c r="AE325" s="92"/>
      <c r="AF325" s="92"/>
      <c r="AG325" s="92"/>
      <c r="AH325" s="92"/>
      <c r="AI325" s="92"/>
      <c r="AJ325" s="92"/>
      <c r="AK325" s="92"/>
      <c r="AL325" s="92"/>
      <c r="AM325" s="92"/>
      <c r="AN325" s="92"/>
      <c r="AO325" s="92"/>
      <c r="AP325" s="92"/>
      <c r="AQ325" s="92"/>
      <c r="AR325" s="92"/>
      <c r="AS325" s="92"/>
      <c r="AT325" s="92"/>
      <c r="AU325" s="92"/>
      <c r="AV325" s="92"/>
      <c r="AW325" s="92"/>
      <c r="AX325" s="92"/>
      <c r="AY325" s="92"/>
      <c r="AZ325" s="92"/>
    </row>
    <row r="326" spans="1:52" ht="15.7" customHeight="1" x14ac:dyDescent="0.4">
      <c r="A326" s="22"/>
      <c r="B326" s="91"/>
      <c r="C326" s="91"/>
      <c r="D326" s="92"/>
      <c r="E326" s="92"/>
      <c r="F326" s="92"/>
      <c r="G326" s="92"/>
      <c r="H326" s="92"/>
      <c r="I326" s="92"/>
      <c r="J326" s="92"/>
      <c r="K326" s="93"/>
      <c r="L326" s="93"/>
      <c r="M326" s="93"/>
      <c r="N326" s="93"/>
      <c r="O326" s="93"/>
      <c r="P326" s="93"/>
      <c r="Q326" s="93"/>
      <c r="R326" s="93"/>
      <c r="S326" s="92"/>
      <c r="T326" s="92"/>
      <c r="U326" s="92"/>
      <c r="V326" s="92"/>
      <c r="W326" s="92"/>
      <c r="X326" s="92"/>
      <c r="Y326" s="92"/>
      <c r="Z326" s="92"/>
      <c r="AA326" s="92"/>
      <c r="AB326" s="92"/>
      <c r="AC326" s="92"/>
      <c r="AD326" s="92"/>
      <c r="AE326" s="92"/>
      <c r="AF326" s="92"/>
      <c r="AG326" s="92"/>
      <c r="AH326" s="92"/>
      <c r="AI326" s="92"/>
      <c r="AJ326" s="92"/>
      <c r="AK326" s="92"/>
      <c r="AL326" s="92"/>
      <c r="AM326" s="92"/>
      <c r="AN326" s="92"/>
      <c r="AO326" s="92"/>
      <c r="AP326" s="92"/>
      <c r="AQ326" s="92"/>
      <c r="AR326" s="92"/>
      <c r="AS326" s="92"/>
      <c r="AT326" s="92"/>
      <c r="AU326" s="92"/>
      <c r="AV326" s="92"/>
      <c r="AW326" s="92"/>
      <c r="AX326" s="92"/>
      <c r="AY326" s="92"/>
      <c r="AZ326" s="92"/>
    </row>
    <row r="327" spans="1:52" ht="15.7" customHeight="1" x14ac:dyDescent="0.4">
      <c r="A327" s="22"/>
      <c r="B327" s="91"/>
      <c r="C327" s="91"/>
      <c r="D327" s="92"/>
      <c r="E327" s="92"/>
      <c r="F327" s="92"/>
      <c r="G327" s="92"/>
      <c r="H327" s="92"/>
      <c r="I327" s="92"/>
      <c r="J327" s="92"/>
      <c r="K327" s="93"/>
      <c r="L327" s="93"/>
      <c r="M327" s="93"/>
      <c r="N327" s="93"/>
      <c r="O327" s="93"/>
      <c r="P327" s="93"/>
      <c r="Q327" s="93"/>
      <c r="R327" s="93"/>
      <c r="S327" s="92"/>
      <c r="T327" s="92"/>
      <c r="U327" s="92"/>
      <c r="V327" s="92"/>
      <c r="W327" s="92"/>
      <c r="X327" s="92"/>
      <c r="Y327" s="92"/>
      <c r="Z327" s="92"/>
      <c r="AA327" s="92"/>
      <c r="AB327" s="92"/>
      <c r="AC327" s="92"/>
      <c r="AD327" s="92"/>
      <c r="AE327" s="92"/>
      <c r="AF327" s="92"/>
      <c r="AG327" s="92"/>
      <c r="AH327" s="92"/>
      <c r="AI327" s="92"/>
      <c r="AJ327" s="92"/>
      <c r="AK327" s="92"/>
      <c r="AL327" s="92"/>
      <c r="AM327" s="92"/>
      <c r="AN327" s="92"/>
      <c r="AO327" s="92"/>
      <c r="AP327" s="92"/>
      <c r="AQ327" s="92"/>
      <c r="AR327" s="92"/>
      <c r="AS327" s="92"/>
      <c r="AT327" s="92"/>
      <c r="AU327" s="92"/>
      <c r="AV327" s="92"/>
      <c r="AW327" s="92"/>
      <c r="AX327" s="92"/>
      <c r="AY327" s="92"/>
      <c r="AZ327" s="92"/>
    </row>
    <row r="328" spans="1:52" ht="15.7" customHeight="1" x14ac:dyDescent="0.4">
      <c r="A328" s="22"/>
      <c r="B328" s="91"/>
      <c r="C328" s="91"/>
      <c r="D328" s="92"/>
      <c r="E328" s="92"/>
      <c r="F328" s="92"/>
      <c r="G328" s="92"/>
      <c r="H328" s="92"/>
      <c r="I328" s="92"/>
      <c r="J328" s="92"/>
      <c r="K328" s="93"/>
      <c r="L328" s="93"/>
      <c r="M328" s="93"/>
      <c r="N328" s="93"/>
      <c r="O328" s="93"/>
      <c r="P328" s="93"/>
      <c r="Q328" s="93"/>
      <c r="R328" s="93"/>
      <c r="S328" s="92"/>
      <c r="T328" s="92"/>
      <c r="U328" s="92"/>
      <c r="V328" s="92"/>
      <c r="W328" s="92"/>
      <c r="X328" s="92"/>
      <c r="Y328" s="92"/>
      <c r="Z328" s="92"/>
      <c r="AA328" s="92"/>
      <c r="AB328" s="92"/>
      <c r="AC328" s="92"/>
      <c r="AD328" s="92"/>
      <c r="AE328" s="92"/>
      <c r="AF328" s="92"/>
      <c r="AG328" s="92"/>
      <c r="AH328" s="92"/>
      <c r="AI328" s="92"/>
      <c r="AJ328" s="92"/>
      <c r="AK328" s="92"/>
      <c r="AL328" s="92"/>
      <c r="AM328" s="92"/>
      <c r="AN328" s="92"/>
      <c r="AO328" s="92"/>
      <c r="AP328" s="92"/>
      <c r="AQ328" s="92"/>
      <c r="AR328" s="92"/>
      <c r="AS328" s="92"/>
      <c r="AT328" s="92"/>
      <c r="AU328" s="92"/>
      <c r="AV328" s="92"/>
      <c r="AW328" s="92"/>
      <c r="AX328" s="92"/>
      <c r="AY328" s="92"/>
      <c r="AZ328" s="92"/>
    </row>
    <row r="329" spans="1:52" ht="15.7" customHeight="1" x14ac:dyDescent="0.4">
      <c r="A329" s="22"/>
      <c r="B329" s="91"/>
      <c r="C329" s="91"/>
      <c r="D329" s="92"/>
      <c r="E329" s="92"/>
      <c r="F329" s="92"/>
      <c r="G329" s="92"/>
      <c r="H329" s="92"/>
      <c r="I329" s="92"/>
      <c r="J329" s="92"/>
      <c r="K329" s="93"/>
      <c r="L329" s="93"/>
      <c r="M329" s="93"/>
      <c r="N329" s="93"/>
      <c r="O329" s="93"/>
      <c r="P329" s="93"/>
      <c r="Q329" s="93"/>
      <c r="R329" s="93"/>
      <c r="S329" s="92"/>
      <c r="T329" s="92"/>
      <c r="U329" s="92"/>
      <c r="V329" s="92"/>
      <c r="W329" s="92"/>
      <c r="X329" s="92"/>
      <c r="Y329" s="92"/>
      <c r="Z329" s="92"/>
      <c r="AA329" s="92"/>
      <c r="AB329" s="92"/>
      <c r="AC329" s="92"/>
      <c r="AD329" s="92"/>
      <c r="AE329" s="92"/>
      <c r="AF329" s="92"/>
      <c r="AG329" s="92"/>
      <c r="AH329" s="92"/>
      <c r="AI329" s="92"/>
      <c r="AJ329" s="92"/>
      <c r="AK329" s="92"/>
      <c r="AL329" s="92"/>
      <c r="AM329" s="92"/>
      <c r="AN329" s="92"/>
      <c r="AO329" s="92"/>
      <c r="AP329" s="92"/>
      <c r="AQ329" s="92"/>
      <c r="AR329" s="92"/>
      <c r="AS329" s="92"/>
      <c r="AT329" s="92"/>
      <c r="AU329" s="92"/>
      <c r="AV329" s="92"/>
      <c r="AW329" s="92"/>
      <c r="AX329" s="92"/>
      <c r="AY329" s="92"/>
      <c r="AZ329" s="92"/>
    </row>
    <row r="330" spans="1:52" ht="15.7" customHeight="1" x14ac:dyDescent="0.4">
      <c r="A330" s="22"/>
      <c r="B330" s="91"/>
      <c r="C330" s="91"/>
      <c r="D330" s="92"/>
      <c r="E330" s="92"/>
      <c r="F330" s="92"/>
      <c r="G330" s="92"/>
      <c r="H330" s="92"/>
      <c r="I330" s="92"/>
      <c r="J330" s="92"/>
      <c r="K330" s="93"/>
      <c r="L330" s="93"/>
      <c r="M330" s="93"/>
      <c r="N330" s="93"/>
      <c r="O330" s="93"/>
      <c r="P330" s="93"/>
      <c r="Q330" s="93"/>
      <c r="R330" s="93"/>
      <c r="S330" s="92"/>
      <c r="T330" s="92"/>
      <c r="U330" s="92"/>
      <c r="V330" s="92"/>
      <c r="W330" s="92"/>
      <c r="X330" s="92"/>
      <c r="Y330" s="92"/>
      <c r="Z330" s="92"/>
      <c r="AA330" s="92"/>
      <c r="AB330" s="92"/>
      <c r="AC330" s="92"/>
      <c r="AD330" s="92"/>
      <c r="AE330" s="92"/>
      <c r="AF330" s="92"/>
      <c r="AG330" s="92"/>
      <c r="AH330" s="92"/>
      <c r="AI330" s="92"/>
      <c r="AJ330" s="92"/>
      <c r="AK330" s="92"/>
      <c r="AL330" s="92"/>
      <c r="AM330" s="92"/>
      <c r="AN330" s="92"/>
      <c r="AO330" s="92"/>
      <c r="AP330" s="92"/>
      <c r="AQ330" s="92"/>
      <c r="AR330" s="92"/>
      <c r="AS330" s="92"/>
      <c r="AT330" s="92"/>
      <c r="AU330" s="92"/>
      <c r="AV330" s="92"/>
      <c r="AW330" s="92"/>
      <c r="AX330" s="92"/>
      <c r="AY330" s="92"/>
      <c r="AZ330" s="92"/>
    </row>
    <row r="331" spans="1:52" ht="15.7" customHeight="1" x14ac:dyDescent="0.4">
      <c r="A331" s="22"/>
      <c r="B331" s="91"/>
      <c r="C331" s="91"/>
      <c r="D331" s="92"/>
      <c r="E331" s="92"/>
      <c r="F331" s="92"/>
      <c r="G331" s="92"/>
      <c r="H331" s="92"/>
      <c r="I331" s="92"/>
      <c r="J331" s="92"/>
      <c r="K331" s="93"/>
      <c r="L331" s="93"/>
      <c r="M331" s="93"/>
      <c r="N331" s="93"/>
      <c r="O331" s="93"/>
      <c r="P331" s="93"/>
      <c r="Q331" s="93"/>
      <c r="R331" s="93"/>
      <c r="S331" s="92"/>
      <c r="T331" s="92"/>
      <c r="U331" s="92"/>
      <c r="V331" s="92"/>
      <c r="W331" s="92"/>
      <c r="X331" s="92"/>
      <c r="Y331" s="92"/>
      <c r="Z331" s="92"/>
      <c r="AA331" s="92"/>
      <c r="AB331" s="92"/>
      <c r="AC331" s="92"/>
      <c r="AD331" s="92"/>
      <c r="AE331" s="92"/>
      <c r="AF331" s="92"/>
      <c r="AG331" s="92"/>
      <c r="AH331" s="92"/>
      <c r="AI331" s="92"/>
      <c r="AJ331" s="92"/>
      <c r="AK331" s="92"/>
      <c r="AL331" s="92"/>
      <c r="AM331" s="92"/>
      <c r="AN331" s="92"/>
      <c r="AO331" s="92"/>
      <c r="AP331" s="92"/>
      <c r="AQ331" s="92"/>
      <c r="AR331" s="92"/>
      <c r="AS331" s="92"/>
      <c r="AT331" s="92"/>
      <c r="AU331" s="92"/>
      <c r="AV331" s="92"/>
      <c r="AW331" s="92"/>
      <c r="AX331" s="92"/>
      <c r="AY331" s="92"/>
      <c r="AZ331" s="92"/>
    </row>
    <row r="332" spans="1:52" ht="15.7" customHeight="1" x14ac:dyDescent="0.4">
      <c r="A332" s="22"/>
      <c r="B332" s="91"/>
      <c r="C332" s="91"/>
      <c r="D332" s="92"/>
      <c r="E332" s="92"/>
      <c r="F332" s="92"/>
      <c r="G332" s="92"/>
      <c r="H332" s="92"/>
      <c r="I332" s="92"/>
      <c r="J332" s="92"/>
      <c r="K332" s="93"/>
      <c r="L332" s="93"/>
      <c r="M332" s="93"/>
      <c r="N332" s="93"/>
      <c r="O332" s="93"/>
      <c r="P332" s="93"/>
      <c r="Q332" s="93"/>
      <c r="R332" s="93"/>
      <c r="S332" s="92"/>
      <c r="T332" s="92"/>
      <c r="U332" s="92"/>
      <c r="V332" s="92"/>
      <c r="W332" s="92"/>
      <c r="X332" s="92"/>
      <c r="Y332" s="92"/>
      <c r="Z332" s="92"/>
      <c r="AA332" s="92"/>
      <c r="AB332" s="92"/>
      <c r="AC332" s="92"/>
      <c r="AD332" s="92"/>
      <c r="AE332" s="92"/>
      <c r="AF332" s="92"/>
      <c r="AG332" s="92"/>
      <c r="AH332" s="92"/>
      <c r="AI332" s="92"/>
      <c r="AJ332" s="92"/>
      <c r="AK332" s="92"/>
      <c r="AL332" s="92"/>
      <c r="AM332" s="92"/>
      <c r="AN332" s="92"/>
      <c r="AO332" s="92"/>
      <c r="AP332" s="92"/>
      <c r="AQ332" s="92"/>
      <c r="AR332" s="92"/>
      <c r="AS332" s="92"/>
      <c r="AT332" s="92"/>
      <c r="AU332" s="92"/>
      <c r="AV332" s="92"/>
      <c r="AW332" s="92"/>
      <c r="AX332" s="92"/>
      <c r="AY332" s="92"/>
      <c r="AZ332" s="92"/>
    </row>
    <row r="333" spans="1:52" ht="15.7" customHeight="1" x14ac:dyDescent="0.4">
      <c r="A333" s="22"/>
      <c r="B333" s="91"/>
      <c r="C333" s="91"/>
      <c r="D333" s="92"/>
      <c r="E333" s="92"/>
      <c r="F333" s="92"/>
      <c r="G333" s="92"/>
      <c r="H333" s="92"/>
      <c r="I333" s="92"/>
      <c r="J333" s="92"/>
      <c r="K333" s="93"/>
      <c r="L333" s="93"/>
      <c r="M333" s="93"/>
      <c r="N333" s="93"/>
      <c r="O333" s="93"/>
      <c r="P333" s="93"/>
      <c r="Q333" s="93"/>
      <c r="R333" s="93"/>
      <c r="S333" s="92"/>
      <c r="T333" s="92"/>
      <c r="U333" s="92"/>
      <c r="V333" s="92"/>
      <c r="W333" s="92"/>
      <c r="X333" s="92"/>
      <c r="Y333" s="92"/>
      <c r="Z333" s="92"/>
      <c r="AA333" s="92"/>
      <c r="AB333" s="92"/>
      <c r="AC333" s="92"/>
      <c r="AD333" s="92"/>
      <c r="AE333" s="92"/>
      <c r="AF333" s="92"/>
      <c r="AG333" s="92"/>
      <c r="AH333" s="92"/>
      <c r="AI333" s="92"/>
      <c r="AJ333" s="92"/>
      <c r="AK333" s="92"/>
      <c r="AL333" s="92"/>
      <c r="AM333" s="92"/>
      <c r="AN333" s="92"/>
      <c r="AO333" s="92"/>
      <c r="AP333" s="92"/>
      <c r="AQ333" s="92"/>
      <c r="AR333" s="92"/>
      <c r="AS333" s="92"/>
      <c r="AT333" s="92"/>
      <c r="AU333" s="92"/>
      <c r="AV333" s="92"/>
      <c r="AW333" s="92"/>
      <c r="AX333" s="92"/>
      <c r="AY333" s="92"/>
      <c r="AZ333" s="92"/>
    </row>
    <row r="334" spans="1:52" ht="15.7" customHeight="1" x14ac:dyDescent="0.4">
      <c r="A334" s="22"/>
      <c r="B334" s="91"/>
      <c r="C334" s="91"/>
      <c r="D334" s="92"/>
      <c r="E334" s="92"/>
      <c r="F334" s="92"/>
      <c r="G334" s="92"/>
      <c r="H334" s="92"/>
      <c r="I334" s="92"/>
      <c r="J334" s="92"/>
      <c r="K334" s="93"/>
      <c r="L334" s="93"/>
      <c r="M334" s="93"/>
      <c r="N334" s="93"/>
      <c r="O334" s="93"/>
      <c r="P334" s="93"/>
      <c r="Q334" s="93"/>
      <c r="R334" s="93"/>
      <c r="S334" s="92"/>
      <c r="T334" s="92"/>
      <c r="U334" s="92"/>
      <c r="V334" s="92"/>
      <c r="W334" s="92"/>
      <c r="X334" s="92"/>
      <c r="Y334" s="92"/>
      <c r="Z334" s="92"/>
      <c r="AA334" s="92"/>
      <c r="AB334" s="92"/>
      <c r="AC334" s="92"/>
      <c r="AD334" s="92"/>
      <c r="AE334" s="92"/>
      <c r="AF334" s="92"/>
      <c r="AG334" s="92"/>
      <c r="AH334" s="92"/>
      <c r="AI334" s="92"/>
      <c r="AJ334" s="92"/>
      <c r="AK334" s="92"/>
      <c r="AL334" s="92"/>
      <c r="AM334" s="92"/>
      <c r="AN334" s="92"/>
      <c r="AO334" s="92"/>
      <c r="AP334" s="92"/>
      <c r="AQ334" s="92"/>
      <c r="AR334" s="92"/>
      <c r="AS334" s="92"/>
      <c r="AT334" s="92"/>
      <c r="AU334" s="92"/>
      <c r="AV334" s="92"/>
      <c r="AW334" s="92"/>
      <c r="AX334" s="92"/>
      <c r="AY334" s="92"/>
      <c r="AZ334" s="92"/>
    </row>
    <row r="335" spans="1:52" ht="15.7" customHeight="1" x14ac:dyDescent="0.4">
      <c r="A335" s="22"/>
      <c r="B335" s="91"/>
      <c r="C335" s="91"/>
      <c r="D335" s="92"/>
      <c r="E335" s="92"/>
      <c r="F335" s="92"/>
      <c r="G335" s="92"/>
      <c r="H335" s="92"/>
      <c r="I335" s="92"/>
      <c r="J335" s="92"/>
      <c r="K335" s="93"/>
      <c r="L335" s="93"/>
      <c r="M335" s="93"/>
      <c r="N335" s="93"/>
      <c r="O335" s="93"/>
      <c r="P335" s="93"/>
      <c r="Q335" s="93"/>
      <c r="R335" s="93"/>
      <c r="S335" s="92"/>
      <c r="T335" s="92"/>
      <c r="U335" s="92"/>
      <c r="V335" s="92"/>
      <c r="W335" s="92"/>
      <c r="X335" s="92"/>
      <c r="Y335" s="92"/>
      <c r="Z335" s="92"/>
      <c r="AA335" s="92"/>
      <c r="AB335" s="92"/>
      <c r="AC335" s="92"/>
      <c r="AD335" s="92"/>
      <c r="AE335" s="92"/>
      <c r="AF335" s="92"/>
      <c r="AG335" s="92"/>
      <c r="AH335" s="92"/>
      <c r="AI335" s="92"/>
      <c r="AJ335" s="92"/>
      <c r="AK335" s="92"/>
      <c r="AL335" s="92"/>
      <c r="AM335" s="92"/>
      <c r="AN335" s="92"/>
      <c r="AO335" s="92"/>
      <c r="AP335" s="92"/>
      <c r="AQ335" s="92"/>
      <c r="AR335" s="92"/>
      <c r="AS335" s="92"/>
      <c r="AT335" s="92"/>
      <c r="AU335" s="92"/>
      <c r="AV335" s="92"/>
      <c r="AW335" s="92"/>
      <c r="AX335" s="92"/>
      <c r="AY335" s="92"/>
      <c r="AZ335" s="92"/>
    </row>
    <row r="336" spans="1:52" ht="15.7" customHeight="1" x14ac:dyDescent="0.4">
      <c r="A336" s="22"/>
      <c r="B336" s="91"/>
      <c r="C336" s="91"/>
      <c r="D336" s="92"/>
      <c r="E336" s="92"/>
      <c r="F336" s="92"/>
      <c r="G336" s="92"/>
      <c r="H336" s="92"/>
      <c r="I336" s="92"/>
      <c r="J336" s="92"/>
      <c r="K336" s="93"/>
      <c r="L336" s="93"/>
      <c r="M336" s="93"/>
      <c r="N336" s="93"/>
      <c r="O336" s="93"/>
      <c r="P336" s="93"/>
      <c r="Q336" s="93"/>
      <c r="R336" s="93"/>
      <c r="S336" s="92"/>
      <c r="T336" s="92"/>
      <c r="U336" s="92"/>
      <c r="V336" s="92"/>
      <c r="W336" s="92"/>
      <c r="X336" s="92"/>
      <c r="Y336" s="92"/>
      <c r="Z336" s="92"/>
      <c r="AA336" s="92"/>
      <c r="AB336" s="92"/>
      <c r="AC336" s="92"/>
      <c r="AD336" s="92"/>
      <c r="AE336" s="92"/>
      <c r="AF336" s="92"/>
      <c r="AG336" s="92"/>
      <c r="AH336" s="92"/>
      <c r="AI336" s="92"/>
      <c r="AJ336" s="92"/>
      <c r="AK336" s="92"/>
      <c r="AL336" s="92"/>
      <c r="AM336" s="92"/>
      <c r="AN336" s="92"/>
      <c r="AO336" s="92"/>
      <c r="AP336" s="92"/>
      <c r="AQ336" s="92"/>
      <c r="AR336" s="92"/>
      <c r="AS336" s="92"/>
      <c r="AT336" s="92"/>
      <c r="AU336" s="92"/>
      <c r="AV336" s="92"/>
      <c r="AW336" s="92"/>
      <c r="AX336" s="92"/>
      <c r="AY336" s="92"/>
      <c r="AZ336" s="92"/>
    </row>
    <row r="337" spans="1:52" ht="15.7" customHeight="1" x14ac:dyDescent="0.4">
      <c r="A337" s="22"/>
      <c r="B337" s="91"/>
      <c r="C337" s="91"/>
      <c r="D337" s="92"/>
      <c r="E337" s="92"/>
      <c r="F337" s="92"/>
      <c r="G337" s="92"/>
      <c r="H337" s="92"/>
      <c r="I337" s="92"/>
      <c r="J337" s="92"/>
      <c r="K337" s="93"/>
      <c r="L337" s="93"/>
      <c r="M337" s="93"/>
      <c r="N337" s="93"/>
      <c r="O337" s="93"/>
      <c r="P337" s="93"/>
      <c r="Q337" s="93"/>
      <c r="R337" s="93"/>
      <c r="S337" s="92"/>
      <c r="T337" s="92"/>
      <c r="U337" s="92"/>
      <c r="V337" s="92"/>
      <c r="W337" s="92"/>
      <c r="X337" s="92"/>
      <c r="Y337" s="92"/>
      <c r="Z337" s="92"/>
      <c r="AA337" s="92"/>
      <c r="AB337" s="92"/>
      <c r="AC337" s="92"/>
      <c r="AD337" s="92"/>
      <c r="AE337" s="92"/>
      <c r="AF337" s="92"/>
      <c r="AG337" s="92"/>
      <c r="AH337" s="92"/>
      <c r="AI337" s="92"/>
      <c r="AJ337" s="92"/>
      <c r="AK337" s="92"/>
      <c r="AL337" s="92"/>
      <c r="AM337" s="92"/>
      <c r="AN337" s="92"/>
      <c r="AO337" s="92"/>
      <c r="AP337" s="92"/>
      <c r="AQ337" s="92"/>
      <c r="AR337" s="92"/>
      <c r="AS337" s="92"/>
      <c r="AT337" s="92"/>
      <c r="AU337" s="92"/>
      <c r="AV337" s="92"/>
      <c r="AW337" s="92"/>
      <c r="AX337" s="92"/>
      <c r="AY337" s="92"/>
      <c r="AZ337" s="92"/>
    </row>
    <row r="338" spans="1:52" ht="15.7" customHeight="1" x14ac:dyDescent="0.4">
      <c r="A338" s="22"/>
      <c r="B338" s="91"/>
      <c r="C338" s="91"/>
      <c r="D338" s="92"/>
      <c r="E338" s="92"/>
      <c r="F338" s="92"/>
      <c r="G338" s="92"/>
      <c r="H338" s="92"/>
      <c r="I338" s="92"/>
      <c r="J338" s="92"/>
      <c r="K338" s="93"/>
      <c r="L338" s="93"/>
      <c r="M338" s="93"/>
      <c r="N338" s="93"/>
      <c r="O338" s="93"/>
      <c r="P338" s="93"/>
      <c r="Q338" s="93"/>
      <c r="R338" s="93"/>
      <c r="S338" s="92"/>
      <c r="T338" s="92"/>
      <c r="U338" s="92"/>
      <c r="V338" s="92"/>
      <c r="W338" s="92"/>
      <c r="X338" s="92"/>
      <c r="Y338" s="92"/>
      <c r="Z338" s="92"/>
      <c r="AA338" s="92"/>
      <c r="AB338" s="92"/>
      <c r="AC338" s="92"/>
      <c r="AD338" s="92"/>
      <c r="AE338" s="92"/>
      <c r="AF338" s="92"/>
      <c r="AG338" s="92"/>
      <c r="AH338" s="92"/>
      <c r="AI338" s="92"/>
      <c r="AJ338" s="92"/>
      <c r="AK338" s="92"/>
      <c r="AL338" s="92"/>
      <c r="AM338" s="92"/>
      <c r="AN338" s="92"/>
      <c r="AO338" s="92"/>
      <c r="AP338" s="92"/>
      <c r="AQ338" s="92"/>
      <c r="AR338" s="92"/>
      <c r="AS338" s="92"/>
      <c r="AT338" s="92"/>
      <c r="AU338" s="92"/>
      <c r="AV338" s="92"/>
      <c r="AW338" s="92"/>
      <c r="AX338" s="92"/>
      <c r="AY338" s="92"/>
      <c r="AZ338" s="92"/>
    </row>
    <row r="339" spans="1:52" ht="15.7" customHeight="1" x14ac:dyDescent="0.4">
      <c r="A339" s="22"/>
      <c r="B339" s="91"/>
      <c r="C339" s="91"/>
      <c r="D339" s="92"/>
      <c r="E339" s="92"/>
      <c r="F339" s="92"/>
      <c r="G339" s="92"/>
      <c r="H339" s="92"/>
      <c r="I339" s="92"/>
      <c r="J339" s="92"/>
      <c r="K339" s="93"/>
      <c r="L339" s="93"/>
      <c r="M339" s="93"/>
      <c r="N339" s="93"/>
      <c r="O339" s="93"/>
      <c r="P339" s="93"/>
      <c r="Q339" s="93"/>
      <c r="R339" s="93"/>
      <c r="S339" s="92"/>
      <c r="T339" s="92"/>
      <c r="U339" s="92"/>
      <c r="V339" s="92"/>
      <c r="W339" s="92"/>
      <c r="X339" s="92"/>
      <c r="Y339" s="92"/>
      <c r="Z339" s="92"/>
      <c r="AA339" s="92"/>
      <c r="AB339" s="92"/>
      <c r="AC339" s="92"/>
      <c r="AD339" s="92"/>
      <c r="AE339" s="92"/>
      <c r="AF339" s="92"/>
      <c r="AG339" s="92"/>
      <c r="AH339" s="92"/>
      <c r="AI339" s="92"/>
      <c r="AJ339" s="92"/>
      <c r="AK339" s="92"/>
      <c r="AL339" s="92"/>
      <c r="AM339" s="92"/>
      <c r="AN339" s="92"/>
      <c r="AO339" s="92"/>
      <c r="AP339" s="92"/>
      <c r="AQ339" s="92"/>
      <c r="AR339" s="92"/>
      <c r="AS339" s="92"/>
      <c r="AT339" s="92"/>
      <c r="AU339" s="92"/>
      <c r="AV339" s="92"/>
      <c r="AW339" s="92"/>
      <c r="AX339" s="92"/>
      <c r="AY339" s="92"/>
      <c r="AZ339" s="92"/>
    </row>
    <row r="340" spans="1:52" ht="15.7" customHeight="1" x14ac:dyDescent="0.4">
      <c r="A340" s="22"/>
      <c r="B340" s="91"/>
      <c r="C340" s="91"/>
      <c r="D340" s="92"/>
      <c r="E340" s="92"/>
      <c r="F340" s="92"/>
      <c r="G340" s="92"/>
      <c r="H340" s="92"/>
      <c r="I340" s="92"/>
      <c r="J340" s="92"/>
      <c r="K340" s="93"/>
      <c r="L340" s="93"/>
      <c r="M340" s="93"/>
      <c r="N340" s="93"/>
      <c r="O340" s="93"/>
      <c r="P340" s="93"/>
      <c r="Q340" s="93"/>
      <c r="R340" s="93"/>
      <c r="S340" s="92"/>
      <c r="T340" s="92"/>
      <c r="U340" s="92"/>
      <c r="V340" s="92"/>
      <c r="W340" s="92"/>
      <c r="X340" s="92"/>
      <c r="Y340" s="92"/>
      <c r="Z340" s="92"/>
      <c r="AA340" s="92"/>
      <c r="AB340" s="92"/>
      <c r="AC340" s="92"/>
      <c r="AD340" s="92"/>
      <c r="AE340" s="92"/>
      <c r="AF340" s="92"/>
      <c r="AG340" s="92"/>
      <c r="AH340" s="92"/>
      <c r="AI340" s="92"/>
      <c r="AJ340" s="92"/>
      <c r="AK340" s="92"/>
      <c r="AL340" s="92"/>
      <c r="AM340" s="92"/>
      <c r="AN340" s="92"/>
      <c r="AO340" s="92"/>
      <c r="AP340" s="92"/>
      <c r="AQ340" s="92"/>
      <c r="AR340" s="92"/>
      <c r="AS340" s="92"/>
      <c r="AT340" s="92"/>
      <c r="AU340" s="92"/>
      <c r="AV340" s="92"/>
      <c r="AW340" s="92"/>
      <c r="AX340" s="92"/>
      <c r="AY340" s="92"/>
      <c r="AZ340" s="92"/>
    </row>
    <row r="341" spans="1:52" ht="15.7" customHeight="1" x14ac:dyDescent="0.4">
      <c r="A341" s="22"/>
      <c r="B341" s="91"/>
      <c r="C341" s="91"/>
      <c r="D341" s="92"/>
      <c r="E341" s="92"/>
      <c r="F341" s="92"/>
      <c r="G341" s="92"/>
      <c r="H341" s="92"/>
      <c r="I341" s="92"/>
      <c r="J341" s="92"/>
      <c r="K341" s="93"/>
      <c r="L341" s="93"/>
      <c r="M341" s="93"/>
      <c r="N341" s="93"/>
      <c r="O341" s="93"/>
      <c r="P341" s="93"/>
      <c r="Q341" s="93"/>
      <c r="R341" s="93"/>
      <c r="S341" s="92"/>
      <c r="T341" s="92"/>
      <c r="U341" s="92"/>
      <c r="V341" s="92"/>
      <c r="W341" s="92"/>
      <c r="X341" s="92"/>
      <c r="Y341" s="92"/>
      <c r="Z341" s="92"/>
      <c r="AA341" s="92"/>
      <c r="AB341" s="92"/>
      <c r="AC341" s="92"/>
      <c r="AD341" s="92"/>
      <c r="AE341" s="92"/>
      <c r="AF341" s="92"/>
      <c r="AG341" s="92"/>
      <c r="AH341" s="92"/>
      <c r="AI341" s="92"/>
      <c r="AJ341" s="92"/>
      <c r="AK341" s="92"/>
      <c r="AL341" s="92"/>
      <c r="AM341" s="92"/>
      <c r="AN341" s="92"/>
      <c r="AO341" s="92"/>
      <c r="AP341" s="92"/>
      <c r="AQ341" s="92"/>
      <c r="AR341" s="92"/>
      <c r="AS341" s="92"/>
      <c r="AT341" s="92"/>
      <c r="AU341" s="92"/>
      <c r="AV341" s="92"/>
      <c r="AW341" s="92"/>
      <c r="AX341" s="92"/>
      <c r="AY341" s="92"/>
      <c r="AZ341" s="92"/>
    </row>
    <row r="342" spans="1:52" ht="15.7" customHeight="1" x14ac:dyDescent="0.4">
      <c r="A342" s="22"/>
      <c r="B342" s="91"/>
      <c r="C342" s="91"/>
      <c r="D342" s="92"/>
      <c r="E342" s="92"/>
      <c r="F342" s="92"/>
      <c r="G342" s="92"/>
      <c r="H342" s="92"/>
      <c r="I342" s="92"/>
      <c r="J342" s="92"/>
      <c r="K342" s="93"/>
      <c r="L342" s="93"/>
      <c r="M342" s="93"/>
      <c r="N342" s="93"/>
      <c r="O342" s="93"/>
      <c r="P342" s="93"/>
      <c r="Q342" s="93"/>
      <c r="R342" s="93"/>
      <c r="S342" s="92"/>
      <c r="T342" s="92"/>
      <c r="U342" s="92"/>
      <c r="V342" s="92"/>
      <c r="W342" s="92"/>
      <c r="X342" s="92"/>
      <c r="Y342" s="92"/>
      <c r="Z342" s="92"/>
      <c r="AA342" s="92"/>
      <c r="AB342" s="92"/>
      <c r="AC342" s="92"/>
      <c r="AD342" s="92"/>
      <c r="AE342" s="92"/>
      <c r="AF342" s="92"/>
      <c r="AG342" s="92"/>
      <c r="AH342" s="92"/>
      <c r="AI342" s="92"/>
      <c r="AJ342" s="92"/>
      <c r="AK342" s="92"/>
      <c r="AL342" s="92"/>
      <c r="AM342" s="92"/>
      <c r="AN342" s="92"/>
      <c r="AO342" s="92"/>
      <c r="AP342" s="92"/>
      <c r="AQ342" s="92"/>
      <c r="AR342" s="92"/>
      <c r="AS342" s="92"/>
      <c r="AT342" s="92"/>
      <c r="AU342" s="92"/>
      <c r="AV342" s="92"/>
      <c r="AW342" s="92"/>
      <c r="AX342" s="92"/>
      <c r="AY342" s="92"/>
      <c r="AZ342" s="92"/>
    </row>
    <row r="343" spans="1:52" ht="15.7" customHeight="1" x14ac:dyDescent="0.4">
      <c r="A343" s="22"/>
      <c r="B343" s="91"/>
      <c r="C343" s="91"/>
      <c r="D343" s="92"/>
      <c r="E343" s="92"/>
      <c r="F343" s="92"/>
      <c r="G343" s="92"/>
      <c r="H343" s="92"/>
      <c r="I343" s="92"/>
      <c r="J343" s="92"/>
      <c r="K343" s="93"/>
      <c r="L343" s="93"/>
      <c r="M343" s="93"/>
      <c r="N343" s="93"/>
      <c r="O343" s="93"/>
      <c r="P343" s="93"/>
      <c r="Q343" s="93"/>
      <c r="R343" s="93"/>
      <c r="S343" s="92"/>
      <c r="T343" s="92"/>
      <c r="U343" s="92"/>
      <c r="V343" s="92"/>
      <c r="W343" s="92"/>
      <c r="X343" s="92"/>
      <c r="Y343" s="92"/>
      <c r="Z343" s="92"/>
      <c r="AA343" s="92"/>
      <c r="AB343" s="92"/>
      <c r="AC343" s="92"/>
      <c r="AD343" s="92"/>
      <c r="AE343" s="92"/>
      <c r="AF343" s="92"/>
      <c r="AG343" s="92"/>
      <c r="AH343" s="92"/>
      <c r="AI343" s="92"/>
      <c r="AJ343" s="92"/>
      <c r="AK343" s="92"/>
      <c r="AL343" s="92"/>
      <c r="AM343" s="92"/>
      <c r="AN343" s="92"/>
      <c r="AO343" s="92"/>
      <c r="AP343" s="92"/>
      <c r="AQ343" s="92"/>
      <c r="AR343" s="92"/>
      <c r="AS343" s="92"/>
      <c r="AT343" s="92"/>
      <c r="AU343" s="92"/>
      <c r="AV343" s="92"/>
      <c r="AW343" s="92"/>
      <c r="AX343" s="92"/>
      <c r="AY343" s="92"/>
      <c r="AZ343" s="92"/>
    </row>
    <row r="344" spans="1:52" ht="15.7" customHeight="1" x14ac:dyDescent="0.4">
      <c r="A344" s="22"/>
      <c r="B344" s="91"/>
      <c r="C344" s="91"/>
      <c r="D344" s="92"/>
      <c r="E344" s="92"/>
      <c r="F344" s="92"/>
      <c r="G344" s="92"/>
      <c r="H344" s="92"/>
      <c r="I344" s="92"/>
      <c r="J344" s="92"/>
      <c r="K344" s="93"/>
      <c r="L344" s="93"/>
      <c r="M344" s="93"/>
      <c r="N344" s="93"/>
      <c r="O344" s="93"/>
      <c r="P344" s="93"/>
      <c r="Q344" s="93"/>
      <c r="R344" s="93"/>
      <c r="S344" s="92"/>
      <c r="T344" s="92"/>
      <c r="U344" s="92"/>
      <c r="V344" s="92"/>
      <c r="W344" s="92"/>
      <c r="X344" s="92"/>
      <c r="Y344" s="92"/>
      <c r="Z344" s="92"/>
      <c r="AA344" s="92"/>
      <c r="AB344" s="92"/>
      <c r="AC344" s="92"/>
      <c r="AD344" s="92"/>
      <c r="AE344" s="92"/>
      <c r="AF344" s="92"/>
      <c r="AG344" s="92"/>
      <c r="AH344" s="92"/>
      <c r="AI344" s="92"/>
      <c r="AJ344" s="92"/>
      <c r="AK344" s="92"/>
      <c r="AL344" s="92"/>
      <c r="AM344" s="92"/>
      <c r="AN344" s="92"/>
      <c r="AO344" s="92"/>
      <c r="AP344" s="92"/>
      <c r="AQ344" s="92"/>
      <c r="AR344" s="92"/>
      <c r="AS344" s="92"/>
      <c r="AT344" s="92"/>
      <c r="AU344" s="92"/>
      <c r="AV344" s="92"/>
      <c r="AW344" s="92"/>
      <c r="AX344" s="92"/>
      <c r="AY344" s="92"/>
      <c r="AZ344" s="92"/>
    </row>
    <row r="345" spans="1:52" ht="15.7" customHeight="1" x14ac:dyDescent="0.4">
      <c r="A345" s="22"/>
      <c r="B345" s="91"/>
      <c r="C345" s="91"/>
      <c r="D345" s="92"/>
      <c r="E345" s="92"/>
      <c r="F345" s="92"/>
      <c r="G345" s="92"/>
      <c r="H345" s="92"/>
      <c r="I345" s="92"/>
      <c r="J345" s="92"/>
      <c r="K345" s="93"/>
      <c r="L345" s="93"/>
      <c r="M345" s="93"/>
      <c r="N345" s="93"/>
      <c r="O345" s="93"/>
      <c r="P345" s="93"/>
      <c r="Q345" s="93"/>
      <c r="R345" s="93"/>
      <c r="S345" s="92"/>
      <c r="T345" s="92"/>
      <c r="U345" s="92"/>
      <c r="V345" s="92"/>
      <c r="W345" s="92"/>
      <c r="X345" s="92"/>
      <c r="Y345" s="92"/>
      <c r="Z345" s="92"/>
      <c r="AA345" s="92"/>
      <c r="AB345" s="92"/>
      <c r="AC345" s="92"/>
      <c r="AD345" s="92"/>
      <c r="AE345" s="92"/>
      <c r="AF345" s="92"/>
      <c r="AG345" s="92"/>
      <c r="AH345" s="92"/>
      <c r="AI345" s="92"/>
      <c r="AJ345" s="92"/>
      <c r="AK345" s="92"/>
      <c r="AL345" s="92"/>
      <c r="AM345" s="92"/>
      <c r="AN345" s="92"/>
      <c r="AO345" s="92"/>
      <c r="AP345" s="92"/>
      <c r="AQ345" s="92"/>
      <c r="AR345" s="92"/>
      <c r="AS345" s="92"/>
      <c r="AT345" s="92"/>
      <c r="AU345" s="92"/>
      <c r="AV345" s="92"/>
      <c r="AW345" s="92"/>
      <c r="AX345" s="92"/>
      <c r="AY345" s="92"/>
      <c r="AZ345" s="92"/>
    </row>
    <row r="346" spans="1:52" ht="15.7" customHeight="1" x14ac:dyDescent="0.4">
      <c r="A346" s="22"/>
      <c r="B346" s="91"/>
      <c r="C346" s="91"/>
      <c r="D346" s="92"/>
      <c r="E346" s="92"/>
      <c r="F346" s="92"/>
      <c r="G346" s="92"/>
      <c r="H346" s="92"/>
      <c r="I346" s="92"/>
      <c r="J346" s="92"/>
      <c r="K346" s="93"/>
      <c r="L346" s="93"/>
      <c r="M346" s="93"/>
      <c r="N346" s="93"/>
      <c r="O346" s="93"/>
      <c r="P346" s="93"/>
      <c r="Q346" s="93"/>
      <c r="R346" s="93"/>
      <c r="S346" s="92"/>
      <c r="T346" s="92"/>
      <c r="U346" s="92"/>
      <c r="V346" s="92"/>
      <c r="W346" s="92"/>
      <c r="X346" s="92"/>
      <c r="Y346" s="92"/>
      <c r="Z346" s="92"/>
      <c r="AA346" s="92"/>
      <c r="AB346" s="92"/>
      <c r="AC346" s="92"/>
      <c r="AD346" s="92"/>
      <c r="AE346" s="92"/>
      <c r="AF346" s="92"/>
      <c r="AG346" s="92"/>
      <c r="AH346" s="92"/>
      <c r="AI346" s="92"/>
      <c r="AJ346" s="92"/>
      <c r="AK346" s="92"/>
      <c r="AL346" s="92"/>
      <c r="AM346" s="92"/>
      <c r="AN346" s="92"/>
      <c r="AO346" s="92"/>
      <c r="AP346" s="92"/>
      <c r="AQ346" s="92"/>
      <c r="AR346" s="92"/>
      <c r="AS346" s="92"/>
      <c r="AT346" s="92"/>
      <c r="AU346" s="92"/>
      <c r="AV346" s="92"/>
      <c r="AW346" s="92"/>
      <c r="AX346" s="92"/>
      <c r="AY346" s="92"/>
      <c r="AZ346" s="92"/>
    </row>
    <row r="347" spans="1:52" ht="15.7" customHeight="1" x14ac:dyDescent="0.4">
      <c r="A347" s="22"/>
      <c r="B347" s="91"/>
      <c r="C347" s="91"/>
      <c r="D347" s="92"/>
      <c r="E347" s="92"/>
      <c r="F347" s="92"/>
      <c r="G347" s="92"/>
      <c r="H347" s="92"/>
      <c r="I347" s="92"/>
      <c r="J347" s="92"/>
      <c r="K347" s="93"/>
      <c r="L347" s="93"/>
      <c r="M347" s="93"/>
      <c r="N347" s="93"/>
      <c r="O347" s="93"/>
      <c r="P347" s="93"/>
      <c r="Q347" s="93"/>
      <c r="R347" s="93"/>
      <c r="S347" s="92"/>
      <c r="T347" s="92"/>
      <c r="U347" s="92"/>
      <c r="V347" s="92"/>
      <c r="W347" s="92"/>
      <c r="X347" s="92"/>
      <c r="Y347" s="92"/>
      <c r="Z347" s="92"/>
      <c r="AA347" s="92"/>
      <c r="AB347" s="92"/>
      <c r="AC347" s="92"/>
      <c r="AD347" s="92"/>
      <c r="AE347" s="92"/>
      <c r="AF347" s="92"/>
      <c r="AG347" s="92"/>
      <c r="AH347" s="92"/>
      <c r="AI347" s="92"/>
      <c r="AJ347" s="92"/>
      <c r="AK347" s="92"/>
      <c r="AL347" s="92"/>
      <c r="AM347" s="92"/>
      <c r="AN347" s="92"/>
      <c r="AO347" s="92"/>
      <c r="AP347" s="92"/>
      <c r="AQ347" s="92"/>
      <c r="AR347" s="92"/>
      <c r="AS347" s="92"/>
      <c r="AT347" s="92"/>
      <c r="AU347" s="92"/>
      <c r="AV347" s="92"/>
      <c r="AW347" s="92"/>
      <c r="AX347" s="92"/>
      <c r="AY347" s="92"/>
      <c r="AZ347" s="92"/>
    </row>
    <row r="348" spans="1:52" ht="15.7" customHeight="1" x14ac:dyDescent="0.4">
      <c r="A348" s="22"/>
      <c r="B348" s="91"/>
      <c r="C348" s="91"/>
      <c r="D348" s="92"/>
      <c r="E348" s="92"/>
      <c r="F348" s="92"/>
      <c r="G348" s="92"/>
      <c r="H348" s="92"/>
      <c r="I348" s="92"/>
      <c r="J348" s="92"/>
      <c r="K348" s="93"/>
      <c r="L348" s="93"/>
      <c r="M348" s="93"/>
      <c r="N348" s="93"/>
      <c r="O348" s="93"/>
      <c r="P348" s="93"/>
      <c r="Q348" s="93"/>
      <c r="R348" s="93"/>
      <c r="S348" s="92"/>
      <c r="T348" s="92"/>
      <c r="U348" s="92"/>
      <c r="V348" s="92"/>
      <c r="W348" s="92"/>
      <c r="X348" s="92"/>
      <c r="Y348" s="92"/>
      <c r="Z348" s="92"/>
      <c r="AA348" s="92"/>
      <c r="AB348" s="92"/>
      <c r="AC348" s="92"/>
      <c r="AD348" s="92"/>
      <c r="AE348" s="92"/>
      <c r="AF348" s="92"/>
      <c r="AG348" s="92"/>
      <c r="AH348" s="92"/>
      <c r="AI348" s="92"/>
      <c r="AJ348" s="92"/>
      <c r="AK348" s="92"/>
      <c r="AL348" s="92"/>
      <c r="AM348" s="92"/>
      <c r="AN348" s="92"/>
      <c r="AO348" s="92"/>
      <c r="AP348" s="92"/>
      <c r="AQ348" s="92"/>
      <c r="AR348" s="92"/>
      <c r="AS348" s="92"/>
      <c r="AT348" s="92"/>
      <c r="AU348" s="92"/>
      <c r="AV348" s="92"/>
      <c r="AW348" s="92"/>
      <c r="AX348" s="92"/>
      <c r="AY348" s="92"/>
      <c r="AZ348" s="92"/>
    </row>
    <row r="349" spans="1:52" ht="15.7" customHeight="1" x14ac:dyDescent="0.4">
      <c r="A349" s="22"/>
      <c r="B349" s="91"/>
      <c r="C349" s="91"/>
      <c r="D349" s="92"/>
      <c r="E349" s="92"/>
      <c r="F349" s="92"/>
      <c r="G349" s="92"/>
      <c r="H349" s="92"/>
      <c r="I349" s="92"/>
      <c r="J349" s="92"/>
      <c r="K349" s="93"/>
      <c r="L349" s="93"/>
      <c r="M349" s="93"/>
      <c r="N349" s="93"/>
      <c r="O349" s="93"/>
      <c r="P349" s="93"/>
      <c r="Q349" s="93"/>
      <c r="R349" s="93"/>
      <c r="S349" s="92"/>
      <c r="T349" s="92"/>
      <c r="U349" s="92"/>
      <c r="V349" s="92"/>
      <c r="W349" s="92"/>
      <c r="X349" s="92"/>
      <c r="Y349" s="92"/>
      <c r="Z349" s="92"/>
      <c r="AA349" s="92"/>
      <c r="AB349" s="92"/>
      <c r="AC349" s="92"/>
      <c r="AD349" s="92"/>
      <c r="AE349" s="92"/>
      <c r="AF349" s="92"/>
      <c r="AG349" s="92"/>
      <c r="AH349" s="92"/>
      <c r="AI349" s="92"/>
      <c r="AJ349" s="92"/>
      <c r="AK349" s="92"/>
      <c r="AL349" s="92"/>
      <c r="AM349" s="92"/>
      <c r="AN349" s="92"/>
      <c r="AO349" s="92"/>
      <c r="AP349" s="92"/>
      <c r="AQ349" s="92"/>
      <c r="AR349" s="92"/>
      <c r="AS349" s="92"/>
      <c r="AT349" s="92"/>
      <c r="AU349" s="92"/>
      <c r="AV349" s="92"/>
      <c r="AW349" s="92"/>
      <c r="AX349" s="92"/>
      <c r="AY349" s="92"/>
      <c r="AZ349" s="92"/>
    </row>
    <row r="350" spans="1:52" ht="15.7" customHeight="1" x14ac:dyDescent="0.4">
      <c r="A350" s="22"/>
      <c r="B350" s="91"/>
      <c r="C350" s="91"/>
      <c r="D350" s="92"/>
      <c r="E350" s="92"/>
      <c r="F350" s="92"/>
      <c r="G350" s="92"/>
      <c r="H350" s="92"/>
      <c r="I350" s="92"/>
      <c r="J350" s="92"/>
      <c r="K350" s="93"/>
      <c r="L350" s="93"/>
      <c r="M350" s="93"/>
      <c r="N350" s="93"/>
      <c r="O350" s="93"/>
      <c r="P350" s="93"/>
      <c r="Q350" s="93"/>
      <c r="R350" s="93"/>
      <c r="S350" s="92"/>
      <c r="T350" s="92"/>
      <c r="U350" s="92"/>
      <c r="V350" s="92"/>
      <c r="W350" s="92"/>
      <c r="X350" s="92"/>
      <c r="Y350" s="92"/>
      <c r="Z350" s="92"/>
      <c r="AA350" s="92"/>
      <c r="AB350" s="92"/>
      <c r="AC350" s="92"/>
      <c r="AD350" s="92"/>
      <c r="AE350" s="92"/>
      <c r="AF350" s="92"/>
      <c r="AG350" s="92"/>
      <c r="AH350" s="92"/>
      <c r="AI350" s="92"/>
      <c r="AJ350" s="92"/>
      <c r="AK350" s="92"/>
      <c r="AL350" s="92"/>
      <c r="AM350" s="92"/>
      <c r="AN350" s="92"/>
      <c r="AO350" s="92"/>
      <c r="AP350" s="92"/>
      <c r="AQ350" s="92"/>
      <c r="AR350" s="92"/>
      <c r="AS350" s="92"/>
      <c r="AT350" s="92"/>
      <c r="AU350" s="92"/>
      <c r="AV350" s="92"/>
      <c r="AW350" s="92"/>
      <c r="AX350" s="92"/>
      <c r="AY350" s="92"/>
      <c r="AZ350" s="92"/>
    </row>
    <row r="351" spans="1:52" ht="15.7" customHeight="1" x14ac:dyDescent="0.4">
      <c r="A351" s="22"/>
      <c r="B351" s="91"/>
      <c r="C351" s="91"/>
      <c r="D351" s="92"/>
      <c r="E351" s="92"/>
      <c r="F351" s="92"/>
      <c r="G351" s="92"/>
      <c r="H351" s="92"/>
      <c r="I351" s="92"/>
      <c r="J351" s="92"/>
      <c r="K351" s="93"/>
      <c r="L351" s="93"/>
      <c r="M351" s="93"/>
      <c r="N351" s="93"/>
      <c r="O351" s="93"/>
      <c r="P351" s="93"/>
      <c r="Q351" s="93"/>
      <c r="R351" s="93"/>
      <c r="S351" s="92"/>
      <c r="T351" s="92"/>
      <c r="U351" s="92"/>
      <c r="V351" s="92"/>
      <c r="W351" s="92"/>
      <c r="X351" s="92"/>
      <c r="Y351" s="92"/>
      <c r="Z351" s="92"/>
      <c r="AA351" s="92"/>
      <c r="AB351" s="92"/>
      <c r="AC351" s="92"/>
      <c r="AD351" s="92"/>
      <c r="AE351" s="92"/>
      <c r="AF351" s="92"/>
      <c r="AG351" s="92"/>
      <c r="AH351" s="92"/>
      <c r="AI351" s="92"/>
      <c r="AJ351" s="92"/>
      <c r="AK351" s="92"/>
      <c r="AL351" s="92"/>
      <c r="AM351" s="92"/>
      <c r="AN351" s="92"/>
      <c r="AO351" s="92"/>
      <c r="AP351" s="92"/>
      <c r="AQ351" s="92"/>
      <c r="AR351" s="92"/>
      <c r="AS351" s="92"/>
      <c r="AT351" s="92"/>
      <c r="AU351" s="92"/>
      <c r="AV351" s="92"/>
      <c r="AW351" s="92"/>
      <c r="AX351" s="92"/>
      <c r="AY351" s="92"/>
      <c r="AZ351" s="92"/>
    </row>
    <row r="352" spans="1:52" ht="15.7" customHeight="1" x14ac:dyDescent="0.4">
      <c r="A352" s="22"/>
      <c r="B352" s="91"/>
      <c r="C352" s="91"/>
      <c r="D352" s="92"/>
      <c r="E352" s="92"/>
      <c r="F352" s="92"/>
      <c r="G352" s="92"/>
      <c r="H352" s="92"/>
      <c r="I352" s="92"/>
      <c r="J352" s="92"/>
      <c r="K352" s="93"/>
      <c r="L352" s="93"/>
      <c r="M352" s="93"/>
      <c r="N352" s="93"/>
      <c r="O352" s="93"/>
      <c r="P352" s="93"/>
      <c r="Q352" s="93"/>
      <c r="R352" s="93"/>
      <c r="S352" s="92"/>
      <c r="T352" s="92"/>
      <c r="U352" s="92"/>
      <c r="V352" s="92"/>
      <c r="W352" s="92"/>
      <c r="X352" s="92"/>
      <c r="Y352" s="92"/>
      <c r="Z352" s="92"/>
      <c r="AA352" s="92"/>
      <c r="AB352" s="92"/>
      <c r="AC352" s="92"/>
      <c r="AD352" s="92"/>
      <c r="AE352" s="92"/>
      <c r="AF352" s="92"/>
      <c r="AG352" s="92"/>
      <c r="AH352" s="92"/>
      <c r="AI352" s="92"/>
      <c r="AJ352" s="92"/>
      <c r="AK352" s="92"/>
      <c r="AL352" s="92"/>
      <c r="AM352" s="92"/>
      <c r="AN352" s="92"/>
      <c r="AO352" s="92"/>
      <c r="AP352" s="92"/>
      <c r="AQ352" s="92"/>
      <c r="AR352" s="92"/>
      <c r="AS352" s="92"/>
      <c r="AT352" s="92"/>
      <c r="AU352" s="92"/>
      <c r="AV352" s="92"/>
      <c r="AW352" s="92"/>
      <c r="AX352" s="92"/>
      <c r="AY352" s="92"/>
      <c r="AZ352" s="92"/>
    </row>
    <row r="353" spans="1:52" ht="15.7" customHeight="1" x14ac:dyDescent="0.4">
      <c r="A353" s="22"/>
      <c r="B353" s="91"/>
      <c r="C353" s="91"/>
      <c r="D353" s="92"/>
      <c r="E353" s="92"/>
      <c r="F353" s="92"/>
      <c r="G353" s="92"/>
      <c r="H353" s="92"/>
      <c r="I353" s="92"/>
      <c r="J353" s="92"/>
      <c r="K353" s="93"/>
      <c r="L353" s="93"/>
      <c r="M353" s="93"/>
      <c r="N353" s="93"/>
      <c r="O353" s="93"/>
      <c r="P353" s="93"/>
      <c r="Q353" s="93"/>
      <c r="R353" s="93"/>
      <c r="S353" s="92"/>
      <c r="T353" s="92"/>
      <c r="U353" s="92"/>
      <c r="V353" s="92"/>
      <c r="W353" s="92"/>
      <c r="X353" s="92"/>
      <c r="Y353" s="92"/>
      <c r="Z353" s="92"/>
      <c r="AA353" s="92"/>
      <c r="AB353" s="92"/>
      <c r="AC353" s="92"/>
      <c r="AD353" s="92"/>
      <c r="AE353" s="92"/>
      <c r="AF353" s="92"/>
      <c r="AG353" s="92"/>
      <c r="AH353" s="92"/>
      <c r="AI353" s="92"/>
      <c r="AJ353" s="92"/>
      <c r="AK353" s="92"/>
      <c r="AL353" s="92"/>
      <c r="AM353" s="92"/>
      <c r="AN353" s="92"/>
      <c r="AO353" s="92"/>
      <c r="AP353" s="92"/>
      <c r="AQ353" s="92"/>
      <c r="AR353" s="92"/>
      <c r="AS353" s="92"/>
      <c r="AT353" s="92"/>
      <c r="AU353" s="92"/>
      <c r="AV353" s="92"/>
      <c r="AW353" s="92"/>
      <c r="AX353" s="92"/>
      <c r="AY353" s="92"/>
      <c r="AZ353" s="92"/>
    </row>
    <row r="354" spans="1:52" ht="15.7" customHeight="1" x14ac:dyDescent="0.4">
      <c r="A354" s="22"/>
      <c r="B354" s="91"/>
      <c r="C354" s="91"/>
      <c r="D354" s="92"/>
      <c r="E354" s="92"/>
      <c r="F354" s="92"/>
      <c r="G354" s="92"/>
      <c r="H354" s="92"/>
      <c r="I354" s="92"/>
      <c r="J354" s="92"/>
      <c r="K354" s="93"/>
      <c r="L354" s="93"/>
      <c r="M354" s="93"/>
      <c r="N354" s="93"/>
      <c r="O354" s="93"/>
      <c r="P354" s="93"/>
      <c r="Q354" s="93"/>
      <c r="R354" s="93"/>
      <c r="S354" s="92"/>
      <c r="T354" s="92"/>
      <c r="U354" s="92"/>
      <c r="V354" s="92"/>
      <c r="W354" s="92"/>
      <c r="X354" s="92"/>
      <c r="Y354" s="92"/>
      <c r="Z354" s="92"/>
      <c r="AA354" s="92"/>
      <c r="AB354" s="92"/>
      <c r="AC354" s="92"/>
      <c r="AD354" s="92"/>
      <c r="AE354" s="92"/>
      <c r="AF354" s="92"/>
      <c r="AG354" s="92"/>
      <c r="AH354" s="92"/>
      <c r="AI354" s="92"/>
      <c r="AJ354" s="92"/>
      <c r="AK354" s="92"/>
      <c r="AL354" s="92"/>
      <c r="AM354" s="92"/>
      <c r="AN354" s="92"/>
      <c r="AO354" s="92"/>
      <c r="AP354" s="92"/>
      <c r="AQ354" s="92"/>
      <c r="AR354" s="92"/>
      <c r="AS354" s="92"/>
      <c r="AT354" s="92"/>
      <c r="AU354" s="92"/>
      <c r="AV354" s="92"/>
      <c r="AW354" s="92"/>
      <c r="AX354" s="92"/>
      <c r="AY354" s="92"/>
      <c r="AZ354" s="92"/>
    </row>
    <row r="355" spans="1:52" ht="15.7" customHeight="1" x14ac:dyDescent="0.4">
      <c r="A355" s="22"/>
      <c r="B355" s="91"/>
      <c r="C355" s="91"/>
      <c r="D355" s="92"/>
      <c r="E355" s="92"/>
      <c r="F355" s="92"/>
      <c r="G355" s="92"/>
      <c r="H355" s="92"/>
      <c r="I355" s="92"/>
      <c r="J355" s="92"/>
      <c r="K355" s="93"/>
      <c r="L355" s="93"/>
      <c r="M355" s="93"/>
      <c r="N355" s="93"/>
      <c r="O355" s="93"/>
      <c r="P355" s="93"/>
      <c r="Q355" s="93"/>
      <c r="R355" s="93"/>
      <c r="S355" s="92"/>
      <c r="T355" s="92"/>
      <c r="U355" s="92"/>
      <c r="V355" s="92"/>
      <c r="W355" s="92"/>
      <c r="X355" s="92"/>
      <c r="Y355" s="92"/>
      <c r="Z355" s="92"/>
      <c r="AA355" s="92"/>
      <c r="AB355" s="92"/>
      <c r="AC355" s="92"/>
      <c r="AD355" s="92"/>
      <c r="AE355" s="92"/>
      <c r="AF355" s="92"/>
      <c r="AG355" s="92"/>
      <c r="AH355" s="92"/>
      <c r="AI355" s="92"/>
      <c r="AJ355" s="92"/>
      <c r="AK355" s="92"/>
      <c r="AL355" s="92"/>
      <c r="AM355" s="92"/>
      <c r="AN355" s="92"/>
      <c r="AO355" s="92"/>
      <c r="AP355" s="92"/>
      <c r="AQ355" s="92"/>
      <c r="AR355" s="92"/>
      <c r="AS355" s="92"/>
      <c r="AT355" s="92"/>
      <c r="AU355" s="92"/>
      <c r="AV355" s="92"/>
      <c r="AW355" s="92"/>
      <c r="AX355" s="92"/>
      <c r="AY355" s="92"/>
      <c r="AZ355" s="92"/>
    </row>
    <row r="356" spans="1:52" ht="15.7" customHeight="1" x14ac:dyDescent="0.4">
      <c r="A356" s="22"/>
      <c r="B356" s="91"/>
      <c r="C356" s="91"/>
      <c r="D356" s="92"/>
      <c r="E356" s="92"/>
      <c r="F356" s="92"/>
      <c r="G356" s="92"/>
      <c r="H356" s="92"/>
      <c r="I356" s="92"/>
      <c r="J356" s="92"/>
      <c r="K356" s="93"/>
      <c r="L356" s="93"/>
      <c r="M356" s="93"/>
      <c r="N356" s="93"/>
      <c r="O356" s="93"/>
      <c r="P356" s="93"/>
      <c r="Q356" s="93"/>
      <c r="R356" s="93"/>
      <c r="S356" s="92"/>
      <c r="T356" s="92"/>
      <c r="U356" s="92"/>
      <c r="V356" s="92"/>
      <c r="W356" s="92"/>
      <c r="X356" s="92"/>
      <c r="Y356" s="92"/>
      <c r="Z356" s="92"/>
      <c r="AA356" s="92"/>
      <c r="AB356" s="92"/>
      <c r="AC356" s="92"/>
      <c r="AD356" s="92"/>
      <c r="AE356" s="92"/>
      <c r="AF356" s="92"/>
      <c r="AG356" s="92"/>
      <c r="AH356" s="92"/>
      <c r="AI356" s="92"/>
      <c r="AJ356" s="92"/>
      <c r="AK356" s="92"/>
      <c r="AL356" s="92"/>
      <c r="AM356" s="92"/>
      <c r="AN356" s="92"/>
      <c r="AO356" s="92"/>
      <c r="AP356" s="92"/>
      <c r="AQ356" s="92"/>
      <c r="AR356" s="92"/>
      <c r="AS356" s="92"/>
      <c r="AT356" s="92"/>
      <c r="AU356" s="92"/>
      <c r="AV356" s="92"/>
      <c r="AW356" s="92"/>
      <c r="AX356" s="92"/>
      <c r="AY356" s="92"/>
      <c r="AZ356" s="92"/>
    </row>
    <row r="357" spans="1:52" ht="15.7" customHeight="1" x14ac:dyDescent="0.4">
      <c r="A357" s="22"/>
      <c r="B357" s="91"/>
      <c r="C357" s="91"/>
      <c r="D357" s="92"/>
      <c r="E357" s="92"/>
      <c r="F357" s="92"/>
      <c r="G357" s="92"/>
      <c r="H357" s="92"/>
      <c r="I357" s="92"/>
      <c r="J357" s="92"/>
      <c r="K357" s="93"/>
      <c r="L357" s="93"/>
      <c r="M357" s="93"/>
      <c r="N357" s="93"/>
      <c r="O357" s="93"/>
      <c r="P357" s="93"/>
      <c r="Q357" s="93"/>
      <c r="R357" s="93"/>
      <c r="S357" s="92"/>
      <c r="T357" s="92"/>
      <c r="U357" s="92"/>
      <c r="V357" s="92"/>
      <c r="W357" s="92"/>
      <c r="X357" s="92"/>
      <c r="Y357" s="92"/>
      <c r="Z357" s="92"/>
      <c r="AA357" s="92"/>
      <c r="AB357" s="92"/>
      <c r="AC357" s="92"/>
      <c r="AD357" s="92"/>
      <c r="AE357" s="92"/>
      <c r="AF357" s="92"/>
      <c r="AG357" s="92"/>
      <c r="AH357" s="92"/>
      <c r="AI357" s="92"/>
      <c r="AJ357" s="92"/>
      <c r="AK357" s="92"/>
      <c r="AL357" s="92"/>
      <c r="AM357" s="92"/>
      <c r="AN357" s="92"/>
      <c r="AO357" s="92"/>
      <c r="AP357" s="92"/>
      <c r="AQ357" s="92"/>
      <c r="AR357" s="92"/>
      <c r="AS357" s="92"/>
      <c r="AT357" s="92"/>
      <c r="AU357" s="92"/>
      <c r="AV357" s="92"/>
      <c r="AW357" s="92"/>
      <c r="AX357" s="92"/>
      <c r="AY357" s="92"/>
      <c r="AZ357" s="92"/>
    </row>
    <row r="358" spans="1:52" ht="15.7" customHeight="1" x14ac:dyDescent="0.4">
      <c r="A358" s="22"/>
      <c r="B358" s="91"/>
      <c r="C358" s="91"/>
      <c r="D358" s="92"/>
      <c r="E358" s="92"/>
      <c r="F358" s="92"/>
      <c r="G358" s="92"/>
      <c r="H358" s="92"/>
      <c r="I358" s="92"/>
      <c r="J358" s="92"/>
      <c r="K358" s="93"/>
      <c r="L358" s="93"/>
      <c r="M358" s="93"/>
      <c r="N358" s="93"/>
      <c r="O358" s="93"/>
      <c r="P358" s="93"/>
      <c r="Q358" s="93"/>
      <c r="R358" s="93"/>
      <c r="S358" s="92"/>
      <c r="T358" s="92"/>
      <c r="U358" s="92"/>
      <c r="V358" s="92"/>
      <c r="W358" s="92"/>
      <c r="X358" s="92"/>
      <c r="Y358" s="92"/>
      <c r="Z358" s="92"/>
      <c r="AA358" s="92"/>
      <c r="AB358" s="92"/>
      <c r="AC358" s="92"/>
      <c r="AD358" s="92"/>
      <c r="AE358" s="92"/>
      <c r="AF358" s="92"/>
      <c r="AG358" s="92"/>
      <c r="AH358" s="92"/>
      <c r="AI358" s="92"/>
      <c r="AJ358" s="92"/>
      <c r="AK358" s="92"/>
      <c r="AL358" s="92"/>
      <c r="AM358" s="92"/>
      <c r="AN358" s="92"/>
      <c r="AO358" s="92"/>
      <c r="AP358" s="92"/>
      <c r="AQ358" s="92"/>
      <c r="AR358" s="92"/>
      <c r="AS358" s="92"/>
      <c r="AT358" s="92"/>
      <c r="AU358" s="92"/>
      <c r="AV358" s="92"/>
      <c r="AW358" s="92"/>
      <c r="AX358" s="92"/>
      <c r="AY358" s="92"/>
      <c r="AZ358" s="92"/>
    </row>
    <row r="359" spans="1:52" ht="15.7" customHeight="1" x14ac:dyDescent="0.4">
      <c r="A359" s="22"/>
      <c r="B359" s="91"/>
      <c r="C359" s="91"/>
      <c r="D359" s="92"/>
      <c r="E359" s="92"/>
      <c r="F359" s="92"/>
      <c r="G359" s="92"/>
      <c r="H359" s="92"/>
      <c r="I359" s="92"/>
      <c r="J359" s="92"/>
      <c r="K359" s="93"/>
      <c r="L359" s="93"/>
      <c r="M359" s="93"/>
      <c r="N359" s="93"/>
      <c r="O359" s="93"/>
      <c r="P359" s="93"/>
      <c r="Q359" s="93"/>
      <c r="R359" s="93"/>
      <c r="S359" s="92"/>
      <c r="T359" s="92"/>
      <c r="U359" s="92"/>
      <c r="V359" s="92"/>
      <c r="W359" s="92"/>
      <c r="X359" s="92"/>
      <c r="Y359" s="92"/>
      <c r="Z359" s="92"/>
      <c r="AA359" s="92"/>
      <c r="AB359" s="92"/>
      <c r="AC359" s="92"/>
      <c r="AD359" s="92"/>
      <c r="AE359" s="92"/>
      <c r="AF359" s="92"/>
      <c r="AG359" s="92"/>
      <c r="AH359" s="92"/>
      <c r="AI359" s="92"/>
      <c r="AJ359" s="92"/>
      <c r="AK359" s="92"/>
      <c r="AL359" s="92"/>
      <c r="AM359" s="92"/>
      <c r="AN359" s="92"/>
      <c r="AO359" s="92"/>
      <c r="AP359" s="92"/>
      <c r="AQ359" s="92"/>
      <c r="AR359" s="92"/>
      <c r="AS359" s="92"/>
      <c r="AT359" s="92"/>
      <c r="AU359" s="92"/>
      <c r="AV359" s="92"/>
      <c r="AW359" s="92"/>
      <c r="AX359" s="92"/>
      <c r="AY359" s="92"/>
      <c r="AZ359" s="92"/>
    </row>
    <row r="360" spans="1:52" ht="15.7" customHeight="1" x14ac:dyDescent="0.4">
      <c r="A360" s="22"/>
      <c r="B360" s="91"/>
      <c r="C360" s="91"/>
      <c r="D360" s="92"/>
      <c r="E360" s="92"/>
      <c r="F360" s="92"/>
      <c r="G360" s="92"/>
      <c r="H360" s="92"/>
      <c r="I360" s="92"/>
      <c r="J360" s="92"/>
      <c r="K360" s="93"/>
      <c r="L360" s="93"/>
      <c r="M360" s="93"/>
      <c r="N360" s="93"/>
      <c r="O360" s="93"/>
      <c r="P360" s="93"/>
      <c r="Q360" s="93"/>
      <c r="R360" s="93"/>
      <c r="S360" s="92"/>
      <c r="T360" s="92"/>
      <c r="U360" s="92"/>
      <c r="V360" s="92"/>
      <c r="W360" s="92"/>
      <c r="X360" s="92"/>
      <c r="Y360" s="92"/>
      <c r="Z360" s="92"/>
      <c r="AA360" s="92"/>
      <c r="AB360" s="92"/>
      <c r="AC360" s="92"/>
      <c r="AD360" s="92"/>
      <c r="AE360" s="92"/>
      <c r="AF360" s="92"/>
      <c r="AG360" s="92"/>
      <c r="AH360" s="92"/>
      <c r="AI360" s="92"/>
      <c r="AJ360" s="92"/>
      <c r="AK360" s="92"/>
      <c r="AL360" s="92"/>
      <c r="AM360" s="92"/>
      <c r="AN360" s="92"/>
      <c r="AO360" s="92"/>
      <c r="AP360" s="92"/>
      <c r="AQ360" s="92"/>
      <c r="AR360" s="92"/>
      <c r="AS360" s="92"/>
      <c r="AT360" s="92"/>
      <c r="AU360" s="92"/>
      <c r="AV360" s="92"/>
      <c r="AW360" s="92"/>
      <c r="AX360" s="92"/>
      <c r="AY360" s="92"/>
      <c r="AZ360" s="92"/>
    </row>
    <row r="361" spans="1:52" ht="15.7" customHeight="1" x14ac:dyDescent="0.4">
      <c r="A361" s="22"/>
      <c r="B361" s="91"/>
      <c r="C361" s="91"/>
      <c r="D361" s="92"/>
      <c r="E361" s="92"/>
      <c r="F361" s="92"/>
      <c r="G361" s="92"/>
      <c r="H361" s="92"/>
      <c r="I361" s="92"/>
      <c r="J361" s="92"/>
      <c r="K361" s="93"/>
      <c r="L361" s="93"/>
      <c r="M361" s="93"/>
      <c r="N361" s="93"/>
      <c r="O361" s="93"/>
      <c r="P361" s="93"/>
      <c r="Q361" s="93"/>
      <c r="R361" s="93"/>
      <c r="S361" s="92"/>
      <c r="T361" s="92"/>
      <c r="U361" s="92"/>
      <c r="V361" s="92"/>
      <c r="W361" s="92"/>
      <c r="X361" s="92"/>
      <c r="Y361" s="92"/>
      <c r="Z361" s="92"/>
      <c r="AA361" s="92"/>
      <c r="AB361" s="92"/>
      <c r="AC361" s="92"/>
      <c r="AD361" s="92"/>
      <c r="AE361" s="92"/>
      <c r="AF361" s="92"/>
      <c r="AG361" s="92"/>
      <c r="AH361" s="92"/>
      <c r="AI361" s="92"/>
      <c r="AJ361" s="92"/>
      <c r="AK361" s="92"/>
      <c r="AL361" s="92"/>
      <c r="AM361" s="92"/>
      <c r="AN361" s="92"/>
      <c r="AO361" s="92"/>
      <c r="AP361" s="92"/>
      <c r="AQ361" s="92"/>
      <c r="AR361" s="92"/>
      <c r="AS361" s="92"/>
      <c r="AT361" s="92"/>
      <c r="AU361" s="92"/>
      <c r="AV361" s="92"/>
      <c r="AW361" s="92"/>
      <c r="AX361" s="92"/>
      <c r="AY361" s="92"/>
      <c r="AZ361" s="92"/>
    </row>
    <row r="362" spans="1:52" ht="15.7" customHeight="1" x14ac:dyDescent="0.4">
      <c r="A362" s="22"/>
      <c r="B362" s="91"/>
      <c r="C362" s="91"/>
      <c r="D362" s="92"/>
      <c r="E362" s="92"/>
      <c r="F362" s="92"/>
      <c r="G362" s="92"/>
      <c r="H362" s="92"/>
      <c r="I362" s="92"/>
      <c r="J362" s="92"/>
      <c r="K362" s="93"/>
      <c r="L362" s="93"/>
      <c r="M362" s="93"/>
      <c r="N362" s="93"/>
      <c r="O362" s="93"/>
      <c r="P362" s="93"/>
      <c r="Q362" s="93"/>
      <c r="R362" s="93"/>
      <c r="S362" s="92"/>
      <c r="T362" s="92"/>
      <c r="U362" s="92"/>
      <c r="V362" s="92"/>
      <c r="W362" s="92"/>
      <c r="X362" s="92"/>
      <c r="Y362" s="92"/>
      <c r="Z362" s="92"/>
      <c r="AA362" s="92"/>
      <c r="AB362" s="92"/>
      <c r="AC362" s="92"/>
      <c r="AD362" s="92"/>
      <c r="AE362" s="92"/>
      <c r="AF362" s="92"/>
      <c r="AG362" s="92"/>
      <c r="AH362" s="92"/>
      <c r="AI362" s="92"/>
      <c r="AJ362" s="92"/>
      <c r="AK362" s="92"/>
      <c r="AL362" s="92"/>
      <c r="AM362" s="92"/>
      <c r="AN362" s="92"/>
      <c r="AO362" s="92"/>
      <c r="AP362" s="92"/>
      <c r="AQ362" s="92"/>
      <c r="AR362" s="92"/>
      <c r="AS362" s="92"/>
      <c r="AT362" s="92"/>
      <c r="AU362" s="92"/>
      <c r="AV362" s="92"/>
      <c r="AW362" s="92"/>
      <c r="AX362" s="92"/>
      <c r="AY362" s="92"/>
      <c r="AZ362" s="92"/>
    </row>
    <row r="363" spans="1:52" ht="15.7" customHeight="1" x14ac:dyDescent="0.4">
      <c r="A363" s="22"/>
      <c r="B363" s="91"/>
      <c r="C363" s="91"/>
      <c r="D363" s="92"/>
      <c r="E363" s="92"/>
      <c r="F363" s="92"/>
      <c r="G363" s="92"/>
      <c r="H363" s="92"/>
      <c r="I363" s="92"/>
      <c r="J363" s="92"/>
      <c r="K363" s="93"/>
      <c r="L363" s="93"/>
      <c r="M363" s="93"/>
      <c r="N363" s="93"/>
      <c r="O363" s="93"/>
      <c r="P363" s="93"/>
      <c r="Q363" s="93"/>
      <c r="R363" s="93"/>
      <c r="S363" s="92"/>
      <c r="T363" s="92"/>
      <c r="U363" s="92"/>
      <c r="V363" s="92"/>
      <c r="W363" s="92"/>
      <c r="X363" s="92"/>
      <c r="Y363" s="92"/>
      <c r="Z363" s="92"/>
      <c r="AA363" s="92"/>
      <c r="AB363" s="92"/>
      <c r="AC363" s="92"/>
      <c r="AD363" s="92"/>
      <c r="AE363" s="92"/>
      <c r="AF363" s="92"/>
      <c r="AG363" s="92"/>
      <c r="AH363" s="92"/>
      <c r="AI363" s="92"/>
      <c r="AJ363" s="92"/>
      <c r="AK363" s="92"/>
      <c r="AL363" s="92"/>
      <c r="AM363" s="92"/>
      <c r="AN363" s="92"/>
      <c r="AO363" s="92"/>
      <c r="AP363" s="92"/>
      <c r="AQ363" s="92"/>
      <c r="AR363" s="92"/>
      <c r="AS363" s="92"/>
      <c r="AT363" s="92"/>
      <c r="AU363" s="92"/>
      <c r="AV363" s="92"/>
      <c r="AW363" s="92"/>
      <c r="AX363" s="92"/>
      <c r="AY363" s="92"/>
      <c r="AZ363" s="92"/>
    </row>
    <row r="364" spans="1:52" ht="15.7" customHeight="1" x14ac:dyDescent="0.4">
      <c r="A364" s="22"/>
      <c r="B364" s="91"/>
      <c r="C364" s="91"/>
      <c r="D364" s="92"/>
      <c r="E364" s="92"/>
      <c r="F364" s="92"/>
      <c r="G364" s="92"/>
      <c r="H364" s="92"/>
      <c r="I364" s="92"/>
      <c r="J364" s="92"/>
      <c r="K364" s="93"/>
      <c r="L364" s="93"/>
      <c r="M364" s="93"/>
      <c r="N364" s="93"/>
      <c r="O364" s="93"/>
      <c r="P364" s="93"/>
      <c r="Q364" s="93"/>
      <c r="R364" s="93"/>
      <c r="S364" s="92"/>
      <c r="T364" s="92"/>
      <c r="U364" s="92"/>
      <c r="V364" s="92"/>
      <c r="W364" s="92"/>
      <c r="X364" s="92"/>
      <c r="Y364" s="92"/>
      <c r="Z364" s="92"/>
      <c r="AA364" s="92"/>
      <c r="AB364" s="92"/>
      <c r="AC364" s="92"/>
      <c r="AD364" s="92"/>
      <c r="AE364" s="92"/>
      <c r="AF364" s="92"/>
      <c r="AG364" s="92"/>
      <c r="AH364" s="92"/>
      <c r="AI364" s="92"/>
      <c r="AJ364" s="92"/>
      <c r="AK364" s="92"/>
      <c r="AL364" s="92"/>
      <c r="AM364" s="92"/>
      <c r="AN364" s="92"/>
      <c r="AO364" s="92"/>
      <c r="AP364" s="92"/>
      <c r="AQ364" s="92"/>
      <c r="AR364" s="92"/>
      <c r="AS364" s="92"/>
      <c r="AT364" s="92"/>
      <c r="AU364" s="92"/>
      <c r="AV364" s="92"/>
      <c r="AW364" s="92"/>
      <c r="AX364" s="92"/>
      <c r="AY364" s="92"/>
      <c r="AZ364" s="92"/>
    </row>
    <row r="365" spans="1:52" ht="15.7" customHeight="1" x14ac:dyDescent="0.4">
      <c r="A365" s="22"/>
      <c r="B365" s="91"/>
      <c r="C365" s="91"/>
      <c r="D365" s="92"/>
      <c r="E365" s="92"/>
      <c r="F365" s="92"/>
      <c r="G365" s="92"/>
      <c r="H365" s="92"/>
      <c r="I365" s="92"/>
      <c r="J365" s="92"/>
      <c r="K365" s="93"/>
      <c r="L365" s="93"/>
      <c r="M365" s="93"/>
      <c r="N365" s="93"/>
      <c r="O365" s="93"/>
      <c r="P365" s="93"/>
      <c r="Q365" s="93"/>
      <c r="R365" s="93"/>
      <c r="S365" s="92"/>
      <c r="T365" s="92"/>
      <c r="U365" s="92"/>
      <c r="V365" s="92"/>
      <c r="W365" s="92"/>
      <c r="X365" s="92"/>
      <c r="Y365" s="92"/>
      <c r="Z365" s="92"/>
      <c r="AA365" s="92"/>
      <c r="AB365" s="92"/>
      <c r="AC365" s="92"/>
      <c r="AD365" s="92"/>
      <c r="AE365" s="92"/>
      <c r="AF365" s="92"/>
      <c r="AG365" s="92"/>
      <c r="AH365" s="92"/>
      <c r="AI365" s="92"/>
      <c r="AJ365" s="92"/>
      <c r="AK365" s="92"/>
      <c r="AL365" s="92"/>
      <c r="AM365" s="92"/>
      <c r="AN365" s="92"/>
      <c r="AO365" s="92"/>
      <c r="AP365" s="92"/>
      <c r="AQ365" s="92"/>
      <c r="AR365" s="92"/>
      <c r="AS365" s="92"/>
      <c r="AT365" s="92"/>
      <c r="AU365" s="92"/>
      <c r="AV365" s="92"/>
      <c r="AW365" s="92"/>
      <c r="AX365" s="92"/>
      <c r="AY365" s="92"/>
      <c r="AZ365" s="92"/>
    </row>
    <row r="366" spans="1:52" ht="15.7" customHeight="1" x14ac:dyDescent="0.4">
      <c r="A366" s="22"/>
      <c r="B366" s="91"/>
      <c r="C366" s="91"/>
      <c r="D366" s="92"/>
      <c r="E366" s="92"/>
      <c r="F366" s="92"/>
      <c r="G366" s="92"/>
      <c r="H366" s="92"/>
      <c r="I366" s="92"/>
      <c r="J366" s="92"/>
      <c r="K366" s="93"/>
      <c r="L366" s="93"/>
      <c r="M366" s="93"/>
      <c r="N366" s="93"/>
      <c r="O366" s="93"/>
      <c r="P366" s="93"/>
      <c r="Q366" s="93"/>
      <c r="R366" s="93"/>
      <c r="S366" s="92"/>
      <c r="T366" s="92"/>
      <c r="U366" s="92"/>
      <c r="V366" s="92"/>
      <c r="W366" s="92"/>
      <c r="X366" s="92"/>
      <c r="Y366" s="92"/>
      <c r="Z366" s="92"/>
      <c r="AA366" s="92"/>
      <c r="AB366" s="92"/>
      <c r="AC366" s="92"/>
      <c r="AD366" s="92"/>
      <c r="AE366" s="92"/>
      <c r="AF366" s="92"/>
      <c r="AG366" s="92"/>
      <c r="AH366" s="92"/>
      <c r="AI366" s="92"/>
      <c r="AJ366" s="92"/>
      <c r="AK366" s="92"/>
      <c r="AL366" s="92"/>
      <c r="AM366" s="92"/>
      <c r="AN366" s="92"/>
      <c r="AO366" s="92"/>
      <c r="AP366" s="92"/>
      <c r="AQ366" s="92"/>
      <c r="AR366" s="92"/>
      <c r="AS366" s="92"/>
      <c r="AT366" s="92"/>
      <c r="AU366" s="92"/>
      <c r="AV366" s="92"/>
      <c r="AW366" s="92"/>
      <c r="AX366" s="92"/>
      <c r="AY366" s="92"/>
      <c r="AZ366" s="92"/>
    </row>
    <row r="367" spans="1:52" ht="15.7" customHeight="1" x14ac:dyDescent="0.4">
      <c r="A367" s="22"/>
      <c r="B367" s="91"/>
      <c r="C367" s="91"/>
      <c r="D367" s="92"/>
      <c r="E367" s="92"/>
      <c r="F367" s="92"/>
      <c r="G367" s="92"/>
      <c r="H367" s="92"/>
      <c r="I367" s="92"/>
      <c r="J367" s="92"/>
      <c r="K367" s="93"/>
      <c r="L367" s="93"/>
      <c r="M367" s="93"/>
      <c r="N367" s="93"/>
      <c r="O367" s="93"/>
      <c r="P367" s="93"/>
      <c r="Q367" s="93"/>
      <c r="R367" s="93"/>
      <c r="S367" s="92"/>
      <c r="T367" s="92"/>
      <c r="U367" s="92"/>
      <c r="V367" s="92"/>
      <c r="W367" s="92"/>
      <c r="X367" s="92"/>
      <c r="Y367" s="92"/>
      <c r="Z367" s="92"/>
      <c r="AA367" s="92"/>
      <c r="AB367" s="92"/>
      <c r="AC367" s="92"/>
      <c r="AD367" s="92"/>
      <c r="AE367" s="92"/>
      <c r="AF367" s="92"/>
      <c r="AG367" s="92"/>
      <c r="AH367" s="92"/>
      <c r="AI367" s="92"/>
      <c r="AJ367" s="92"/>
      <c r="AK367" s="92"/>
      <c r="AL367" s="92"/>
      <c r="AM367" s="92"/>
      <c r="AN367" s="92"/>
      <c r="AO367" s="92"/>
      <c r="AP367" s="92"/>
      <c r="AQ367" s="92"/>
      <c r="AR367" s="92"/>
      <c r="AS367" s="92"/>
      <c r="AT367" s="92"/>
      <c r="AU367" s="92"/>
      <c r="AV367" s="92"/>
      <c r="AW367" s="92"/>
      <c r="AX367" s="92"/>
      <c r="AY367" s="92"/>
      <c r="AZ367" s="92"/>
    </row>
    <row r="368" spans="1:52" ht="15.7" customHeight="1" x14ac:dyDescent="0.4">
      <c r="A368" s="22"/>
      <c r="B368" s="91"/>
      <c r="C368" s="91"/>
      <c r="D368" s="92"/>
      <c r="E368" s="92"/>
      <c r="F368" s="92"/>
      <c r="G368" s="92"/>
      <c r="H368" s="92"/>
      <c r="I368" s="92"/>
      <c r="J368" s="92"/>
      <c r="K368" s="93"/>
      <c r="L368" s="93"/>
      <c r="M368" s="93"/>
      <c r="N368" s="93"/>
      <c r="O368" s="93"/>
      <c r="P368" s="93"/>
      <c r="Q368" s="93"/>
      <c r="R368" s="93"/>
      <c r="S368" s="92"/>
      <c r="T368" s="92"/>
      <c r="U368" s="92"/>
      <c r="V368" s="92"/>
      <c r="W368" s="92"/>
      <c r="X368" s="92"/>
      <c r="Y368" s="92"/>
      <c r="Z368" s="92"/>
      <c r="AA368" s="92"/>
      <c r="AB368" s="92"/>
      <c r="AC368" s="92"/>
      <c r="AD368" s="92"/>
      <c r="AE368" s="92"/>
      <c r="AF368" s="92"/>
      <c r="AG368" s="92"/>
      <c r="AH368" s="92"/>
      <c r="AI368" s="92"/>
      <c r="AJ368" s="92"/>
      <c r="AK368" s="92"/>
      <c r="AL368" s="92"/>
      <c r="AM368" s="92"/>
      <c r="AN368" s="92"/>
      <c r="AO368" s="92"/>
      <c r="AP368" s="92"/>
      <c r="AQ368" s="92"/>
      <c r="AR368" s="92"/>
      <c r="AS368" s="92"/>
      <c r="AT368" s="92"/>
      <c r="AU368" s="92"/>
      <c r="AV368" s="92"/>
      <c r="AW368" s="92"/>
      <c r="AX368" s="92"/>
      <c r="AY368" s="92"/>
      <c r="AZ368" s="92"/>
    </row>
    <row r="369" spans="1:52" ht="15.7" customHeight="1" x14ac:dyDescent="0.4">
      <c r="A369" s="22"/>
      <c r="B369" s="91"/>
      <c r="C369" s="91"/>
      <c r="D369" s="92"/>
      <c r="E369" s="92"/>
      <c r="F369" s="92"/>
      <c r="G369" s="92"/>
      <c r="H369" s="92"/>
      <c r="I369" s="92"/>
      <c r="J369" s="92"/>
      <c r="K369" s="93"/>
      <c r="L369" s="93"/>
      <c r="M369" s="93"/>
      <c r="N369" s="93"/>
      <c r="O369" s="93"/>
      <c r="P369" s="93"/>
      <c r="Q369" s="93"/>
      <c r="R369" s="93"/>
      <c r="S369" s="92"/>
      <c r="T369" s="92"/>
      <c r="U369" s="92"/>
      <c r="V369" s="92"/>
      <c r="W369" s="92"/>
      <c r="X369" s="92"/>
      <c r="Y369" s="92"/>
      <c r="Z369" s="92"/>
      <c r="AA369" s="92"/>
      <c r="AB369" s="92"/>
      <c r="AC369" s="92"/>
      <c r="AD369" s="92"/>
      <c r="AE369" s="92"/>
      <c r="AF369" s="92"/>
      <c r="AG369" s="92"/>
      <c r="AH369" s="92"/>
      <c r="AI369" s="92"/>
      <c r="AJ369" s="92"/>
      <c r="AK369" s="92"/>
      <c r="AL369" s="92"/>
      <c r="AM369" s="92"/>
      <c r="AN369" s="92"/>
      <c r="AO369" s="92"/>
      <c r="AP369" s="92"/>
      <c r="AQ369" s="92"/>
      <c r="AR369" s="92"/>
      <c r="AS369" s="92"/>
      <c r="AT369" s="92"/>
      <c r="AU369" s="92"/>
      <c r="AV369" s="92"/>
      <c r="AW369" s="92"/>
      <c r="AX369" s="92"/>
      <c r="AY369" s="92"/>
      <c r="AZ369" s="92"/>
    </row>
    <row r="370" spans="1:52" ht="15.7" customHeight="1" x14ac:dyDescent="0.4">
      <c r="A370" s="22"/>
      <c r="B370" s="91"/>
      <c r="C370" s="91"/>
      <c r="D370" s="92"/>
      <c r="E370" s="92"/>
      <c r="F370" s="92"/>
      <c r="G370" s="92"/>
      <c r="H370" s="92"/>
      <c r="I370" s="92"/>
      <c r="J370" s="92"/>
      <c r="K370" s="93"/>
      <c r="L370" s="93"/>
      <c r="M370" s="93"/>
      <c r="N370" s="93"/>
      <c r="O370" s="93"/>
      <c r="P370" s="93"/>
      <c r="Q370" s="93"/>
      <c r="R370" s="93"/>
      <c r="S370" s="92"/>
      <c r="T370" s="92"/>
      <c r="U370" s="92"/>
      <c r="V370" s="92"/>
      <c r="W370" s="92"/>
      <c r="X370" s="92"/>
      <c r="Y370" s="92"/>
      <c r="Z370" s="92"/>
      <c r="AA370" s="92"/>
      <c r="AB370" s="92"/>
      <c r="AC370" s="92"/>
      <c r="AD370" s="92"/>
      <c r="AE370" s="92"/>
      <c r="AF370" s="92"/>
      <c r="AG370" s="92"/>
      <c r="AH370" s="92"/>
      <c r="AI370" s="92"/>
      <c r="AJ370" s="92"/>
      <c r="AK370" s="92"/>
      <c r="AL370" s="92"/>
      <c r="AM370" s="92"/>
      <c r="AN370" s="92"/>
      <c r="AO370" s="92"/>
      <c r="AP370" s="92"/>
      <c r="AQ370" s="92"/>
      <c r="AR370" s="92"/>
      <c r="AS370" s="92"/>
      <c r="AT370" s="92"/>
      <c r="AU370" s="92"/>
      <c r="AV370" s="92"/>
      <c r="AW370" s="92"/>
      <c r="AX370" s="92"/>
      <c r="AY370" s="92"/>
      <c r="AZ370" s="92"/>
    </row>
    <row r="371" spans="1:52" ht="15.7" customHeight="1" x14ac:dyDescent="0.4">
      <c r="A371" s="22"/>
      <c r="B371" s="91"/>
      <c r="C371" s="91"/>
      <c r="D371" s="92"/>
      <c r="E371" s="92"/>
      <c r="F371" s="92"/>
      <c r="G371" s="92"/>
      <c r="H371" s="92"/>
      <c r="I371" s="92"/>
      <c r="J371" s="92"/>
      <c r="K371" s="93"/>
      <c r="L371" s="93"/>
      <c r="M371" s="93"/>
      <c r="N371" s="93"/>
      <c r="O371" s="93"/>
      <c r="P371" s="93"/>
      <c r="Q371" s="93"/>
      <c r="R371" s="93"/>
      <c r="S371" s="92"/>
      <c r="T371" s="92"/>
      <c r="U371" s="92"/>
      <c r="V371" s="92"/>
      <c r="W371" s="92"/>
      <c r="X371" s="92"/>
      <c r="Y371" s="92"/>
      <c r="Z371" s="92"/>
      <c r="AA371" s="92"/>
      <c r="AB371" s="92"/>
      <c r="AC371" s="92"/>
      <c r="AD371" s="92"/>
      <c r="AE371" s="92"/>
      <c r="AF371" s="92"/>
      <c r="AG371" s="92"/>
      <c r="AH371" s="92"/>
      <c r="AI371" s="92"/>
      <c r="AJ371" s="92"/>
      <c r="AK371" s="92"/>
      <c r="AL371" s="92"/>
      <c r="AM371" s="92"/>
      <c r="AN371" s="92"/>
      <c r="AO371" s="92"/>
      <c r="AP371" s="92"/>
      <c r="AQ371" s="92"/>
      <c r="AR371" s="92"/>
      <c r="AS371" s="92"/>
      <c r="AT371" s="92"/>
      <c r="AU371" s="92"/>
      <c r="AV371" s="92"/>
      <c r="AW371" s="92"/>
      <c r="AX371" s="92"/>
      <c r="AY371" s="92"/>
      <c r="AZ371" s="92"/>
    </row>
    <row r="372" spans="1:52" ht="15.7" customHeight="1" x14ac:dyDescent="0.4">
      <c r="A372" s="22"/>
      <c r="B372" s="91"/>
      <c r="C372" s="91"/>
      <c r="D372" s="92"/>
      <c r="E372" s="92"/>
      <c r="F372" s="92"/>
      <c r="G372" s="92"/>
      <c r="H372" s="92"/>
      <c r="I372" s="92"/>
      <c r="J372" s="92"/>
      <c r="K372" s="93"/>
      <c r="L372" s="93"/>
      <c r="M372" s="93"/>
      <c r="N372" s="93"/>
      <c r="O372" s="93"/>
      <c r="P372" s="93"/>
      <c r="Q372" s="93"/>
      <c r="R372" s="93"/>
      <c r="S372" s="92"/>
      <c r="T372" s="92"/>
      <c r="U372" s="92"/>
      <c r="V372" s="92"/>
      <c r="W372" s="92"/>
      <c r="X372" s="92"/>
      <c r="Y372" s="92"/>
      <c r="Z372" s="92"/>
      <c r="AA372" s="92"/>
      <c r="AB372" s="92"/>
      <c r="AC372" s="92"/>
      <c r="AD372" s="92"/>
      <c r="AE372" s="92"/>
      <c r="AF372" s="92"/>
      <c r="AG372" s="92"/>
      <c r="AH372" s="92"/>
      <c r="AI372" s="92"/>
      <c r="AJ372" s="92"/>
      <c r="AK372" s="92"/>
      <c r="AL372" s="92"/>
      <c r="AM372" s="92"/>
      <c r="AN372" s="92"/>
      <c r="AO372" s="92"/>
      <c r="AP372" s="92"/>
      <c r="AQ372" s="92"/>
      <c r="AR372" s="92"/>
      <c r="AS372" s="92"/>
      <c r="AT372" s="92"/>
      <c r="AU372" s="92"/>
      <c r="AV372" s="92"/>
      <c r="AW372" s="92"/>
      <c r="AX372" s="92"/>
      <c r="AY372" s="92"/>
      <c r="AZ372" s="92"/>
    </row>
    <row r="373" spans="1:52" ht="15.7" customHeight="1" x14ac:dyDescent="0.4">
      <c r="A373" s="22"/>
      <c r="B373" s="91"/>
      <c r="C373" s="91"/>
      <c r="D373" s="92"/>
      <c r="E373" s="92"/>
      <c r="F373" s="92"/>
      <c r="G373" s="92"/>
      <c r="H373" s="92"/>
      <c r="I373" s="92"/>
      <c r="J373" s="92"/>
      <c r="K373" s="93"/>
      <c r="L373" s="93"/>
      <c r="M373" s="93"/>
      <c r="N373" s="93"/>
      <c r="O373" s="93"/>
      <c r="P373" s="93"/>
      <c r="Q373" s="93"/>
      <c r="R373" s="93"/>
      <c r="S373" s="92"/>
      <c r="T373" s="92"/>
      <c r="U373" s="92"/>
      <c r="V373" s="92"/>
      <c r="W373" s="92"/>
      <c r="X373" s="92"/>
      <c r="Y373" s="92"/>
      <c r="Z373" s="92"/>
      <c r="AA373" s="92"/>
      <c r="AB373" s="92"/>
      <c r="AC373" s="92"/>
      <c r="AD373" s="92"/>
      <c r="AE373" s="92"/>
      <c r="AF373" s="92"/>
      <c r="AG373" s="92"/>
      <c r="AH373" s="92"/>
      <c r="AI373" s="92"/>
      <c r="AJ373" s="92"/>
      <c r="AK373" s="92"/>
      <c r="AL373" s="92"/>
      <c r="AM373" s="92"/>
      <c r="AN373" s="92"/>
      <c r="AO373" s="92"/>
      <c r="AP373" s="92"/>
      <c r="AQ373" s="92"/>
      <c r="AR373" s="92"/>
      <c r="AS373" s="92"/>
      <c r="AT373" s="92"/>
      <c r="AU373" s="92"/>
      <c r="AV373" s="92"/>
      <c r="AW373" s="92"/>
      <c r="AX373" s="92"/>
      <c r="AY373" s="92"/>
      <c r="AZ373" s="92"/>
    </row>
    <row r="374" spans="1:52" ht="15.7" customHeight="1" x14ac:dyDescent="0.4">
      <c r="A374" s="22"/>
      <c r="B374" s="91"/>
      <c r="C374" s="91"/>
      <c r="D374" s="92"/>
      <c r="E374" s="92"/>
      <c r="F374" s="92"/>
      <c r="G374" s="92"/>
      <c r="H374" s="92"/>
      <c r="I374" s="92"/>
      <c r="J374" s="92"/>
      <c r="K374" s="93"/>
      <c r="L374" s="93"/>
      <c r="M374" s="93"/>
      <c r="N374" s="93"/>
      <c r="O374" s="93"/>
      <c r="P374" s="93"/>
      <c r="Q374" s="93"/>
      <c r="R374" s="93"/>
      <c r="S374" s="92"/>
      <c r="T374" s="92"/>
      <c r="U374" s="92"/>
      <c r="V374" s="92"/>
      <c r="W374" s="92"/>
      <c r="X374" s="92"/>
      <c r="Y374" s="92"/>
      <c r="Z374" s="92"/>
      <c r="AA374" s="92"/>
      <c r="AB374" s="92"/>
      <c r="AC374" s="92"/>
      <c r="AD374" s="92"/>
      <c r="AE374" s="92"/>
      <c r="AF374" s="92"/>
      <c r="AG374" s="92"/>
      <c r="AH374" s="92"/>
      <c r="AI374" s="92"/>
      <c r="AJ374" s="92"/>
      <c r="AK374" s="92"/>
      <c r="AL374" s="92"/>
      <c r="AM374" s="92"/>
      <c r="AN374" s="92"/>
      <c r="AO374" s="92"/>
      <c r="AP374" s="92"/>
      <c r="AQ374" s="92"/>
      <c r="AR374" s="92"/>
      <c r="AS374" s="92"/>
      <c r="AT374" s="92"/>
      <c r="AU374" s="92"/>
      <c r="AV374" s="92"/>
      <c r="AW374" s="92"/>
      <c r="AX374" s="92"/>
      <c r="AY374" s="92"/>
      <c r="AZ374" s="92"/>
    </row>
    <row r="375" spans="1:52" ht="15.7" customHeight="1" x14ac:dyDescent="0.4">
      <c r="A375" s="22"/>
      <c r="B375" s="91"/>
      <c r="C375" s="91"/>
      <c r="D375" s="92"/>
      <c r="E375" s="92"/>
      <c r="F375" s="92"/>
      <c r="G375" s="92"/>
      <c r="H375" s="92"/>
      <c r="I375" s="92"/>
      <c r="J375" s="92"/>
      <c r="K375" s="93"/>
      <c r="L375" s="93"/>
      <c r="M375" s="93"/>
      <c r="N375" s="93"/>
      <c r="O375" s="93"/>
      <c r="P375" s="93"/>
      <c r="Q375" s="93"/>
      <c r="R375" s="93"/>
      <c r="S375" s="92"/>
      <c r="T375" s="92"/>
      <c r="U375" s="92"/>
      <c r="V375" s="92"/>
      <c r="W375" s="92"/>
      <c r="X375" s="92"/>
      <c r="Y375" s="92"/>
      <c r="Z375" s="92"/>
      <c r="AA375" s="92"/>
      <c r="AB375" s="92"/>
      <c r="AC375" s="92"/>
      <c r="AD375" s="92"/>
      <c r="AE375" s="92"/>
      <c r="AF375" s="92"/>
      <c r="AG375" s="92"/>
      <c r="AH375" s="92"/>
      <c r="AI375" s="92"/>
      <c r="AJ375" s="92"/>
      <c r="AK375" s="92"/>
      <c r="AL375" s="92"/>
      <c r="AM375" s="92"/>
      <c r="AN375" s="92"/>
      <c r="AO375" s="92"/>
      <c r="AP375" s="92"/>
      <c r="AQ375" s="92"/>
      <c r="AR375" s="92"/>
      <c r="AS375" s="92"/>
      <c r="AT375" s="92"/>
      <c r="AU375" s="92"/>
      <c r="AV375" s="92"/>
      <c r="AW375" s="92"/>
      <c r="AX375" s="92"/>
      <c r="AY375" s="92"/>
      <c r="AZ375" s="92"/>
    </row>
    <row r="376" spans="1:52" ht="15.7" customHeight="1" x14ac:dyDescent="0.4">
      <c r="A376" s="22"/>
      <c r="B376" s="91"/>
      <c r="C376" s="91"/>
      <c r="D376" s="92"/>
      <c r="E376" s="92"/>
      <c r="F376" s="92"/>
      <c r="G376" s="92"/>
      <c r="H376" s="92"/>
      <c r="I376" s="92"/>
      <c r="J376" s="92"/>
      <c r="K376" s="93"/>
      <c r="L376" s="93"/>
      <c r="M376" s="93"/>
      <c r="N376" s="93"/>
      <c r="O376" s="93"/>
      <c r="P376" s="93"/>
      <c r="Q376" s="93"/>
      <c r="R376" s="93"/>
      <c r="S376" s="92"/>
      <c r="T376" s="92"/>
      <c r="U376" s="92"/>
      <c r="V376" s="92"/>
      <c r="W376" s="92"/>
      <c r="X376" s="92"/>
      <c r="Y376" s="92"/>
      <c r="Z376" s="92"/>
      <c r="AA376" s="92"/>
      <c r="AB376" s="92"/>
      <c r="AC376" s="92"/>
      <c r="AD376" s="92"/>
      <c r="AE376" s="92"/>
      <c r="AF376" s="92"/>
      <c r="AG376" s="92"/>
      <c r="AH376" s="92"/>
      <c r="AI376" s="92"/>
      <c r="AJ376" s="92"/>
      <c r="AK376" s="92"/>
      <c r="AL376" s="92"/>
      <c r="AM376" s="92"/>
      <c r="AN376" s="92"/>
      <c r="AO376" s="92"/>
      <c r="AP376" s="92"/>
      <c r="AQ376" s="92"/>
      <c r="AR376" s="92"/>
      <c r="AS376" s="92"/>
      <c r="AT376" s="92"/>
      <c r="AU376" s="92"/>
      <c r="AV376" s="92"/>
      <c r="AW376" s="92"/>
      <c r="AX376" s="92"/>
      <c r="AY376" s="92"/>
      <c r="AZ376" s="92"/>
    </row>
    <row r="377" spans="1:52" ht="15.7" customHeight="1" x14ac:dyDescent="0.4">
      <c r="A377" s="22"/>
      <c r="B377" s="91"/>
      <c r="C377" s="91"/>
      <c r="D377" s="92"/>
      <c r="E377" s="92"/>
      <c r="F377" s="92"/>
      <c r="G377" s="92"/>
      <c r="H377" s="92"/>
      <c r="I377" s="92"/>
      <c r="J377" s="92"/>
      <c r="K377" s="93"/>
      <c r="L377" s="93"/>
      <c r="M377" s="93"/>
      <c r="N377" s="93"/>
      <c r="O377" s="93"/>
      <c r="P377" s="93"/>
      <c r="Q377" s="93"/>
      <c r="R377" s="93"/>
      <c r="S377" s="92"/>
      <c r="T377" s="92"/>
      <c r="U377" s="92"/>
      <c r="V377" s="92"/>
      <c r="W377" s="92"/>
      <c r="X377" s="92"/>
      <c r="Y377" s="92"/>
      <c r="Z377" s="92"/>
      <c r="AA377" s="92"/>
      <c r="AB377" s="92"/>
      <c r="AC377" s="92"/>
      <c r="AD377" s="92"/>
      <c r="AE377" s="92"/>
      <c r="AF377" s="92"/>
      <c r="AG377" s="92"/>
      <c r="AH377" s="92"/>
      <c r="AI377" s="92"/>
      <c r="AJ377" s="92"/>
      <c r="AK377" s="92"/>
      <c r="AL377" s="92"/>
      <c r="AM377" s="92"/>
      <c r="AN377" s="92"/>
      <c r="AO377" s="92"/>
      <c r="AP377" s="92"/>
      <c r="AQ377" s="92"/>
      <c r="AR377" s="92"/>
      <c r="AS377" s="92"/>
      <c r="AT377" s="92"/>
      <c r="AU377" s="92"/>
      <c r="AV377" s="92"/>
      <c r="AW377" s="92"/>
      <c r="AX377" s="92"/>
      <c r="AY377" s="92"/>
      <c r="AZ377" s="92"/>
    </row>
    <row r="378" spans="1:52" ht="15.7" customHeight="1" x14ac:dyDescent="0.4">
      <c r="A378" s="22"/>
      <c r="B378" s="91"/>
      <c r="C378" s="91"/>
      <c r="D378" s="92"/>
      <c r="E378" s="92"/>
      <c r="F378" s="92"/>
      <c r="G378" s="92"/>
      <c r="H378" s="92"/>
      <c r="I378" s="92"/>
      <c r="J378" s="92"/>
      <c r="K378" s="93"/>
      <c r="L378" s="93"/>
      <c r="M378" s="93"/>
      <c r="N378" s="93"/>
      <c r="O378" s="93"/>
      <c r="P378" s="93"/>
      <c r="Q378" s="93"/>
      <c r="R378" s="93"/>
      <c r="S378" s="92"/>
      <c r="T378" s="92"/>
      <c r="U378" s="92"/>
      <c r="V378" s="92"/>
      <c r="W378" s="92"/>
      <c r="X378" s="92"/>
      <c r="Y378" s="92"/>
      <c r="Z378" s="92"/>
      <c r="AA378" s="92"/>
      <c r="AB378" s="92"/>
      <c r="AC378" s="92"/>
      <c r="AD378" s="92"/>
      <c r="AE378" s="92"/>
      <c r="AF378" s="92"/>
      <c r="AG378" s="92"/>
      <c r="AH378" s="92"/>
      <c r="AI378" s="92"/>
      <c r="AJ378" s="92"/>
      <c r="AK378" s="92"/>
      <c r="AL378" s="92"/>
      <c r="AM378" s="92"/>
      <c r="AN378" s="92"/>
      <c r="AO378" s="92"/>
      <c r="AP378" s="92"/>
      <c r="AQ378" s="92"/>
      <c r="AR378" s="92"/>
      <c r="AS378" s="92"/>
      <c r="AT378" s="92"/>
      <c r="AU378" s="92"/>
      <c r="AV378" s="92"/>
      <c r="AW378" s="92"/>
      <c r="AX378" s="92"/>
      <c r="AY378" s="92"/>
      <c r="AZ378" s="92"/>
    </row>
    <row r="379" spans="1:52" ht="15.7" customHeight="1" x14ac:dyDescent="0.4">
      <c r="A379" s="22"/>
      <c r="B379" s="91"/>
      <c r="C379" s="91"/>
      <c r="D379" s="92"/>
      <c r="E379" s="92"/>
      <c r="F379" s="92"/>
      <c r="G379" s="92"/>
      <c r="H379" s="92"/>
      <c r="I379" s="92"/>
      <c r="J379" s="92"/>
      <c r="K379" s="93"/>
      <c r="L379" s="93"/>
      <c r="M379" s="93"/>
      <c r="N379" s="93"/>
      <c r="O379" s="93"/>
      <c r="P379" s="93"/>
      <c r="Q379" s="93"/>
      <c r="R379" s="93"/>
      <c r="S379" s="92"/>
      <c r="T379" s="92"/>
      <c r="U379" s="92"/>
      <c r="V379" s="92"/>
      <c r="W379" s="92"/>
      <c r="X379" s="92"/>
      <c r="Y379" s="92"/>
      <c r="Z379" s="92"/>
      <c r="AA379" s="92"/>
      <c r="AB379" s="92"/>
      <c r="AC379" s="92"/>
      <c r="AD379" s="92"/>
      <c r="AE379" s="92"/>
      <c r="AF379" s="92"/>
      <c r="AG379" s="92"/>
      <c r="AH379" s="92"/>
      <c r="AI379" s="92"/>
      <c r="AJ379" s="92"/>
      <c r="AK379" s="92"/>
      <c r="AL379" s="92"/>
      <c r="AM379" s="92"/>
      <c r="AN379" s="92"/>
      <c r="AO379" s="92"/>
      <c r="AP379" s="92"/>
      <c r="AQ379" s="92"/>
      <c r="AR379" s="92"/>
      <c r="AS379" s="92"/>
      <c r="AT379" s="92"/>
      <c r="AU379" s="92"/>
      <c r="AV379" s="92"/>
      <c r="AW379" s="92"/>
      <c r="AX379" s="92"/>
      <c r="AY379" s="92"/>
      <c r="AZ379" s="92"/>
    </row>
    <row r="380" spans="1:52" ht="15.7" customHeight="1" x14ac:dyDescent="0.4">
      <c r="A380" s="22"/>
      <c r="B380" s="91"/>
      <c r="C380" s="91"/>
      <c r="D380" s="92"/>
      <c r="E380" s="92"/>
      <c r="F380" s="92"/>
      <c r="G380" s="92"/>
      <c r="H380" s="92"/>
      <c r="I380" s="92"/>
      <c r="J380" s="92"/>
      <c r="K380" s="93"/>
      <c r="L380" s="93"/>
      <c r="M380" s="93"/>
      <c r="N380" s="93"/>
      <c r="O380" s="93"/>
      <c r="P380" s="93"/>
      <c r="Q380" s="93"/>
      <c r="R380" s="93"/>
      <c r="S380" s="92"/>
      <c r="T380" s="92"/>
      <c r="U380" s="92"/>
      <c r="V380" s="92"/>
      <c r="W380" s="92"/>
      <c r="X380" s="92"/>
      <c r="Y380" s="92"/>
      <c r="Z380" s="92"/>
      <c r="AA380" s="92"/>
      <c r="AB380" s="92"/>
      <c r="AC380" s="92"/>
      <c r="AD380" s="92"/>
      <c r="AE380" s="92"/>
      <c r="AF380" s="92"/>
      <c r="AG380" s="92"/>
      <c r="AH380" s="92"/>
      <c r="AI380" s="92"/>
      <c r="AJ380" s="92"/>
      <c r="AK380" s="92"/>
      <c r="AL380" s="92"/>
      <c r="AM380" s="92"/>
      <c r="AN380" s="92"/>
      <c r="AO380" s="92"/>
      <c r="AP380" s="92"/>
      <c r="AQ380" s="92"/>
      <c r="AR380" s="92"/>
      <c r="AS380" s="92"/>
      <c r="AT380" s="92"/>
      <c r="AU380" s="92"/>
      <c r="AV380" s="92"/>
      <c r="AW380" s="92"/>
      <c r="AX380" s="92"/>
      <c r="AY380" s="92"/>
      <c r="AZ380" s="92"/>
    </row>
    <row r="381" spans="1:52" ht="15.7" customHeight="1" x14ac:dyDescent="0.4">
      <c r="A381" s="22"/>
      <c r="B381" s="91"/>
      <c r="C381" s="91"/>
      <c r="D381" s="92"/>
      <c r="E381" s="92"/>
      <c r="F381" s="92"/>
      <c r="G381" s="92"/>
      <c r="H381" s="92"/>
      <c r="I381" s="92"/>
      <c r="J381" s="92"/>
      <c r="K381" s="93"/>
      <c r="L381" s="93"/>
      <c r="M381" s="93"/>
      <c r="N381" s="93"/>
      <c r="O381" s="93"/>
      <c r="P381" s="93"/>
      <c r="Q381" s="93"/>
      <c r="R381" s="93"/>
      <c r="S381" s="92"/>
      <c r="T381" s="92"/>
      <c r="U381" s="92"/>
      <c r="V381" s="92"/>
      <c r="W381" s="92"/>
      <c r="X381" s="92"/>
      <c r="Y381" s="92"/>
      <c r="Z381" s="92"/>
      <c r="AA381" s="92"/>
      <c r="AB381" s="92"/>
      <c r="AC381" s="92"/>
      <c r="AD381" s="92"/>
      <c r="AE381" s="92"/>
      <c r="AF381" s="92"/>
      <c r="AG381" s="92"/>
      <c r="AH381" s="92"/>
      <c r="AI381" s="92"/>
      <c r="AJ381" s="92"/>
      <c r="AK381" s="92"/>
      <c r="AL381" s="92"/>
      <c r="AM381" s="92"/>
      <c r="AN381" s="92"/>
      <c r="AO381" s="92"/>
      <c r="AP381" s="92"/>
      <c r="AQ381" s="92"/>
      <c r="AR381" s="92"/>
      <c r="AS381" s="92"/>
      <c r="AT381" s="92"/>
      <c r="AU381" s="92"/>
      <c r="AV381" s="92"/>
      <c r="AW381" s="92"/>
      <c r="AX381" s="92"/>
      <c r="AY381" s="92"/>
      <c r="AZ381" s="92"/>
    </row>
    <row r="382" spans="1:52" ht="15.7" customHeight="1" x14ac:dyDescent="0.4">
      <c r="A382" s="22"/>
      <c r="B382" s="91"/>
      <c r="C382" s="91"/>
      <c r="D382" s="92"/>
      <c r="E382" s="92"/>
      <c r="F382" s="92"/>
      <c r="G382" s="92"/>
      <c r="H382" s="92"/>
      <c r="I382" s="92"/>
      <c r="J382" s="92"/>
      <c r="K382" s="93"/>
      <c r="L382" s="93"/>
      <c r="M382" s="93"/>
      <c r="N382" s="93"/>
      <c r="O382" s="93"/>
      <c r="P382" s="93"/>
      <c r="Q382" s="93"/>
      <c r="R382" s="93"/>
      <c r="S382" s="92"/>
      <c r="T382" s="92"/>
      <c r="U382" s="92"/>
      <c r="V382" s="92"/>
      <c r="W382" s="92"/>
      <c r="X382" s="92"/>
      <c r="Y382" s="92"/>
      <c r="Z382" s="92"/>
      <c r="AA382" s="92"/>
      <c r="AB382" s="92"/>
      <c r="AC382" s="92"/>
      <c r="AD382" s="92"/>
      <c r="AE382" s="92"/>
      <c r="AF382" s="92"/>
      <c r="AG382" s="92"/>
      <c r="AH382" s="92"/>
      <c r="AI382" s="92"/>
      <c r="AJ382" s="92"/>
      <c r="AK382" s="92"/>
      <c r="AL382" s="92"/>
      <c r="AM382" s="92"/>
      <c r="AN382" s="92"/>
      <c r="AO382" s="92"/>
      <c r="AP382" s="92"/>
      <c r="AQ382" s="92"/>
      <c r="AR382" s="92"/>
      <c r="AS382" s="92"/>
      <c r="AT382" s="92"/>
      <c r="AU382" s="92"/>
      <c r="AV382" s="92"/>
      <c r="AW382" s="92"/>
      <c r="AX382" s="92"/>
      <c r="AY382" s="92"/>
      <c r="AZ382" s="92"/>
    </row>
    <row r="383" spans="1:52" ht="15.7" customHeight="1" x14ac:dyDescent="0.4">
      <c r="A383" s="22"/>
      <c r="B383" s="91"/>
      <c r="C383" s="91"/>
      <c r="D383" s="92"/>
      <c r="E383" s="92"/>
      <c r="F383" s="92"/>
      <c r="G383" s="92"/>
      <c r="H383" s="92"/>
      <c r="I383" s="92"/>
      <c r="J383" s="92"/>
      <c r="K383" s="93"/>
      <c r="L383" s="93"/>
      <c r="M383" s="93"/>
      <c r="N383" s="93"/>
      <c r="O383" s="93"/>
      <c r="P383" s="93"/>
      <c r="Q383" s="93"/>
      <c r="R383" s="93"/>
      <c r="S383" s="92"/>
      <c r="T383" s="92"/>
      <c r="U383" s="92"/>
      <c r="V383" s="92"/>
      <c r="W383" s="92"/>
      <c r="X383" s="92"/>
      <c r="Y383" s="92"/>
      <c r="Z383" s="92"/>
      <c r="AA383" s="92"/>
      <c r="AB383" s="92"/>
      <c r="AC383" s="92"/>
      <c r="AD383" s="92"/>
      <c r="AE383" s="92"/>
      <c r="AF383" s="92"/>
      <c r="AG383" s="92"/>
      <c r="AH383" s="92"/>
      <c r="AI383" s="92"/>
      <c r="AJ383" s="92"/>
      <c r="AK383" s="92"/>
      <c r="AL383" s="92"/>
      <c r="AM383" s="92"/>
      <c r="AN383" s="92"/>
      <c r="AO383" s="92"/>
      <c r="AP383" s="92"/>
      <c r="AQ383" s="92"/>
      <c r="AR383" s="92"/>
      <c r="AS383" s="92"/>
      <c r="AT383" s="92"/>
      <c r="AU383" s="92"/>
      <c r="AV383" s="92"/>
      <c r="AW383" s="92"/>
      <c r="AX383" s="92"/>
      <c r="AY383" s="92"/>
      <c r="AZ383" s="92"/>
    </row>
    <row r="384" spans="1:52" ht="15.7" customHeight="1" x14ac:dyDescent="0.4">
      <c r="A384" s="22"/>
      <c r="B384" s="91"/>
      <c r="C384" s="91"/>
      <c r="D384" s="92"/>
      <c r="E384" s="92"/>
      <c r="F384" s="92"/>
      <c r="G384" s="92"/>
      <c r="H384" s="92"/>
      <c r="I384" s="92"/>
      <c r="J384" s="92"/>
      <c r="K384" s="93"/>
      <c r="L384" s="93"/>
      <c r="M384" s="93"/>
      <c r="N384" s="93"/>
      <c r="O384" s="93"/>
      <c r="P384" s="93"/>
      <c r="Q384" s="93"/>
      <c r="R384" s="93"/>
      <c r="S384" s="92"/>
      <c r="T384" s="92"/>
      <c r="U384" s="92"/>
      <c r="V384" s="92"/>
      <c r="W384" s="92"/>
      <c r="X384" s="92"/>
      <c r="Y384" s="92"/>
      <c r="Z384" s="92"/>
      <c r="AA384" s="92"/>
      <c r="AB384" s="92"/>
      <c r="AC384" s="92"/>
      <c r="AD384" s="92"/>
      <c r="AE384" s="92"/>
      <c r="AF384" s="92"/>
      <c r="AG384" s="92"/>
      <c r="AH384" s="92"/>
      <c r="AI384" s="92"/>
      <c r="AJ384" s="92"/>
      <c r="AK384" s="92"/>
      <c r="AL384" s="92"/>
      <c r="AM384" s="92"/>
      <c r="AN384" s="92"/>
      <c r="AO384" s="92"/>
      <c r="AP384" s="92"/>
      <c r="AQ384" s="92"/>
      <c r="AR384" s="92"/>
      <c r="AS384" s="92"/>
      <c r="AT384" s="92"/>
      <c r="AU384" s="92"/>
      <c r="AV384" s="92"/>
      <c r="AW384" s="92"/>
      <c r="AX384" s="92"/>
      <c r="AY384" s="92"/>
      <c r="AZ384" s="92"/>
    </row>
    <row r="385" spans="1:52" ht="15.7" customHeight="1" x14ac:dyDescent="0.4">
      <c r="A385" s="22"/>
      <c r="B385" s="91"/>
      <c r="C385" s="91"/>
      <c r="D385" s="92"/>
      <c r="E385" s="92"/>
      <c r="F385" s="92"/>
      <c r="G385" s="92"/>
      <c r="H385" s="92"/>
      <c r="I385" s="92"/>
      <c r="J385" s="92"/>
      <c r="K385" s="93"/>
      <c r="L385" s="93"/>
      <c r="M385" s="93"/>
      <c r="N385" s="93"/>
      <c r="O385" s="93"/>
      <c r="P385" s="93"/>
      <c r="Q385" s="93"/>
      <c r="R385" s="93"/>
      <c r="S385" s="92"/>
      <c r="T385" s="92"/>
      <c r="U385" s="92"/>
      <c r="V385" s="92"/>
      <c r="W385" s="92"/>
      <c r="X385" s="92"/>
      <c r="Y385" s="92"/>
      <c r="Z385" s="92"/>
      <c r="AA385" s="92"/>
      <c r="AB385" s="92"/>
      <c r="AC385" s="92"/>
      <c r="AD385" s="92"/>
      <c r="AE385" s="92"/>
      <c r="AF385" s="92"/>
      <c r="AG385" s="92"/>
      <c r="AH385" s="92"/>
      <c r="AI385" s="92"/>
      <c r="AJ385" s="92"/>
      <c r="AK385" s="92"/>
      <c r="AL385" s="92"/>
      <c r="AM385" s="92"/>
      <c r="AN385" s="92"/>
      <c r="AO385" s="92"/>
      <c r="AP385" s="92"/>
      <c r="AQ385" s="92"/>
      <c r="AR385" s="92"/>
      <c r="AS385" s="92"/>
      <c r="AT385" s="92"/>
      <c r="AU385" s="92"/>
      <c r="AV385" s="92"/>
      <c r="AW385" s="92"/>
      <c r="AX385" s="92"/>
      <c r="AY385" s="92"/>
      <c r="AZ385" s="92"/>
    </row>
    <row r="386" spans="1:52" ht="15.7" customHeight="1" x14ac:dyDescent="0.4">
      <c r="A386" s="22"/>
      <c r="B386" s="91"/>
      <c r="C386" s="91"/>
      <c r="D386" s="92"/>
      <c r="E386" s="92"/>
      <c r="F386" s="92"/>
      <c r="G386" s="92"/>
      <c r="H386" s="92"/>
      <c r="I386" s="92"/>
      <c r="J386" s="92"/>
      <c r="K386" s="93"/>
      <c r="L386" s="93"/>
      <c r="M386" s="93"/>
      <c r="N386" s="93"/>
      <c r="O386" s="93"/>
      <c r="P386" s="93"/>
      <c r="Q386" s="93"/>
      <c r="R386" s="93"/>
      <c r="S386" s="92"/>
      <c r="T386" s="92"/>
      <c r="U386" s="92"/>
      <c r="V386" s="92"/>
      <c r="W386" s="92"/>
      <c r="X386" s="92"/>
      <c r="Y386" s="92"/>
      <c r="Z386" s="92"/>
      <c r="AA386" s="92"/>
      <c r="AB386" s="92"/>
      <c r="AC386" s="92"/>
      <c r="AD386" s="92"/>
      <c r="AE386" s="92"/>
      <c r="AF386" s="92"/>
      <c r="AG386" s="92"/>
      <c r="AH386" s="92"/>
      <c r="AI386" s="92"/>
      <c r="AJ386" s="92"/>
      <c r="AK386" s="92"/>
      <c r="AL386" s="92"/>
      <c r="AM386" s="92"/>
      <c r="AN386" s="92"/>
      <c r="AO386" s="92"/>
      <c r="AP386" s="92"/>
      <c r="AQ386" s="92"/>
      <c r="AR386" s="92"/>
      <c r="AS386" s="92"/>
      <c r="AT386" s="92"/>
      <c r="AU386" s="92"/>
      <c r="AV386" s="92"/>
      <c r="AW386" s="92"/>
      <c r="AX386" s="92"/>
      <c r="AY386" s="92"/>
      <c r="AZ386" s="92"/>
    </row>
    <row r="387" spans="1:52" ht="15.7" customHeight="1" x14ac:dyDescent="0.4">
      <c r="A387" s="22"/>
      <c r="B387" s="91"/>
      <c r="C387" s="91"/>
      <c r="D387" s="92"/>
      <c r="E387" s="92"/>
      <c r="F387" s="92"/>
      <c r="G387" s="92"/>
      <c r="H387" s="92"/>
      <c r="I387" s="92"/>
      <c r="J387" s="92"/>
      <c r="K387" s="93"/>
      <c r="L387" s="93"/>
      <c r="M387" s="93"/>
      <c r="N387" s="93"/>
      <c r="O387" s="93"/>
      <c r="P387" s="93"/>
      <c r="Q387" s="93"/>
      <c r="R387" s="93"/>
      <c r="S387" s="92"/>
      <c r="T387" s="92"/>
      <c r="U387" s="92"/>
      <c r="V387" s="92"/>
      <c r="W387" s="92"/>
      <c r="X387" s="92"/>
      <c r="Y387" s="92"/>
      <c r="Z387" s="92"/>
      <c r="AA387" s="92"/>
      <c r="AB387" s="92"/>
      <c r="AC387" s="92"/>
      <c r="AD387" s="92"/>
      <c r="AE387" s="92"/>
      <c r="AF387" s="92"/>
      <c r="AG387" s="92"/>
      <c r="AH387" s="92"/>
      <c r="AI387" s="92"/>
      <c r="AJ387" s="92"/>
      <c r="AK387" s="92"/>
      <c r="AL387" s="92"/>
      <c r="AM387" s="92"/>
      <c r="AN387" s="92"/>
      <c r="AO387" s="92"/>
      <c r="AP387" s="92"/>
      <c r="AQ387" s="92"/>
      <c r="AR387" s="92"/>
      <c r="AS387" s="92"/>
      <c r="AT387" s="92"/>
      <c r="AU387" s="92"/>
      <c r="AV387" s="92"/>
      <c r="AW387" s="92"/>
      <c r="AX387" s="92"/>
      <c r="AY387" s="92"/>
      <c r="AZ387" s="92"/>
    </row>
    <row r="388" spans="1:52" ht="15.7" customHeight="1" x14ac:dyDescent="0.4">
      <c r="A388" s="22"/>
      <c r="B388" s="91"/>
      <c r="C388" s="91"/>
      <c r="D388" s="92"/>
      <c r="E388" s="92"/>
      <c r="F388" s="92"/>
      <c r="G388" s="92"/>
      <c r="H388" s="92"/>
      <c r="I388" s="92"/>
      <c r="J388" s="92"/>
      <c r="K388" s="93"/>
      <c r="L388" s="93"/>
      <c r="M388" s="93"/>
      <c r="N388" s="93"/>
      <c r="O388" s="93"/>
      <c r="P388" s="93"/>
      <c r="Q388" s="93"/>
      <c r="R388" s="93"/>
      <c r="S388" s="92"/>
      <c r="T388" s="92"/>
      <c r="U388" s="92"/>
      <c r="V388" s="92"/>
      <c r="W388" s="92"/>
      <c r="X388" s="92"/>
      <c r="Y388" s="92"/>
      <c r="Z388" s="92"/>
      <c r="AA388" s="92"/>
      <c r="AB388" s="92"/>
      <c r="AC388" s="92"/>
      <c r="AD388" s="92"/>
      <c r="AE388" s="92"/>
      <c r="AF388" s="92"/>
      <c r="AG388" s="92"/>
      <c r="AH388" s="92"/>
      <c r="AI388" s="92"/>
      <c r="AJ388" s="92"/>
      <c r="AK388" s="92"/>
      <c r="AL388" s="92"/>
      <c r="AM388" s="92"/>
      <c r="AN388" s="92"/>
      <c r="AO388" s="92"/>
      <c r="AP388" s="92"/>
      <c r="AQ388" s="92"/>
      <c r="AR388" s="92"/>
      <c r="AS388" s="92"/>
      <c r="AT388" s="92"/>
      <c r="AU388" s="92"/>
      <c r="AV388" s="92"/>
      <c r="AW388" s="92"/>
      <c r="AX388" s="92"/>
      <c r="AY388" s="92"/>
      <c r="AZ388" s="92"/>
    </row>
    <row r="389" spans="1:52" ht="15.7" customHeight="1" x14ac:dyDescent="0.4">
      <c r="A389" s="22"/>
      <c r="B389" s="91"/>
      <c r="C389" s="91"/>
      <c r="D389" s="92"/>
      <c r="E389" s="92"/>
      <c r="F389" s="92"/>
      <c r="G389" s="92"/>
      <c r="H389" s="92"/>
      <c r="I389" s="92"/>
      <c r="J389" s="92"/>
      <c r="K389" s="93"/>
      <c r="L389" s="93"/>
      <c r="M389" s="93"/>
      <c r="N389" s="93"/>
      <c r="O389" s="93"/>
      <c r="P389" s="93"/>
      <c r="Q389" s="93"/>
      <c r="R389" s="93"/>
      <c r="S389" s="92"/>
      <c r="T389" s="92"/>
      <c r="U389" s="92"/>
      <c r="V389" s="92"/>
      <c r="W389" s="92"/>
      <c r="X389" s="92"/>
      <c r="Y389" s="92"/>
      <c r="Z389" s="92"/>
      <c r="AA389" s="92"/>
      <c r="AB389" s="92"/>
      <c r="AC389" s="92"/>
      <c r="AD389" s="92"/>
      <c r="AE389" s="92"/>
      <c r="AF389" s="92"/>
      <c r="AG389" s="92"/>
      <c r="AH389" s="92"/>
      <c r="AI389" s="92"/>
      <c r="AJ389" s="92"/>
      <c r="AK389" s="92"/>
      <c r="AL389" s="92"/>
      <c r="AM389" s="92"/>
      <c r="AN389" s="92"/>
      <c r="AO389" s="92"/>
      <c r="AP389" s="92"/>
      <c r="AQ389" s="92"/>
      <c r="AR389" s="92"/>
      <c r="AS389" s="92"/>
      <c r="AT389" s="92"/>
      <c r="AU389" s="92"/>
      <c r="AV389" s="92"/>
      <c r="AW389" s="92"/>
      <c r="AX389" s="92"/>
      <c r="AY389" s="92"/>
      <c r="AZ389" s="92"/>
    </row>
    <row r="390" spans="1:52" ht="15.7" customHeight="1" x14ac:dyDescent="0.4">
      <c r="A390" s="22"/>
      <c r="B390" s="91"/>
      <c r="C390" s="91"/>
      <c r="D390" s="92"/>
      <c r="E390" s="92"/>
      <c r="F390" s="92"/>
      <c r="G390" s="92"/>
      <c r="H390" s="92"/>
      <c r="I390" s="92"/>
      <c r="J390" s="92"/>
      <c r="K390" s="93"/>
      <c r="L390" s="93"/>
      <c r="M390" s="93"/>
      <c r="N390" s="93"/>
      <c r="O390" s="93"/>
      <c r="P390" s="93"/>
      <c r="Q390" s="93"/>
      <c r="R390" s="93"/>
      <c r="S390" s="92"/>
      <c r="T390" s="92"/>
      <c r="U390" s="92"/>
      <c r="V390" s="92"/>
      <c r="W390" s="92"/>
      <c r="X390" s="92"/>
      <c r="Y390" s="92"/>
      <c r="Z390" s="92"/>
      <c r="AA390" s="92"/>
      <c r="AB390" s="92"/>
      <c r="AC390" s="92"/>
      <c r="AD390" s="92"/>
      <c r="AE390" s="92"/>
      <c r="AF390" s="92"/>
      <c r="AG390" s="92"/>
      <c r="AH390" s="92"/>
      <c r="AI390" s="92"/>
      <c r="AJ390" s="92"/>
      <c r="AK390" s="92"/>
      <c r="AL390" s="92"/>
      <c r="AM390" s="92"/>
      <c r="AN390" s="92"/>
      <c r="AO390" s="92"/>
      <c r="AP390" s="92"/>
      <c r="AQ390" s="92"/>
      <c r="AR390" s="92"/>
      <c r="AS390" s="92"/>
      <c r="AT390" s="92"/>
      <c r="AU390" s="92"/>
      <c r="AV390" s="92"/>
      <c r="AW390" s="92"/>
      <c r="AX390" s="92"/>
      <c r="AY390" s="92"/>
      <c r="AZ390" s="92"/>
    </row>
    <row r="391" spans="1:52" ht="15.7" customHeight="1" x14ac:dyDescent="0.4">
      <c r="A391" s="22"/>
      <c r="B391" s="91"/>
      <c r="C391" s="91"/>
      <c r="D391" s="92"/>
      <c r="E391" s="92"/>
      <c r="F391" s="92"/>
      <c r="G391" s="92"/>
      <c r="H391" s="92"/>
      <c r="I391" s="92"/>
      <c r="J391" s="92"/>
      <c r="K391" s="93"/>
      <c r="L391" s="93"/>
      <c r="M391" s="93"/>
      <c r="N391" s="93"/>
      <c r="O391" s="93"/>
      <c r="P391" s="93"/>
      <c r="Q391" s="93"/>
      <c r="R391" s="93"/>
      <c r="S391" s="92"/>
      <c r="T391" s="92"/>
      <c r="U391" s="92"/>
      <c r="V391" s="92"/>
      <c r="W391" s="92"/>
      <c r="X391" s="92"/>
      <c r="Y391" s="92"/>
      <c r="Z391" s="92"/>
      <c r="AA391" s="92"/>
      <c r="AB391" s="92"/>
      <c r="AC391" s="92"/>
      <c r="AD391" s="92"/>
      <c r="AE391" s="92"/>
      <c r="AF391" s="92"/>
      <c r="AG391" s="92"/>
      <c r="AH391" s="92"/>
      <c r="AI391" s="92"/>
      <c r="AJ391" s="92"/>
      <c r="AK391" s="92"/>
      <c r="AL391" s="92"/>
      <c r="AM391" s="92"/>
      <c r="AN391" s="92"/>
      <c r="AO391" s="92"/>
      <c r="AP391" s="92"/>
      <c r="AQ391" s="92"/>
      <c r="AR391" s="92"/>
      <c r="AS391" s="92"/>
      <c r="AT391" s="92"/>
      <c r="AU391" s="92"/>
      <c r="AV391" s="92"/>
      <c r="AW391" s="92"/>
      <c r="AX391" s="92"/>
      <c r="AY391" s="92"/>
      <c r="AZ391" s="92"/>
    </row>
    <row r="392" spans="1:52" ht="15.7" customHeight="1" x14ac:dyDescent="0.4">
      <c r="A392" s="22"/>
      <c r="B392" s="91"/>
      <c r="C392" s="91"/>
      <c r="D392" s="92"/>
      <c r="E392" s="92"/>
      <c r="F392" s="92"/>
      <c r="G392" s="92"/>
      <c r="H392" s="92"/>
      <c r="I392" s="92"/>
      <c r="J392" s="92"/>
      <c r="K392" s="93"/>
      <c r="L392" s="93"/>
      <c r="M392" s="93"/>
      <c r="N392" s="93"/>
      <c r="O392" s="93"/>
      <c r="P392" s="93"/>
      <c r="Q392" s="93"/>
      <c r="R392" s="93"/>
      <c r="S392" s="92"/>
      <c r="T392" s="92"/>
      <c r="U392" s="92"/>
      <c r="V392" s="92"/>
      <c r="W392" s="92"/>
      <c r="X392" s="92"/>
      <c r="Y392" s="92"/>
      <c r="Z392" s="92"/>
      <c r="AA392" s="92"/>
      <c r="AB392" s="92"/>
      <c r="AC392" s="92"/>
      <c r="AD392" s="92"/>
      <c r="AE392" s="92"/>
      <c r="AF392" s="92"/>
      <c r="AG392" s="92"/>
      <c r="AH392" s="92"/>
      <c r="AI392" s="92"/>
      <c r="AJ392" s="92"/>
      <c r="AK392" s="92"/>
      <c r="AL392" s="92"/>
      <c r="AM392" s="92"/>
      <c r="AN392" s="92"/>
      <c r="AO392" s="92"/>
      <c r="AP392" s="92"/>
      <c r="AQ392" s="92"/>
      <c r="AR392" s="92"/>
      <c r="AS392" s="92"/>
      <c r="AT392" s="92"/>
      <c r="AU392" s="92"/>
      <c r="AV392" s="92"/>
      <c r="AW392" s="92"/>
      <c r="AX392" s="92"/>
      <c r="AY392" s="92"/>
      <c r="AZ392" s="92"/>
    </row>
    <row r="393" spans="1:52" ht="15.7" customHeight="1" x14ac:dyDescent="0.4">
      <c r="A393" s="22"/>
      <c r="B393" s="91"/>
      <c r="C393" s="91"/>
      <c r="D393" s="92"/>
      <c r="E393" s="92"/>
      <c r="F393" s="92"/>
      <c r="G393" s="92"/>
      <c r="H393" s="92"/>
      <c r="I393" s="92"/>
      <c r="J393" s="92"/>
      <c r="K393" s="93"/>
      <c r="L393" s="93"/>
      <c r="M393" s="93"/>
      <c r="N393" s="93"/>
      <c r="O393" s="93"/>
      <c r="P393" s="93"/>
      <c r="Q393" s="93"/>
      <c r="R393" s="93"/>
      <c r="S393" s="92"/>
      <c r="T393" s="92"/>
      <c r="U393" s="92"/>
      <c r="V393" s="92"/>
      <c r="W393" s="92"/>
      <c r="X393" s="92"/>
      <c r="Y393" s="92"/>
      <c r="Z393" s="92"/>
      <c r="AA393" s="92"/>
      <c r="AB393" s="92"/>
      <c r="AC393" s="92"/>
      <c r="AD393" s="92"/>
      <c r="AE393" s="92"/>
      <c r="AF393" s="92"/>
      <c r="AG393" s="92"/>
      <c r="AH393" s="92"/>
      <c r="AI393" s="92"/>
      <c r="AJ393" s="92"/>
      <c r="AK393" s="92"/>
      <c r="AL393" s="92"/>
      <c r="AM393" s="92"/>
      <c r="AN393" s="92"/>
      <c r="AO393" s="92"/>
      <c r="AP393" s="92"/>
      <c r="AQ393" s="92"/>
      <c r="AR393" s="92"/>
      <c r="AS393" s="92"/>
      <c r="AT393" s="92"/>
      <c r="AU393" s="92"/>
      <c r="AV393" s="92"/>
      <c r="AW393" s="92"/>
      <c r="AX393" s="92"/>
      <c r="AY393" s="92"/>
      <c r="AZ393" s="92"/>
    </row>
    <row r="394" spans="1:52" ht="15.7" customHeight="1" x14ac:dyDescent="0.4">
      <c r="A394" s="22"/>
      <c r="B394" s="91"/>
      <c r="C394" s="91"/>
      <c r="D394" s="92"/>
      <c r="E394" s="92"/>
      <c r="F394" s="92"/>
      <c r="G394" s="92"/>
      <c r="H394" s="92"/>
      <c r="I394" s="92"/>
      <c r="J394" s="92"/>
      <c r="K394" s="93"/>
      <c r="L394" s="93"/>
      <c r="M394" s="93"/>
      <c r="N394" s="93"/>
      <c r="O394" s="93"/>
      <c r="P394" s="93"/>
      <c r="Q394" s="93"/>
      <c r="R394" s="93"/>
      <c r="S394" s="92"/>
      <c r="T394" s="92"/>
      <c r="U394" s="92"/>
      <c r="V394" s="92"/>
      <c r="W394" s="92"/>
      <c r="X394" s="92"/>
      <c r="Y394" s="92"/>
      <c r="Z394" s="92"/>
      <c r="AA394" s="92"/>
      <c r="AB394" s="92"/>
      <c r="AC394" s="92"/>
      <c r="AD394" s="92"/>
      <c r="AE394" s="92"/>
      <c r="AF394" s="92"/>
      <c r="AG394" s="92"/>
      <c r="AH394" s="92"/>
      <c r="AI394" s="92"/>
      <c r="AJ394" s="92"/>
      <c r="AK394" s="92"/>
      <c r="AL394" s="92"/>
      <c r="AM394" s="92"/>
      <c r="AN394" s="92"/>
      <c r="AO394" s="92"/>
      <c r="AP394" s="92"/>
      <c r="AQ394" s="92"/>
      <c r="AR394" s="92"/>
      <c r="AS394" s="92"/>
      <c r="AT394" s="92"/>
      <c r="AU394" s="92"/>
      <c r="AV394" s="92"/>
      <c r="AW394" s="92"/>
      <c r="AX394" s="92"/>
      <c r="AY394" s="92"/>
      <c r="AZ394" s="92"/>
    </row>
    <row r="395" spans="1:52" ht="15.7" customHeight="1" x14ac:dyDescent="0.4">
      <c r="A395" s="22"/>
      <c r="B395" s="91"/>
      <c r="C395" s="91"/>
      <c r="D395" s="92"/>
      <c r="E395" s="92"/>
      <c r="F395" s="92"/>
      <c r="G395" s="92"/>
      <c r="H395" s="92"/>
      <c r="I395" s="92"/>
      <c r="J395" s="92"/>
      <c r="K395" s="93"/>
      <c r="L395" s="93"/>
      <c r="M395" s="93"/>
      <c r="N395" s="93"/>
      <c r="O395" s="93"/>
      <c r="P395" s="93"/>
      <c r="Q395" s="93"/>
      <c r="R395" s="93"/>
      <c r="S395" s="92"/>
      <c r="T395" s="92"/>
      <c r="U395" s="92"/>
      <c r="V395" s="92"/>
      <c r="W395" s="92"/>
      <c r="X395" s="92"/>
      <c r="Y395" s="92"/>
      <c r="Z395" s="92"/>
      <c r="AA395" s="92"/>
      <c r="AB395" s="92"/>
      <c r="AC395" s="92"/>
      <c r="AD395" s="92"/>
      <c r="AE395" s="92"/>
      <c r="AF395" s="92"/>
      <c r="AG395" s="92"/>
      <c r="AH395" s="92"/>
      <c r="AI395" s="92"/>
      <c r="AJ395" s="92"/>
      <c r="AK395" s="92"/>
      <c r="AL395" s="92"/>
      <c r="AM395" s="92"/>
      <c r="AN395" s="92"/>
      <c r="AO395" s="92"/>
      <c r="AP395" s="92"/>
      <c r="AQ395" s="92"/>
      <c r="AR395" s="92"/>
      <c r="AS395" s="92"/>
      <c r="AT395" s="92"/>
      <c r="AU395" s="92"/>
      <c r="AV395" s="92"/>
      <c r="AW395" s="92"/>
      <c r="AX395" s="92"/>
      <c r="AY395" s="92"/>
      <c r="AZ395" s="92"/>
    </row>
    <row r="396" spans="1:52" ht="15.7" customHeight="1" x14ac:dyDescent="0.4">
      <c r="A396" s="22"/>
      <c r="B396" s="91"/>
      <c r="C396" s="91"/>
      <c r="D396" s="92"/>
      <c r="E396" s="92"/>
      <c r="F396" s="92"/>
      <c r="G396" s="92"/>
      <c r="H396" s="92"/>
      <c r="I396" s="92"/>
      <c r="J396" s="92"/>
      <c r="K396" s="93"/>
      <c r="L396" s="93"/>
      <c r="M396" s="93"/>
      <c r="N396" s="93"/>
      <c r="O396" s="93"/>
      <c r="P396" s="93"/>
      <c r="Q396" s="93"/>
      <c r="R396" s="93"/>
      <c r="S396" s="92"/>
      <c r="T396" s="92"/>
      <c r="U396" s="92"/>
      <c r="V396" s="92"/>
      <c r="W396" s="92"/>
      <c r="X396" s="92"/>
      <c r="Y396" s="92"/>
      <c r="Z396" s="92"/>
      <c r="AA396" s="92"/>
      <c r="AB396" s="92"/>
      <c r="AC396" s="92"/>
      <c r="AD396" s="92"/>
      <c r="AE396" s="92"/>
      <c r="AF396" s="92"/>
      <c r="AG396" s="92"/>
      <c r="AH396" s="92"/>
      <c r="AI396" s="92"/>
      <c r="AJ396" s="92"/>
      <c r="AK396" s="92"/>
      <c r="AL396" s="92"/>
      <c r="AM396" s="92"/>
      <c r="AN396" s="92"/>
      <c r="AO396" s="92"/>
      <c r="AP396" s="92"/>
      <c r="AQ396" s="92"/>
      <c r="AR396" s="92"/>
      <c r="AS396" s="92"/>
      <c r="AT396" s="92"/>
      <c r="AU396" s="92"/>
      <c r="AV396" s="92"/>
      <c r="AW396" s="92"/>
      <c r="AX396" s="92"/>
      <c r="AY396" s="92"/>
      <c r="AZ396" s="92"/>
    </row>
    <row r="397" spans="1:52" ht="15.7" customHeight="1" x14ac:dyDescent="0.4">
      <c r="A397" s="22"/>
      <c r="B397" s="91"/>
      <c r="C397" s="91"/>
      <c r="D397" s="92"/>
      <c r="E397" s="92"/>
      <c r="F397" s="92"/>
      <c r="G397" s="92"/>
      <c r="H397" s="92"/>
      <c r="I397" s="92"/>
      <c r="J397" s="92"/>
      <c r="K397" s="93"/>
      <c r="L397" s="93"/>
      <c r="M397" s="93"/>
      <c r="N397" s="93"/>
      <c r="O397" s="93"/>
      <c r="P397" s="93"/>
      <c r="Q397" s="93"/>
      <c r="R397" s="93"/>
      <c r="S397" s="92"/>
      <c r="T397" s="92"/>
      <c r="U397" s="92"/>
      <c r="V397" s="92"/>
      <c r="W397" s="92"/>
      <c r="X397" s="92"/>
      <c r="Y397" s="92"/>
      <c r="Z397" s="92"/>
      <c r="AA397" s="92"/>
      <c r="AB397" s="92"/>
      <c r="AC397" s="92"/>
      <c r="AD397" s="92"/>
      <c r="AE397" s="92"/>
      <c r="AF397" s="92"/>
      <c r="AG397" s="92"/>
      <c r="AH397" s="92"/>
      <c r="AI397" s="92"/>
      <c r="AJ397" s="92"/>
      <c r="AK397" s="92"/>
      <c r="AL397" s="92"/>
      <c r="AM397" s="92"/>
      <c r="AN397" s="92"/>
      <c r="AO397" s="92"/>
      <c r="AP397" s="92"/>
      <c r="AQ397" s="92"/>
      <c r="AR397" s="92"/>
      <c r="AS397" s="92"/>
      <c r="AT397" s="92"/>
      <c r="AU397" s="92"/>
      <c r="AV397" s="92"/>
      <c r="AW397" s="92"/>
      <c r="AX397" s="92"/>
      <c r="AY397" s="92"/>
      <c r="AZ397" s="92"/>
    </row>
    <row r="398" spans="1:52" ht="15.7" customHeight="1" x14ac:dyDescent="0.4">
      <c r="A398" s="22"/>
      <c r="B398" s="91"/>
      <c r="C398" s="91"/>
      <c r="D398" s="92"/>
      <c r="E398" s="92"/>
      <c r="F398" s="92"/>
      <c r="G398" s="92"/>
      <c r="H398" s="92"/>
      <c r="I398" s="92"/>
      <c r="J398" s="92"/>
      <c r="K398" s="93"/>
      <c r="L398" s="93"/>
      <c r="M398" s="93"/>
      <c r="N398" s="93"/>
      <c r="O398" s="93"/>
      <c r="P398" s="93"/>
      <c r="Q398" s="93"/>
      <c r="R398" s="93"/>
      <c r="S398" s="92"/>
      <c r="T398" s="92"/>
      <c r="U398" s="92"/>
      <c r="V398" s="92"/>
      <c r="W398" s="92"/>
      <c r="X398" s="92"/>
      <c r="Y398" s="92"/>
      <c r="Z398" s="92"/>
      <c r="AA398" s="92"/>
      <c r="AB398" s="92"/>
      <c r="AC398" s="92"/>
      <c r="AD398" s="92"/>
      <c r="AE398" s="92"/>
      <c r="AF398" s="92"/>
      <c r="AG398" s="92"/>
      <c r="AH398" s="92"/>
      <c r="AI398" s="92"/>
      <c r="AJ398" s="92"/>
      <c r="AK398" s="92"/>
      <c r="AL398" s="92"/>
      <c r="AM398" s="92"/>
      <c r="AN398" s="92"/>
      <c r="AO398" s="92"/>
      <c r="AP398" s="92"/>
      <c r="AQ398" s="92"/>
      <c r="AR398" s="92"/>
      <c r="AS398" s="92"/>
      <c r="AT398" s="92"/>
      <c r="AU398" s="92"/>
      <c r="AV398" s="92"/>
      <c r="AW398" s="92"/>
      <c r="AX398" s="92"/>
      <c r="AY398" s="92"/>
      <c r="AZ398" s="92"/>
    </row>
    <row r="399" spans="1:52" ht="15.7" customHeight="1" x14ac:dyDescent="0.4">
      <c r="A399" s="22"/>
      <c r="B399" s="91"/>
      <c r="C399" s="91"/>
      <c r="D399" s="92"/>
      <c r="E399" s="92"/>
      <c r="F399" s="92"/>
      <c r="G399" s="92"/>
      <c r="H399" s="92"/>
      <c r="I399" s="92"/>
      <c r="J399" s="92"/>
      <c r="K399" s="93"/>
      <c r="L399" s="93"/>
      <c r="M399" s="93"/>
      <c r="N399" s="93"/>
      <c r="O399" s="93"/>
      <c r="P399" s="93"/>
      <c r="Q399" s="93"/>
      <c r="R399" s="93"/>
      <c r="S399" s="92"/>
      <c r="T399" s="92"/>
      <c r="U399" s="92"/>
      <c r="V399" s="92"/>
      <c r="W399" s="92"/>
      <c r="X399" s="92"/>
      <c r="Y399" s="92"/>
      <c r="Z399" s="92"/>
      <c r="AA399" s="92"/>
      <c r="AB399" s="92"/>
      <c r="AC399" s="92"/>
      <c r="AD399" s="92"/>
      <c r="AE399" s="92"/>
      <c r="AF399" s="92"/>
      <c r="AG399" s="92"/>
      <c r="AH399" s="92"/>
      <c r="AI399" s="92"/>
      <c r="AJ399" s="92"/>
      <c r="AK399" s="92"/>
      <c r="AL399" s="92"/>
      <c r="AM399" s="92"/>
      <c r="AN399" s="92"/>
      <c r="AO399" s="92"/>
      <c r="AP399" s="92"/>
      <c r="AQ399" s="92"/>
      <c r="AR399" s="92"/>
      <c r="AS399" s="92"/>
      <c r="AT399" s="92"/>
      <c r="AU399" s="92"/>
      <c r="AV399" s="92"/>
      <c r="AW399" s="92"/>
      <c r="AX399" s="92"/>
      <c r="AY399" s="92"/>
      <c r="AZ399" s="92"/>
    </row>
    <row r="400" spans="1:52" ht="15.7" customHeight="1" x14ac:dyDescent="0.4">
      <c r="A400" s="22"/>
      <c r="B400" s="91"/>
      <c r="C400" s="91"/>
      <c r="D400" s="92"/>
      <c r="E400" s="92"/>
      <c r="F400" s="92"/>
      <c r="G400" s="92"/>
      <c r="H400" s="92"/>
      <c r="I400" s="92"/>
      <c r="J400" s="92"/>
      <c r="K400" s="93"/>
      <c r="L400" s="93"/>
      <c r="M400" s="93"/>
      <c r="N400" s="93"/>
      <c r="O400" s="93"/>
      <c r="P400" s="93"/>
      <c r="Q400" s="93"/>
      <c r="R400" s="93"/>
      <c r="S400" s="92"/>
      <c r="T400" s="92"/>
      <c r="U400" s="92"/>
      <c r="V400" s="92"/>
      <c r="W400" s="92"/>
      <c r="X400" s="92"/>
      <c r="Y400" s="92"/>
      <c r="Z400" s="92"/>
      <c r="AA400" s="92"/>
      <c r="AB400" s="92"/>
      <c r="AC400" s="92"/>
      <c r="AD400" s="92"/>
      <c r="AE400" s="92"/>
      <c r="AF400" s="92"/>
      <c r="AG400" s="92"/>
      <c r="AH400" s="92"/>
      <c r="AI400" s="92"/>
      <c r="AJ400" s="92"/>
      <c r="AK400" s="92"/>
      <c r="AL400" s="92"/>
      <c r="AM400" s="92"/>
      <c r="AN400" s="92"/>
      <c r="AO400" s="92"/>
      <c r="AP400" s="92"/>
      <c r="AQ400" s="92"/>
      <c r="AR400" s="92"/>
      <c r="AS400" s="92"/>
      <c r="AT400" s="92"/>
      <c r="AU400" s="92"/>
      <c r="AV400" s="92"/>
      <c r="AW400" s="92"/>
      <c r="AX400" s="92"/>
      <c r="AY400" s="92"/>
      <c r="AZ400" s="92"/>
    </row>
    <row r="401" spans="1:52" ht="15.7" customHeight="1" x14ac:dyDescent="0.4">
      <c r="A401" s="22"/>
      <c r="B401" s="91"/>
      <c r="C401" s="91"/>
      <c r="D401" s="92"/>
      <c r="E401" s="92"/>
      <c r="F401" s="92"/>
      <c r="G401" s="92"/>
      <c r="H401" s="92"/>
      <c r="I401" s="92"/>
      <c r="J401" s="92"/>
      <c r="K401" s="93"/>
      <c r="L401" s="93"/>
      <c r="M401" s="93"/>
      <c r="N401" s="93"/>
      <c r="O401" s="93"/>
      <c r="P401" s="93"/>
      <c r="Q401" s="93"/>
      <c r="R401" s="93"/>
      <c r="S401" s="92"/>
      <c r="T401" s="92"/>
      <c r="U401" s="92"/>
      <c r="V401" s="92"/>
      <c r="W401" s="92"/>
      <c r="X401" s="92"/>
      <c r="Y401" s="92"/>
      <c r="Z401" s="92"/>
      <c r="AA401" s="92"/>
      <c r="AB401" s="92"/>
      <c r="AC401" s="92"/>
      <c r="AD401" s="92"/>
      <c r="AE401" s="92"/>
      <c r="AF401" s="92"/>
      <c r="AG401" s="92"/>
      <c r="AH401" s="92"/>
      <c r="AI401" s="92"/>
      <c r="AJ401" s="92"/>
      <c r="AK401" s="92"/>
      <c r="AL401" s="92"/>
      <c r="AM401" s="92"/>
      <c r="AN401" s="92"/>
      <c r="AO401" s="92"/>
      <c r="AP401" s="92"/>
      <c r="AQ401" s="92"/>
      <c r="AR401" s="92"/>
      <c r="AS401" s="92"/>
      <c r="AT401" s="92"/>
      <c r="AU401" s="92"/>
      <c r="AV401" s="92"/>
      <c r="AW401" s="92"/>
      <c r="AX401" s="92"/>
      <c r="AY401" s="92"/>
      <c r="AZ401" s="92"/>
    </row>
    <row r="402" spans="1:52" ht="15.7" customHeight="1" x14ac:dyDescent="0.4">
      <c r="A402" s="22"/>
      <c r="B402" s="91"/>
      <c r="C402" s="91"/>
      <c r="D402" s="92"/>
      <c r="E402" s="92"/>
      <c r="F402" s="92"/>
      <c r="G402" s="92"/>
      <c r="H402" s="92"/>
      <c r="I402" s="92"/>
      <c r="J402" s="92"/>
      <c r="K402" s="93"/>
      <c r="L402" s="93"/>
      <c r="M402" s="93"/>
      <c r="N402" s="93"/>
      <c r="O402" s="93"/>
      <c r="P402" s="93"/>
      <c r="Q402" s="93"/>
      <c r="R402" s="93"/>
      <c r="S402" s="92"/>
      <c r="T402" s="92"/>
      <c r="U402" s="92"/>
      <c r="V402" s="92"/>
      <c r="W402" s="92"/>
      <c r="X402" s="92"/>
      <c r="Y402" s="92"/>
      <c r="Z402" s="92"/>
      <c r="AA402" s="92"/>
      <c r="AB402" s="92"/>
      <c r="AC402" s="92"/>
      <c r="AD402" s="92"/>
      <c r="AE402" s="92"/>
      <c r="AF402" s="92"/>
      <c r="AG402" s="92"/>
      <c r="AH402" s="92"/>
      <c r="AI402" s="92"/>
      <c r="AJ402" s="92"/>
      <c r="AK402" s="92"/>
      <c r="AL402" s="92"/>
      <c r="AM402" s="92"/>
      <c r="AN402" s="92"/>
      <c r="AO402" s="92"/>
      <c r="AP402" s="92"/>
      <c r="AQ402" s="92"/>
      <c r="AR402" s="92"/>
      <c r="AS402" s="92"/>
      <c r="AT402" s="92"/>
      <c r="AU402" s="92"/>
      <c r="AV402" s="92"/>
      <c r="AW402" s="92"/>
      <c r="AX402" s="92"/>
      <c r="AY402" s="92"/>
      <c r="AZ402" s="92"/>
    </row>
    <row r="403" spans="1:52" ht="15.7" customHeight="1" x14ac:dyDescent="0.4">
      <c r="A403" s="22"/>
      <c r="B403" s="91"/>
      <c r="C403" s="91"/>
      <c r="D403" s="92"/>
      <c r="E403" s="92"/>
      <c r="F403" s="92"/>
      <c r="G403" s="92"/>
      <c r="H403" s="92"/>
      <c r="I403" s="92"/>
      <c r="J403" s="92"/>
      <c r="K403" s="93"/>
      <c r="L403" s="93"/>
      <c r="M403" s="93"/>
      <c r="N403" s="93"/>
      <c r="O403" s="93"/>
      <c r="P403" s="93"/>
      <c r="Q403" s="93"/>
      <c r="R403" s="93"/>
      <c r="S403" s="92"/>
      <c r="T403" s="92"/>
      <c r="U403" s="92"/>
      <c r="V403" s="92"/>
      <c r="W403" s="92"/>
      <c r="X403" s="92"/>
      <c r="Y403" s="92"/>
      <c r="Z403" s="92"/>
      <c r="AA403" s="92"/>
      <c r="AB403" s="92"/>
      <c r="AC403" s="92"/>
      <c r="AD403" s="92"/>
      <c r="AE403" s="92"/>
      <c r="AF403" s="92"/>
      <c r="AG403" s="92"/>
      <c r="AH403" s="92"/>
      <c r="AI403" s="92"/>
      <c r="AJ403" s="92"/>
      <c r="AK403" s="92"/>
      <c r="AL403" s="92"/>
      <c r="AM403" s="92"/>
      <c r="AN403" s="92"/>
      <c r="AO403" s="92"/>
      <c r="AP403" s="92"/>
      <c r="AQ403" s="92"/>
      <c r="AR403" s="92"/>
      <c r="AS403" s="92"/>
      <c r="AT403" s="92"/>
      <c r="AU403" s="92"/>
      <c r="AV403" s="92"/>
      <c r="AW403" s="92"/>
      <c r="AX403" s="92"/>
      <c r="AY403" s="92"/>
      <c r="AZ403" s="92"/>
    </row>
    <row r="404" spans="1:52" ht="15.7" customHeight="1" x14ac:dyDescent="0.4">
      <c r="A404" s="22"/>
      <c r="B404" s="91"/>
      <c r="C404" s="91"/>
      <c r="D404" s="92"/>
      <c r="E404" s="92"/>
      <c r="F404" s="92"/>
      <c r="G404" s="92"/>
      <c r="H404" s="92"/>
      <c r="I404" s="92"/>
      <c r="J404" s="92"/>
      <c r="K404" s="93"/>
      <c r="L404" s="93"/>
      <c r="M404" s="93"/>
      <c r="N404" s="93"/>
      <c r="O404" s="93"/>
      <c r="P404" s="93"/>
      <c r="Q404" s="93"/>
      <c r="R404" s="93"/>
      <c r="S404" s="92"/>
      <c r="T404" s="92"/>
      <c r="U404" s="92"/>
      <c r="V404" s="92"/>
      <c r="W404" s="92"/>
      <c r="X404" s="92"/>
      <c r="Y404" s="92"/>
      <c r="Z404" s="92"/>
      <c r="AA404" s="92"/>
      <c r="AB404" s="92"/>
      <c r="AC404" s="92"/>
      <c r="AD404" s="92"/>
      <c r="AE404" s="92"/>
      <c r="AF404" s="92"/>
      <c r="AG404" s="92"/>
      <c r="AH404" s="92"/>
      <c r="AI404" s="92"/>
      <c r="AJ404" s="92"/>
      <c r="AK404" s="92"/>
      <c r="AL404" s="92"/>
      <c r="AM404" s="92"/>
      <c r="AN404" s="92"/>
      <c r="AO404" s="92"/>
      <c r="AP404" s="92"/>
      <c r="AQ404" s="92"/>
      <c r="AR404" s="92"/>
      <c r="AS404" s="92"/>
      <c r="AT404" s="92"/>
      <c r="AU404" s="92"/>
      <c r="AV404" s="92"/>
      <c r="AW404" s="92"/>
      <c r="AX404" s="92"/>
      <c r="AY404" s="92"/>
      <c r="AZ404" s="92"/>
    </row>
    <row r="405" spans="1:52" ht="15.7" customHeight="1" x14ac:dyDescent="0.4">
      <c r="A405" s="22"/>
      <c r="B405" s="91"/>
      <c r="C405" s="91"/>
      <c r="D405" s="92"/>
      <c r="E405" s="92"/>
      <c r="F405" s="92"/>
      <c r="G405" s="92"/>
      <c r="H405" s="92"/>
      <c r="I405" s="92"/>
      <c r="J405" s="92"/>
      <c r="K405" s="93"/>
      <c r="L405" s="93"/>
      <c r="M405" s="93"/>
      <c r="N405" s="93"/>
      <c r="O405" s="93"/>
      <c r="P405" s="93"/>
      <c r="Q405" s="93"/>
      <c r="R405" s="93"/>
      <c r="S405" s="92"/>
      <c r="T405" s="92"/>
      <c r="U405" s="92"/>
      <c r="V405" s="92"/>
      <c r="W405" s="92"/>
      <c r="X405" s="92"/>
      <c r="Y405" s="92"/>
      <c r="Z405" s="92"/>
      <c r="AA405" s="92"/>
      <c r="AB405" s="92"/>
      <c r="AC405" s="92"/>
      <c r="AD405" s="92"/>
      <c r="AE405" s="92"/>
      <c r="AF405" s="92"/>
      <c r="AG405" s="92"/>
      <c r="AH405" s="92"/>
      <c r="AI405" s="92"/>
      <c r="AJ405" s="92"/>
      <c r="AK405" s="92"/>
      <c r="AL405" s="92"/>
      <c r="AM405" s="92"/>
      <c r="AN405" s="92"/>
      <c r="AO405" s="92"/>
      <c r="AP405" s="92"/>
      <c r="AQ405" s="92"/>
      <c r="AR405" s="92"/>
      <c r="AS405" s="92"/>
      <c r="AT405" s="92"/>
      <c r="AU405" s="92"/>
      <c r="AV405" s="92"/>
      <c r="AW405" s="92"/>
      <c r="AX405" s="92"/>
      <c r="AY405" s="92"/>
      <c r="AZ405" s="92"/>
    </row>
    <row r="406" spans="1:52" ht="15.7" customHeight="1" x14ac:dyDescent="0.4">
      <c r="A406" s="22"/>
      <c r="B406" s="91"/>
      <c r="C406" s="91"/>
      <c r="D406" s="92"/>
      <c r="E406" s="92"/>
      <c r="F406" s="92"/>
      <c r="G406" s="92"/>
      <c r="H406" s="92"/>
      <c r="I406" s="92"/>
      <c r="J406" s="92"/>
      <c r="K406" s="93"/>
      <c r="L406" s="93"/>
      <c r="M406" s="93"/>
      <c r="N406" s="93"/>
      <c r="O406" s="93"/>
      <c r="P406" s="93"/>
      <c r="Q406" s="93"/>
      <c r="R406" s="93"/>
      <c r="S406" s="92"/>
      <c r="T406" s="92"/>
      <c r="U406" s="92"/>
      <c r="V406" s="92"/>
      <c r="W406" s="92"/>
      <c r="X406" s="92"/>
      <c r="Y406" s="92"/>
      <c r="Z406" s="92"/>
      <c r="AA406" s="92"/>
      <c r="AB406" s="92"/>
      <c r="AC406" s="92"/>
      <c r="AD406" s="92"/>
      <c r="AE406" s="92"/>
      <c r="AF406" s="92"/>
      <c r="AG406" s="92"/>
      <c r="AH406" s="92"/>
      <c r="AI406" s="92"/>
      <c r="AJ406" s="92"/>
      <c r="AK406" s="92"/>
      <c r="AL406" s="92"/>
      <c r="AM406" s="92"/>
      <c r="AN406" s="92"/>
      <c r="AO406" s="92"/>
      <c r="AP406" s="92"/>
      <c r="AQ406" s="92"/>
      <c r="AR406" s="92"/>
      <c r="AS406" s="92"/>
      <c r="AT406" s="92"/>
      <c r="AU406" s="92"/>
      <c r="AV406" s="92"/>
      <c r="AW406" s="92"/>
      <c r="AX406" s="92"/>
      <c r="AY406" s="92"/>
      <c r="AZ406" s="92"/>
    </row>
    <row r="407" spans="1:52" ht="15.7" customHeight="1" x14ac:dyDescent="0.4">
      <c r="A407" s="22"/>
      <c r="B407" s="91"/>
      <c r="C407" s="91"/>
      <c r="D407" s="92"/>
      <c r="E407" s="92"/>
      <c r="F407" s="92"/>
      <c r="G407" s="92"/>
      <c r="H407" s="92"/>
      <c r="I407" s="92"/>
      <c r="J407" s="92"/>
      <c r="K407" s="93"/>
      <c r="L407" s="93"/>
      <c r="M407" s="93"/>
      <c r="N407" s="93"/>
      <c r="O407" s="93"/>
      <c r="P407" s="93"/>
      <c r="Q407" s="93"/>
      <c r="R407" s="93"/>
      <c r="S407" s="92"/>
      <c r="T407" s="92"/>
      <c r="U407" s="92"/>
      <c r="V407" s="92"/>
      <c r="W407" s="92"/>
      <c r="X407" s="92"/>
      <c r="Y407" s="92"/>
      <c r="Z407" s="92"/>
      <c r="AA407" s="92"/>
      <c r="AB407" s="92"/>
      <c r="AC407" s="92"/>
      <c r="AD407" s="92"/>
      <c r="AE407" s="92"/>
      <c r="AF407" s="92"/>
      <c r="AG407" s="92"/>
      <c r="AH407" s="92"/>
      <c r="AI407" s="92"/>
      <c r="AJ407" s="92"/>
      <c r="AK407" s="92"/>
      <c r="AL407" s="92"/>
      <c r="AM407" s="92"/>
      <c r="AN407" s="92"/>
      <c r="AO407" s="92"/>
      <c r="AP407" s="92"/>
      <c r="AQ407" s="92"/>
      <c r="AR407" s="92"/>
      <c r="AS407" s="92"/>
      <c r="AT407" s="92"/>
      <c r="AU407" s="92"/>
      <c r="AV407" s="92"/>
      <c r="AW407" s="92"/>
      <c r="AX407" s="92"/>
      <c r="AY407" s="92"/>
      <c r="AZ407" s="92"/>
    </row>
    <row r="408" spans="1:52" ht="15.7" customHeight="1" x14ac:dyDescent="0.4">
      <c r="A408" s="22"/>
      <c r="B408" s="91"/>
      <c r="C408" s="91"/>
      <c r="D408" s="92"/>
      <c r="E408" s="92"/>
      <c r="F408" s="92"/>
      <c r="G408" s="92"/>
      <c r="H408" s="92"/>
      <c r="I408" s="92"/>
      <c r="J408" s="92"/>
      <c r="K408" s="93"/>
      <c r="L408" s="93"/>
      <c r="M408" s="93"/>
      <c r="N408" s="93"/>
      <c r="O408" s="93"/>
      <c r="P408" s="93"/>
      <c r="Q408" s="93"/>
      <c r="R408" s="93"/>
      <c r="S408" s="92"/>
      <c r="T408" s="92"/>
      <c r="U408" s="92"/>
      <c r="V408" s="92"/>
      <c r="W408" s="92"/>
      <c r="X408" s="92"/>
      <c r="Y408" s="92"/>
      <c r="Z408" s="92"/>
      <c r="AA408" s="92"/>
      <c r="AB408" s="92"/>
      <c r="AC408" s="92"/>
      <c r="AD408" s="92"/>
      <c r="AE408" s="92"/>
      <c r="AF408" s="92"/>
      <c r="AG408" s="92"/>
      <c r="AH408" s="92"/>
      <c r="AI408" s="92"/>
      <c r="AJ408" s="92"/>
      <c r="AK408" s="92"/>
      <c r="AL408" s="92"/>
      <c r="AM408" s="92"/>
      <c r="AN408" s="92"/>
      <c r="AO408" s="92"/>
      <c r="AP408" s="92"/>
      <c r="AQ408" s="92"/>
      <c r="AR408" s="92"/>
      <c r="AS408" s="92"/>
      <c r="AT408" s="92"/>
      <c r="AU408" s="92"/>
      <c r="AV408" s="92"/>
      <c r="AW408" s="92"/>
      <c r="AX408" s="92"/>
      <c r="AY408" s="92"/>
      <c r="AZ408" s="92"/>
    </row>
    <row r="409" spans="1:52" ht="15.7" customHeight="1" x14ac:dyDescent="0.4">
      <c r="A409" s="22"/>
      <c r="B409" s="91"/>
      <c r="C409" s="91"/>
      <c r="D409" s="92"/>
      <c r="E409" s="92"/>
      <c r="F409" s="92"/>
      <c r="G409" s="92"/>
      <c r="H409" s="92"/>
      <c r="I409" s="92"/>
      <c r="J409" s="92"/>
      <c r="K409" s="93"/>
      <c r="L409" s="93"/>
      <c r="M409" s="93"/>
      <c r="N409" s="93"/>
      <c r="O409" s="93"/>
      <c r="P409" s="93"/>
      <c r="Q409" s="93"/>
      <c r="R409" s="93"/>
      <c r="S409" s="92"/>
      <c r="T409" s="92"/>
      <c r="U409" s="92"/>
      <c r="V409" s="92"/>
      <c r="W409" s="92"/>
      <c r="X409" s="92"/>
      <c r="Y409" s="92"/>
      <c r="Z409" s="92"/>
      <c r="AA409" s="92"/>
      <c r="AB409" s="92"/>
      <c r="AC409" s="92"/>
      <c r="AD409" s="92"/>
      <c r="AE409" s="92"/>
      <c r="AF409" s="92"/>
      <c r="AG409" s="92"/>
      <c r="AH409" s="92"/>
      <c r="AI409" s="92"/>
      <c r="AJ409" s="92"/>
      <c r="AK409" s="92"/>
      <c r="AL409" s="92"/>
      <c r="AM409" s="92"/>
      <c r="AN409" s="92"/>
      <c r="AO409" s="92"/>
      <c r="AP409" s="92"/>
      <c r="AQ409" s="92"/>
      <c r="AR409" s="92"/>
      <c r="AS409" s="92"/>
      <c r="AT409" s="92"/>
      <c r="AU409" s="92"/>
      <c r="AV409" s="92"/>
      <c r="AW409" s="92"/>
      <c r="AX409" s="92"/>
      <c r="AY409" s="92"/>
      <c r="AZ409" s="92"/>
    </row>
    <row r="410" spans="1:52" ht="15.7" customHeight="1" x14ac:dyDescent="0.4">
      <c r="A410" s="22"/>
      <c r="B410" s="91"/>
      <c r="C410" s="91"/>
      <c r="D410" s="92"/>
      <c r="E410" s="92"/>
      <c r="F410" s="92"/>
      <c r="G410" s="92"/>
      <c r="H410" s="92"/>
      <c r="I410" s="92"/>
      <c r="J410" s="92"/>
      <c r="K410" s="93"/>
      <c r="L410" s="93"/>
      <c r="M410" s="93"/>
      <c r="N410" s="93"/>
      <c r="O410" s="93"/>
      <c r="P410" s="93"/>
      <c r="Q410" s="93"/>
      <c r="R410" s="93"/>
      <c r="S410" s="92"/>
      <c r="T410" s="92"/>
      <c r="U410" s="92"/>
      <c r="V410" s="92"/>
      <c r="W410" s="92"/>
      <c r="X410" s="92"/>
      <c r="Y410" s="92"/>
      <c r="Z410" s="92"/>
      <c r="AA410" s="92"/>
      <c r="AB410" s="92"/>
      <c r="AC410" s="92"/>
      <c r="AD410" s="92"/>
      <c r="AE410" s="92"/>
      <c r="AF410" s="92"/>
      <c r="AG410" s="92"/>
      <c r="AH410" s="92"/>
      <c r="AI410" s="92"/>
      <c r="AJ410" s="92"/>
      <c r="AK410" s="92"/>
      <c r="AL410" s="92"/>
      <c r="AM410" s="92"/>
      <c r="AN410" s="92"/>
      <c r="AO410" s="92"/>
      <c r="AP410" s="92"/>
      <c r="AQ410" s="92"/>
      <c r="AR410" s="92"/>
      <c r="AS410" s="92"/>
      <c r="AT410" s="92"/>
      <c r="AU410" s="92"/>
      <c r="AV410" s="92"/>
      <c r="AW410" s="92"/>
      <c r="AX410" s="92"/>
      <c r="AY410" s="92"/>
      <c r="AZ410" s="92"/>
    </row>
    <row r="411" spans="1:52" ht="15.7" customHeight="1" x14ac:dyDescent="0.4">
      <c r="A411" s="22"/>
      <c r="B411" s="91"/>
      <c r="C411" s="91"/>
      <c r="D411" s="92"/>
      <c r="E411" s="92"/>
      <c r="F411" s="92"/>
      <c r="G411" s="92"/>
      <c r="H411" s="92"/>
      <c r="I411" s="92"/>
      <c r="J411" s="92"/>
      <c r="K411" s="93"/>
      <c r="L411" s="93"/>
      <c r="M411" s="93"/>
      <c r="N411" s="93"/>
      <c r="O411" s="93"/>
      <c r="P411" s="93"/>
      <c r="Q411" s="93"/>
      <c r="R411" s="93"/>
      <c r="S411" s="92"/>
      <c r="T411" s="92"/>
      <c r="U411" s="92"/>
      <c r="V411" s="92"/>
      <c r="W411" s="92"/>
      <c r="X411" s="92"/>
      <c r="Y411" s="92"/>
      <c r="Z411" s="92"/>
      <c r="AA411" s="92"/>
      <c r="AB411" s="92"/>
      <c r="AC411" s="92"/>
      <c r="AD411" s="92"/>
      <c r="AE411" s="92"/>
      <c r="AF411" s="92"/>
      <c r="AG411" s="92"/>
      <c r="AH411" s="92"/>
      <c r="AI411" s="92"/>
      <c r="AJ411" s="92"/>
      <c r="AK411" s="92"/>
      <c r="AL411" s="92"/>
      <c r="AM411" s="92"/>
      <c r="AN411" s="92"/>
      <c r="AO411" s="92"/>
      <c r="AP411" s="92"/>
      <c r="AQ411" s="92"/>
      <c r="AR411" s="92"/>
      <c r="AS411" s="92"/>
      <c r="AT411" s="92"/>
      <c r="AU411" s="92"/>
      <c r="AV411" s="92"/>
      <c r="AW411" s="92"/>
      <c r="AX411" s="92"/>
      <c r="AY411" s="92"/>
      <c r="AZ411" s="92"/>
    </row>
    <row r="412" spans="1:52" ht="15.7" customHeight="1" x14ac:dyDescent="0.4">
      <c r="A412" s="22"/>
      <c r="B412" s="91"/>
      <c r="C412" s="91"/>
      <c r="D412" s="92"/>
      <c r="E412" s="92"/>
      <c r="F412" s="92"/>
      <c r="G412" s="92"/>
      <c r="H412" s="92"/>
      <c r="I412" s="92"/>
      <c r="J412" s="92"/>
      <c r="K412" s="93"/>
      <c r="L412" s="93"/>
      <c r="M412" s="93"/>
      <c r="N412" s="93"/>
      <c r="O412" s="93"/>
      <c r="P412" s="93"/>
      <c r="Q412" s="93"/>
      <c r="R412" s="93"/>
      <c r="S412" s="92"/>
      <c r="T412" s="92"/>
      <c r="U412" s="92"/>
      <c r="V412" s="92"/>
      <c r="W412" s="92"/>
      <c r="X412" s="92"/>
      <c r="Y412" s="92"/>
      <c r="Z412" s="92"/>
      <c r="AA412" s="92"/>
      <c r="AB412" s="92"/>
      <c r="AC412" s="92"/>
      <c r="AD412" s="92"/>
      <c r="AE412" s="92"/>
      <c r="AF412" s="92"/>
      <c r="AG412" s="92"/>
      <c r="AH412" s="92"/>
      <c r="AI412" s="92"/>
      <c r="AJ412" s="92"/>
      <c r="AK412" s="92"/>
      <c r="AL412" s="92"/>
      <c r="AM412" s="92"/>
      <c r="AN412" s="92"/>
      <c r="AO412" s="92"/>
      <c r="AP412" s="92"/>
      <c r="AQ412" s="92"/>
      <c r="AR412" s="92"/>
      <c r="AS412" s="92"/>
      <c r="AT412" s="92"/>
      <c r="AU412" s="92"/>
      <c r="AV412" s="92"/>
      <c r="AW412" s="92"/>
      <c r="AX412" s="92"/>
      <c r="AY412" s="92"/>
      <c r="AZ412" s="92"/>
    </row>
    <row r="413" spans="1:52" ht="15.7" customHeight="1" x14ac:dyDescent="0.4">
      <c r="A413" s="22"/>
      <c r="B413" s="91"/>
      <c r="C413" s="91"/>
      <c r="D413" s="92"/>
      <c r="E413" s="92"/>
      <c r="F413" s="92"/>
      <c r="G413" s="92"/>
      <c r="H413" s="92"/>
      <c r="I413" s="92"/>
      <c r="J413" s="92"/>
      <c r="K413" s="93"/>
      <c r="L413" s="93"/>
      <c r="M413" s="93"/>
      <c r="N413" s="93"/>
      <c r="O413" s="93"/>
      <c r="P413" s="93"/>
      <c r="Q413" s="93"/>
      <c r="R413" s="93"/>
      <c r="S413" s="92"/>
      <c r="T413" s="92"/>
      <c r="U413" s="92"/>
      <c r="V413" s="92"/>
      <c r="W413" s="92"/>
      <c r="X413" s="92"/>
      <c r="Y413" s="92"/>
      <c r="Z413" s="92"/>
      <c r="AA413" s="92"/>
      <c r="AB413" s="92"/>
      <c r="AC413" s="92"/>
      <c r="AD413" s="92"/>
      <c r="AE413" s="92"/>
      <c r="AF413" s="92"/>
      <c r="AG413" s="92"/>
      <c r="AH413" s="92"/>
      <c r="AI413" s="92"/>
      <c r="AJ413" s="92"/>
      <c r="AK413" s="92"/>
      <c r="AL413" s="92"/>
      <c r="AM413" s="92"/>
      <c r="AN413" s="92"/>
      <c r="AO413" s="92"/>
      <c r="AP413" s="92"/>
      <c r="AQ413" s="92"/>
      <c r="AR413" s="92"/>
      <c r="AS413" s="92"/>
      <c r="AT413" s="92"/>
      <c r="AU413" s="92"/>
      <c r="AV413" s="92"/>
      <c r="AW413" s="92"/>
      <c r="AX413" s="92"/>
      <c r="AY413" s="92"/>
      <c r="AZ413" s="92"/>
    </row>
    <row r="414" spans="1:52" ht="15.7" customHeight="1" x14ac:dyDescent="0.4">
      <c r="A414" s="22"/>
      <c r="B414" s="91"/>
      <c r="C414" s="91"/>
      <c r="D414" s="92"/>
      <c r="E414" s="92"/>
      <c r="F414" s="92"/>
      <c r="G414" s="92"/>
      <c r="H414" s="92"/>
      <c r="I414" s="92"/>
      <c r="J414" s="92"/>
      <c r="K414" s="93"/>
      <c r="L414" s="93"/>
      <c r="M414" s="93"/>
      <c r="N414" s="93"/>
      <c r="O414" s="93"/>
      <c r="P414" s="93"/>
      <c r="Q414" s="93"/>
      <c r="R414" s="93"/>
      <c r="S414" s="92"/>
      <c r="T414" s="92"/>
      <c r="U414" s="92"/>
      <c r="V414" s="92"/>
      <c r="W414" s="92"/>
      <c r="X414" s="92"/>
      <c r="Y414" s="92"/>
      <c r="Z414" s="92"/>
      <c r="AA414" s="92"/>
      <c r="AB414" s="92"/>
      <c r="AC414" s="92"/>
      <c r="AD414" s="92"/>
      <c r="AE414" s="92"/>
      <c r="AF414" s="92"/>
      <c r="AG414" s="92"/>
      <c r="AH414" s="92"/>
      <c r="AI414" s="92"/>
      <c r="AJ414" s="92"/>
      <c r="AK414" s="92"/>
      <c r="AL414" s="92"/>
      <c r="AM414" s="92"/>
      <c r="AN414" s="92"/>
      <c r="AO414" s="92"/>
      <c r="AP414" s="92"/>
      <c r="AQ414" s="92"/>
      <c r="AR414" s="92"/>
      <c r="AS414" s="92"/>
      <c r="AT414" s="92"/>
      <c r="AU414" s="92"/>
      <c r="AV414" s="92"/>
      <c r="AW414" s="92"/>
      <c r="AX414" s="92"/>
      <c r="AY414" s="92"/>
      <c r="AZ414" s="92"/>
    </row>
    <row r="415" spans="1:52" ht="15.7" customHeight="1" x14ac:dyDescent="0.4">
      <c r="A415" s="22"/>
      <c r="B415" s="91"/>
      <c r="C415" s="91"/>
      <c r="D415" s="92"/>
      <c r="E415" s="92"/>
      <c r="F415" s="92"/>
      <c r="G415" s="92"/>
      <c r="H415" s="92"/>
      <c r="I415" s="92"/>
      <c r="J415" s="92"/>
      <c r="K415" s="93"/>
      <c r="L415" s="93"/>
      <c r="M415" s="93"/>
      <c r="N415" s="93"/>
      <c r="O415" s="93"/>
      <c r="P415" s="93"/>
      <c r="Q415" s="93"/>
      <c r="R415" s="93"/>
      <c r="S415" s="92"/>
      <c r="T415" s="92"/>
      <c r="U415" s="92"/>
      <c r="V415" s="92"/>
      <c r="W415" s="92"/>
      <c r="X415" s="92"/>
      <c r="Y415" s="92"/>
      <c r="Z415" s="92"/>
      <c r="AA415" s="92"/>
      <c r="AB415" s="92"/>
      <c r="AC415" s="92"/>
      <c r="AD415" s="92"/>
      <c r="AE415" s="92"/>
      <c r="AF415" s="92"/>
      <c r="AG415" s="92"/>
      <c r="AH415" s="92"/>
      <c r="AI415" s="92"/>
      <c r="AJ415" s="92"/>
      <c r="AK415" s="92"/>
      <c r="AL415" s="92"/>
      <c r="AM415" s="92"/>
      <c r="AN415" s="92"/>
      <c r="AO415" s="92"/>
      <c r="AP415" s="92"/>
      <c r="AQ415" s="92"/>
      <c r="AR415" s="92"/>
      <c r="AS415" s="92"/>
      <c r="AT415" s="92"/>
      <c r="AU415" s="92"/>
      <c r="AV415" s="92"/>
      <c r="AW415" s="92"/>
      <c r="AX415" s="92"/>
      <c r="AY415" s="92"/>
      <c r="AZ415" s="92"/>
    </row>
    <row r="416" spans="1:52" ht="15.7" customHeight="1" x14ac:dyDescent="0.4">
      <c r="A416" s="22"/>
      <c r="B416" s="91"/>
      <c r="C416" s="91"/>
      <c r="D416" s="92"/>
      <c r="E416" s="92"/>
      <c r="F416" s="92"/>
      <c r="G416" s="92"/>
      <c r="H416" s="92"/>
      <c r="I416" s="92"/>
      <c r="J416" s="92"/>
      <c r="K416" s="93"/>
      <c r="L416" s="93"/>
      <c r="M416" s="93"/>
      <c r="N416" s="93"/>
      <c r="O416" s="93"/>
      <c r="P416" s="93"/>
      <c r="Q416" s="93"/>
      <c r="R416" s="93"/>
      <c r="S416" s="92"/>
      <c r="T416" s="92"/>
      <c r="U416" s="92"/>
      <c r="V416" s="92"/>
      <c r="W416" s="92"/>
      <c r="X416" s="92"/>
      <c r="Y416" s="92"/>
      <c r="Z416" s="92"/>
      <c r="AA416" s="92"/>
      <c r="AB416" s="92"/>
      <c r="AC416" s="92"/>
      <c r="AD416" s="92"/>
      <c r="AE416" s="92"/>
      <c r="AF416" s="92"/>
      <c r="AG416" s="92"/>
      <c r="AH416" s="92"/>
      <c r="AI416" s="92"/>
      <c r="AJ416" s="92"/>
      <c r="AK416" s="92"/>
      <c r="AL416" s="92"/>
      <c r="AM416" s="92"/>
      <c r="AN416" s="92"/>
      <c r="AO416" s="92"/>
      <c r="AP416" s="92"/>
      <c r="AQ416" s="92"/>
      <c r="AR416" s="92"/>
      <c r="AS416" s="92"/>
      <c r="AT416" s="92"/>
      <c r="AU416" s="92"/>
      <c r="AV416" s="92"/>
      <c r="AW416" s="92"/>
      <c r="AX416" s="92"/>
      <c r="AY416" s="92"/>
      <c r="AZ416" s="92"/>
    </row>
    <row r="417" spans="1:52" ht="15.7" customHeight="1" x14ac:dyDescent="0.4">
      <c r="A417" s="22"/>
      <c r="B417" s="91"/>
      <c r="C417" s="91"/>
      <c r="D417" s="92"/>
      <c r="E417" s="92"/>
      <c r="F417" s="92"/>
      <c r="G417" s="92"/>
      <c r="H417" s="92"/>
      <c r="I417" s="92"/>
      <c r="J417" s="92"/>
      <c r="K417" s="93"/>
      <c r="L417" s="93"/>
      <c r="M417" s="93"/>
      <c r="N417" s="93"/>
      <c r="O417" s="93"/>
      <c r="P417" s="93"/>
      <c r="Q417" s="93"/>
      <c r="R417" s="93"/>
      <c r="S417" s="92"/>
      <c r="T417" s="92"/>
      <c r="U417" s="92"/>
      <c r="V417" s="92"/>
      <c r="W417" s="92"/>
      <c r="X417" s="92"/>
      <c r="Y417" s="92"/>
      <c r="Z417" s="92"/>
      <c r="AA417" s="92"/>
      <c r="AB417" s="92"/>
      <c r="AC417" s="92"/>
      <c r="AD417" s="92"/>
      <c r="AE417" s="92"/>
      <c r="AF417" s="92"/>
      <c r="AG417" s="92"/>
      <c r="AH417" s="92"/>
      <c r="AI417" s="92"/>
      <c r="AJ417" s="92"/>
      <c r="AK417" s="92"/>
      <c r="AL417" s="92"/>
      <c r="AM417" s="92"/>
      <c r="AN417" s="92"/>
      <c r="AO417" s="92"/>
      <c r="AP417" s="92"/>
      <c r="AQ417" s="92"/>
      <c r="AR417" s="92"/>
      <c r="AS417" s="92"/>
      <c r="AT417" s="92"/>
      <c r="AU417" s="92"/>
      <c r="AV417" s="92"/>
      <c r="AW417" s="92"/>
      <c r="AX417" s="92"/>
      <c r="AY417" s="92"/>
      <c r="AZ417" s="92"/>
    </row>
    <row r="418" spans="1:52" ht="15.7" customHeight="1" x14ac:dyDescent="0.4">
      <c r="A418" s="22"/>
      <c r="B418" s="91"/>
      <c r="C418" s="91"/>
      <c r="D418" s="92"/>
      <c r="E418" s="92"/>
      <c r="F418" s="92"/>
      <c r="G418" s="92"/>
      <c r="H418" s="92"/>
      <c r="I418" s="92"/>
      <c r="J418" s="92"/>
      <c r="K418" s="93"/>
      <c r="L418" s="93"/>
      <c r="M418" s="93"/>
      <c r="N418" s="93"/>
      <c r="O418" s="93"/>
      <c r="P418" s="93"/>
      <c r="Q418" s="93"/>
      <c r="R418" s="93"/>
      <c r="S418" s="92"/>
      <c r="T418" s="92"/>
      <c r="U418" s="92"/>
      <c r="V418" s="92"/>
      <c r="W418" s="92"/>
      <c r="X418" s="92"/>
      <c r="Y418" s="92"/>
      <c r="Z418" s="92"/>
      <c r="AA418" s="92"/>
      <c r="AB418" s="92"/>
      <c r="AC418" s="92"/>
      <c r="AD418" s="92"/>
      <c r="AE418" s="92"/>
      <c r="AF418" s="92"/>
      <c r="AG418" s="92"/>
      <c r="AH418" s="92"/>
      <c r="AI418" s="92"/>
      <c r="AJ418" s="92"/>
      <c r="AK418" s="92"/>
      <c r="AL418" s="92"/>
      <c r="AM418" s="92"/>
      <c r="AN418" s="92"/>
      <c r="AO418" s="92"/>
      <c r="AP418" s="92"/>
      <c r="AQ418" s="92"/>
      <c r="AR418" s="92"/>
      <c r="AS418" s="92"/>
      <c r="AT418" s="92"/>
      <c r="AU418" s="92"/>
      <c r="AV418" s="92"/>
      <c r="AW418" s="92"/>
      <c r="AX418" s="92"/>
      <c r="AY418" s="92"/>
      <c r="AZ418" s="92"/>
    </row>
    <row r="419" spans="1:52" ht="15.7" customHeight="1" x14ac:dyDescent="0.4">
      <c r="A419" s="22"/>
      <c r="B419" s="91"/>
      <c r="C419" s="91"/>
      <c r="D419" s="92"/>
      <c r="E419" s="92"/>
      <c r="F419" s="92"/>
      <c r="G419" s="92"/>
      <c r="H419" s="92"/>
      <c r="I419" s="92"/>
      <c r="J419" s="92"/>
      <c r="K419" s="93"/>
      <c r="L419" s="93"/>
      <c r="M419" s="93"/>
      <c r="N419" s="93"/>
      <c r="O419" s="93"/>
      <c r="P419" s="93"/>
      <c r="Q419" s="93"/>
      <c r="R419" s="93"/>
      <c r="S419" s="92"/>
      <c r="T419" s="92"/>
      <c r="U419" s="92"/>
      <c r="V419" s="92"/>
      <c r="W419" s="92"/>
      <c r="X419" s="92"/>
      <c r="Y419" s="92"/>
      <c r="Z419" s="92"/>
      <c r="AA419" s="92"/>
      <c r="AB419" s="92"/>
      <c r="AC419" s="92"/>
      <c r="AD419" s="92"/>
      <c r="AE419" s="92"/>
      <c r="AF419" s="92"/>
      <c r="AG419" s="92"/>
      <c r="AH419" s="92"/>
      <c r="AI419" s="92"/>
      <c r="AJ419" s="92"/>
      <c r="AK419" s="92"/>
      <c r="AL419" s="92"/>
      <c r="AM419" s="92"/>
      <c r="AN419" s="92"/>
      <c r="AO419" s="92"/>
      <c r="AP419" s="92"/>
      <c r="AQ419" s="92"/>
      <c r="AR419" s="92"/>
      <c r="AS419" s="92"/>
      <c r="AT419" s="92"/>
      <c r="AU419" s="92"/>
      <c r="AV419" s="92"/>
      <c r="AW419" s="92"/>
      <c r="AX419" s="92"/>
      <c r="AY419" s="92"/>
      <c r="AZ419" s="92"/>
    </row>
    <row r="420" spans="1:52" ht="15.7" customHeight="1" x14ac:dyDescent="0.4">
      <c r="A420" s="22"/>
      <c r="B420" s="91"/>
      <c r="C420" s="91"/>
      <c r="D420" s="92"/>
      <c r="E420" s="92"/>
      <c r="F420" s="92"/>
      <c r="G420" s="92"/>
      <c r="H420" s="92"/>
      <c r="I420" s="92"/>
      <c r="J420" s="92"/>
      <c r="K420" s="93"/>
      <c r="L420" s="93"/>
      <c r="M420" s="93"/>
      <c r="N420" s="93"/>
      <c r="O420" s="93"/>
      <c r="P420" s="93"/>
      <c r="Q420" s="93"/>
      <c r="R420" s="93"/>
      <c r="S420" s="92"/>
      <c r="T420" s="92"/>
      <c r="U420" s="92"/>
      <c r="V420" s="92"/>
      <c r="W420" s="92"/>
      <c r="X420" s="92"/>
      <c r="Y420" s="92"/>
      <c r="Z420" s="92"/>
      <c r="AA420" s="92"/>
      <c r="AB420" s="92"/>
      <c r="AC420" s="92"/>
      <c r="AD420" s="92"/>
      <c r="AE420" s="92"/>
      <c r="AF420" s="92"/>
      <c r="AG420" s="92"/>
      <c r="AH420" s="92"/>
      <c r="AI420" s="92"/>
      <c r="AJ420" s="92"/>
      <c r="AK420" s="92"/>
      <c r="AL420" s="92"/>
      <c r="AM420" s="92"/>
      <c r="AN420" s="92"/>
      <c r="AO420" s="92"/>
      <c r="AP420" s="92"/>
      <c r="AQ420" s="92"/>
      <c r="AR420" s="92"/>
      <c r="AS420" s="92"/>
      <c r="AT420" s="92"/>
      <c r="AU420" s="92"/>
      <c r="AV420" s="92"/>
      <c r="AW420" s="92"/>
      <c r="AX420" s="92"/>
      <c r="AY420" s="92"/>
      <c r="AZ420" s="92"/>
    </row>
    <row r="421" spans="1:52" ht="15.7" customHeight="1" x14ac:dyDescent="0.4">
      <c r="A421" s="22"/>
      <c r="B421" s="91"/>
      <c r="C421" s="91"/>
      <c r="D421" s="92"/>
      <c r="E421" s="92"/>
      <c r="F421" s="92"/>
      <c r="G421" s="92"/>
      <c r="H421" s="92"/>
      <c r="I421" s="92"/>
      <c r="J421" s="92"/>
      <c r="K421" s="93"/>
      <c r="L421" s="93"/>
      <c r="M421" s="93"/>
      <c r="N421" s="93"/>
      <c r="O421" s="93"/>
      <c r="P421" s="93"/>
      <c r="Q421" s="93"/>
      <c r="R421" s="93"/>
      <c r="S421" s="92"/>
      <c r="T421" s="92"/>
      <c r="U421" s="92"/>
      <c r="V421" s="92"/>
      <c r="W421" s="92"/>
      <c r="X421" s="92"/>
      <c r="Y421" s="92"/>
      <c r="Z421" s="92"/>
      <c r="AA421" s="92"/>
      <c r="AB421" s="92"/>
      <c r="AC421" s="92"/>
      <c r="AD421" s="92"/>
      <c r="AE421" s="92"/>
      <c r="AF421" s="92"/>
      <c r="AG421" s="92"/>
      <c r="AH421" s="92"/>
      <c r="AI421" s="92"/>
      <c r="AJ421" s="92"/>
      <c r="AK421" s="92"/>
      <c r="AL421" s="92"/>
      <c r="AM421" s="92"/>
      <c r="AN421" s="92"/>
      <c r="AO421" s="92"/>
      <c r="AP421" s="92"/>
      <c r="AQ421" s="92"/>
      <c r="AR421" s="92"/>
      <c r="AS421" s="92"/>
      <c r="AT421" s="92"/>
      <c r="AU421" s="92"/>
      <c r="AV421" s="92"/>
      <c r="AW421" s="92"/>
      <c r="AX421" s="92"/>
      <c r="AY421" s="92"/>
      <c r="AZ421" s="92"/>
    </row>
    <row r="422" spans="1:52" ht="15.7" customHeight="1" x14ac:dyDescent="0.4">
      <c r="A422" s="22"/>
      <c r="B422" s="91"/>
      <c r="C422" s="91"/>
      <c r="D422" s="92"/>
      <c r="E422" s="92"/>
      <c r="F422" s="92"/>
      <c r="G422" s="92"/>
      <c r="H422" s="92"/>
      <c r="I422" s="92"/>
      <c r="J422" s="92"/>
      <c r="K422" s="93"/>
      <c r="L422" s="93"/>
      <c r="M422" s="93"/>
      <c r="N422" s="93"/>
      <c r="O422" s="93"/>
      <c r="P422" s="93"/>
      <c r="Q422" s="93"/>
      <c r="R422" s="93"/>
      <c r="S422" s="92"/>
      <c r="T422" s="92"/>
      <c r="U422" s="92"/>
      <c r="V422" s="92"/>
      <c r="W422" s="92"/>
      <c r="X422" s="92"/>
      <c r="Y422" s="92"/>
      <c r="Z422" s="92"/>
      <c r="AA422" s="92"/>
      <c r="AB422" s="92"/>
      <c r="AC422" s="92"/>
      <c r="AD422" s="92"/>
      <c r="AE422" s="92"/>
      <c r="AF422" s="92"/>
      <c r="AG422" s="92"/>
      <c r="AH422" s="92"/>
      <c r="AI422" s="92"/>
      <c r="AJ422" s="92"/>
      <c r="AK422" s="92"/>
      <c r="AL422" s="92"/>
      <c r="AM422" s="92"/>
      <c r="AN422" s="92"/>
      <c r="AO422" s="92"/>
      <c r="AP422" s="92"/>
      <c r="AQ422" s="92"/>
      <c r="AR422" s="92"/>
      <c r="AS422" s="92"/>
      <c r="AT422" s="92"/>
      <c r="AU422" s="92"/>
      <c r="AV422" s="92"/>
      <c r="AW422" s="92"/>
      <c r="AX422" s="92"/>
      <c r="AY422" s="92"/>
      <c r="AZ422" s="92"/>
    </row>
    <row r="423" spans="1:52" ht="15.7" customHeight="1" x14ac:dyDescent="0.4">
      <c r="A423" s="22"/>
      <c r="B423" s="91"/>
      <c r="C423" s="91"/>
      <c r="D423" s="92"/>
      <c r="E423" s="92"/>
      <c r="F423" s="92"/>
      <c r="G423" s="92"/>
      <c r="H423" s="92"/>
      <c r="I423" s="92"/>
      <c r="J423" s="92"/>
      <c r="K423" s="93"/>
      <c r="L423" s="93"/>
      <c r="M423" s="93"/>
      <c r="N423" s="93"/>
      <c r="O423" s="93"/>
      <c r="P423" s="93"/>
      <c r="Q423" s="93"/>
      <c r="R423" s="93"/>
      <c r="S423" s="92"/>
      <c r="T423" s="92"/>
      <c r="U423" s="92"/>
      <c r="V423" s="92"/>
      <c r="W423" s="92"/>
      <c r="X423" s="92"/>
      <c r="Y423" s="92"/>
      <c r="Z423" s="92"/>
      <c r="AA423" s="92"/>
      <c r="AB423" s="92"/>
      <c r="AC423" s="92"/>
      <c r="AD423" s="92"/>
      <c r="AE423" s="92"/>
      <c r="AF423" s="92"/>
      <c r="AG423" s="92"/>
      <c r="AH423" s="92"/>
      <c r="AI423" s="92"/>
      <c r="AJ423" s="92"/>
      <c r="AK423" s="92"/>
      <c r="AL423" s="92"/>
      <c r="AM423" s="92"/>
      <c r="AN423" s="92"/>
      <c r="AO423" s="92"/>
      <c r="AP423" s="92"/>
      <c r="AQ423" s="92"/>
      <c r="AR423" s="92"/>
      <c r="AS423" s="92"/>
      <c r="AT423" s="92"/>
      <c r="AU423" s="92"/>
      <c r="AV423" s="92"/>
      <c r="AW423" s="92"/>
      <c r="AX423" s="92"/>
      <c r="AY423" s="92"/>
      <c r="AZ423" s="92"/>
    </row>
    <row r="424" spans="1:52" ht="15.7" customHeight="1" x14ac:dyDescent="0.4">
      <c r="A424" s="22"/>
      <c r="B424" s="91"/>
      <c r="C424" s="91"/>
      <c r="D424" s="92"/>
      <c r="E424" s="92"/>
      <c r="F424" s="92"/>
      <c r="G424" s="92"/>
      <c r="H424" s="92"/>
      <c r="I424" s="92"/>
      <c r="J424" s="92"/>
      <c r="K424" s="93"/>
      <c r="L424" s="93"/>
      <c r="M424" s="93"/>
      <c r="N424" s="93"/>
      <c r="O424" s="93"/>
      <c r="P424" s="93"/>
      <c r="Q424" s="93"/>
      <c r="R424" s="93"/>
      <c r="S424" s="92"/>
      <c r="T424" s="92"/>
      <c r="U424" s="92"/>
      <c r="V424" s="92"/>
      <c r="W424" s="92"/>
      <c r="X424" s="92"/>
      <c r="Y424" s="92"/>
      <c r="Z424" s="92"/>
      <c r="AA424" s="92"/>
      <c r="AB424" s="92"/>
      <c r="AC424" s="92"/>
      <c r="AD424" s="92"/>
      <c r="AE424" s="92"/>
      <c r="AF424" s="92"/>
      <c r="AG424" s="92"/>
      <c r="AH424" s="92"/>
      <c r="AI424" s="92"/>
      <c r="AJ424" s="92"/>
      <c r="AK424" s="92"/>
      <c r="AL424" s="92"/>
      <c r="AM424" s="92"/>
      <c r="AN424" s="92"/>
      <c r="AO424" s="92"/>
      <c r="AP424" s="92"/>
      <c r="AQ424" s="92"/>
      <c r="AR424" s="92"/>
      <c r="AS424" s="92"/>
      <c r="AT424" s="92"/>
      <c r="AU424" s="92"/>
      <c r="AV424" s="92"/>
      <c r="AW424" s="92"/>
      <c r="AX424" s="92"/>
      <c r="AY424" s="92"/>
      <c r="AZ424" s="92"/>
    </row>
    <row r="425" spans="1:52" ht="15.7" customHeight="1" x14ac:dyDescent="0.4">
      <c r="A425" s="22"/>
      <c r="B425" s="91"/>
      <c r="C425" s="91"/>
      <c r="D425" s="92"/>
      <c r="E425" s="92"/>
      <c r="F425" s="92"/>
      <c r="G425" s="92"/>
      <c r="H425" s="92"/>
      <c r="I425" s="92"/>
      <c r="J425" s="92"/>
      <c r="K425" s="93"/>
      <c r="L425" s="93"/>
      <c r="M425" s="93"/>
      <c r="N425" s="93"/>
      <c r="O425" s="93"/>
      <c r="P425" s="93"/>
      <c r="Q425" s="93"/>
      <c r="R425" s="93"/>
      <c r="S425" s="92"/>
      <c r="T425" s="92"/>
      <c r="U425" s="92"/>
      <c r="V425" s="92"/>
      <c r="W425" s="92"/>
      <c r="X425" s="92"/>
      <c r="Y425" s="92"/>
      <c r="Z425" s="92"/>
      <c r="AA425" s="92"/>
      <c r="AB425" s="92"/>
      <c r="AC425" s="92"/>
      <c r="AD425" s="92"/>
      <c r="AE425" s="92"/>
      <c r="AF425" s="92"/>
      <c r="AG425" s="92"/>
      <c r="AH425" s="92"/>
      <c r="AI425" s="92"/>
      <c r="AJ425" s="92"/>
      <c r="AK425" s="92"/>
      <c r="AL425" s="92"/>
      <c r="AM425" s="92"/>
      <c r="AN425" s="92"/>
      <c r="AO425" s="92"/>
      <c r="AP425" s="92"/>
      <c r="AQ425" s="92"/>
      <c r="AR425" s="92"/>
      <c r="AS425" s="92"/>
      <c r="AT425" s="92"/>
      <c r="AU425" s="92"/>
      <c r="AV425" s="92"/>
      <c r="AW425" s="92"/>
      <c r="AX425" s="92"/>
      <c r="AY425" s="92"/>
      <c r="AZ425" s="92"/>
    </row>
    <row r="426" spans="1:52" ht="15.7" customHeight="1" x14ac:dyDescent="0.4">
      <c r="A426" s="22"/>
      <c r="B426" s="91"/>
      <c r="C426" s="91"/>
      <c r="D426" s="92"/>
      <c r="E426" s="92"/>
      <c r="F426" s="92"/>
      <c r="G426" s="92"/>
      <c r="H426" s="92"/>
      <c r="I426" s="92"/>
      <c r="J426" s="92"/>
      <c r="K426" s="93"/>
      <c r="L426" s="93"/>
      <c r="M426" s="93"/>
      <c r="N426" s="93"/>
      <c r="O426" s="93"/>
      <c r="P426" s="93"/>
      <c r="Q426" s="93"/>
      <c r="R426" s="93"/>
      <c r="S426" s="92"/>
      <c r="T426" s="92"/>
      <c r="U426" s="92"/>
      <c r="V426" s="92"/>
      <c r="W426" s="92"/>
      <c r="X426" s="92"/>
      <c r="Y426" s="92"/>
      <c r="Z426" s="92"/>
      <c r="AA426" s="92"/>
      <c r="AB426" s="92"/>
      <c r="AC426" s="92"/>
      <c r="AD426" s="92"/>
      <c r="AE426" s="92"/>
      <c r="AF426" s="92"/>
      <c r="AG426" s="92"/>
      <c r="AH426" s="92"/>
      <c r="AI426" s="92"/>
      <c r="AJ426" s="92"/>
      <c r="AK426" s="92"/>
      <c r="AL426" s="92"/>
      <c r="AM426" s="92"/>
      <c r="AN426" s="92"/>
      <c r="AO426" s="92"/>
      <c r="AP426" s="92"/>
      <c r="AQ426" s="92"/>
      <c r="AR426" s="92"/>
      <c r="AS426" s="92"/>
      <c r="AT426" s="92"/>
      <c r="AU426" s="92"/>
      <c r="AV426" s="92"/>
      <c r="AW426" s="92"/>
      <c r="AX426" s="92"/>
      <c r="AY426" s="92"/>
      <c r="AZ426" s="92"/>
    </row>
    <row r="427" spans="1:52" ht="15.7" customHeight="1" x14ac:dyDescent="0.4">
      <c r="A427" s="22"/>
      <c r="B427" s="91"/>
      <c r="C427" s="91"/>
      <c r="D427" s="92"/>
      <c r="E427" s="92"/>
      <c r="F427" s="92"/>
      <c r="G427" s="92"/>
      <c r="H427" s="92"/>
      <c r="I427" s="92"/>
      <c r="J427" s="92"/>
      <c r="K427" s="93"/>
      <c r="L427" s="93"/>
      <c r="M427" s="93"/>
      <c r="N427" s="93"/>
      <c r="O427" s="93"/>
      <c r="P427" s="93"/>
      <c r="Q427" s="93"/>
      <c r="R427" s="93"/>
      <c r="S427" s="92"/>
      <c r="T427" s="92"/>
      <c r="U427" s="92"/>
      <c r="V427" s="92"/>
      <c r="W427" s="92"/>
      <c r="X427" s="92"/>
      <c r="Y427" s="92"/>
      <c r="Z427" s="92"/>
      <c r="AA427" s="92"/>
      <c r="AB427" s="92"/>
      <c r="AC427" s="92"/>
      <c r="AD427" s="92"/>
      <c r="AE427" s="92"/>
      <c r="AF427" s="92"/>
      <c r="AG427" s="92"/>
      <c r="AH427" s="92"/>
      <c r="AI427" s="92"/>
      <c r="AJ427" s="92"/>
      <c r="AK427" s="92"/>
      <c r="AL427" s="92"/>
      <c r="AM427" s="92"/>
      <c r="AN427" s="92"/>
      <c r="AO427" s="92"/>
      <c r="AP427" s="92"/>
      <c r="AQ427" s="92"/>
      <c r="AR427" s="92"/>
      <c r="AS427" s="92"/>
      <c r="AT427" s="92"/>
      <c r="AU427" s="92"/>
      <c r="AV427" s="92"/>
      <c r="AW427" s="92"/>
      <c r="AX427" s="92"/>
      <c r="AY427" s="92"/>
      <c r="AZ427" s="92"/>
    </row>
    <row r="428" spans="1:52" ht="15.7" customHeight="1" x14ac:dyDescent="0.4">
      <c r="A428" s="22"/>
      <c r="B428" s="91"/>
      <c r="C428" s="91"/>
      <c r="D428" s="92"/>
      <c r="E428" s="92"/>
      <c r="F428" s="92"/>
      <c r="G428" s="92"/>
      <c r="H428" s="92"/>
      <c r="I428" s="92"/>
      <c r="J428" s="92"/>
      <c r="K428" s="93"/>
      <c r="L428" s="93"/>
      <c r="M428" s="93"/>
      <c r="N428" s="93"/>
      <c r="O428" s="93"/>
      <c r="P428" s="93"/>
      <c r="Q428" s="93"/>
      <c r="R428" s="93"/>
      <c r="S428" s="92"/>
      <c r="T428" s="92"/>
      <c r="U428" s="92"/>
      <c r="V428" s="92"/>
      <c r="W428" s="92"/>
      <c r="X428" s="92"/>
      <c r="Y428" s="92"/>
      <c r="Z428" s="92"/>
      <c r="AA428" s="92"/>
      <c r="AB428" s="92"/>
      <c r="AC428" s="92"/>
      <c r="AD428" s="92"/>
      <c r="AE428" s="92"/>
      <c r="AF428" s="92"/>
      <c r="AG428" s="92"/>
      <c r="AH428" s="92"/>
      <c r="AI428" s="92"/>
      <c r="AJ428" s="92"/>
      <c r="AK428" s="92"/>
      <c r="AL428" s="92"/>
      <c r="AM428" s="92"/>
      <c r="AN428" s="92"/>
      <c r="AO428" s="92"/>
      <c r="AP428" s="92"/>
      <c r="AQ428" s="92"/>
      <c r="AR428" s="92"/>
      <c r="AS428" s="92"/>
      <c r="AT428" s="92"/>
      <c r="AU428" s="92"/>
      <c r="AV428" s="92"/>
      <c r="AW428" s="92"/>
      <c r="AX428" s="92"/>
      <c r="AY428" s="92"/>
      <c r="AZ428" s="92"/>
    </row>
    <row r="429" spans="1:52" ht="15.7" customHeight="1" x14ac:dyDescent="0.4">
      <c r="A429" s="22"/>
      <c r="B429" s="91"/>
      <c r="C429" s="91"/>
      <c r="D429" s="92"/>
      <c r="E429" s="92"/>
      <c r="F429" s="92"/>
      <c r="G429" s="92"/>
      <c r="H429" s="92"/>
      <c r="I429" s="92"/>
      <c r="J429" s="92"/>
      <c r="K429" s="93"/>
      <c r="L429" s="93"/>
      <c r="M429" s="93"/>
      <c r="N429" s="93"/>
      <c r="O429" s="93"/>
      <c r="P429" s="93"/>
      <c r="Q429" s="93"/>
      <c r="R429" s="93"/>
      <c r="S429" s="92"/>
      <c r="T429" s="92"/>
      <c r="U429" s="92"/>
      <c r="V429" s="92"/>
      <c r="W429" s="92"/>
      <c r="X429" s="92"/>
      <c r="Y429" s="92"/>
      <c r="Z429" s="92"/>
      <c r="AA429" s="92"/>
      <c r="AB429" s="92"/>
      <c r="AC429" s="92"/>
      <c r="AD429" s="92"/>
      <c r="AE429" s="92"/>
      <c r="AF429" s="92"/>
      <c r="AG429" s="92"/>
      <c r="AH429" s="92"/>
      <c r="AI429" s="92"/>
      <c r="AJ429" s="92"/>
      <c r="AK429" s="92"/>
      <c r="AL429" s="92"/>
      <c r="AM429" s="92"/>
      <c r="AN429" s="92"/>
      <c r="AO429" s="92"/>
      <c r="AP429" s="92"/>
      <c r="AQ429" s="92"/>
      <c r="AR429" s="92"/>
      <c r="AS429" s="92"/>
      <c r="AT429" s="92"/>
      <c r="AU429" s="92"/>
      <c r="AV429" s="92"/>
      <c r="AW429" s="92"/>
      <c r="AX429" s="92"/>
      <c r="AY429" s="92"/>
      <c r="AZ429" s="92"/>
    </row>
    <row r="430" spans="1:52" ht="15.7" customHeight="1" x14ac:dyDescent="0.4">
      <c r="A430" s="22"/>
      <c r="B430" s="91"/>
      <c r="C430" s="91"/>
      <c r="D430" s="92"/>
      <c r="E430" s="92"/>
      <c r="F430" s="92"/>
      <c r="G430" s="92"/>
      <c r="H430" s="92"/>
      <c r="I430" s="92"/>
      <c r="J430" s="92"/>
      <c r="K430" s="93"/>
      <c r="L430" s="93"/>
      <c r="M430" s="93"/>
      <c r="N430" s="93"/>
      <c r="O430" s="93"/>
      <c r="P430" s="93"/>
      <c r="Q430" s="93"/>
      <c r="R430" s="93"/>
      <c r="S430" s="92"/>
      <c r="T430" s="92"/>
      <c r="U430" s="92"/>
      <c r="V430" s="92"/>
      <c r="W430" s="92"/>
      <c r="X430" s="92"/>
      <c r="Y430" s="92"/>
      <c r="Z430" s="92"/>
      <c r="AA430" s="92"/>
      <c r="AB430" s="92"/>
      <c r="AC430" s="92"/>
      <c r="AD430" s="92"/>
      <c r="AE430" s="92"/>
      <c r="AF430" s="92"/>
      <c r="AG430" s="92"/>
      <c r="AH430" s="92"/>
      <c r="AI430" s="92"/>
      <c r="AJ430" s="92"/>
      <c r="AK430" s="92"/>
      <c r="AL430" s="92"/>
      <c r="AM430" s="92"/>
      <c r="AN430" s="92"/>
      <c r="AO430" s="92"/>
      <c r="AP430" s="92"/>
      <c r="AQ430" s="92"/>
      <c r="AR430" s="92"/>
      <c r="AS430" s="92"/>
      <c r="AT430" s="92"/>
      <c r="AU430" s="92"/>
      <c r="AV430" s="92"/>
      <c r="AW430" s="92"/>
      <c r="AX430" s="92"/>
      <c r="AY430" s="92"/>
      <c r="AZ430" s="92"/>
    </row>
    <row r="431" spans="1:52" ht="15.7" customHeight="1" x14ac:dyDescent="0.4">
      <c r="A431" s="22"/>
      <c r="B431" s="91"/>
      <c r="C431" s="91"/>
      <c r="D431" s="92"/>
      <c r="E431" s="92"/>
      <c r="F431" s="92"/>
      <c r="G431" s="92"/>
      <c r="H431" s="92"/>
      <c r="I431" s="92"/>
      <c r="J431" s="92"/>
      <c r="K431" s="93"/>
      <c r="L431" s="93"/>
      <c r="M431" s="93"/>
      <c r="N431" s="93"/>
      <c r="O431" s="93"/>
      <c r="P431" s="93"/>
      <c r="Q431" s="93"/>
      <c r="R431" s="93"/>
      <c r="S431" s="92"/>
      <c r="T431" s="92"/>
      <c r="U431" s="92"/>
      <c r="V431" s="92"/>
      <c r="W431" s="92"/>
      <c r="X431" s="92"/>
      <c r="Y431" s="92"/>
      <c r="Z431" s="92"/>
      <c r="AA431" s="92"/>
      <c r="AB431" s="92"/>
      <c r="AC431" s="92"/>
      <c r="AD431" s="92"/>
      <c r="AE431" s="92"/>
      <c r="AF431" s="92"/>
      <c r="AG431" s="92"/>
      <c r="AH431" s="92"/>
      <c r="AI431" s="92"/>
      <c r="AJ431" s="92"/>
      <c r="AK431" s="92"/>
      <c r="AL431" s="92"/>
      <c r="AM431" s="92"/>
      <c r="AN431" s="92"/>
      <c r="AO431" s="92"/>
      <c r="AP431" s="92"/>
      <c r="AQ431" s="92"/>
      <c r="AR431" s="92"/>
      <c r="AS431" s="92"/>
      <c r="AT431" s="92"/>
      <c r="AU431" s="92"/>
      <c r="AV431" s="92"/>
      <c r="AW431" s="92"/>
      <c r="AX431" s="92"/>
      <c r="AY431" s="92"/>
      <c r="AZ431" s="92"/>
    </row>
    <row r="432" spans="1:52" ht="15.7" customHeight="1" x14ac:dyDescent="0.4">
      <c r="A432" s="22"/>
      <c r="B432" s="91"/>
      <c r="C432" s="91"/>
      <c r="D432" s="92"/>
      <c r="E432" s="92"/>
      <c r="F432" s="92"/>
      <c r="G432" s="92"/>
      <c r="H432" s="92"/>
      <c r="I432" s="92"/>
      <c r="J432" s="92"/>
      <c r="K432" s="93"/>
      <c r="L432" s="93"/>
      <c r="M432" s="93"/>
      <c r="N432" s="93"/>
      <c r="O432" s="93"/>
      <c r="P432" s="93"/>
      <c r="Q432" s="93"/>
      <c r="R432" s="93"/>
      <c r="S432" s="92"/>
      <c r="T432" s="92"/>
      <c r="U432" s="92"/>
      <c r="V432" s="92"/>
      <c r="W432" s="92"/>
      <c r="X432" s="92"/>
      <c r="Y432" s="92"/>
      <c r="Z432" s="92"/>
      <c r="AA432" s="92"/>
      <c r="AB432" s="92"/>
      <c r="AC432" s="92"/>
      <c r="AD432" s="92"/>
      <c r="AE432" s="92"/>
      <c r="AF432" s="92"/>
      <c r="AG432" s="92"/>
      <c r="AH432" s="92"/>
      <c r="AI432" s="92"/>
      <c r="AJ432" s="92"/>
      <c r="AK432" s="92"/>
      <c r="AL432" s="92"/>
      <c r="AM432" s="92"/>
      <c r="AN432" s="92"/>
      <c r="AO432" s="92"/>
      <c r="AP432" s="92"/>
      <c r="AQ432" s="92"/>
      <c r="AR432" s="92"/>
      <c r="AS432" s="92"/>
      <c r="AT432" s="92"/>
      <c r="AU432" s="92"/>
      <c r="AV432" s="92"/>
      <c r="AW432" s="92"/>
      <c r="AX432" s="92"/>
      <c r="AY432" s="92"/>
      <c r="AZ432" s="92"/>
    </row>
    <row r="433" spans="1:52" ht="15.7" customHeight="1" x14ac:dyDescent="0.4">
      <c r="A433" s="22"/>
      <c r="B433" s="91"/>
      <c r="C433" s="91"/>
      <c r="D433" s="92"/>
      <c r="E433" s="92"/>
      <c r="F433" s="92"/>
      <c r="G433" s="92"/>
      <c r="H433" s="92"/>
      <c r="I433" s="92"/>
      <c r="J433" s="92"/>
      <c r="K433" s="93"/>
      <c r="L433" s="93"/>
      <c r="M433" s="93"/>
      <c r="N433" s="93"/>
      <c r="O433" s="93"/>
      <c r="P433" s="93"/>
      <c r="Q433" s="93"/>
      <c r="R433" s="93"/>
      <c r="S433" s="92"/>
      <c r="T433" s="92"/>
      <c r="U433" s="92"/>
      <c r="V433" s="92"/>
      <c r="W433" s="92"/>
      <c r="X433" s="92"/>
      <c r="Y433" s="92"/>
      <c r="Z433" s="92"/>
      <c r="AA433" s="92"/>
      <c r="AB433" s="92"/>
      <c r="AC433" s="92"/>
      <c r="AD433" s="92"/>
      <c r="AE433" s="92"/>
      <c r="AF433" s="92"/>
      <c r="AG433" s="92"/>
      <c r="AH433" s="92"/>
      <c r="AI433" s="92"/>
      <c r="AJ433" s="92"/>
      <c r="AK433" s="92"/>
      <c r="AL433" s="92"/>
      <c r="AM433" s="92"/>
      <c r="AN433" s="92"/>
      <c r="AO433" s="92"/>
      <c r="AP433" s="92"/>
      <c r="AQ433" s="92"/>
      <c r="AR433" s="92"/>
      <c r="AS433" s="92"/>
      <c r="AT433" s="92"/>
      <c r="AU433" s="92"/>
      <c r="AV433" s="92"/>
      <c r="AW433" s="92"/>
      <c r="AX433" s="92"/>
      <c r="AY433" s="92"/>
      <c r="AZ433" s="92"/>
    </row>
    <row r="434" spans="1:52" ht="15.7" customHeight="1" x14ac:dyDescent="0.4">
      <c r="A434" s="22"/>
      <c r="B434" s="91"/>
      <c r="C434" s="91"/>
      <c r="D434" s="92"/>
      <c r="E434" s="92"/>
      <c r="F434" s="92"/>
      <c r="G434" s="92"/>
      <c r="H434" s="92"/>
      <c r="I434" s="92"/>
      <c r="J434" s="92"/>
      <c r="K434" s="93"/>
      <c r="L434" s="93"/>
      <c r="M434" s="93"/>
      <c r="N434" s="93"/>
      <c r="O434" s="93"/>
      <c r="P434" s="93"/>
      <c r="Q434" s="93"/>
      <c r="R434" s="93"/>
      <c r="S434" s="92"/>
      <c r="T434" s="92"/>
      <c r="U434" s="92"/>
      <c r="V434" s="92"/>
      <c r="W434" s="92"/>
      <c r="X434" s="92"/>
      <c r="Y434" s="92"/>
      <c r="Z434" s="92"/>
      <c r="AA434" s="92"/>
      <c r="AB434" s="92"/>
      <c r="AC434" s="92"/>
      <c r="AD434" s="92"/>
      <c r="AE434" s="92"/>
      <c r="AF434" s="92"/>
      <c r="AG434" s="92"/>
      <c r="AH434" s="92"/>
      <c r="AI434" s="92"/>
      <c r="AJ434" s="92"/>
      <c r="AK434" s="92"/>
      <c r="AL434" s="92"/>
      <c r="AM434" s="92"/>
      <c r="AN434" s="92"/>
      <c r="AO434" s="92"/>
      <c r="AP434" s="92"/>
      <c r="AQ434" s="92"/>
      <c r="AR434" s="92"/>
      <c r="AS434" s="92"/>
      <c r="AT434" s="92"/>
      <c r="AU434" s="92"/>
      <c r="AV434" s="92"/>
      <c r="AW434" s="92"/>
      <c r="AX434" s="92"/>
      <c r="AY434" s="92"/>
      <c r="AZ434" s="92"/>
    </row>
    <row r="435" spans="1:52" ht="15.7" customHeight="1" x14ac:dyDescent="0.4">
      <c r="A435" s="22"/>
      <c r="B435" s="91"/>
      <c r="C435" s="91"/>
      <c r="D435" s="92"/>
      <c r="E435" s="92"/>
      <c r="F435" s="92"/>
      <c r="G435" s="92"/>
      <c r="H435" s="92"/>
      <c r="I435" s="92"/>
      <c r="J435" s="92"/>
      <c r="K435" s="93"/>
      <c r="L435" s="93"/>
      <c r="M435" s="93"/>
      <c r="N435" s="93"/>
      <c r="O435" s="93"/>
      <c r="P435" s="93"/>
      <c r="Q435" s="93"/>
      <c r="R435" s="93"/>
      <c r="S435" s="92"/>
      <c r="T435" s="92"/>
      <c r="U435" s="92"/>
      <c r="V435" s="92"/>
      <c r="W435" s="92"/>
      <c r="X435" s="92"/>
      <c r="Y435" s="92"/>
      <c r="Z435" s="92"/>
      <c r="AA435" s="92"/>
      <c r="AB435" s="92"/>
      <c r="AC435" s="92"/>
      <c r="AD435" s="92"/>
      <c r="AE435" s="92"/>
      <c r="AF435" s="92"/>
      <c r="AG435" s="92"/>
      <c r="AH435" s="92"/>
      <c r="AI435" s="92"/>
      <c r="AJ435" s="92"/>
      <c r="AK435" s="92"/>
      <c r="AL435" s="92"/>
      <c r="AM435" s="92"/>
      <c r="AN435" s="92"/>
      <c r="AO435" s="92"/>
      <c r="AP435" s="92"/>
      <c r="AQ435" s="92"/>
      <c r="AR435" s="92"/>
      <c r="AS435" s="92"/>
      <c r="AT435" s="92"/>
      <c r="AU435" s="92"/>
      <c r="AV435" s="92"/>
      <c r="AW435" s="92"/>
      <c r="AX435" s="92"/>
      <c r="AY435" s="92"/>
      <c r="AZ435" s="92"/>
    </row>
    <row r="436" spans="1:52" ht="15.7" customHeight="1" x14ac:dyDescent="0.4">
      <c r="A436" s="22"/>
      <c r="B436" s="91"/>
      <c r="C436" s="91"/>
      <c r="D436" s="92"/>
      <c r="E436" s="92"/>
      <c r="F436" s="92"/>
      <c r="G436" s="92"/>
      <c r="H436" s="92"/>
      <c r="I436" s="92"/>
      <c r="J436" s="92"/>
      <c r="K436" s="93"/>
      <c r="L436" s="93"/>
      <c r="M436" s="93"/>
      <c r="N436" s="93"/>
      <c r="O436" s="93"/>
      <c r="P436" s="93"/>
      <c r="Q436" s="93"/>
      <c r="R436" s="93"/>
      <c r="S436" s="92"/>
      <c r="T436" s="92"/>
      <c r="U436" s="92"/>
      <c r="V436" s="92"/>
      <c r="W436" s="92"/>
      <c r="X436" s="92"/>
      <c r="Y436" s="92"/>
      <c r="Z436" s="92"/>
      <c r="AA436" s="92"/>
      <c r="AB436" s="92"/>
      <c r="AC436" s="92"/>
      <c r="AD436" s="92"/>
      <c r="AE436" s="92"/>
      <c r="AF436" s="92"/>
      <c r="AG436" s="92"/>
      <c r="AH436" s="92"/>
      <c r="AI436" s="92"/>
      <c r="AJ436" s="92"/>
      <c r="AK436" s="92"/>
      <c r="AL436" s="92"/>
      <c r="AM436" s="92"/>
      <c r="AN436" s="92"/>
      <c r="AO436" s="92"/>
      <c r="AP436" s="92"/>
      <c r="AQ436" s="92"/>
      <c r="AR436" s="92"/>
      <c r="AS436" s="92"/>
      <c r="AT436" s="92"/>
      <c r="AU436" s="92"/>
      <c r="AV436" s="92"/>
      <c r="AW436" s="92"/>
      <c r="AX436" s="92"/>
      <c r="AY436" s="92"/>
      <c r="AZ436" s="92"/>
    </row>
    <row r="437" spans="1:52" ht="15.7" customHeight="1" x14ac:dyDescent="0.4">
      <c r="A437" s="22"/>
      <c r="B437" s="91"/>
      <c r="C437" s="91"/>
      <c r="D437" s="92"/>
      <c r="E437" s="92"/>
      <c r="F437" s="92"/>
      <c r="G437" s="92"/>
      <c r="H437" s="92"/>
      <c r="I437" s="92"/>
      <c r="J437" s="92"/>
      <c r="K437" s="93"/>
      <c r="L437" s="93"/>
      <c r="M437" s="93"/>
      <c r="N437" s="93"/>
      <c r="O437" s="93"/>
      <c r="P437" s="93"/>
      <c r="Q437" s="93"/>
      <c r="R437" s="93"/>
      <c r="S437" s="92"/>
      <c r="T437" s="92"/>
      <c r="U437" s="92"/>
      <c r="V437" s="92"/>
      <c r="W437" s="92"/>
      <c r="X437" s="92"/>
      <c r="Y437" s="92"/>
      <c r="Z437" s="92"/>
      <c r="AA437" s="92"/>
      <c r="AB437" s="92"/>
      <c r="AC437" s="92"/>
      <c r="AD437" s="92"/>
      <c r="AE437" s="92"/>
      <c r="AF437" s="92"/>
      <c r="AG437" s="92"/>
      <c r="AH437" s="92"/>
      <c r="AI437" s="92"/>
      <c r="AJ437" s="92"/>
      <c r="AK437" s="92"/>
      <c r="AL437" s="92"/>
      <c r="AM437" s="92"/>
      <c r="AN437" s="92"/>
      <c r="AO437" s="92"/>
      <c r="AP437" s="92"/>
      <c r="AQ437" s="92"/>
      <c r="AR437" s="92"/>
      <c r="AS437" s="92"/>
      <c r="AT437" s="92"/>
      <c r="AU437" s="92"/>
      <c r="AV437" s="92"/>
      <c r="AW437" s="92"/>
      <c r="AX437" s="92"/>
      <c r="AY437" s="92"/>
      <c r="AZ437" s="92"/>
    </row>
    <row r="438" spans="1:52" ht="15.7" customHeight="1" x14ac:dyDescent="0.4">
      <c r="A438" s="22"/>
      <c r="B438" s="91"/>
      <c r="C438" s="91"/>
      <c r="D438" s="92"/>
      <c r="E438" s="92"/>
      <c r="F438" s="92"/>
      <c r="G438" s="92"/>
      <c r="H438" s="92"/>
      <c r="I438" s="92"/>
      <c r="J438" s="92"/>
      <c r="K438" s="93"/>
      <c r="L438" s="93"/>
      <c r="M438" s="93"/>
      <c r="N438" s="93"/>
      <c r="O438" s="93"/>
      <c r="P438" s="93"/>
      <c r="Q438" s="93"/>
      <c r="R438" s="93"/>
      <c r="S438" s="92"/>
      <c r="T438" s="92"/>
      <c r="U438" s="92"/>
      <c r="V438" s="92"/>
      <c r="W438" s="92"/>
      <c r="X438" s="92"/>
      <c r="Y438" s="92"/>
      <c r="Z438" s="92"/>
      <c r="AA438" s="92"/>
      <c r="AB438" s="92"/>
      <c r="AC438" s="92"/>
      <c r="AD438" s="92"/>
      <c r="AE438" s="92"/>
      <c r="AF438" s="92"/>
      <c r="AG438" s="92"/>
      <c r="AH438" s="92"/>
      <c r="AI438" s="92"/>
      <c r="AJ438" s="92"/>
      <c r="AK438" s="92"/>
      <c r="AL438" s="92"/>
      <c r="AM438" s="92"/>
      <c r="AN438" s="92"/>
      <c r="AO438" s="92"/>
      <c r="AP438" s="92"/>
      <c r="AQ438" s="92"/>
      <c r="AR438" s="92"/>
      <c r="AS438" s="92"/>
      <c r="AT438" s="92"/>
      <c r="AU438" s="92"/>
      <c r="AV438" s="92"/>
      <c r="AW438" s="92"/>
      <c r="AX438" s="92"/>
      <c r="AY438" s="92"/>
      <c r="AZ438" s="92"/>
    </row>
    <row r="439" spans="1:52" ht="15.7" customHeight="1" x14ac:dyDescent="0.4">
      <c r="A439" s="22"/>
      <c r="B439" s="91"/>
      <c r="C439" s="91"/>
      <c r="D439" s="92"/>
      <c r="E439" s="92"/>
      <c r="F439" s="92"/>
      <c r="G439" s="92"/>
      <c r="H439" s="92"/>
      <c r="I439" s="92"/>
      <c r="J439" s="92"/>
      <c r="K439" s="93"/>
      <c r="L439" s="93"/>
      <c r="M439" s="93"/>
      <c r="N439" s="93"/>
      <c r="O439" s="93"/>
      <c r="P439" s="93"/>
      <c r="Q439" s="93"/>
      <c r="R439" s="93"/>
      <c r="S439" s="92"/>
      <c r="T439" s="92"/>
      <c r="U439" s="92"/>
      <c r="V439" s="92"/>
      <c r="W439" s="92"/>
      <c r="X439" s="92"/>
      <c r="Y439" s="92"/>
      <c r="Z439" s="92"/>
      <c r="AA439" s="92"/>
      <c r="AB439" s="92"/>
      <c r="AC439" s="92"/>
      <c r="AD439" s="92"/>
      <c r="AE439" s="92"/>
      <c r="AF439" s="92"/>
      <c r="AG439" s="92"/>
      <c r="AH439" s="92"/>
      <c r="AI439" s="92"/>
      <c r="AJ439" s="92"/>
      <c r="AK439" s="92"/>
      <c r="AL439" s="92"/>
      <c r="AM439" s="92"/>
      <c r="AN439" s="92"/>
      <c r="AO439" s="92"/>
      <c r="AP439" s="92"/>
      <c r="AQ439" s="92"/>
      <c r="AR439" s="92"/>
      <c r="AS439" s="92"/>
      <c r="AT439" s="92"/>
      <c r="AU439" s="92"/>
      <c r="AV439" s="92"/>
      <c r="AW439" s="92"/>
      <c r="AX439" s="92"/>
      <c r="AY439" s="92"/>
      <c r="AZ439" s="92"/>
    </row>
    <row r="440" spans="1:52" ht="15.7" customHeight="1" x14ac:dyDescent="0.4">
      <c r="A440" s="22"/>
      <c r="B440" s="91"/>
      <c r="C440" s="91"/>
      <c r="D440" s="92"/>
      <c r="E440" s="92"/>
      <c r="F440" s="92"/>
      <c r="G440" s="92"/>
      <c r="H440" s="92"/>
      <c r="I440" s="92"/>
      <c r="J440" s="92"/>
      <c r="K440" s="93"/>
      <c r="L440" s="93"/>
      <c r="M440" s="93"/>
      <c r="N440" s="93"/>
      <c r="O440" s="93"/>
      <c r="P440" s="93"/>
      <c r="Q440" s="93"/>
      <c r="R440" s="93"/>
      <c r="S440" s="92"/>
      <c r="T440" s="92"/>
      <c r="U440" s="92"/>
      <c r="V440" s="92"/>
      <c r="W440" s="92"/>
      <c r="X440" s="92"/>
      <c r="Y440" s="92"/>
      <c r="Z440" s="92"/>
      <c r="AA440" s="92"/>
      <c r="AB440" s="92"/>
      <c r="AC440" s="92"/>
      <c r="AD440" s="92"/>
      <c r="AE440" s="92"/>
      <c r="AF440" s="92"/>
      <c r="AG440" s="92"/>
      <c r="AH440" s="92"/>
      <c r="AI440" s="92"/>
      <c r="AJ440" s="92"/>
      <c r="AK440" s="92"/>
      <c r="AL440" s="92"/>
      <c r="AM440" s="92"/>
      <c r="AN440" s="92"/>
      <c r="AO440" s="92"/>
      <c r="AP440" s="92"/>
      <c r="AQ440" s="92"/>
      <c r="AR440" s="92"/>
      <c r="AS440" s="92"/>
      <c r="AT440" s="92"/>
      <c r="AU440" s="92"/>
      <c r="AV440" s="92"/>
      <c r="AW440" s="92"/>
      <c r="AX440" s="92"/>
      <c r="AY440" s="92"/>
      <c r="AZ440" s="92"/>
    </row>
    <row r="441" spans="1:52" ht="15.7" customHeight="1" x14ac:dyDescent="0.4">
      <c r="A441" s="22"/>
      <c r="B441" s="91"/>
      <c r="C441" s="91"/>
      <c r="D441" s="92"/>
      <c r="E441" s="92"/>
      <c r="F441" s="92"/>
      <c r="G441" s="92"/>
      <c r="H441" s="92"/>
      <c r="I441" s="92"/>
      <c r="J441" s="92"/>
      <c r="K441" s="93"/>
      <c r="L441" s="93"/>
      <c r="M441" s="93"/>
      <c r="N441" s="93"/>
      <c r="O441" s="93"/>
      <c r="P441" s="93"/>
      <c r="Q441" s="93"/>
      <c r="R441" s="93"/>
      <c r="S441" s="92"/>
      <c r="T441" s="92"/>
      <c r="U441" s="92"/>
      <c r="V441" s="92"/>
      <c r="W441" s="92"/>
      <c r="X441" s="92"/>
      <c r="Y441" s="92"/>
      <c r="Z441" s="92"/>
      <c r="AA441" s="92"/>
      <c r="AB441" s="92"/>
      <c r="AC441" s="92"/>
      <c r="AD441" s="92"/>
      <c r="AE441" s="92"/>
      <c r="AF441" s="92"/>
      <c r="AG441" s="92"/>
      <c r="AH441" s="92"/>
      <c r="AI441" s="92"/>
      <c r="AJ441" s="92"/>
      <c r="AK441" s="92"/>
      <c r="AL441" s="92"/>
      <c r="AM441" s="92"/>
      <c r="AN441" s="92"/>
      <c r="AO441" s="92"/>
      <c r="AP441" s="92"/>
      <c r="AQ441" s="92"/>
      <c r="AR441" s="92"/>
      <c r="AS441" s="92"/>
      <c r="AT441" s="92"/>
      <c r="AU441" s="92"/>
      <c r="AV441" s="92"/>
      <c r="AW441" s="92"/>
      <c r="AX441" s="92"/>
      <c r="AY441" s="92"/>
      <c r="AZ441" s="92"/>
    </row>
    <row r="442" spans="1:52" ht="15.7" customHeight="1" x14ac:dyDescent="0.4">
      <c r="A442" s="22"/>
      <c r="B442" s="91"/>
      <c r="C442" s="91"/>
      <c r="D442" s="92"/>
      <c r="E442" s="92"/>
      <c r="F442" s="92"/>
      <c r="G442" s="92"/>
      <c r="H442" s="92"/>
      <c r="I442" s="92"/>
      <c r="J442" s="92"/>
      <c r="K442" s="93"/>
      <c r="L442" s="93"/>
      <c r="M442" s="93"/>
      <c r="N442" s="93"/>
      <c r="O442" s="93"/>
      <c r="P442" s="93"/>
      <c r="Q442" s="93"/>
      <c r="R442" s="93"/>
      <c r="S442" s="92"/>
      <c r="T442" s="92"/>
      <c r="U442" s="92"/>
      <c r="V442" s="92"/>
      <c r="W442" s="92"/>
      <c r="X442" s="92"/>
      <c r="Y442" s="92"/>
      <c r="Z442" s="92"/>
      <c r="AA442" s="92"/>
      <c r="AB442" s="92"/>
      <c r="AC442" s="92"/>
      <c r="AD442" s="92"/>
      <c r="AE442" s="92"/>
      <c r="AF442" s="92"/>
      <c r="AG442" s="92"/>
      <c r="AH442" s="92"/>
      <c r="AI442" s="92"/>
      <c r="AJ442" s="92"/>
      <c r="AK442" s="92"/>
      <c r="AL442" s="92"/>
      <c r="AM442" s="92"/>
      <c r="AN442" s="92"/>
      <c r="AO442" s="92"/>
      <c r="AP442" s="92"/>
      <c r="AQ442" s="92"/>
      <c r="AR442" s="92"/>
      <c r="AS442" s="92"/>
      <c r="AT442" s="92"/>
      <c r="AU442" s="92"/>
      <c r="AV442" s="92"/>
      <c r="AW442" s="92"/>
      <c r="AX442" s="92"/>
      <c r="AY442" s="92"/>
      <c r="AZ442" s="92"/>
    </row>
    <row r="443" spans="1:52" ht="15.7" customHeight="1" x14ac:dyDescent="0.4">
      <c r="A443" s="22"/>
      <c r="B443" s="91"/>
      <c r="C443" s="91"/>
      <c r="D443" s="92"/>
      <c r="E443" s="92"/>
      <c r="F443" s="92"/>
      <c r="G443" s="92"/>
      <c r="H443" s="92"/>
      <c r="I443" s="92"/>
      <c r="J443" s="92"/>
      <c r="K443" s="93"/>
      <c r="L443" s="93"/>
      <c r="M443" s="93"/>
      <c r="N443" s="93"/>
      <c r="O443" s="93"/>
      <c r="P443" s="93"/>
      <c r="Q443" s="93"/>
      <c r="R443" s="93"/>
      <c r="S443" s="92"/>
      <c r="T443" s="92"/>
      <c r="U443" s="92"/>
      <c r="V443" s="92"/>
      <c r="W443" s="92"/>
      <c r="X443" s="92"/>
      <c r="Y443" s="92"/>
      <c r="Z443" s="92"/>
      <c r="AA443" s="92"/>
      <c r="AB443" s="92"/>
      <c r="AC443" s="92"/>
      <c r="AD443" s="92"/>
      <c r="AE443" s="92"/>
      <c r="AF443" s="92"/>
      <c r="AG443" s="92"/>
      <c r="AH443" s="92"/>
      <c r="AI443" s="92"/>
      <c r="AJ443" s="92"/>
      <c r="AK443" s="92"/>
      <c r="AL443" s="92"/>
      <c r="AM443" s="92"/>
      <c r="AN443" s="92"/>
      <c r="AO443" s="92"/>
      <c r="AP443" s="92"/>
      <c r="AQ443" s="92"/>
      <c r="AR443" s="92"/>
      <c r="AS443" s="92"/>
      <c r="AT443" s="92"/>
      <c r="AU443" s="92"/>
      <c r="AV443" s="92"/>
      <c r="AW443" s="92"/>
      <c r="AX443" s="92"/>
      <c r="AY443" s="92"/>
      <c r="AZ443" s="92"/>
    </row>
    <row r="444" spans="1:52" ht="15.7" customHeight="1" x14ac:dyDescent="0.4">
      <c r="A444" s="22"/>
      <c r="B444" s="91"/>
      <c r="C444" s="91"/>
      <c r="D444" s="92"/>
      <c r="E444" s="92"/>
      <c r="F444" s="92"/>
      <c r="G444" s="92"/>
      <c r="H444" s="92"/>
      <c r="I444" s="92"/>
      <c r="J444" s="92"/>
      <c r="K444" s="93"/>
      <c r="L444" s="93"/>
      <c r="M444" s="93"/>
      <c r="N444" s="93"/>
      <c r="O444" s="93"/>
      <c r="P444" s="93"/>
      <c r="Q444" s="93"/>
      <c r="R444" s="93"/>
      <c r="S444" s="92"/>
      <c r="T444" s="92"/>
      <c r="U444" s="92"/>
      <c r="V444" s="92"/>
      <c r="W444" s="92"/>
      <c r="X444" s="92"/>
      <c r="Y444" s="92"/>
      <c r="Z444" s="92"/>
      <c r="AA444" s="92"/>
      <c r="AB444" s="92"/>
      <c r="AC444" s="92"/>
      <c r="AD444" s="92"/>
      <c r="AE444" s="92"/>
      <c r="AF444" s="92"/>
      <c r="AG444" s="92"/>
      <c r="AH444" s="92"/>
      <c r="AI444" s="92"/>
      <c r="AJ444" s="92"/>
      <c r="AK444" s="92"/>
      <c r="AL444" s="92"/>
      <c r="AM444" s="92"/>
      <c r="AN444" s="92"/>
      <c r="AO444" s="92"/>
      <c r="AP444" s="92"/>
      <c r="AQ444" s="92"/>
      <c r="AR444" s="92"/>
      <c r="AS444" s="92"/>
      <c r="AT444" s="92"/>
      <c r="AU444" s="92"/>
      <c r="AV444" s="92"/>
      <c r="AW444" s="92"/>
      <c r="AX444" s="92"/>
      <c r="AY444" s="92"/>
      <c r="AZ444" s="92"/>
    </row>
    <row r="445" spans="1:52" ht="15.7" customHeight="1" x14ac:dyDescent="0.4">
      <c r="A445" s="22"/>
      <c r="B445" s="91"/>
      <c r="C445" s="91"/>
      <c r="D445" s="92"/>
      <c r="E445" s="92"/>
      <c r="F445" s="92"/>
      <c r="G445" s="92"/>
      <c r="H445" s="92"/>
      <c r="I445" s="92"/>
      <c r="J445" s="92"/>
      <c r="K445" s="93"/>
      <c r="L445" s="93"/>
      <c r="M445" s="93"/>
      <c r="N445" s="93"/>
      <c r="O445" s="93"/>
      <c r="P445" s="93"/>
      <c r="Q445" s="93"/>
      <c r="R445" s="93"/>
      <c r="S445" s="92"/>
      <c r="T445" s="92"/>
      <c r="U445" s="92"/>
      <c r="V445" s="92"/>
      <c r="W445" s="92"/>
      <c r="X445" s="92"/>
      <c r="Y445" s="92"/>
      <c r="Z445" s="92"/>
      <c r="AA445" s="92"/>
      <c r="AB445" s="92"/>
      <c r="AC445" s="92"/>
      <c r="AD445" s="92"/>
      <c r="AE445" s="92"/>
      <c r="AF445" s="92"/>
      <c r="AG445" s="92"/>
      <c r="AH445" s="92"/>
      <c r="AI445" s="92"/>
      <c r="AJ445" s="92"/>
      <c r="AK445" s="92"/>
      <c r="AL445" s="92"/>
      <c r="AM445" s="92"/>
      <c r="AN445" s="92"/>
      <c r="AO445" s="92"/>
      <c r="AP445" s="92"/>
      <c r="AQ445" s="92"/>
      <c r="AR445" s="92"/>
      <c r="AS445" s="92"/>
      <c r="AT445" s="92"/>
      <c r="AU445" s="92"/>
      <c r="AV445" s="92"/>
      <c r="AW445" s="92"/>
      <c r="AX445" s="92"/>
      <c r="AY445" s="92"/>
      <c r="AZ445" s="92"/>
    </row>
    <row r="446" spans="1:52" ht="15.7" customHeight="1" x14ac:dyDescent="0.4">
      <c r="A446" s="22"/>
      <c r="B446" s="91"/>
      <c r="C446" s="91"/>
      <c r="D446" s="92"/>
      <c r="E446" s="92"/>
      <c r="F446" s="92"/>
      <c r="G446" s="92"/>
      <c r="H446" s="92"/>
      <c r="I446" s="92"/>
      <c r="J446" s="92"/>
      <c r="K446" s="93"/>
      <c r="L446" s="93"/>
      <c r="M446" s="93"/>
      <c r="N446" s="93"/>
      <c r="O446" s="93"/>
      <c r="P446" s="93"/>
      <c r="Q446" s="93"/>
      <c r="R446" s="93"/>
      <c r="S446" s="92"/>
      <c r="T446" s="92"/>
      <c r="U446" s="92"/>
      <c r="V446" s="92"/>
      <c r="W446" s="92"/>
      <c r="X446" s="92"/>
      <c r="Y446" s="92"/>
      <c r="Z446" s="92"/>
      <c r="AA446" s="92"/>
      <c r="AB446" s="92"/>
      <c r="AC446" s="92"/>
      <c r="AD446" s="92"/>
      <c r="AE446" s="92"/>
      <c r="AF446" s="92"/>
      <c r="AG446" s="92"/>
      <c r="AH446" s="92"/>
      <c r="AI446" s="92"/>
      <c r="AJ446" s="92"/>
      <c r="AK446" s="92"/>
      <c r="AL446" s="92"/>
      <c r="AM446" s="92"/>
      <c r="AN446" s="92"/>
      <c r="AO446" s="92"/>
      <c r="AP446" s="92"/>
      <c r="AQ446" s="92"/>
      <c r="AR446" s="92"/>
      <c r="AS446" s="92"/>
      <c r="AT446" s="92"/>
      <c r="AU446" s="92"/>
      <c r="AV446" s="92"/>
      <c r="AW446" s="92"/>
      <c r="AX446" s="92"/>
      <c r="AY446" s="92"/>
      <c r="AZ446" s="92"/>
    </row>
    <row r="447" spans="1:52" ht="15.7" customHeight="1" x14ac:dyDescent="0.4">
      <c r="A447" s="22"/>
      <c r="B447" s="91"/>
      <c r="C447" s="91"/>
      <c r="D447" s="92"/>
      <c r="E447" s="92"/>
      <c r="F447" s="92"/>
      <c r="G447" s="92"/>
      <c r="H447" s="92"/>
      <c r="I447" s="92"/>
      <c r="J447" s="92"/>
      <c r="K447" s="93"/>
      <c r="L447" s="93"/>
      <c r="M447" s="93"/>
      <c r="N447" s="93"/>
      <c r="O447" s="93"/>
      <c r="P447" s="93"/>
      <c r="Q447" s="93"/>
      <c r="R447" s="93"/>
      <c r="S447" s="92"/>
      <c r="T447" s="92"/>
      <c r="U447" s="92"/>
      <c r="V447" s="92"/>
      <c r="W447" s="92"/>
      <c r="X447" s="92"/>
      <c r="Y447" s="92"/>
      <c r="Z447" s="92"/>
      <c r="AA447" s="92"/>
      <c r="AB447" s="92"/>
      <c r="AC447" s="92"/>
      <c r="AD447" s="92"/>
      <c r="AE447" s="92"/>
      <c r="AF447" s="92"/>
      <c r="AG447" s="92"/>
      <c r="AH447" s="92"/>
      <c r="AI447" s="92"/>
      <c r="AJ447" s="92"/>
      <c r="AK447" s="92"/>
      <c r="AL447" s="92"/>
      <c r="AM447" s="92"/>
      <c r="AN447" s="92"/>
      <c r="AO447" s="92"/>
      <c r="AP447" s="92"/>
      <c r="AQ447" s="92"/>
      <c r="AR447" s="92"/>
      <c r="AS447" s="92"/>
      <c r="AT447" s="92"/>
      <c r="AU447" s="92"/>
      <c r="AV447" s="92"/>
      <c r="AW447" s="92"/>
      <c r="AX447" s="92"/>
      <c r="AY447" s="92"/>
      <c r="AZ447" s="92"/>
    </row>
    <row r="448" spans="1:52" ht="15.7" customHeight="1" x14ac:dyDescent="0.4">
      <c r="A448" s="22"/>
      <c r="B448" s="91"/>
      <c r="C448" s="91"/>
      <c r="D448" s="92"/>
      <c r="E448" s="92"/>
      <c r="F448" s="92"/>
      <c r="G448" s="92"/>
      <c r="H448" s="92"/>
      <c r="I448" s="92"/>
      <c r="J448" s="92"/>
      <c r="K448" s="93"/>
      <c r="L448" s="93"/>
      <c r="M448" s="93"/>
      <c r="N448" s="93"/>
      <c r="O448" s="93"/>
      <c r="P448" s="93"/>
      <c r="Q448" s="93"/>
      <c r="R448" s="93"/>
      <c r="S448" s="92"/>
      <c r="T448" s="92"/>
      <c r="U448" s="92"/>
      <c r="V448" s="92"/>
      <c r="W448" s="92"/>
      <c r="X448" s="92"/>
      <c r="Y448" s="92"/>
      <c r="Z448" s="92"/>
      <c r="AA448" s="92"/>
      <c r="AB448" s="92"/>
      <c r="AC448" s="92"/>
      <c r="AD448" s="92"/>
      <c r="AE448" s="92"/>
      <c r="AF448" s="92"/>
      <c r="AG448" s="92"/>
      <c r="AH448" s="92"/>
      <c r="AI448" s="92"/>
      <c r="AJ448" s="92"/>
      <c r="AK448" s="92"/>
      <c r="AL448" s="92"/>
      <c r="AM448" s="92"/>
      <c r="AN448" s="92"/>
      <c r="AO448" s="92"/>
      <c r="AP448" s="92"/>
      <c r="AQ448" s="92"/>
      <c r="AR448" s="92"/>
      <c r="AS448" s="92"/>
      <c r="AT448" s="92"/>
      <c r="AU448" s="92"/>
      <c r="AV448" s="92"/>
      <c r="AW448" s="92"/>
      <c r="AX448" s="92"/>
      <c r="AY448" s="92"/>
      <c r="AZ448" s="92"/>
    </row>
    <row r="449" spans="1:52" ht="15.7" customHeight="1" x14ac:dyDescent="0.4">
      <c r="A449" s="22"/>
      <c r="B449" s="91"/>
      <c r="C449" s="91"/>
      <c r="D449" s="92"/>
      <c r="E449" s="92"/>
      <c r="F449" s="92"/>
      <c r="G449" s="92"/>
      <c r="H449" s="92"/>
      <c r="I449" s="92"/>
      <c r="J449" s="92"/>
      <c r="K449" s="93"/>
      <c r="L449" s="93"/>
      <c r="M449" s="93"/>
      <c r="N449" s="93"/>
      <c r="O449" s="93"/>
      <c r="P449" s="93"/>
      <c r="Q449" s="93"/>
      <c r="R449" s="93"/>
      <c r="S449" s="92"/>
      <c r="T449" s="92"/>
      <c r="U449" s="92"/>
      <c r="V449" s="92"/>
      <c r="W449" s="92"/>
      <c r="X449" s="92"/>
      <c r="Y449" s="92"/>
      <c r="Z449" s="92"/>
      <c r="AA449" s="92"/>
      <c r="AB449" s="92"/>
      <c r="AC449" s="92"/>
      <c r="AD449" s="92"/>
      <c r="AE449" s="92"/>
      <c r="AF449" s="92"/>
      <c r="AG449" s="92"/>
      <c r="AH449" s="92"/>
      <c r="AI449" s="92"/>
      <c r="AJ449" s="92"/>
      <c r="AK449" s="92"/>
      <c r="AL449" s="92"/>
      <c r="AM449" s="92"/>
      <c r="AN449" s="92"/>
      <c r="AO449" s="92"/>
      <c r="AP449" s="92"/>
      <c r="AQ449" s="92"/>
      <c r="AR449" s="92"/>
      <c r="AS449" s="92"/>
      <c r="AT449" s="92"/>
      <c r="AU449" s="92"/>
      <c r="AV449" s="92"/>
      <c r="AW449" s="92"/>
      <c r="AX449" s="92"/>
      <c r="AY449" s="92"/>
      <c r="AZ449" s="92"/>
    </row>
    <row r="450" spans="1:52" ht="15.7" customHeight="1" x14ac:dyDescent="0.4">
      <c r="A450" s="22"/>
      <c r="B450" s="91"/>
      <c r="C450" s="91"/>
      <c r="D450" s="92"/>
      <c r="E450" s="92"/>
      <c r="F450" s="92"/>
      <c r="G450" s="92"/>
      <c r="H450" s="92"/>
      <c r="I450" s="92"/>
      <c r="J450" s="92"/>
      <c r="K450" s="93"/>
      <c r="L450" s="93"/>
      <c r="M450" s="93"/>
      <c r="N450" s="93"/>
      <c r="O450" s="93"/>
      <c r="P450" s="93"/>
      <c r="Q450" s="93"/>
      <c r="R450" s="93"/>
      <c r="S450" s="92"/>
      <c r="T450" s="92"/>
      <c r="U450" s="92"/>
      <c r="V450" s="92"/>
      <c r="W450" s="92"/>
      <c r="X450" s="92"/>
      <c r="Y450" s="92"/>
      <c r="Z450" s="92"/>
      <c r="AA450" s="92"/>
      <c r="AB450" s="92"/>
      <c r="AC450" s="92"/>
      <c r="AD450" s="92"/>
      <c r="AE450" s="92"/>
      <c r="AF450" s="92"/>
      <c r="AG450" s="92"/>
      <c r="AH450" s="92"/>
      <c r="AI450" s="92"/>
      <c r="AJ450" s="92"/>
      <c r="AK450" s="92"/>
      <c r="AL450" s="92"/>
      <c r="AM450" s="92"/>
      <c r="AN450" s="92"/>
      <c r="AO450" s="92"/>
      <c r="AP450" s="92"/>
      <c r="AQ450" s="92"/>
      <c r="AR450" s="92"/>
      <c r="AS450" s="92"/>
      <c r="AT450" s="92"/>
      <c r="AU450" s="92"/>
      <c r="AV450" s="92"/>
      <c r="AW450" s="92"/>
      <c r="AX450" s="92"/>
      <c r="AY450" s="92"/>
      <c r="AZ450" s="92"/>
    </row>
    <row r="451" spans="1:52" ht="15.7" customHeight="1" x14ac:dyDescent="0.4">
      <c r="A451" s="22"/>
      <c r="B451" s="91"/>
      <c r="C451" s="91"/>
      <c r="D451" s="92"/>
      <c r="E451" s="92"/>
      <c r="F451" s="92"/>
      <c r="G451" s="92"/>
      <c r="H451" s="92"/>
      <c r="I451" s="92"/>
      <c r="J451" s="92"/>
      <c r="K451" s="93"/>
      <c r="L451" s="93"/>
      <c r="M451" s="93"/>
      <c r="N451" s="93"/>
      <c r="O451" s="93"/>
      <c r="P451" s="93"/>
      <c r="Q451" s="93"/>
      <c r="R451" s="93"/>
      <c r="S451" s="92"/>
      <c r="T451" s="92"/>
      <c r="U451" s="92"/>
      <c r="V451" s="92"/>
      <c r="W451" s="92"/>
      <c r="X451" s="92"/>
      <c r="Y451" s="92"/>
      <c r="Z451" s="92"/>
      <c r="AA451" s="92"/>
      <c r="AB451" s="92"/>
      <c r="AC451" s="92"/>
      <c r="AD451" s="92"/>
      <c r="AE451" s="92"/>
      <c r="AF451" s="92"/>
      <c r="AG451" s="92"/>
      <c r="AH451" s="92"/>
      <c r="AI451" s="92"/>
      <c r="AJ451" s="92"/>
      <c r="AK451" s="92"/>
      <c r="AL451" s="92"/>
      <c r="AM451" s="92"/>
      <c r="AN451" s="92"/>
      <c r="AO451" s="92"/>
      <c r="AP451" s="92"/>
      <c r="AQ451" s="92"/>
      <c r="AR451" s="92"/>
      <c r="AS451" s="92"/>
      <c r="AT451" s="92"/>
      <c r="AU451" s="92"/>
      <c r="AV451" s="92"/>
      <c r="AW451" s="92"/>
      <c r="AX451" s="92"/>
      <c r="AY451" s="92"/>
      <c r="AZ451" s="92"/>
    </row>
    <row r="452" spans="1:52" ht="15.7" customHeight="1" x14ac:dyDescent="0.4">
      <c r="A452" s="22"/>
      <c r="B452" s="91"/>
      <c r="C452" s="91"/>
      <c r="D452" s="92"/>
      <c r="E452" s="92"/>
      <c r="F452" s="92"/>
      <c r="G452" s="92"/>
      <c r="H452" s="92"/>
      <c r="I452" s="92"/>
      <c r="J452" s="92"/>
      <c r="K452" s="93"/>
      <c r="L452" s="93"/>
      <c r="M452" s="93"/>
      <c r="N452" s="93"/>
      <c r="O452" s="93"/>
      <c r="P452" s="93"/>
      <c r="Q452" s="93"/>
      <c r="R452" s="93"/>
      <c r="S452" s="92"/>
      <c r="T452" s="92"/>
      <c r="U452" s="92"/>
      <c r="V452" s="92"/>
      <c r="W452" s="92"/>
      <c r="X452" s="92"/>
      <c r="Y452" s="92"/>
      <c r="Z452" s="92"/>
      <c r="AA452" s="92"/>
      <c r="AB452" s="92"/>
      <c r="AC452" s="92"/>
      <c r="AD452" s="92"/>
      <c r="AE452" s="92"/>
      <c r="AF452" s="92"/>
      <c r="AG452" s="92"/>
      <c r="AH452" s="92"/>
      <c r="AI452" s="92"/>
      <c r="AJ452" s="92"/>
      <c r="AK452" s="92"/>
      <c r="AL452" s="92"/>
      <c r="AM452" s="92"/>
      <c r="AN452" s="92"/>
      <c r="AO452" s="92"/>
      <c r="AP452" s="92"/>
      <c r="AQ452" s="92"/>
      <c r="AR452" s="92"/>
      <c r="AS452" s="92"/>
      <c r="AT452" s="92"/>
      <c r="AU452" s="92"/>
      <c r="AV452" s="92"/>
      <c r="AW452" s="92"/>
      <c r="AX452" s="92"/>
      <c r="AY452" s="92"/>
      <c r="AZ452" s="92"/>
    </row>
    <row r="453" spans="1:52" ht="15.7" customHeight="1" x14ac:dyDescent="0.4">
      <c r="A453" s="22"/>
      <c r="B453" s="91"/>
      <c r="C453" s="91"/>
      <c r="D453" s="92"/>
      <c r="E453" s="92"/>
      <c r="F453" s="92"/>
      <c r="G453" s="92"/>
      <c r="H453" s="92"/>
      <c r="I453" s="92"/>
      <c r="J453" s="92"/>
      <c r="K453" s="93"/>
      <c r="L453" s="93"/>
      <c r="M453" s="93"/>
      <c r="N453" s="93"/>
      <c r="O453" s="93"/>
      <c r="P453" s="93"/>
      <c r="Q453" s="93"/>
      <c r="R453" s="93"/>
      <c r="S453" s="92"/>
      <c r="T453" s="92"/>
      <c r="U453" s="92"/>
      <c r="V453" s="92"/>
      <c r="W453" s="92"/>
      <c r="X453" s="92"/>
      <c r="Y453" s="92"/>
      <c r="Z453" s="92"/>
      <c r="AA453" s="92"/>
      <c r="AB453" s="92"/>
      <c r="AC453" s="92"/>
      <c r="AD453" s="92"/>
      <c r="AE453" s="92"/>
      <c r="AF453" s="92"/>
      <c r="AG453" s="92"/>
      <c r="AH453" s="92"/>
      <c r="AI453" s="92"/>
      <c r="AJ453" s="92"/>
      <c r="AK453" s="92"/>
      <c r="AL453" s="92"/>
      <c r="AM453" s="92"/>
      <c r="AN453" s="92"/>
      <c r="AO453" s="92"/>
      <c r="AP453" s="92"/>
      <c r="AQ453" s="92"/>
      <c r="AR453" s="92"/>
      <c r="AS453" s="92"/>
      <c r="AT453" s="92"/>
      <c r="AU453" s="92"/>
      <c r="AV453" s="92"/>
      <c r="AW453" s="92"/>
      <c r="AX453" s="92"/>
      <c r="AY453" s="92"/>
      <c r="AZ453" s="92"/>
    </row>
    <row r="454" spans="1:52" ht="15.7" customHeight="1" x14ac:dyDescent="0.4">
      <c r="A454" s="22"/>
      <c r="B454" s="91"/>
      <c r="C454" s="91"/>
      <c r="D454" s="92"/>
      <c r="E454" s="92"/>
      <c r="F454" s="92"/>
      <c r="G454" s="92"/>
      <c r="H454" s="92"/>
      <c r="I454" s="92"/>
      <c r="J454" s="92"/>
      <c r="K454" s="93"/>
      <c r="L454" s="93"/>
      <c r="M454" s="93"/>
      <c r="N454" s="93"/>
      <c r="O454" s="93"/>
      <c r="P454" s="93"/>
      <c r="Q454" s="93"/>
      <c r="R454" s="93"/>
      <c r="S454" s="92"/>
      <c r="T454" s="92"/>
      <c r="U454" s="92"/>
      <c r="V454" s="92"/>
      <c r="W454" s="92"/>
      <c r="X454" s="92"/>
      <c r="Y454" s="92"/>
      <c r="Z454" s="92"/>
      <c r="AA454" s="92"/>
      <c r="AB454" s="92"/>
      <c r="AC454" s="92"/>
      <c r="AD454" s="92"/>
      <c r="AE454" s="92"/>
      <c r="AF454" s="92"/>
      <c r="AG454" s="92"/>
      <c r="AH454" s="92"/>
      <c r="AI454" s="92"/>
      <c r="AJ454" s="92"/>
      <c r="AK454" s="92"/>
      <c r="AL454" s="92"/>
      <c r="AM454" s="92"/>
      <c r="AN454" s="92"/>
      <c r="AO454" s="92"/>
      <c r="AP454" s="92"/>
      <c r="AQ454" s="92"/>
      <c r="AR454" s="92"/>
      <c r="AS454" s="92"/>
      <c r="AT454" s="92"/>
      <c r="AU454" s="92"/>
      <c r="AV454" s="92"/>
      <c r="AW454" s="92"/>
      <c r="AX454" s="92"/>
      <c r="AY454" s="92"/>
      <c r="AZ454" s="92"/>
    </row>
    <row r="455" spans="1:52" ht="15.7" customHeight="1" x14ac:dyDescent="0.4">
      <c r="A455" s="22"/>
      <c r="B455" s="91"/>
      <c r="C455" s="91"/>
      <c r="D455" s="92"/>
      <c r="E455" s="92"/>
      <c r="F455" s="92"/>
      <c r="G455" s="92"/>
      <c r="H455" s="92"/>
      <c r="I455" s="92"/>
      <c r="J455" s="92"/>
      <c r="K455" s="93"/>
      <c r="L455" s="93"/>
      <c r="M455" s="93"/>
      <c r="N455" s="93"/>
      <c r="O455" s="93"/>
      <c r="P455" s="93"/>
      <c r="Q455" s="93"/>
      <c r="R455" s="93"/>
      <c r="S455" s="92"/>
      <c r="T455" s="92"/>
      <c r="U455" s="92"/>
      <c r="V455" s="92"/>
      <c r="W455" s="92"/>
      <c r="X455" s="92"/>
      <c r="Y455" s="92"/>
      <c r="Z455" s="92"/>
      <c r="AA455" s="92"/>
      <c r="AB455" s="92"/>
      <c r="AC455" s="92"/>
      <c r="AD455" s="92"/>
      <c r="AE455" s="92"/>
      <c r="AF455" s="92"/>
      <c r="AG455" s="92"/>
      <c r="AH455" s="92"/>
      <c r="AI455" s="92"/>
      <c r="AJ455" s="92"/>
      <c r="AK455" s="92"/>
      <c r="AL455" s="92"/>
      <c r="AM455" s="92"/>
      <c r="AN455" s="92"/>
      <c r="AO455" s="92"/>
      <c r="AP455" s="92"/>
      <c r="AQ455" s="92"/>
      <c r="AR455" s="92"/>
      <c r="AS455" s="92"/>
      <c r="AT455" s="92"/>
      <c r="AU455" s="92"/>
      <c r="AV455" s="92"/>
      <c r="AW455" s="92"/>
      <c r="AX455" s="92"/>
      <c r="AY455" s="92"/>
      <c r="AZ455" s="92"/>
    </row>
    <row r="456" spans="1:52" ht="15.7" customHeight="1" x14ac:dyDescent="0.4">
      <c r="A456" s="22"/>
      <c r="B456" s="91"/>
      <c r="C456" s="91"/>
      <c r="D456" s="92"/>
      <c r="E456" s="92"/>
      <c r="F456" s="92"/>
      <c r="G456" s="92"/>
      <c r="H456" s="92"/>
      <c r="I456" s="92"/>
      <c r="J456" s="92"/>
      <c r="K456" s="93"/>
      <c r="L456" s="93"/>
      <c r="M456" s="93"/>
      <c r="N456" s="93"/>
      <c r="O456" s="93"/>
      <c r="P456" s="93"/>
      <c r="Q456" s="93"/>
      <c r="R456" s="93"/>
      <c r="S456" s="92"/>
      <c r="T456" s="92"/>
      <c r="U456" s="92"/>
      <c r="V456" s="92"/>
      <c r="W456" s="92"/>
      <c r="X456" s="92"/>
      <c r="Y456" s="92"/>
      <c r="Z456" s="92"/>
      <c r="AA456" s="92"/>
      <c r="AB456" s="92"/>
      <c r="AC456" s="92"/>
      <c r="AD456" s="92"/>
      <c r="AE456" s="92"/>
      <c r="AF456" s="92"/>
      <c r="AG456" s="92"/>
      <c r="AH456" s="92"/>
      <c r="AI456" s="92"/>
      <c r="AJ456" s="92"/>
      <c r="AK456" s="92"/>
      <c r="AL456" s="92"/>
      <c r="AM456" s="92"/>
      <c r="AN456" s="92"/>
      <c r="AO456" s="92"/>
      <c r="AP456" s="92"/>
      <c r="AQ456" s="92"/>
      <c r="AR456" s="92"/>
      <c r="AS456" s="92"/>
      <c r="AT456" s="92"/>
      <c r="AU456" s="92"/>
      <c r="AV456" s="92"/>
      <c r="AW456" s="92"/>
      <c r="AX456" s="92"/>
      <c r="AY456" s="92"/>
      <c r="AZ456" s="92"/>
    </row>
    <row r="457" spans="1:52" ht="15.7" customHeight="1" x14ac:dyDescent="0.4">
      <c r="A457" s="22"/>
      <c r="B457" s="91"/>
      <c r="C457" s="91"/>
      <c r="D457" s="92"/>
      <c r="E457" s="92"/>
      <c r="F457" s="92"/>
      <c r="G457" s="92"/>
      <c r="H457" s="92"/>
      <c r="I457" s="92"/>
      <c r="J457" s="92"/>
      <c r="K457" s="93"/>
      <c r="L457" s="93"/>
      <c r="M457" s="93"/>
      <c r="N457" s="93"/>
      <c r="O457" s="93"/>
      <c r="P457" s="93"/>
      <c r="Q457" s="93"/>
      <c r="R457" s="93"/>
      <c r="S457" s="92"/>
      <c r="T457" s="92"/>
      <c r="U457" s="92"/>
      <c r="V457" s="92"/>
      <c r="W457" s="92"/>
      <c r="X457" s="92"/>
      <c r="Y457" s="92"/>
      <c r="Z457" s="92"/>
      <c r="AA457" s="92"/>
      <c r="AB457" s="92"/>
      <c r="AC457" s="92"/>
      <c r="AD457" s="92"/>
      <c r="AE457" s="92"/>
      <c r="AF457" s="92"/>
      <c r="AG457" s="92"/>
      <c r="AH457" s="92"/>
      <c r="AI457" s="92"/>
      <c r="AJ457" s="92"/>
      <c r="AK457" s="92"/>
      <c r="AL457" s="92"/>
      <c r="AM457" s="92"/>
      <c r="AN457" s="92"/>
      <c r="AO457" s="92"/>
      <c r="AP457" s="92"/>
      <c r="AQ457" s="92"/>
      <c r="AR457" s="92"/>
      <c r="AS457" s="92"/>
      <c r="AT457" s="92"/>
      <c r="AU457" s="92"/>
      <c r="AV457" s="92"/>
      <c r="AW457" s="92"/>
      <c r="AX457" s="92"/>
      <c r="AY457" s="92"/>
      <c r="AZ457" s="92"/>
    </row>
    <row r="458" spans="1:52" ht="15.7" customHeight="1" x14ac:dyDescent="0.4">
      <c r="A458" s="22"/>
      <c r="B458" s="91"/>
      <c r="C458" s="91"/>
      <c r="D458" s="92"/>
      <c r="E458" s="92"/>
      <c r="F458" s="92"/>
      <c r="G458" s="92"/>
      <c r="H458" s="92"/>
      <c r="I458" s="92"/>
      <c r="J458" s="92"/>
      <c r="K458" s="93"/>
      <c r="L458" s="93"/>
      <c r="M458" s="93"/>
      <c r="N458" s="93"/>
      <c r="O458" s="93"/>
      <c r="P458" s="93"/>
      <c r="Q458" s="93"/>
      <c r="R458" s="93"/>
      <c r="S458" s="92"/>
      <c r="T458" s="92"/>
      <c r="U458" s="92"/>
      <c r="V458" s="92"/>
      <c r="W458" s="92"/>
      <c r="X458" s="92"/>
      <c r="Y458" s="92"/>
      <c r="Z458" s="92"/>
      <c r="AA458" s="92"/>
      <c r="AB458" s="92"/>
      <c r="AC458" s="92"/>
      <c r="AD458" s="92"/>
      <c r="AE458" s="92"/>
      <c r="AF458" s="92"/>
      <c r="AG458" s="92"/>
      <c r="AH458" s="92"/>
      <c r="AI458" s="92"/>
      <c r="AJ458" s="92"/>
      <c r="AK458" s="92"/>
      <c r="AL458" s="92"/>
      <c r="AM458" s="92"/>
      <c r="AN458" s="92"/>
      <c r="AO458" s="92"/>
      <c r="AP458" s="92"/>
      <c r="AQ458" s="92"/>
      <c r="AR458" s="92"/>
      <c r="AS458" s="92"/>
      <c r="AT458" s="92"/>
      <c r="AU458" s="92"/>
      <c r="AV458" s="92"/>
      <c r="AW458" s="92"/>
      <c r="AX458" s="92"/>
      <c r="AY458" s="92"/>
      <c r="AZ458" s="92"/>
    </row>
    <row r="459" spans="1:52" ht="15.7" customHeight="1" x14ac:dyDescent="0.4">
      <c r="A459" s="22"/>
      <c r="B459" s="91"/>
      <c r="C459" s="91"/>
      <c r="D459" s="92"/>
      <c r="E459" s="92"/>
      <c r="F459" s="92"/>
      <c r="G459" s="92"/>
      <c r="H459" s="92"/>
      <c r="I459" s="92"/>
      <c r="J459" s="92"/>
      <c r="K459" s="93"/>
      <c r="L459" s="93"/>
      <c r="M459" s="93"/>
      <c r="N459" s="93"/>
      <c r="O459" s="93"/>
      <c r="P459" s="93"/>
      <c r="Q459" s="93"/>
      <c r="R459" s="93"/>
      <c r="S459" s="92"/>
      <c r="T459" s="92"/>
      <c r="U459" s="92"/>
      <c r="V459" s="92"/>
      <c r="W459" s="92"/>
      <c r="X459" s="92"/>
      <c r="Y459" s="92"/>
      <c r="Z459" s="92"/>
      <c r="AA459" s="92"/>
      <c r="AB459" s="92"/>
      <c r="AC459" s="92"/>
      <c r="AD459" s="92"/>
      <c r="AE459" s="92"/>
      <c r="AF459" s="92"/>
      <c r="AG459" s="92"/>
      <c r="AH459" s="92"/>
      <c r="AI459" s="92"/>
      <c r="AJ459" s="92"/>
      <c r="AK459" s="92"/>
      <c r="AL459" s="92"/>
      <c r="AM459" s="92"/>
      <c r="AN459" s="92"/>
      <c r="AO459" s="92"/>
      <c r="AP459" s="92"/>
      <c r="AQ459" s="92"/>
      <c r="AR459" s="92"/>
      <c r="AS459" s="92"/>
      <c r="AT459" s="92"/>
      <c r="AU459" s="92"/>
      <c r="AV459" s="92"/>
      <c r="AW459" s="92"/>
      <c r="AX459" s="92"/>
      <c r="AY459" s="92"/>
      <c r="AZ459" s="92"/>
    </row>
    <row r="460" spans="1:52" ht="15.7" customHeight="1" x14ac:dyDescent="0.4">
      <c r="A460" s="22"/>
      <c r="B460" s="91"/>
      <c r="C460" s="91"/>
      <c r="D460" s="92"/>
      <c r="E460" s="92"/>
      <c r="F460" s="92"/>
      <c r="G460" s="92"/>
      <c r="H460" s="92"/>
      <c r="I460" s="92"/>
      <c r="J460" s="92"/>
      <c r="K460" s="93"/>
      <c r="L460" s="93"/>
      <c r="M460" s="93"/>
      <c r="N460" s="93"/>
      <c r="O460" s="93"/>
      <c r="P460" s="93"/>
      <c r="Q460" s="93"/>
      <c r="R460" s="93"/>
      <c r="S460" s="92"/>
      <c r="T460" s="92"/>
      <c r="U460" s="92"/>
      <c r="V460" s="92"/>
      <c r="W460" s="92"/>
      <c r="X460" s="92"/>
      <c r="Y460" s="92"/>
      <c r="Z460" s="92"/>
      <c r="AA460" s="92"/>
      <c r="AB460" s="92"/>
      <c r="AC460" s="92"/>
      <c r="AD460" s="92"/>
      <c r="AE460" s="92"/>
      <c r="AF460" s="92"/>
      <c r="AG460" s="92"/>
      <c r="AH460" s="92"/>
      <c r="AI460" s="92"/>
      <c r="AJ460" s="92"/>
      <c r="AK460" s="92"/>
      <c r="AL460" s="92"/>
      <c r="AM460" s="92"/>
      <c r="AN460" s="92"/>
      <c r="AO460" s="92"/>
      <c r="AP460" s="92"/>
      <c r="AQ460" s="92"/>
      <c r="AR460" s="92"/>
      <c r="AS460" s="92"/>
      <c r="AT460" s="92"/>
      <c r="AU460" s="92"/>
      <c r="AV460" s="92"/>
      <c r="AW460" s="92"/>
      <c r="AX460" s="92"/>
      <c r="AY460" s="92"/>
      <c r="AZ460" s="92"/>
    </row>
    <row r="461" spans="1:52" ht="15.7" customHeight="1" x14ac:dyDescent="0.4">
      <c r="A461" s="22"/>
      <c r="B461" s="91"/>
      <c r="C461" s="91"/>
      <c r="D461" s="92"/>
      <c r="E461" s="92"/>
      <c r="F461" s="92"/>
      <c r="G461" s="92"/>
      <c r="H461" s="92"/>
      <c r="I461" s="92"/>
      <c r="J461" s="92"/>
      <c r="K461" s="93"/>
      <c r="L461" s="93"/>
      <c r="M461" s="93"/>
      <c r="N461" s="93"/>
      <c r="O461" s="93"/>
      <c r="P461" s="93"/>
      <c r="Q461" s="93"/>
      <c r="R461" s="93"/>
      <c r="S461" s="92"/>
      <c r="T461" s="92"/>
      <c r="U461" s="92"/>
      <c r="V461" s="92"/>
      <c r="W461" s="92"/>
      <c r="X461" s="92"/>
      <c r="Y461" s="92"/>
      <c r="Z461" s="92"/>
      <c r="AA461" s="92"/>
      <c r="AB461" s="92"/>
      <c r="AC461" s="92"/>
      <c r="AD461" s="92"/>
      <c r="AE461" s="92"/>
      <c r="AF461" s="92"/>
      <c r="AG461" s="92"/>
      <c r="AH461" s="92"/>
      <c r="AI461" s="92"/>
      <c r="AJ461" s="92"/>
      <c r="AK461" s="92"/>
      <c r="AL461" s="92"/>
      <c r="AM461" s="92"/>
      <c r="AN461" s="92"/>
      <c r="AO461" s="92"/>
      <c r="AP461" s="92"/>
      <c r="AQ461" s="92"/>
      <c r="AR461" s="92"/>
      <c r="AS461" s="92"/>
      <c r="AT461" s="92"/>
      <c r="AU461" s="92"/>
      <c r="AV461" s="92"/>
      <c r="AW461" s="92"/>
      <c r="AX461" s="92"/>
      <c r="AY461" s="92"/>
      <c r="AZ461" s="92"/>
    </row>
    <row r="462" spans="1:52" ht="15.7" customHeight="1" x14ac:dyDescent="0.4">
      <c r="A462" s="22"/>
      <c r="B462" s="91"/>
      <c r="C462" s="91"/>
      <c r="D462" s="92"/>
      <c r="E462" s="92"/>
      <c r="F462" s="92"/>
      <c r="G462" s="92"/>
      <c r="H462" s="92"/>
      <c r="I462" s="92"/>
      <c r="J462" s="92"/>
      <c r="K462" s="93"/>
      <c r="L462" s="93"/>
      <c r="M462" s="93"/>
      <c r="N462" s="93"/>
      <c r="O462" s="93"/>
      <c r="P462" s="93"/>
      <c r="Q462" s="93"/>
      <c r="R462" s="93"/>
      <c r="S462" s="92"/>
      <c r="T462" s="92"/>
      <c r="U462" s="92"/>
      <c r="V462" s="92"/>
      <c r="W462" s="92"/>
      <c r="X462" s="92"/>
      <c r="Y462" s="92"/>
      <c r="Z462" s="92"/>
      <c r="AA462" s="92"/>
      <c r="AB462" s="92"/>
      <c r="AC462" s="92"/>
      <c r="AD462" s="92"/>
      <c r="AE462" s="92"/>
      <c r="AF462" s="92"/>
      <c r="AG462" s="92"/>
      <c r="AH462" s="92"/>
      <c r="AI462" s="92"/>
      <c r="AJ462" s="92"/>
      <c r="AK462" s="92"/>
      <c r="AL462" s="92"/>
      <c r="AM462" s="92"/>
      <c r="AN462" s="92"/>
      <c r="AO462" s="92"/>
      <c r="AP462" s="92"/>
      <c r="AQ462" s="92"/>
      <c r="AR462" s="92"/>
      <c r="AS462" s="92"/>
      <c r="AT462" s="92"/>
      <c r="AU462" s="92"/>
      <c r="AV462" s="92"/>
      <c r="AW462" s="92"/>
      <c r="AX462" s="92"/>
      <c r="AY462" s="92"/>
      <c r="AZ462" s="92"/>
    </row>
    <row r="463" spans="1:52" ht="15.7" customHeight="1" x14ac:dyDescent="0.4">
      <c r="A463" s="22"/>
      <c r="B463" s="91"/>
      <c r="C463" s="91"/>
      <c r="D463" s="92"/>
      <c r="E463" s="92"/>
      <c r="F463" s="92"/>
      <c r="G463" s="92"/>
      <c r="H463" s="92"/>
      <c r="I463" s="92"/>
      <c r="J463" s="92"/>
      <c r="K463" s="93"/>
      <c r="L463" s="93"/>
      <c r="M463" s="93"/>
      <c r="N463" s="93"/>
      <c r="O463" s="93"/>
      <c r="P463" s="93"/>
      <c r="Q463" s="93"/>
      <c r="R463" s="93"/>
      <c r="S463" s="92"/>
      <c r="T463" s="92"/>
      <c r="U463" s="92"/>
      <c r="V463" s="92"/>
      <c r="W463" s="92"/>
      <c r="X463" s="92"/>
      <c r="Y463" s="92"/>
      <c r="Z463" s="92"/>
      <c r="AA463" s="92"/>
      <c r="AB463" s="92"/>
      <c r="AC463" s="92"/>
      <c r="AD463" s="92"/>
      <c r="AE463" s="92"/>
      <c r="AF463" s="92"/>
      <c r="AG463" s="92"/>
      <c r="AH463" s="92"/>
      <c r="AI463" s="92"/>
      <c r="AJ463" s="92"/>
      <c r="AK463" s="92"/>
      <c r="AL463" s="92"/>
      <c r="AM463" s="92"/>
      <c r="AN463" s="92"/>
      <c r="AO463" s="92"/>
      <c r="AP463" s="92"/>
      <c r="AQ463" s="92"/>
      <c r="AR463" s="92"/>
      <c r="AS463" s="92"/>
      <c r="AT463" s="92"/>
      <c r="AU463" s="92"/>
      <c r="AV463" s="92"/>
      <c r="AW463" s="92"/>
      <c r="AX463" s="92"/>
      <c r="AY463" s="92"/>
      <c r="AZ463" s="92"/>
    </row>
    <row r="464" spans="1:52" ht="15.7" customHeight="1" x14ac:dyDescent="0.4">
      <c r="A464" s="22"/>
      <c r="B464" s="91"/>
      <c r="C464" s="91"/>
      <c r="D464" s="92"/>
      <c r="E464" s="92"/>
      <c r="F464" s="92"/>
      <c r="G464" s="92"/>
      <c r="H464" s="92"/>
      <c r="I464" s="92"/>
      <c r="J464" s="92"/>
      <c r="K464" s="93"/>
      <c r="L464" s="93"/>
      <c r="M464" s="93"/>
      <c r="N464" s="93"/>
      <c r="O464" s="93"/>
      <c r="P464" s="93"/>
      <c r="Q464" s="93"/>
      <c r="R464" s="93"/>
      <c r="S464" s="92"/>
      <c r="T464" s="92"/>
      <c r="U464" s="92"/>
      <c r="V464" s="92"/>
      <c r="W464" s="92"/>
      <c r="X464" s="92"/>
      <c r="Y464" s="92"/>
      <c r="Z464" s="92"/>
      <c r="AA464" s="92"/>
      <c r="AB464" s="92"/>
      <c r="AC464" s="92"/>
      <c r="AD464" s="92"/>
      <c r="AE464" s="92"/>
      <c r="AF464" s="92"/>
      <c r="AG464" s="92"/>
      <c r="AH464" s="92"/>
      <c r="AI464" s="92"/>
      <c r="AJ464" s="92"/>
      <c r="AK464" s="92"/>
      <c r="AL464" s="92"/>
      <c r="AM464" s="92"/>
      <c r="AN464" s="92"/>
      <c r="AO464" s="92"/>
      <c r="AP464" s="92"/>
      <c r="AQ464" s="92"/>
      <c r="AR464" s="92"/>
      <c r="AS464" s="92"/>
      <c r="AT464" s="92"/>
      <c r="AU464" s="92"/>
      <c r="AV464" s="92"/>
      <c r="AW464" s="92"/>
      <c r="AX464" s="92"/>
      <c r="AY464" s="92"/>
      <c r="AZ464" s="92"/>
    </row>
    <row r="465" spans="1:52" ht="15.7" customHeight="1" x14ac:dyDescent="0.4">
      <c r="A465" s="22"/>
      <c r="B465" s="91"/>
      <c r="C465" s="91"/>
      <c r="D465" s="92"/>
      <c r="E465" s="92"/>
      <c r="F465" s="92"/>
      <c r="G465" s="92"/>
      <c r="H465" s="92"/>
      <c r="I465" s="92"/>
      <c r="J465" s="92"/>
      <c r="K465" s="93"/>
      <c r="L465" s="93"/>
      <c r="M465" s="93"/>
      <c r="N465" s="93"/>
      <c r="O465" s="93"/>
      <c r="P465" s="93"/>
      <c r="Q465" s="93"/>
      <c r="R465" s="93"/>
      <c r="S465" s="92"/>
      <c r="T465" s="92"/>
      <c r="U465" s="92"/>
      <c r="V465" s="92"/>
      <c r="W465" s="92"/>
      <c r="X465" s="92"/>
      <c r="Y465" s="92"/>
      <c r="Z465" s="92"/>
      <c r="AA465" s="92"/>
      <c r="AB465" s="92"/>
      <c r="AC465" s="92"/>
      <c r="AD465" s="92"/>
      <c r="AE465" s="92"/>
      <c r="AF465" s="92"/>
      <c r="AG465" s="92"/>
      <c r="AH465" s="92"/>
      <c r="AI465" s="92"/>
      <c r="AJ465" s="92"/>
      <c r="AK465" s="92"/>
      <c r="AL465" s="92"/>
      <c r="AM465" s="92"/>
      <c r="AN465" s="92"/>
      <c r="AO465" s="92"/>
      <c r="AP465" s="92"/>
      <c r="AQ465" s="92"/>
      <c r="AR465" s="92"/>
      <c r="AS465" s="92"/>
      <c r="AT465" s="92"/>
      <c r="AU465" s="92"/>
      <c r="AV465" s="92"/>
      <c r="AW465" s="92"/>
      <c r="AX465" s="92"/>
      <c r="AY465" s="92"/>
      <c r="AZ465" s="92"/>
    </row>
    <row r="466" spans="1:52" ht="15.7" customHeight="1" x14ac:dyDescent="0.4">
      <c r="A466" s="22"/>
      <c r="B466" s="91"/>
      <c r="C466" s="91"/>
      <c r="D466" s="92"/>
      <c r="E466" s="92"/>
      <c r="F466" s="92"/>
      <c r="G466" s="92"/>
      <c r="H466" s="92"/>
      <c r="I466" s="92"/>
      <c r="J466" s="92"/>
      <c r="K466" s="93"/>
      <c r="L466" s="93"/>
      <c r="M466" s="93"/>
      <c r="N466" s="93"/>
      <c r="O466" s="93"/>
      <c r="P466" s="93"/>
      <c r="Q466" s="93"/>
      <c r="R466" s="93"/>
      <c r="S466" s="92"/>
      <c r="T466" s="92"/>
      <c r="U466" s="92"/>
      <c r="V466" s="92"/>
      <c r="W466" s="92"/>
      <c r="X466" s="92"/>
      <c r="Y466" s="92"/>
      <c r="Z466" s="92"/>
      <c r="AA466" s="92"/>
      <c r="AB466" s="92"/>
      <c r="AC466" s="92"/>
      <c r="AD466" s="92"/>
      <c r="AE466" s="92"/>
      <c r="AF466" s="92"/>
      <c r="AG466" s="92"/>
      <c r="AH466" s="92"/>
      <c r="AI466" s="92"/>
      <c r="AJ466" s="92"/>
      <c r="AK466" s="92"/>
      <c r="AL466" s="92"/>
      <c r="AM466" s="92"/>
      <c r="AN466" s="92"/>
      <c r="AO466" s="92"/>
      <c r="AP466" s="92"/>
      <c r="AQ466" s="92"/>
      <c r="AR466" s="92"/>
      <c r="AS466" s="92"/>
      <c r="AT466" s="92"/>
      <c r="AU466" s="92"/>
      <c r="AV466" s="92"/>
      <c r="AW466" s="92"/>
      <c r="AX466" s="92"/>
      <c r="AY466" s="92"/>
      <c r="AZ466" s="92"/>
    </row>
    <row r="467" spans="1:52" ht="15.7" customHeight="1" x14ac:dyDescent="0.4">
      <c r="A467" s="22"/>
      <c r="B467" s="91"/>
      <c r="C467" s="91"/>
      <c r="D467" s="92"/>
      <c r="E467" s="92"/>
      <c r="F467" s="92"/>
      <c r="G467" s="92"/>
      <c r="H467" s="92"/>
      <c r="I467" s="92"/>
      <c r="J467" s="92"/>
      <c r="K467" s="93"/>
      <c r="L467" s="93"/>
      <c r="M467" s="93"/>
      <c r="N467" s="93"/>
      <c r="O467" s="93"/>
      <c r="P467" s="93"/>
      <c r="Q467" s="93"/>
      <c r="R467" s="93"/>
      <c r="S467" s="92"/>
      <c r="T467" s="92"/>
      <c r="U467" s="92"/>
      <c r="V467" s="92"/>
      <c r="W467" s="92"/>
      <c r="X467" s="92"/>
      <c r="Y467" s="92"/>
      <c r="Z467" s="92"/>
      <c r="AA467" s="92"/>
      <c r="AB467" s="92"/>
      <c r="AC467" s="92"/>
      <c r="AD467" s="92"/>
      <c r="AE467" s="92"/>
      <c r="AF467" s="92"/>
      <c r="AG467" s="92"/>
      <c r="AH467" s="92"/>
      <c r="AI467" s="92"/>
      <c r="AJ467" s="92"/>
      <c r="AK467" s="92"/>
      <c r="AL467" s="92"/>
      <c r="AM467" s="92"/>
      <c r="AN467" s="92"/>
      <c r="AO467" s="92"/>
      <c r="AP467" s="92"/>
      <c r="AQ467" s="92"/>
      <c r="AR467" s="92"/>
      <c r="AS467" s="92"/>
      <c r="AT467" s="92"/>
      <c r="AU467" s="92"/>
      <c r="AV467" s="92"/>
      <c r="AW467" s="92"/>
      <c r="AX467" s="92"/>
      <c r="AY467" s="92"/>
      <c r="AZ467" s="92"/>
    </row>
    <row r="468" spans="1:52" ht="15.7" customHeight="1" x14ac:dyDescent="0.4">
      <c r="A468" s="22"/>
      <c r="B468" s="91"/>
      <c r="C468" s="91"/>
      <c r="D468" s="92"/>
      <c r="E468" s="92"/>
      <c r="F468" s="92"/>
      <c r="G468" s="92"/>
      <c r="H468" s="92"/>
      <c r="I468" s="92"/>
      <c r="J468" s="92"/>
      <c r="K468" s="93"/>
      <c r="L468" s="93"/>
      <c r="M468" s="93"/>
      <c r="N468" s="93"/>
      <c r="O468" s="93"/>
      <c r="P468" s="93"/>
      <c r="Q468" s="93"/>
      <c r="R468" s="93"/>
      <c r="S468" s="92"/>
      <c r="T468" s="92"/>
      <c r="U468" s="92"/>
      <c r="V468" s="92"/>
      <c r="W468" s="92"/>
      <c r="X468" s="92"/>
      <c r="Y468" s="92"/>
      <c r="Z468" s="92"/>
      <c r="AA468" s="92"/>
      <c r="AB468" s="92"/>
      <c r="AC468" s="92"/>
      <c r="AD468" s="92"/>
      <c r="AE468" s="92"/>
      <c r="AF468" s="92"/>
      <c r="AG468" s="92"/>
      <c r="AH468" s="92"/>
      <c r="AI468" s="92"/>
      <c r="AJ468" s="92"/>
      <c r="AK468" s="92"/>
      <c r="AL468" s="92"/>
      <c r="AM468" s="92"/>
      <c r="AN468" s="92"/>
      <c r="AO468" s="92"/>
      <c r="AP468" s="92"/>
      <c r="AQ468" s="92"/>
      <c r="AR468" s="92"/>
      <c r="AS468" s="92"/>
      <c r="AT468" s="92"/>
      <c r="AU468" s="92"/>
      <c r="AV468" s="92"/>
      <c r="AW468" s="92"/>
      <c r="AX468" s="92"/>
      <c r="AY468" s="92"/>
      <c r="AZ468" s="92"/>
    </row>
    <row r="469" spans="1:52" ht="15.7" customHeight="1" x14ac:dyDescent="0.4">
      <c r="A469" s="22"/>
      <c r="B469" s="91"/>
      <c r="C469" s="91"/>
      <c r="D469" s="92"/>
      <c r="E469" s="92"/>
      <c r="F469" s="92"/>
      <c r="G469" s="92"/>
      <c r="H469" s="92"/>
      <c r="I469" s="92"/>
      <c r="J469" s="92"/>
      <c r="K469" s="93"/>
      <c r="L469" s="93"/>
      <c r="M469" s="93"/>
      <c r="N469" s="93"/>
      <c r="O469" s="93"/>
      <c r="P469" s="93"/>
      <c r="Q469" s="93"/>
      <c r="R469" s="93"/>
      <c r="S469" s="92"/>
      <c r="T469" s="92"/>
      <c r="U469" s="92"/>
      <c r="V469" s="92"/>
      <c r="W469" s="92"/>
      <c r="X469" s="92"/>
      <c r="Y469" s="92"/>
      <c r="Z469" s="92"/>
      <c r="AA469" s="92"/>
      <c r="AB469" s="92"/>
      <c r="AC469" s="92"/>
      <c r="AD469" s="92"/>
      <c r="AE469" s="92"/>
      <c r="AF469" s="92"/>
      <c r="AG469" s="92"/>
      <c r="AH469" s="92"/>
      <c r="AI469" s="92"/>
      <c r="AJ469" s="92"/>
      <c r="AK469" s="92"/>
      <c r="AL469" s="92"/>
      <c r="AM469" s="92"/>
      <c r="AN469" s="92"/>
      <c r="AO469" s="92"/>
      <c r="AP469" s="92"/>
      <c r="AQ469" s="92"/>
      <c r="AR469" s="92"/>
      <c r="AS469" s="92"/>
      <c r="AT469" s="92"/>
      <c r="AU469" s="92"/>
      <c r="AV469" s="92"/>
      <c r="AW469" s="92"/>
      <c r="AX469" s="92"/>
      <c r="AY469" s="92"/>
      <c r="AZ469" s="92"/>
    </row>
    <row r="470" spans="1:52" ht="15.7" customHeight="1" x14ac:dyDescent="0.4">
      <c r="A470" s="22"/>
      <c r="B470" s="91"/>
      <c r="C470" s="91"/>
      <c r="D470" s="92"/>
      <c r="E470" s="92"/>
      <c r="F470" s="92"/>
      <c r="G470" s="92"/>
      <c r="H470" s="92"/>
      <c r="I470" s="92"/>
      <c r="J470" s="92"/>
      <c r="K470" s="93"/>
      <c r="L470" s="93"/>
      <c r="M470" s="93"/>
      <c r="N470" s="93"/>
      <c r="O470" s="93"/>
      <c r="P470" s="93"/>
      <c r="Q470" s="93"/>
      <c r="R470" s="93"/>
      <c r="S470" s="92"/>
      <c r="T470" s="92"/>
      <c r="U470" s="92"/>
      <c r="V470" s="92"/>
      <c r="W470" s="92"/>
      <c r="X470" s="92"/>
      <c r="Y470" s="92"/>
      <c r="Z470" s="92"/>
      <c r="AA470" s="92"/>
      <c r="AB470" s="92"/>
      <c r="AC470" s="92"/>
      <c r="AD470" s="92"/>
      <c r="AE470" s="92"/>
      <c r="AF470" s="92"/>
      <c r="AG470" s="92"/>
      <c r="AH470" s="92"/>
      <c r="AI470" s="92"/>
      <c r="AJ470" s="92"/>
      <c r="AK470" s="92"/>
      <c r="AL470" s="92"/>
      <c r="AM470" s="92"/>
      <c r="AN470" s="92"/>
      <c r="AO470" s="92"/>
      <c r="AP470" s="92"/>
      <c r="AQ470" s="92"/>
      <c r="AR470" s="92"/>
      <c r="AS470" s="92"/>
      <c r="AT470" s="92"/>
      <c r="AU470" s="92"/>
      <c r="AV470" s="92"/>
      <c r="AW470" s="92"/>
      <c r="AX470" s="92"/>
      <c r="AY470" s="92"/>
      <c r="AZ470" s="92"/>
    </row>
    <row r="471" spans="1:52" ht="15.7" customHeight="1" x14ac:dyDescent="0.4">
      <c r="A471" s="22"/>
      <c r="B471" s="91"/>
      <c r="C471" s="91"/>
      <c r="D471" s="92"/>
      <c r="E471" s="92"/>
      <c r="F471" s="92"/>
      <c r="G471" s="92"/>
      <c r="H471" s="92"/>
      <c r="I471" s="92"/>
      <c r="J471" s="92"/>
      <c r="K471" s="93"/>
      <c r="L471" s="93"/>
      <c r="M471" s="93"/>
      <c r="N471" s="93"/>
      <c r="O471" s="93"/>
      <c r="P471" s="93"/>
      <c r="Q471" s="93"/>
      <c r="R471" s="93"/>
      <c r="S471" s="92"/>
      <c r="T471" s="92"/>
      <c r="U471" s="92"/>
      <c r="V471" s="92"/>
      <c r="W471" s="92"/>
      <c r="X471" s="92"/>
      <c r="Y471" s="92"/>
      <c r="Z471" s="92"/>
      <c r="AA471" s="92"/>
      <c r="AB471" s="92"/>
      <c r="AC471" s="92"/>
      <c r="AD471" s="92"/>
      <c r="AE471" s="92"/>
      <c r="AF471" s="92"/>
      <c r="AG471" s="92"/>
      <c r="AH471" s="92"/>
      <c r="AI471" s="92"/>
      <c r="AJ471" s="92"/>
      <c r="AK471" s="92"/>
      <c r="AL471" s="92"/>
      <c r="AM471" s="92"/>
      <c r="AN471" s="92"/>
      <c r="AO471" s="92"/>
      <c r="AP471" s="92"/>
      <c r="AQ471" s="92"/>
      <c r="AR471" s="92"/>
      <c r="AS471" s="92"/>
      <c r="AT471" s="92"/>
      <c r="AU471" s="92"/>
      <c r="AV471" s="92"/>
      <c r="AW471" s="92"/>
      <c r="AX471" s="92"/>
      <c r="AY471" s="92"/>
      <c r="AZ471" s="92"/>
    </row>
    <row r="472" spans="1:52" ht="15.7" customHeight="1" x14ac:dyDescent="0.4">
      <c r="A472" s="22"/>
      <c r="B472" s="91"/>
      <c r="C472" s="91"/>
      <c r="D472" s="92"/>
      <c r="E472" s="92"/>
      <c r="F472" s="92"/>
      <c r="G472" s="92"/>
      <c r="H472" s="92"/>
      <c r="I472" s="92"/>
      <c r="J472" s="92"/>
      <c r="K472" s="93"/>
      <c r="L472" s="93"/>
      <c r="M472" s="93"/>
      <c r="N472" s="93"/>
      <c r="O472" s="93"/>
      <c r="P472" s="93"/>
      <c r="Q472" s="93"/>
      <c r="R472" s="93"/>
      <c r="S472" s="92"/>
      <c r="T472" s="92"/>
      <c r="U472" s="92"/>
      <c r="V472" s="92"/>
      <c r="W472" s="92"/>
      <c r="X472" s="92"/>
      <c r="Y472" s="92"/>
      <c r="Z472" s="92"/>
      <c r="AA472" s="92"/>
      <c r="AB472" s="92"/>
      <c r="AC472" s="92"/>
      <c r="AD472" s="92"/>
      <c r="AE472" s="92"/>
      <c r="AF472" s="92"/>
      <c r="AG472" s="92"/>
      <c r="AH472" s="92"/>
      <c r="AI472" s="92"/>
      <c r="AJ472" s="92"/>
      <c r="AK472" s="92"/>
      <c r="AL472" s="92"/>
      <c r="AM472" s="92"/>
      <c r="AN472" s="92"/>
      <c r="AO472" s="92"/>
      <c r="AP472" s="92"/>
      <c r="AQ472" s="92"/>
      <c r="AR472" s="92"/>
      <c r="AS472" s="92"/>
      <c r="AT472" s="92"/>
      <c r="AU472" s="92"/>
      <c r="AV472" s="92"/>
      <c r="AW472" s="92"/>
      <c r="AX472" s="92"/>
      <c r="AY472" s="92"/>
      <c r="AZ472" s="92"/>
    </row>
    <row r="473" spans="1:52" ht="15.7" customHeight="1" x14ac:dyDescent="0.4">
      <c r="A473" s="22"/>
      <c r="B473" s="91"/>
      <c r="C473" s="91"/>
      <c r="D473" s="92"/>
      <c r="E473" s="92"/>
      <c r="F473" s="92"/>
      <c r="G473" s="92"/>
      <c r="H473" s="92"/>
      <c r="I473" s="92"/>
      <c r="J473" s="92"/>
      <c r="K473" s="93"/>
      <c r="L473" s="93"/>
      <c r="M473" s="93"/>
      <c r="N473" s="93"/>
      <c r="O473" s="93"/>
      <c r="P473" s="93"/>
      <c r="Q473" s="93"/>
      <c r="R473" s="93"/>
      <c r="S473" s="92"/>
      <c r="T473" s="92"/>
      <c r="U473" s="92"/>
      <c r="V473" s="92"/>
      <c r="W473" s="92"/>
      <c r="X473" s="92"/>
      <c r="Y473" s="92"/>
      <c r="Z473" s="92"/>
      <c r="AA473" s="92"/>
      <c r="AB473" s="92"/>
      <c r="AC473" s="92"/>
      <c r="AD473" s="92"/>
      <c r="AE473" s="92"/>
      <c r="AF473" s="92"/>
      <c r="AG473" s="92"/>
      <c r="AH473" s="92"/>
      <c r="AI473" s="92"/>
      <c r="AJ473" s="92"/>
      <c r="AK473" s="92"/>
      <c r="AL473" s="92"/>
      <c r="AM473" s="92"/>
      <c r="AN473" s="92"/>
      <c r="AO473" s="92"/>
      <c r="AP473" s="92"/>
      <c r="AQ473" s="92"/>
      <c r="AR473" s="92"/>
      <c r="AS473" s="92"/>
      <c r="AT473" s="92"/>
      <c r="AU473" s="92"/>
      <c r="AV473" s="92"/>
      <c r="AW473" s="92"/>
      <c r="AX473" s="92"/>
      <c r="AY473" s="92"/>
      <c r="AZ473" s="92"/>
    </row>
    <row r="474" spans="1:52" ht="15.7" customHeight="1" x14ac:dyDescent="0.4">
      <c r="A474" s="22"/>
      <c r="B474" s="91"/>
      <c r="C474" s="91"/>
      <c r="D474" s="92"/>
      <c r="E474" s="92"/>
      <c r="F474" s="92"/>
      <c r="G474" s="92"/>
      <c r="H474" s="92"/>
      <c r="I474" s="92"/>
      <c r="J474" s="92"/>
      <c r="K474" s="93"/>
      <c r="L474" s="93"/>
      <c r="M474" s="93"/>
      <c r="N474" s="93"/>
      <c r="O474" s="93"/>
      <c r="P474" s="93"/>
      <c r="Q474" s="93"/>
      <c r="R474" s="93"/>
      <c r="S474" s="92"/>
      <c r="T474" s="92"/>
      <c r="U474" s="92"/>
      <c r="V474" s="92"/>
      <c r="W474" s="92"/>
      <c r="X474" s="92"/>
      <c r="Y474" s="92"/>
      <c r="Z474" s="92"/>
      <c r="AA474" s="92"/>
      <c r="AB474" s="92"/>
      <c r="AC474" s="92"/>
      <c r="AD474" s="92"/>
      <c r="AE474" s="92"/>
      <c r="AF474" s="92"/>
      <c r="AG474" s="92"/>
      <c r="AH474" s="92"/>
      <c r="AI474" s="92"/>
      <c r="AJ474" s="92"/>
      <c r="AK474" s="92"/>
      <c r="AL474" s="92"/>
      <c r="AM474" s="92"/>
      <c r="AN474" s="92"/>
      <c r="AO474" s="92"/>
      <c r="AP474" s="92"/>
      <c r="AQ474" s="92"/>
      <c r="AR474" s="92"/>
      <c r="AS474" s="92"/>
      <c r="AT474" s="92"/>
      <c r="AU474" s="92"/>
      <c r="AV474" s="92"/>
      <c r="AW474" s="92"/>
      <c r="AX474" s="92"/>
      <c r="AY474" s="92"/>
      <c r="AZ474" s="92"/>
    </row>
    <row r="475" spans="1:52" ht="15.7" customHeight="1" x14ac:dyDescent="0.4">
      <c r="A475" s="22"/>
      <c r="B475" s="91"/>
      <c r="C475" s="91"/>
      <c r="D475" s="92"/>
      <c r="E475" s="92"/>
      <c r="F475" s="92"/>
      <c r="G475" s="92"/>
      <c r="H475" s="92"/>
      <c r="I475" s="92"/>
      <c r="J475" s="92"/>
      <c r="K475" s="93"/>
      <c r="L475" s="93"/>
      <c r="M475" s="93"/>
      <c r="N475" s="93"/>
      <c r="O475" s="93"/>
      <c r="P475" s="93"/>
      <c r="Q475" s="93"/>
      <c r="R475" s="93"/>
      <c r="S475" s="92"/>
      <c r="T475" s="92"/>
      <c r="U475" s="92"/>
      <c r="V475" s="92"/>
      <c r="W475" s="92"/>
      <c r="X475" s="92"/>
      <c r="Y475" s="92"/>
      <c r="Z475" s="92"/>
      <c r="AA475" s="92"/>
      <c r="AB475" s="92"/>
      <c r="AC475" s="92"/>
      <c r="AD475" s="92"/>
      <c r="AE475" s="92"/>
      <c r="AF475" s="92"/>
      <c r="AG475" s="92"/>
      <c r="AH475" s="92"/>
      <c r="AI475" s="92"/>
      <c r="AJ475" s="92"/>
      <c r="AK475" s="92"/>
      <c r="AL475" s="92"/>
      <c r="AM475" s="92"/>
      <c r="AN475" s="92"/>
      <c r="AO475" s="92"/>
      <c r="AP475" s="92"/>
      <c r="AQ475" s="92"/>
      <c r="AR475" s="92"/>
      <c r="AS475" s="92"/>
      <c r="AT475" s="92"/>
      <c r="AU475" s="92"/>
      <c r="AV475" s="92"/>
      <c r="AW475" s="92"/>
      <c r="AX475" s="92"/>
      <c r="AY475" s="92"/>
      <c r="AZ475" s="92"/>
    </row>
    <row r="476" spans="1:52" ht="15.7" customHeight="1" x14ac:dyDescent="0.4">
      <c r="A476" s="22"/>
      <c r="B476" s="91"/>
      <c r="C476" s="91"/>
      <c r="D476" s="92"/>
      <c r="E476" s="92"/>
      <c r="F476" s="92"/>
      <c r="G476" s="92"/>
      <c r="H476" s="92"/>
      <c r="I476" s="92"/>
      <c r="J476" s="92"/>
      <c r="K476" s="93"/>
      <c r="L476" s="93"/>
      <c r="M476" s="93"/>
      <c r="N476" s="93"/>
      <c r="O476" s="93"/>
      <c r="P476" s="93"/>
      <c r="Q476" s="93"/>
      <c r="R476" s="93"/>
      <c r="S476" s="92"/>
      <c r="T476" s="92"/>
      <c r="U476" s="92"/>
      <c r="V476" s="92"/>
      <c r="W476" s="92"/>
      <c r="X476" s="92"/>
      <c r="Y476" s="92"/>
      <c r="Z476" s="92"/>
      <c r="AA476" s="92"/>
      <c r="AB476" s="92"/>
      <c r="AC476" s="92"/>
      <c r="AD476" s="92"/>
      <c r="AE476" s="92"/>
      <c r="AF476" s="92"/>
      <c r="AG476" s="92"/>
      <c r="AH476" s="92"/>
      <c r="AI476" s="92"/>
      <c r="AJ476" s="92"/>
      <c r="AK476" s="92"/>
      <c r="AL476" s="92"/>
      <c r="AM476" s="92"/>
      <c r="AN476" s="92"/>
      <c r="AO476" s="92"/>
      <c r="AP476" s="92"/>
      <c r="AQ476" s="92"/>
      <c r="AR476" s="92"/>
      <c r="AS476" s="92"/>
      <c r="AT476" s="92"/>
      <c r="AU476" s="92"/>
      <c r="AV476" s="92"/>
      <c r="AW476" s="92"/>
      <c r="AX476" s="92"/>
      <c r="AY476" s="92"/>
      <c r="AZ476" s="92"/>
    </row>
    <row r="477" spans="1:52" ht="15.7" customHeight="1" x14ac:dyDescent="0.4">
      <c r="A477" s="22"/>
      <c r="B477" s="91"/>
      <c r="C477" s="91"/>
      <c r="D477" s="92"/>
      <c r="E477" s="92"/>
      <c r="F477" s="92"/>
      <c r="G477" s="92"/>
      <c r="H477" s="92"/>
      <c r="I477" s="92"/>
      <c r="J477" s="92"/>
      <c r="K477" s="93"/>
      <c r="L477" s="93"/>
      <c r="M477" s="93"/>
      <c r="N477" s="93"/>
      <c r="O477" s="93"/>
      <c r="P477" s="93"/>
      <c r="Q477" s="93"/>
      <c r="R477" s="93"/>
      <c r="S477" s="92"/>
      <c r="T477" s="92"/>
      <c r="U477" s="92"/>
      <c r="V477" s="92"/>
      <c r="W477" s="92"/>
      <c r="X477" s="92"/>
      <c r="Y477" s="92"/>
      <c r="Z477" s="92"/>
      <c r="AA477" s="92"/>
      <c r="AB477" s="92"/>
      <c r="AC477" s="92"/>
      <c r="AD477" s="92"/>
      <c r="AE477" s="92"/>
      <c r="AF477" s="92"/>
      <c r="AG477" s="92"/>
      <c r="AH477" s="92"/>
      <c r="AI477" s="92"/>
      <c r="AJ477" s="92"/>
      <c r="AK477" s="92"/>
      <c r="AL477" s="92"/>
      <c r="AM477" s="92"/>
      <c r="AN477" s="92"/>
      <c r="AO477" s="92"/>
      <c r="AP477" s="92"/>
      <c r="AQ477" s="92"/>
      <c r="AR477" s="92"/>
      <c r="AS477" s="92"/>
      <c r="AT477" s="92"/>
      <c r="AU477" s="92"/>
      <c r="AV477" s="92"/>
      <c r="AW477" s="92"/>
      <c r="AX477" s="92"/>
      <c r="AY477" s="92"/>
      <c r="AZ477" s="92"/>
    </row>
    <row r="478" spans="1:52" ht="15.7" customHeight="1" x14ac:dyDescent="0.4">
      <c r="A478" s="22"/>
      <c r="B478" s="91"/>
      <c r="C478" s="91"/>
      <c r="D478" s="92"/>
      <c r="E478" s="92"/>
      <c r="F478" s="92"/>
      <c r="G478" s="92"/>
      <c r="H478" s="92"/>
      <c r="I478" s="92"/>
      <c r="J478" s="92"/>
      <c r="K478" s="93"/>
      <c r="L478" s="93"/>
      <c r="M478" s="93"/>
      <c r="N478" s="93"/>
      <c r="O478" s="93"/>
      <c r="P478" s="93"/>
      <c r="Q478" s="93"/>
      <c r="R478" s="93"/>
      <c r="S478" s="92"/>
      <c r="T478" s="92"/>
      <c r="U478" s="92"/>
      <c r="V478" s="92"/>
      <c r="W478" s="92"/>
      <c r="X478" s="92"/>
      <c r="Y478" s="92"/>
      <c r="Z478" s="92"/>
      <c r="AA478" s="92"/>
      <c r="AB478" s="92"/>
      <c r="AC478" s="92"/>
      <c r="AD478" s="92"/>
      <c r="AE478" s="92"/>
      <c r="AF478" s="92"/>
      <c r="AG478" s="92"/>
      <c r="AH478" s="92"/>
      <c r="AI478" s="92"/>
      <c r="AJ478" s="92"/>
      <c r="AK478" s="92"/>
      <c r="AL478" s="92"/>
      <c r="AM478" s="92"/>
      <c r="AN478" s="92"/>
      <c r="AO478" s="92"/>
      <c r="AP478" s="92"/>
      <c r="AQ478" s="92"/>
      <c r="AR478" s="92"/>
      <c r="AS478" s="92"/>
      <c r="AT478" s="92"/>
      <c r="AU478" s="92"/>
      <c r="AV478" s="92"/>
      <c r="AW478" s="92"/>
      <c r="AX478" s="92"/>
      <c r="AY478" s="92"/>
      <c r="AZ478" s="92"/>
    </row>
    <row r="479" spans="1:52" ht="15.7" customHeight="1" x14ac:dyDescent="0.4">
      <c r="A479" s="22"/>
      <c r="B479" s="91"/>
      <c r="C479" s="91"/>
      <c r="D479" s="92"/>
      <c r="E479" s="92"/>
      <c r="F479" s="92"/>
      <c r="G479" s="92"/>
      <c r="H479" s="92"/>
      <c r="I479" s="92"/>
      <c r="J479" s="92"/>
      <c r="K479" s="93"/>
      <c r="L479" s="93"/>
      <c r="M479" s="93"/>
      <c r="N479" s="93"/>
      <c r="O479" s="93"/>
      <c r="P479" s="93"/>
      <c r="Q479" s="93"/>
      <c r="R479" s="93"/>
      <c r="S479" s="92"/>
      <c r="T479" s="92"/>
      <c r="U479" s="92"/>
      <c r="V479" s="92"/>
      <c r="W479" s="92"/>
      <c r="X479" s="92"/>
      <c r="Y479" s="92"/>
      <c r="Z479" s="92"/>
      <c r="AA479" s="92"/>
      <c r="AB479" s="92"/>
      <c r="AC479" s="92"/>
      <c r="AD479" s="92"/>
      <c r="AE479" s="92"/>
      <c r="AF479" s="92"/>
      <c r="AG479" s="92"/>
      <c r="AH479" s="92"/>
      <c r="AI479" s="92"/>
      <c r="AJ479" s="92"/>
      <c r="AK479" s="92"/>
      <c r="AL479" s="92"/>
      <c r="AM479" s="92"/>
      <c r="AN479" s="92"/>
      <c r="AO479" s="92"/>
      <c r="AP479" s="92"/>
      <c r="AQ479" s="92"/>
      <c r="AR479" s="92"/>
      <c r="AS479" s="92"/>
      <c r="AT479" s="92"/>
      <c r="AU479" s="92"/>
      <c r="AV479" s="92"/>
      <c r="AW479" s="92"/>
      <c r="AX479" s="92"/>
      <c r="AY479" s="92"/>
      <c r="AZ479" s="92"/>
    </row>
    <row r="480" spans="1:52" ht="15.7" customHeight="1" x14ac:dyDescent="0.4">
      <c r="A480" s="22"/>
      <c r="B480" s="91"/>
      <c r="C480" s="91"/>
      <c r="D480" s="92"/>
      <c r="E480" s="92"/>
      <c r="F480" s="92"/>
      <c r="G480" s="92"/>
      <c r="H480" s="92"/>
      <c r="I480" s="92"/>
      <c r="J480" s="92"/>
      <c r="K480" s="93"/>
      <c r="L480" s="93"/>
      <c r="M480" s="93"/>
      <c r="N480" s="93"/>
      <c r="O480" s="93"/>
      <c r="P480" s="93"/>
      <c r="Q480" s="93"/>
      <c r="R480" s="93"/>
      <c r="S480" s="92"/>
      <c r="T480" s="92"/>
      <c r="U480" s="92"/>
      <c r="V480" s="92"/>
      <c r="W480" s="92"/>
      <c r="X480" s="92"/>
      <c r="Y480" s="92"/>
      <c r="Z480" s="92"/>
      <c r="AA480" s="92"/>
      <c r="AB480" s="92"/>
      <c r="AC480" s="92"/>
      <c r="AD480" s="92"/>
      <c r="AE480" s="92"/>
      <c r="AF480" s="92"/>
      <c r="AG480" s="92"/>
      <c r="AH480" s="92"/>
      <c r="AI480" s="92"/>
      <c r="AJ480" s="92"/>
      <c r="AK480" s="92"/>
      <c r="AL480" s="92"/>
      <c r="AM480" s="92"/>
      <c r="AN480" s="92"/>
      <c r="AO480" s="92"/>
      <c r="AP480" s="92"/>
      <c r="AQ480" s="92"/>
      <c r="AR480" s="92"/>
      <c r="AS480" s="92"/>
      <c r="AT480" s="92"/>
      <c r="AU480" s="92"/>
      <c r="AV480" s="92"/>
      <c r="AW480" s="92"/>
      <c r="AX480" s="92"/>
      <c r="AY480" s="92"/>
      <c r="AZ480" s="92"/>
    </row>
    <row r="481" spans="1:52" ht="15.7" customHeight="1" x14ac:dyDescent="0.4">
      <c r="A481" s="22"/>
      <c r="B481" s="91"/>
      <c r="C481" s="91"/>
      <c r="D481" s="92"/>
      <c r="E481" s="92"/>
      <c r="F481" s="92"/>
      <c r="G481" s="92"/>
      <c r="H481" s="92"/>
      <c r="I481" s="92"/>
      <c r="J481" s="92"/>
      <c r="K481" s="93"/>
      <c r="L481" s="93"/>
      <c r="M481" s="93"/>
      <c r="N481" s="93"/>
      <c r="O481" s="93"/>
      <c r="P481" s="93"/>
      <c r="Q481" s="93"/>
      <c r="R481" s="93"/>
      <c r="S481" s="92"/>
      <c r="T481" s="92"/>
      <c r="U481" s="92"/>
      <c r="V481" s="92"/>
      <c r="W481" s="92"/>
      <c r="X481" s="92"/>
      <c r="Y481" s="92"/>
      <c r="Z481" s="92"/>
      <c r="AA481" s="92"/>
      <c r="AB481" s="92"/>
      <c r="AC481" s="92"/>
      <c r="AD481" s="92"/>
      <c r="AE481" s="92"/>
      <c r="AF481" s="92"/>
      <c r="AG481" s="92"/>
      <c r="AH481" s="92"/>
      <c r="AI481" s="92"/>
      <c r="AJ481" s="92"/>
      <c r="AK481" s="92"/>
      <c r="AL481" s="92"/>
      <c r="AM481" s="92"/>
      <c r="AN481" s="92"/>
      <c r="AO481" s="92"/>
      <c r="AP481" s="92"/>
      <c r="AQ481" s="92"/>
      <c r="AR481" s="92"/>
      <c r="AS481" s="92"/>
      <c r="AT481" s="92"/>
      <c r="AU481" s="92"/>
      <c r="AV481" s="92"/>
      <c r="AW481" s="92"/>
      <c r="AX481" s="92"/>
      <c r="AY481" s="92"/>
      <c r="AZ481" s="92"/>
    </row>
    <row r="482" spans="1:52" ht="15.7" customHeight="1" x14ac:dyDescent="0.4">
      <c r="A482" s="22"/>
      <c r="B482" s="91"/>
      <c r="C482" s="91"/>
      <c r="D482" s="92"/>
      <c r="E482" s="92"/>
      <c r="F482" s="92"/>
      <c r="G482" s="92"/>
      <c r="H482" s="92"/>
      <c r="I482" s="92"/>
      <c r="J482" s="92"/>
      <c r="K482" s="93"/>
      <c r="L482" s="93"/>
      <c r="M482" s="93"/>
      <c r="N482" s="93"/>
      <c r="O482" s="93"/>
      <c r="P482" s="93"/>
      <c r="Q482" s="93"/>
      <c r="R482" s="93"/>
      <c r="S482" s="92"/>
      <c r="T482" s="92"/>
      <c r="U482" s="92"/>
      <c r="V482" s="92"/>
      <c r="W482" s="92"/>
      <c r="X482" s="92"/>
      <c r="Y482" s="92"/>
      <c r="Z482" s="92"/>
      <c r="AA482" s="92"/>
      <c r="AB482" s="92"/>
      <c r="AC482" s="92"/>
      <c r="AD482" s="92"/>
      <c r="AE482" s="92"/>
      <c r="AF482" s="92"/>
      <c r="AG482" s="92"/>
      <c r="AH482" s="92"/>
      <c r="AI482" s="92"/>
      <c r="AJ482" s="92"/>
      <c r="AK482" s="92"/>
      <c r="AL482" s="92"/>
      <c r="AM482" s="92"/>
      <c r="AN482" s="92"/>
      <c r="AO482" s="92"/>
      <c r="AP482" s="92"/>
      <c r="AQ482" s="92"/>
      <c r="AR482" s="92"/>
      <c r="AS482" s="92"/>
      <c r="AT482" s="92"/>
      <c r="AU482" s="92"/>
      <c r="AV482" s="92"/>
      <c r="AW482" s="92"/>
      <c r="AX482" s="92"/>
      <c r="AY482" s="92"/>
      <c r="AZ482" s="92"/>
    </row>
    <row r="483" spans="1:52" ht="15.7" customHeight="1" x14ac:dyDescent="0.4">
      <c r="A483" s="22"/>
      <c r="B483" s="91"/>
      <c r="C483" s="91"/>
      <c r="D483" s="92"/>
      <c r="E483" s="92"/>
      <c r="F483" s="92"/>
      <c r="G483" s="92"/>
      <c r="H483" s="92"/>
      <c r="I483" s="92"/>
      <c r="J483" s="92"/>
      <c r="K483" s="93"/>
      <c r="L483" s="93"/>
      <c r="M483" s="93"/>
      <c r="N483" s="93"/>
      <c r="O483" s="93"/>
      <c r="P483" s="93"/>
      <c r="Q483" s="93"/>
      <c r="R483" s="93"/>
      <c r="S483" s="92"/>
      <c r="T483" s="92"/>
      <c r="U483" s="92"/>
      <c r="V483" s="92"/>
      <c r="W483" s="92"/>
      <c r="X483" s="92"/>
      <c r="Y483" s="92"/>
      <c r="Z483" s="92"/>
      <c r="AA483" s="92"/>
      <c r="AB483" s="92"/>
      <c r="AC483" s="92"/>
      <c r="AD483" s="92"/>
      <c r="AE483" s="92"/>
      <c r="AF483" s="92"/>
      <c r="AG483" s="92"/>
      <c r="AH483" s="92"/>
      <c r="AI483" s="92"/>
      <c r="AJ483" s="92"/>
      <c r="AK483" s="92"/>
      <c r="AL483" s="92"/>
      <c r="AM483" s="92"/>
      <c r="AN483" s="92"/>
      <c r="AO483" s="92"/>
      <c r="AP483" s="92"/>
      <c r="AQ483" s="92"/>
      <c r="AR483" s="92"/>
      <c r="AS483" s="92"/>
      <c r="AT483" s="92"/>
      <c r="AU483" s="92"/>
      <c r="AV483" s="92"/>
      <c r="AW483" s="92"/>
      <c r="AX483" s="92"/>
      <c r="AY483" s="92"/>
      <c r="AZ483" s="92"/>
    </row>
    <row r="484" spans="1:52" ht="15.7" customHeight="1" x14ac:dyDescent="0.4">
      <c r="A484" s="22"/>
      <c r="B484" s="91"/>
      <c r="C484" s="91"/>
      <c r="D484" s="92"/>
      <c r="E484" s="92"/>
      <c r="F484" s="92"/>
      <c r="G484" s="92"/>
      <c r="H484" s="92"/>
      <c r="I484" s="92"/>
      <c r="J484" s="92"/>
      <c r="K484" s="93"/>
      <c r="L484" s="93"/>
      <c r="M484" s="93"/>
      <c r="N484" s="93"/>
      <c r="O484" s="93"/>
      <c r="P484" s="93"/>
      <c r="Q484" s="93"/>
      <c r="R484" s="93"/>
      <c r="S484" s="92"/>
      <c r="T484" s="92"/>
      <c r="U484" s="92"/>
      <c r="V484" s="92"/>
      <c r="W484" s="92"/>
      <c r="X484" s="92"/>
      <c r="Y484" s="92"/>
      <c r="Z484" s="92"/>
      <c r="AA484" s="92"/>
      <c r="AB484" s="92"/>
      <c r="AC484" s="92"/>
      <c r="AD484" s="92"/>
      <c r="AE484" s="92"/>
      <c r="AF484" s="92"/>
      <c r="AG484" s="92"/>
      <c r="AH484" s="92"/>
      <c r="AI484" s="92"/>
      <c r="AJ484" s="92"/>
      <c r="AK484" s="92"/>
      <c r="AL484" s="92"/>
      <c r="AM484" s="92"/>
      <c r="AN484" s="92"/>
      <c r="AO484" s="92"/>
      <c r="AP484" s="92"/>
      <c r="AQ484" s="92"/>
      <c r="AR484" s="92"/>
      <c r="AS484" s="92"/>
      <c r="AT484" s="92"/>
      <c r="AU484" s="92"/>
      <c r="AV484" s="92"/>
      <c r="AW484" s="92"/>
      <c r="AX484" s="92"/>
      <c r="AY484" s="92"/>
      <c r="AZ484" s="92"/>
    </row>
    <row r="485" spans="1:52" ht="15.7" customHeight="1" x14ac:dyDescent="0.4">
      <c r="A485" s="22"/>
      <c r="B485" s="91"/>
      <c r="C485" s="91"/>
      <c r="D485" s="92"/>
      <c r="E485" s="92"/>
      <c r="F485" s="92"/>
      <c r="G485" s="92"/>
      <c r="H485" s="92"/>
      <c r="I485" s="92"/>
      <c r="J485" s="92"/>
      <c r="K485" s="93"/>
      <c r="L485" s="93"/>
      <c r="M485" s="93"/>
      <c r="N485" s="93"/>
      <c r="O485" s="93"/>
      <c r="P485" s="93"/>
      <c r="Q485" s="93"/>
      <c r="R485" s="93"/>
      <c r="S485" s="92"/>
      <c r="T485" s="92"/>
      <c r="U485" s="92"/>
      <c r="V485" s="92"/>
      <c r="W485" s="92"/>
      <c r="X485" s="92"/>
      <c r="Y485" s="92"/>
      <c r="Z485" s="92"/>
      <c r="AA485" s="92"/>
      <c r="AB485" s="92"/>
      <c r="AC485" s="92"/>
      <c r="AD485" s="92"/>
      <c r="AE485" s="92"/>
      <c r="AF485" s="92"/>
      <c r="AG485" s="92"/>
      <c r="AH485" s="92"/>
      <c r="AI485" s="92"/>
      <c r="AJ485" s="92"/>
      <c r="AK485" s="92"/>
      <c r="AL485" s="92"/>
      <c r="AM485" s="92"/>
      <c r="AN485" s="92"/>
      <c r="AO485" s="92"/>
      <c r="AP485" s="92"/>
      <c r="AQ485" s="92"/>
      <c r="AR485" s="92"/>
      <c r="AS485" s="92"/>
      <c r="AT485" s="92"/>
      <c r="AU485" s="92"/>
      <c r="AV485" s="92"/>
      <c r="AW485" s="92"/>
      <c r="AX485" s="92"/>
      <c r="AY485" s="92"/>
      <c r="AZ485" s="92"/>
    </row>
    <row r="486" spans="1:52" ht="15.7" customHeight="1" x14ac:dyDescent="0.4">
      <c r="A486" s="22"/>
      <c r="B486" s="91"/>
      <c r="C486" s="91"/>
      <c r="D486" s="92"/>
      <c r="E486" s="92"/>
      <c r="F486" s="92"/>
      <c r="G486" s="92"/>
      <c r="H486" s="92"/>
      <c r="I486" s="92"/>
      <c r="J486" s="92"/>
      <c r="K486" s="93"/>
      <c r="L486" s="93"/>
      <c r="M486" s="93"/>
      <c r="N486" s="93"/>
      <c r="O486" s="93"/>
      <c r="P486" s="93"/>
      <c r="Q486" s="93"/>
      <c r="R486" s="93"/>
      <c r="S486" s="92"/>
      <c r="T486" s="92"/>
      <c r="U486" s="92"/>
      <c r="V486" s="92"/>
      <c r="W486" s="92"/>
      <c r="X486" s="92"/>
      <c r="Y486" s="92"/>
      <c r="Z486" s="92"/>
      <c r="AA486" s="92"/>
      <c r="AB486" s="92"/>
      <c r="AC486" s="92"/>
      <c r="AD486" s="92"/>
      <c r="AE486" s="92"/>
      <c r="AF486" s="92"/>
      <c r="AG486" s="92"/>
      <c r="AH486" s="92"/>
      <c r="AI486" s="92"/>
      <c r="AJ486" s="92"/>
      <c r="AK486" s="92"/>
      <c r="AL486" s="92"/>
      <c r="AM486" s="92"/>
      <c r="AN486" s="92"/>
      <c r="AO486" s="92"/>
      <c r="AP486" s="92"/>
      <c r="AQ486" s="92"/>
      <c r="AR486" s="92"/>
      <c r="AS486" s="92"/>
      <c r="AT486" s="92"/>
      <c r="AU486" s="92"/>
      <c r="AV486" s="92"/>
      <c r="AW486" s="92"/>
      <c r="AX486" s="92"/>
      <c r="AY486" s="92"/>
      <c r="AZ486" s="92"/>
    </row>
    <row r="487" spans="1:52" ht="15.7" customHeight="1" x14ac:dyDescent="0.4">
      <c r="A487" s="22"/>
      <c r="B487" s="91"/>
      <c r="C487" s="91"/>
      <c r="D487" s="92"/>
      <c r="E487" s="92"/>
      <c r="F487" s="92"/>
      <c r="G487" s="92"/>
      <c r="H487" s="92"/>
      <c r="I487" s="92"/>
      <c r="J487" s="92"/>
      <c r="K487" s="93"/>
      <c r="L487" s="93"/>
      <c r="M487" s="93"/>
      <c r="N487" s="93"/>
      <c r="O487" s="93"/>
      <c r="P487" s="93"/>
      <c r="Q487" s="93"/>
      <c r="R487" s="93"/>
      <c r="S487" s="92"/>
      <c r="T487" s="92"/>
      <c r="U487" s="92"/>
      <c r="V487" s="92"/>
      <c r="W487" s="92"/>
      <c r="X487" s="92"/>
      <c r="Y487" s="92"/>
      <c r="Z487" s="92"/>
      <c r="AA487" s="92"/>
      <c r="AB487" s="92"/>
      <c r="AC487" s="92"/>
      <c r="AD487" s="92"/>
      <c r="AE487" s="92"/>
      <c r="AF487" s="92"/>
      <c r="AG487" s="92"/>
      <c r="AH487" s="92"/>
      <c r="AI487" s="92"/>
      <c r="AJ487" s="92"/>
      <c r="AK487" s="92"/>
      <c r="AL487" s="92"/>
      <c r="AM487" s="92"/>
      <c r="AN487" s="92"/>
      <c r="AO487" s="92"/>
      <c r="AP487" s="92"/>
      <c r="AQ487" s="92"/>
      <c r="AR487" s="92"/>
      <c r="AS487" s="92"/>
      <c r="AT487" s="92"/>
      <c r="AU487" s="92"/>
      <c r="AV487" s="92"/>
      <c r="AW487" s="92"/>
      <c r="AX487" s="92"/>
      <c r="AY487" s="92"/>
      <c r="AZ487" s="92"/>
    </row>
    <row r="488" spans="1:52" ht="15.7" customHeight="1" x14ac:dyDescent="0.4">
      <c r="A488" s="22"/>
      <c r="B488" s="91"/>
      <c r="C488" s="91"/>
      <c r="D488" s="92"/>
      <c r="E488" s="92"/>
      <c r="F488" s="92"/>
      <c r="G488" s="92"/>
      <c r="H488" s="92"/>
      <c r="I488" s="92"/>
      <c r="J488" s="92"/>
      <c r="K488" s="93"/>
      <c r="L488" s="93"/>
      <c r="M488" s="93"/>
      <c r="N488" s="93"/>
      <c r="O488" s="93"/>
      <c r="P488" s="93"/>
      <c r="Q488" s="93"/>
      <c r="R488" s="93"/>
      <c r="S488" s="92"/>
      <c r="T488" s="92"/>
      <c r="U488" s="92"/>
      <c r="V488" s="92"/>
      <c r="W488" s="92"/>
      <c r="X488" s="92"/>
      <c r="Y488" s="92"/>
      <c r="Z488" s="92"/>
      <c r="AA488" s="92"/>
      <c r="AB488" s="92"/>
      <c r="AC488" s="92"/>
      <c r="AD488" s="92"/>
      <c r="AE488" s="92"/>
      <c r="AF488" s="92"/>
      <c r="AG488" s="92"/>
      <c r="AH488" s="92"/>
      <c r="AI488" s="92"/>
      <c r="AJ488" s="92"/>
      <c r="AK488" s="92"/>
      <c r="AL488" s="92"/>
      <c r="AM488" s="92"/>
      <c r="AN488" s="92"/>
      <c r="AO488" s="92"/>
      <c r="AP488" s="92"/>
      <c r="AQ488" s="92"/>
      <c r="AR488" s="92"/>
      <c r="AS488" s="92"/>
      <c r="AT488" s="92"/>
      <c r="AU488" s="92"/>
      <c r="AV488" s="92"/>
      <c r="AW488" s="92"/>
      <c r="AX488" s="92"/>
      <c r="AY488" s="92"/>
      <c r="AZ488" s="92"/>
    </row>
    <row r="489" spans="1:52" ht="15.7" customHeight="1" x14ac:dyDescent="0.4">
      <c r="A489" s="22"/>
      <c r="B489" s="91"/>
      <c r="C489" s="91"/>
      <c r="D489" s="92"/>
      <c r="E489" s="92"/>
      <c r="F489" s="92"/>
      <c r="G489" s="92"/>
      <c r="H489" s="92"/>
      <c r="I489" s="92"/>
      <c r="J489" s="92"/>
      <c r="K489" s="93"/>
      <c r="L489" s="93"/>
      <c r="M489" s="93"/>
      <c r="N489" s="93"/>
      <c r="O489" s="93"/>
      <c r="P489" s="93"/>
      <c r="Q489" s="93"/>
      <c r="R489" s="93"/>
      <c r="S489" s="92"/>
      <c r="T489" s="92"/>
      <c r="U489" s="92"/>
      <c r="V489" s="92"/>
      <c r="W489" s="92"/>
      <c r="X489" s="92"/>
      <c r="Y489" s="92"/>
      <c r="Z489" s="92"/>
      <c r="AA489" s="92"/>
      <c r="AB489" s="92"/>
      <c r="AC489" s="92"/>
      <c r="AD489" s="92"/>
      <c r="AE489" s="92"/>
      <c r="AF489" s="92"/>
      <c r="AG489" s="92"/>
      <c r="AH489" s="92"/>
      <c r="AI489" s="92"/>
      <c r="AJ489" s="92"/>
      <c r="AK489" s="92"/>
      <c r="AL489" s="92"/>
      <c r="AM489" s="92"/>
      <c r="AN489" s="92"/>
      <c r="AO489" s="92"/>
      <c r="AP489" s="92"/>
      <c r="AQ489" s="92"/>
      <c r="AR489" s="92"/>
      <c r="AS489" s="92"/>
      <c r="AT489" s="92"/>
      <c r="AU489" s="92"/>
      <c r="AV489" s="92"/>
      <c r="AW489" s="92"/>
      <c r="AX489" s="92"/>
      <c r="AY489" s="92"/>
      <c r="AZ489" s="92"/>
    </row>
    <row r="490" spans="1:52" ht="15.7" customHeight="1" x14ac:dyDescent="0.4">
      <c r="A490" s="22"/>
      <c r="B490" s="91"/>
      <c r="C490" s="91"/>
      <c r="D490" s="92"/>
      <c r="E490" s="92"/>
      <c r="F490" s="92"/>
      <c r="G490" s="92"/>
      <c r="H490" s="92"/>
      <c r="I490" s="92"/>
      <c r="J490" s="92"/>
      <c r="K490" s="93"/>
      <c r="L490" s="93"/>
      <c r="M490" s="93"/>
      <c r="N490" s="93"/>
      <c r="O490" s="93"/>
      <c r="P490" s="93"/>
      <c r="Q490" s="93"/>
      <c r="R490" s="93"/>
      <c r="S490" s="92"/>
      <c r="T490" s="92"/>
      <c r="U490" s="92"/>
      <c r="V490" s="92"/>
      <c r="W490" s="92"/>
      <c r="X490" s="92"/>
      <c r="Y490" s="92"/>
      <c r="Z490" s="92"/>
      <c r="AA490" s="92"/>
      <c r="AB490" s="92"/>
      <c r="AC490" s="92"/>
      <c r="AD490" s="92"/>
      <c r="AE490" s="92"/>
      <c r="AF490" s="92"/>
      <c r="AG490" s="92"/>
      <c r="AH490" s="92"/>
      <c r="AI490" s="92"/>
      <c r="AJ490" s="92"/>
      <c r="AK490" s="92"/>
      <c r="AL490" s="92"/>
      <c r="AM490" s="92"/>
      <c r="AN490" s="92"/>
      <c r="AO490" s="92"/>
      <c r="AP490" s="92"/>
      <c r="AQ490" s="92"/>
      <c r="AR490" s="92"/>
      <c r="AS490" s="92"/>
      <c r="AT490" s="92"/>
      <c r="AU490" s="92"/>
      <c r="AV490" s="92"/>
      <c r="AW490" s="92"/>
      <c r="AX490" s="92"/>
      <c r="AY490" s="92"/>
      <c r="AZ490" s="92"/>
    </row>
    <row r="491" spans="1:52" ht="15.7" customHeight="1" x14ac:dyDescent="0.4">
      <c r="A491" s="22"/>
      <c r="B491" s="91"/>
      <c r="C491" s="91"/>
      <c r="D491" s="92"/>
      <c r="E491" s="92"/>
      <c r="F491" s="92"/>
      <c r="G491" s="92"/>
      <c r="H491" s="92"/>
      <c r="I491" s="92"/>
      <c r="J491" s="92"/>
      <c r="K491" s="93"/>
      <c r="L491" s="93"/>
      <c r="M491" s="93"/>
      <c r="N491" s="93"/>
      <c r="O491" s="93"/>
      <c r="P491" s="93"/>
      <c r="Q491" s="93"/>
      <c r="R491" s="93"/>
      <c r="S491" s="92"/>
      <c r="T491" s="92"/>
      <c r="U491" s="92"/>
      <c r="V491" s="92"/>
      <c r="W491" s="92"/>
      <c r="X491" s="92"/>
      <c r="Y491" s="92"/>
      <c r="Z491" s="92"/>
      <c r="AA491" s="92"/>
      <c r="AB491" s="92"/>
      <c r="AC491" s="92"/>
      <c r="AD491" s="92"/>
      <c r="AE491" s="92"/>
      <c r="AF491" s="92"/>
      <c r="AG491" s="92"/>
      <c r="AH491" s="92"/>
      <c r="AI491" s="92"/>
      <c r="AJ491" s="92"/>
      <c r="AK491" s="92"/>
      <c r="AL491" s="92"/>
      <c r="AM491" s="92"/>
      <c r="AN491" s="92"/>
      <c r="AO491" s="92"/>
      <c r="AP491" s="92"/>
      <c r="AQ491" s="92"/>
      <c r="AR491" s="92"/>
      <c r="AS491" s="92"/>
      <c r="AT491" s="92"/>
      <c r="AU491" s="92"/>
      <c r="AV491" s="92"/>
      <c r="AW491" s="92"/>
      <c r="AX491" s="92"/>
      <c r="AY491" s="92"/>
      <c r="AZ491" s="92"/>
    </row>
    <row r="492" spans="1:52" ht="15.7" customHeight="1" x14ac:dyDescent="0.4">
      <c r="A492" s="22"/>
      <c r="B492" s="91"/>
      <c r="C492" s="91"/>
      <c r="D492" s="92"/>
      <c r="E492" s="92"/>
      <c r="F492" s="92"/>
      <c r="G492" s="92"/>
      <c r="H492" s="92"/>
      <c r="I492" s="92"/>
      <c r="J492" s="92"/>
      <c r="K492" s="93"/>
      <c r="L492" s="93"/>
      <c r="M492" s="93"/>
      <c r="N492" s="93"/>
      <c r="O492" s="93"/>
      <c r="P492" s="93"/>
      <c r="Q492" s="93"/>
      <c r="R492" s="93"/>
      <c r="S492" s="92"/>
      <c r="T492" s="92"/>
      <c r="U492" s="92"/>
      <c r="V492" s="92"/>
      <c r="W492" s="92"/>
      <c r="X492" s="92"/>
      <c r="Y492" s="92"/>
      <c r="Z492" s="92"/>
      <c r="AA492" s="92"/>
      <c r="AB492" s="92"/>
      <c r="AC492" s="92"/>
      <c r="AD492" s="92"/>
      <c r="AE492" s="92"/>
      <c r="AF492" s="92"/>
      <c r="AG492" s="92"/>
      <c r="AH492" s="92"/>
      <c r="AI492" s="92"/>
      <c r="AJ492" s="92"/>
      <c r="AK492" s="92"/>
      <c r="AL492" s="92"/>
      <c r="AM492" s="92"/>
      <c r="AN492" s="92"/>
      <c r="AO492" s="92"/>
      <c r="AP492" s="92"/>
      <c r="AQ492" s="92"/>
      <c r="AR492" s="92"/>
      <c r="AS492" s="92"/>
      <c r="AT492" s="92"/>
      <c r="AU492" s="92"/>
      <c r="AV492" s="92"/>
      <c r="AW492" s="92"/>
      <c r="AX492" s="92"/>
      <c r="AY492" s="92"/>
      <c r="AZ492" s="92"/>
    </row>
    <row r="493" spans="1:52" ht="15.7" customHeight="1" x14ac:dyDescent="0.4">
      <c r="A493" s="22"/>
      <c r="B493" s="91"/>
      <c r="C493" s="91"/>
      <c r="D493" s="92"/>
      <c r="E493" s="92"/>
      <c r="F493" s="92"/>
      <c r="G493" s="92"/>
      <c r="H493" s="92"/>
      <c r="I493" s="92"/>
      <c r="J493" s="92"/>
      <c r="K493" s="93"/>
      <c r="L493" s="93"/>
      <c r="M493" s="93"/>
      <c r="N493" s="93"/>
      <c r="O493" s="93"/>
      <c r="P493" s="93"/>
      <c r="Q493" s="93"/>
      <c r="R493" s="93"/>
      <c r="S493" s="92"/>
      <c r="T493" s="92"/>
      <c r="U493" s="92"/>
      <c r="V493" s="92"/>
      <c r="W493" s="92"/>
      <c r="X493" s="92"/>
      <c r="Y493" s="92"/>
      <c r="Z493" s="92"/>
      <c r="AA493" s="92"/>
      <c r="AB493" s="92"/>
      <c r="AC493" s="92"/>
      <c r="AD493" s="92"/>
      <c r="AE493" s="92"/>
      <c r="AF493" s="92"/>
      <c r="AG493" s="92"/>
      <c r="AH493" s="92"/>
      <c r="AI493" s="92"/>
      <c r="AJ493" s="92"/>
      <c r="AK493" s="92"/>
      <c r="AL493" s="92"/>
      <c r="AM493" s="92"/>
      <c r="AN493" s="92"/>
      <c r="AO493" s="92"/>
      <c r="AP493" s="92"/>
      <c r="AQ493" s="92"/>
      <c r="AR493" s="92"/>
      <c r="AS493" s="92"/>
      <c r="AT493" s="92"/>
      <c r="AU493" s="92"/>
      <c r="AV493" s="92"/>
      <c r="AW493" s="92"/>
      <c r="AX493" s="92"/>
      <c r="AY493" s="92"/>
      <c r="AZ493" s="92"/>
    </row>
    <row r="494" spans="1:52" ht="15.7" customHeight="1" x14ac:dyDescent="0.4">
      <c r="A494" s="22"/>
      <c r="B494" s="91"/>
      <c r="C494" s="91"/>
      <c r="D494" s="92"/>
      <c r="E494" s="92"/>
      <c r="F494" s="92"/>
      <c r="G494" s="92"/>
      <c r="H494" s="92"/>
      <c r="I494" s="92"/>
      <c r="J494" s="92"/>
      <c r="K494" s="93"/>
      <c r="L494" s="93"/>
      <c r="M494" s="93"/>
      <c r="N494" s="93"/>
      <c r="O494" s="93"/>
      <c r="P494" s="93"/>
      <c r="Q494" s="93"/>
      <c r="R494" s="93"/>
      <c r="S494" s="92"/>
      <c r="T494" s="92"/>
      <c r="U494" s="92"/>
      <c r="V494" s="92"/>
      <c r="W494" s="92"/>
      <c r="X494" s="92"/>
      <c r="Y494" s="92"/>
      <c r="Z494" s="92"/>
      <c r="AA494" s="92"/>
      <c r="AB494" s="92"/>
      <c r="AC494" s="92"/>
      <c r="AD494" s="92"/>
      <c r="AE494" s="92"/>
      <c r="AF494" s="92"/>
      <c r="AG494" s="92"/>
      <c r="AH494" s="92"/>
      <c r="AI494" s="92"/>
      <c r="AJ494" s="92"/>
      <c r="AK494" s="92"/>
      <c r="AL494" s="92"/>
      <c r="AM494" s="92"/>
      <c r="AN494" s="92"/>
      <c r="AO494" s="92"/>
      <c r="AP494" s="92"/>
      <c r="AQ494" s="92"/>
      <c r="AR494" s="92"/>
      <c r="AS494" s="92"/>
      <c r="AT494" s="92"/>
      <c r="AU494" s="92"/>
      <c r="AV494" s="92"/>
      <c r="AW494" s="92"/>
      <c r="AX494" s="92"/>
      <c r="AY494" s="92"/>
      <c r="AZ494" s="92"/>
    </row>
    <row r="495" spans="1:52" ht="15.7" customHeight="1" x14ac:dyDescent="0.4">
      <c r="A495" s="22"/>
      <c r="B495" s="91"/>
      <c r="C495" s="91"/>
      <c r="D495" s="92"/>
      <c r="E495" s="92"/>
      <c r="F495" s="92"/>
      <c r="G495" s="92"/>
      <c r="H495" s="92"/>
      <c r="I495" s="92"/>
      <c r="J495" s="92"/>
      <c r="K495" s="93"/>
      <c r="L495" s="93"/>
      <c r="M495" s="93"/>
      <c r="N495" s="93"/>
      <c r="O495" s="93"/>
      <c r="P495" s="93"/>
      <c r="Q495" s="93"/>
      <c r="R495" s="93"/>
      <c r="S495" s="92"/>
      <c r="T495" s="92"/>
      <c r="U495" s="92"/>
      <c r="V495" s="92"/>
      <c r="W495" s="92"/>
      <c r="X495" s="92"/>
      <c r="Y495" s="92"/>
      <c r="Z495" s="92"/>
      <c r="AA495" s="92"/>
      <c r="AB495" s="92"/>
      <c r="AC495" s="92"/>
      <c r="AD495" s="92"/>
      <c r="AE495" s="92"/>
      <c r="AF495" s="92"/>
      <c r="AG495" s="92"/>
      <c r="AH495" s="92"/>
      <c r="AI495" s="92"/>
      <c r="AJ495" s="92"/>
      <c r="AK495" s="92"/>
      <c r="AL495" s="92"/>
      <c r="AM495" s="92"/>
      <c r="AN495" s="92"/>
      <c r="AO495" s="92"/>
      <c r="AP495" s="92"/>
      <c r="AQ495" s="92"/>
      <c r="AR495" s="92"/>
      <c r="AS495" s="92"/>
      <c r="AT495" s="92"/>
      <c r="AU495" s="92"/>
      <c r="AV495" s="92"/>
      <c r="AW495" s="92"/>
      <c r="AX495" s="92"/>
      <c r="AY495" s="92"/>
      <c r="AZ495" s="92"/>
    </row>
    <row r="496" spans="1:52" ht="15.7" customHeight="1" x14ac:dyDescent="0.4">
      <c r="A496" s="22"/>
      <c r="B496" s="91"/>
      <c r="C496" s="91"/>
      <c r="D496" s="92"/>
      <c r="E496" s="92"/>
      <c r="F496" s="92"/>
      <c r="G496" s="92"/>
      <c r="H496" s="92"/>
      <c r="I496" s="92"/>
      <c r="J496" s="92"/>
      <c r="K496" s="93"/>
      <c r="L496" s="93"/>
      <c r="M496" s="93"/>
      <c r="N496" s="93"/>
      <c r="O496" s="93"/>
      <c r="P496" s="93"/>
      <c r="Q496" s="93"/>
      <c r="R496" s="93"/>
      <c r="S496" s="92"/>
      <c r="T496" s="92"/>
      <c r="U496" s="92"/>
      <c r="V496" s="92"/>
      <c r="W496" s="92"/>
      <c r="X496" s="92"/>
      <c r="Y496" s="92"/>
      <c r="Z496" s="92"/>
      <c r="AA496" s="92"/>
      <c r="AB496" s="92"/>
      <c r="AC496" s="92"/>
      <c r="AD496" s="92"/>
      <c r="AE496" s="92"/>
      <c r="AF496" s="92"/>
      <c r="AG496" s="92"/>
      <c r="AH496" s="92"/>
      <c r="AI496" s="92"/>
      <c r="AJ496" s="92"/>
      <c r="AK496" s="92"/>
      <c r="AL496" s="92"/>
      <c r="AM496" s="92"/>
      <c r="AN496" s="92"/>
      <c r="AO496" s="92"/>
      <c r="AP496" s="92"/>
      <c r="AQ496" s="92"/>
      <c r="AR496" s="92"/>
      <c r="AS496" s="92"/>
      <c r="AT496" s="92"/>
      <c r="AU496" s="92"/>
      <c r="AV496" s="92"/>
      <c r="AW496" s="92"/>
      <c r="AX496" s="92"/>
      <c r="AY496" s="92"/>
      <c r="AZ496" s="92"/>
    </row>
    <row r="497" spans="1:52" ht="15.7" customHeight="1" x14ac:dyDescent="0.4">
      <c r="A497" s="22"/>
      <c r="B497" s="91"/>
      <c r="C497" s="91"/>
      <c r="D497" s="92"/>
      <c r="E497" s="92"/>
      <c r="F497" s="92"/>
      <c r="G497" s="92"/>
      <c r="H497" s="92"/>
      <c r="I497" s="92"/>
      <c r="J497" s="92"/>
      <c r="K497" s="93"/>
      <c r="L497" s="93"/>
      <c r="M497" s="93"/>
      <c r="N497" s="93"/>
      <c r="O497" s="93"/>
      <c r="P497" s="93"/>
      <c r="Q497" s="93"/>
      <c r="R497" s="93"/>
      <c r="S497" s="92"/>
      <c r="T497" s="92"/>
      <c r="U497" s="92"/>
      <c r="V497" s="92"/>
      <c r="W497" s="92"/>
      <c r="X497" s="92"/>
      <c r="Y497" s="92"/>
      <c r="Z497" s="92"/>
      <c r="AA497" s="92"/>
      <c r="AB497" s="92"/>
      <c r="AC497" s="92"/>
      <c r="AD497" s="92"/>
      <c r="AE497" s="92"/>
      <c r="AF497" s="92"/>
      <c r="AG497" s="92"/>
      <c r="AH497" s="92"/>
      <c r="AI497" s="92"/>
      <c r="AJ497" s="92"/>
      <c r="AK497" s="92"/>
      <c r="AL497" s="92"/>
      <c r="AM497" s="92"/>
      <c r="AN497" s="92"/>
      <c r="AO497" s="92"/>
      <c r="AP497" s="92"/>
      <c r="AQ497" s="92"/>
      <c r="AR497" s="92"/>
      <c r="AS497" s="92"/>
      <c r="AT497" s="92"/>
      <c r="AU497" s="92"/>
      <c r="AV497" s="92"/>
      <c r="AW497" s="92"/>
      <c r="AX497" s="92"/>
      <c r="AY497" s="92"/>
      <c r="AZ497" s="92"/>
    </row>
    <row r="498" spans="1:52" ht="15.7" customHeight="1" x14ac:dyDescent="0.4">
      <c r="A498" s="22"/>
      <c r="B498" s="91"/>
      <c r="C498" s="91"/>
      <c r="D498" s="92"/>
      <c r="E498" s="92"/>
      <c r="F498" s="92"/>
      <c r="G498" s="92"/>
      <c r="H498" s="92"/>
      <c r="I498" s="92"/>
      <c r="J498" s="92"/>
      <c r="K498" s="93"/>
      <c r="L498" s="93"/>
      <c r="M498" s="93"/>
      <c r="N498" s="93"/>
      <c r="O498" s="93"/>
      <c r="P498" s="93"/>
      <c r="Q498" s="93"/>
      <c r="R498" s="93"/>
      <c r="S498" s="92"/>
      <c r="T498" s="92"/>
      <c r="U498" s="92"/>
      <c r="V498" s="92"/>
      <c r="W498" s="92"/>
      <c r="X498" s="92"/>
      <c r="Y498" s="92"/>
      <c r="Z498" s="92"/>
      <c r="AA498" s="92"/>
      <c r="AB498" s="92"/>
      <c r="AC498" s="92"/>
      <c r="AD498" s="92"/>
      <c r="AE498" s="92"/>
      <c r="AF498" s="92"/>
      <c r="AG498" s="92"/>
      <c r="AH498" s="92"/>
      <c r="AI498" s="92"/>
      <c r="AJ498" s="92"/>
      <c r="AK498" s="92"/>
      <c r="AL498" s="92"/>
      <c r="AM498" s="92"/>
      <c r="AN498" s="92"/>
      <c r="AO498" s="92"/>
      <c r="AP498" s="92"/>
      <c r="AQ498" s="92"/>
      <c r="AR498" s="92"/>
      <c r="AS498" s="92"/>
      <c r="AT498" s="92"/>
      <c r="AU498" s="92"/>
      <c r="AV498" s="92"/>
      <c r="AW498" s="92"/>
      <c r="AX498" s="92"/>
      <c r="AY498" s="92"/>
      <c r="AZ498" s="92"/>
    </row>
    <row r="499" spans="1:52" ht="15.7" customHeight="1" x14ac:dyDescent="0.4">
      <c r="A499" s="22"/>
      <c r="B499" s="91"/>
      <c r="C499" s="91"/>
      <c r="D499" s="92"/>
      <c r="E499" s="92"/>
      <c r="F499" s="92"/>
      <c r="G499" s="92"/>
      <c r="H499" s="92"/>
      <c r="I499" s="92"/>
      <c r="J499" s="92"/>
      <c r="K499" s="93"/>
      <c r="L499" s="93"/>
      <c r="M499" s="93"/>
      <c r="N499" s="93"/>
      <c r="O499" s="93"/>
      <c r="P499" s="93"/>
      <c r="Q499" s="93"/>
      <c r="R499" s="93"/>
      <c r="S499" s="92"/>
      <c r="T499" s="92"/>
      <c r="U499" s="92"/>
      <c r="V499" s="92"/>
      <c r="W499" s="92"/>
      <c r="X499" s="92"/>
      <c r="Y499" s="92"/>
      <c r="Z499" s="92"/>
      <c r="AA499" s="92"/>
      <c r="AB499" s="92"/>
      <c r="AC499" s="92"/>
      <c r="AD499" s="92"/>
      <c r="AE499" s="92"/>
      <c r="AF499" s="92"/>
      <c r="AG499" s="92"/>
      <c r="AH499" s="92"/>
      <c r="AI499" s="92"/>
      <c r="AJ499" s="92"/>
      <c r="AK499" s="92"/>
      <c r="AL499" s="92"/>
      <c r="AM499" s="92"/>
      <c r="AN499" s="92"/>
      <c r="AO499" s="92"/>
      <c r="AP499" s="92"/>
      <c r="AQ499" s="92"/>
      <c r="AR499" s="92"/>
      <c r="AS499" s="92"/>
      <c r="AT499" s="92"/>
      <c r="AU499" s="92"/>
      <c r="AV499" s="92"/>
      <c r="AW499" s="92"/>
      <c r="AX499" s="92"/>
      <c r="AY499" s="92"/>
      <c r="AZ499" s="92"/>
    </row>
    <row r="500" spans="1:52" ht="15.7" customHeight="1" x14ac:dyDescent="0.4">
      <c r="A500" s="22"/>
      <c r="B500" s="91"/>
      <c r="C500" s="91"/>
      <c r="D500" s="92"/>
      <c r="E500" s="92"/>
      <c r="F500" s="92"/>
      <c r="G500" s="92"/>
      <c r="H500" s="92"/>
      <c r="I500" s="92"/>
      <c r="J500" s="92"/>
      <c r="K500" s="93"/>
      <c r="L500" s="93"/>
      <c r="M500" s="93"/>
      <c r="N500" s="93"/>
      <c r="O500" s="93"/>
      <c r="P500" s="93"/>
      <c r="Q500" s="93"/>
      <c r="R500" s="93"/>
      <c r="S500" s="92"/>
      <c r="T500" s="92"/>
      <c r="U500" s="92"/>
      <c r="V500" s="92"/>
      <c r="W500" s="92"/>
      <c r="X500" s="92"/>
      <c r="Y500" s="92"/>
      <c r="Z500" s="92"/>
      <c r="AA500" s="92"/>
      <c r="AB500" s="92"/>
      <c r="AC500" s="92"/>
      <c r="AD500" s="92"/>
      <c r="AE500" s="92"/>
      <c r="AF500" s="92"/>
      <c r="AG500" s="92"/>
      <c r="AH500" s="92"/>
      <c r="AI500" s="92"/>
      <c r="AJ500" s="92"/>
      <c r="AK500" s="92"/>
      <c r="AL500" s="92"/>
      <c r="AM500" s="92"/>
      <c r="AN500" s="92"/>
      <c r="AO500" s="92"/>
      <c r="AP500" s="92"/>
      <c r="AQ500" s="92"/>
      <c r="AR500" s="92"/>
      <c r="AS500" s="92"/>
      <c r="AT500" s="92"/>
      <c r="AU500" s="92"/>
      <c r="AV500" s="92"/>
      <c r="AW500" s="92"/>
      <c r="AX500" s="92"/>
      <c r="AY500" s="92"/>
      <c r="AZ500" s="92"/>
    </row>
    <row r="501" spans="1:52" x14ac:dyDescent="0.4">
      <c r="A501" s="22"/>
      <c r="B501" s="91"/>
      <c r="C501" s="91"/>
      <c r="D501" s="92"/>
      <c r="E501" s="92"/>
      <c r="F501" s="92"/>
      <c r="G501" s="92"/>
      <c r="H501" s="92"/>
      <c r="I501" s="92"/>
      <c r="J501" s="92"/>
      <c r="K501" s="93"/>
      <c r="L501" s="93"/>
      <c r="M501" s="93"/>
      <c r="N501" s="93"/>
      <c r="O501" s="93"/>
      <c r="P501" s="93"/>
      <c r="Q501" s="93"/>
      <c r="R501" s="93"/>
      <c r="S501" s="92"/>
      <c r="T501" s="92"/>
      <c r="U501" s="92"/>
      <c r="V501" s="92"/>
      <c r="W501" s="92"/>
      <c r="X501" s="92"/>
      <c r="Y501" s="92"/>
      <c r="Z501" s="92"/>
      <c r="AA501" s="92"/>
      <c r="AB501" s="92"/>
      <c r="AC501" s="92"/>
      <c r="AD501" s="92"/>
      <c r="AE501" s="92"/>
      <c r="AF501" s="92"/>
      <c r="AG501" s="92"/>
      <c r="AH501" s="92"/>
      <c r="AI501" s="92"/>
      <c r="AJ501" s="92"/>
      <c r="AK501" s="92"/>
      <c r="AL501" s="92"/>
      <c r="AM501" s="92"/>
      <c r="AN501" s="92"/>
      <c r="AO501" s="92"/>
      <c r="AP501" s="92"/>
      <c r="AQ501" s="92"/>
      <c r="AR501" s="92"/>
      <c r="AS501" s="92"/>
      <c r="AT501" s="92"/>
      <c r="AU501" s="92"/>
      <c r="AV501" s="92"/>
      <c r="AW501" s="92"/>
      <c r="AX501" s="92"/>
      <c r="AY501" s="92"/>
      <c r="AZ501" s="92"/>
    </row>
    <row r="502" spans="1:52" x14ac:dyDescent="0.4">
      <c r="A502" s="22"/>
      <c r="B502" s="91"/>
      <c r="C502" s="91"/>
      <c r="D502" s="92"/>
      <c r="E502" s="92"/>
      <c r="F502" s="92"/>
      <c r="G502" s="92"/>
      <c r="H502" s="92"/>
      <c r="I502" s="92"/>
      <c r="J502" s="92"/>
      <c r="K502" s="93"/>
      <c r="L502" s="93"/>
      <c r="M502" s="93"/>
      <c r="N502" s="93"/>
      <c r="O502" s="93"/>
      <c r="P502" s="93"/>
      <c r="Q502" s="93"/>
      <c r="R502" s="93"/>
      <c r="S502" s="92"/>
      <c r="T502" s="92"/>
      <c r="U502" s="92"/>
      <c r="V502" s="92"/>
      <c r="W502" s="92"/>
      <c r="X502" s="92"/>
      <c r="Y502" s="92"/>
      <c r="Z502" s="92"/>
      <c r="AA502" s="92"/>
      <c r="AB502" s="92"/>
      <c r="AC502" s="92"/>
      <c r="AD502" s="92"/>
      <c r="AE502" s="92"/>
      <c r="AF502" s="92"/>
      <c r="AG502" s="92"/>
      <c r="AH502" s="92"/>
      <c r="AI502" s="92"/>
      <c r="AJ502" s="92"/>
      <c r="AK502" s="92"/>
      <c r="AL502" s="92"/>
      <c r="AM502" s="92"/>
      <c r="AN502" s="92"/>
      <c r="AO502" s="92"/>
      <c r="AP502" s="92"/>
      <c r="AQ502" s="92"/>
      <c r="AR502" s="92"/>
      <c r="AS502" s="92"/>
      <c r="AT502" s="92"/>
      <c r="AU502" s="92"/>
      <c r="AV502" s="92"/>
      <c r="AW502" s="92"/>
      <c r="AX502" s="92"/>
      <c r="AY502" s="92"/>
      <c r="AZ502" s="92"/>
    </row>
  </sheetData>
  <sheetProtection algorithmName="SHA-512" hashValue="lnWSdGORJKamnk9FE9qOs/4o+TqVsAJf5lp2UHZVHqAVoQOwcOXV2LKlPAxK2uj0nSCQ9Ur8YkMWjsfsplsfdA==" saltValue="GVAhN6s9qyWnBC2eTrNKyA==" spinCount="100000" sheet="1" objects="1" scenarios="1" formatCells="0" formatColumns="0" formatRows="0" selectLockedCells="1"/>
  <mergeCells count="2">
    <mergeCell ref="D7:Q7"/>
    <mergeCell ref="D8:Q8"/>
  </mergeCells>
  <phoneticPr fontId="51" type="noConversion"/>
  <dataValidations count="9">
    <dataValidation type="list" allowBlank="1" showErrorMessage="1" sqref="D5" xr:uid="{00000000-0002-0000-0300-000000000000}">
      <formula1>"OUTPERFORM,NEUTRAL,UNDERPERFORM,Not rated,Under Review"</formula1>
    </dataValidation>
    <dataValidation type="custom" showDropDown="1" showInputMessage="1" showErrorMessage="1" errorTitle="错误提示" error="请控制字节数在1200以内（字节数=中文字数*2 + 其他字符字数，具体可使用LENB函数计算）" promptTitle="输入提示:" prompt="请控制字节数在1200以内（字节数=中文字数*2 + 其他字符字数，具体可使用LENB函数计算）" sqref="D7:Q8" xr:uid="{00000000-0002-0000-0300-000001000000}">
      <formula1>IF(LENB(D7)&lt;=1200,1,0)</formula1>
    </dataValidation>
    <dataValidation type="list" allowBlank="1" showInputMessage="1" showErrorMessage="1" sqref="D9:AZ9" xr:uid="{00000000-0002-0000-0300-000002000000}">
      <formula1>$CD$1:$CD$26</formula1>
    </dataValidation>
    <dataValidation type="list" allowBlank="1" showInputMessage="1" showErrorMessage="1" sqref="D10:AZ10" xr:uid="{00000000-0002-0000-0300-000003000000}">
      <formula1>$CB$1:$CB$4</formula1>
    </dataValidation>
    <dataValidation type="list" allowBlank="1" showInputMessage="1" showErrorMessage="1" sqref="D11:AZ11" xr:uid="{00000000-0002-0000-0300-000004000000}">
      <formula1>$CB$20:$CB$21</formula1>
    </dataValidation>
    <dataValidation type="list" allowBlank="1" showInputMessage="1" showErrorMessage="1" sqref="D12:AZ12" xr:uid="{00000000-0002-0000-0300-000005000000}">
      <formula1>$CC$1:$CC$4</formula1>
    </dataValidation>
    <dataValidation type="list" allowBlank="1" showInputMessage="1" showErrorMessage="1" sqref="D13:AZ13" xr:uid="{00000000-0002-0000-0300-000006000000}">
      <formula1>$CC$20:$CC$24</formula1>
    </dataValidation>
    <dataValidation type="custom" showDropDown="1" showInputMessage="1" showErrorMessage="1" errorTitle="错误提示" error="输入的数值必须在0-10000之间,且不能为空！" promptTitle="输入提示:" prompt="输入的数值必须在0-10000之间,且不能为空！" sqref="D6" xr:uid="{00000000-0002-0000-0300-000007000000}">
      <formula1>IF(D6&lt;&gt;"",1,0)*IF(D6&gt;=0,1,0)*IF(D6&lt;=10000,1,0)*IF(LEN(D6)&lt;=0,0,1)</formula1>
    </dataValidation>
    <dataValidation type="list" allowBlank="1" showInputMessage="1" showErrorMessage="1" sqref="D4" xr:uid="{00000000-0002-0000-0300-000008000000}">
      <formula1>"Upgrade to,Downgrade to,Maintain,Initiate at,Resume at,Transfer at"</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40000"/>
  </sheetPr>
  <dimension ref="A1:AL394"/>
  <sheetViews>
    <sheetView showGridLines="0" zoomScale="130" zoomScaleNormal="130" workbookViewId="0">
      <selection activeCell="X16" sqref="X16"/>
    </sheetView>
  </sheetViews>
  <sheetFormatPr defaultColWidth="9" defaultRowHeight="10.5" outlineLevelRow="1" outlineLevelCol="1" x14ac:dyDescent="0.35"/>
  <cols>
    <col min="1" max="1" width="14.5625" style="145" bestFit="1" customWidth="1"/>
    <col min="2" max="3" width="6.5625" style="146" hidden="1" customWidth="1" outlineLevel="1"/>
    <col min="4" max="7" width="6.5625" style="147" hidden="1" customWidth="1" outlineLevel="1"/>
    <col min="8" max="10" width="6.5625" style="148" hidden="1" customWidth="1" outlineLevel="1"/>
    <col min="11" max="12" width="8.0625" style="148" hidden="1" customWidth="1" outlineLevel="1"/>
    <col min="13" max="13" width="8.0625" style="148" customWidth="1" collapsed="1"/>
    <col min="14" max="24" width="8.0625" style="148" customWidth="1"/>
    <col min="25" max="25" width="2.0625" style="145" customWidth="1"/>
    <col min="26" max="26" width="2.5" style="145" customWidth="1"/>
    <col min="27" max="33" width="6.0625" style="145" customWidth="1"/>
    <col min="34" max="34" width="6.5" style="145" customWidth="1"/>
    <col min="35" max="16384" width="9" style="145"/>
  </cols>
  <sheetData>
    <row r="1" spans="1:38" x14ac:dyDescent="0.35">
      <c r="A1" s="149">
        <f ca="1">TODAY()</f>
        <v>46120</v>
      </c>
    </row>
    <row r="2" spans="1:38" x14ac:dyDescent="0.35">
      <c r="A2" s="150">
        <v>8.49</v>
      </c>
      <c r="H2" s="148" t="s">
        <v>1809</v>
      </c>
      <c r="I2" s="148" t="s">
        <v>1809</v>
      </c>
      <c r="J2" s="151">
        <f>14.2/A2-1</f>
        <v>0.67255594817432263</v>
      </c>
      <c r="K2" s="148" t="s">
        <v>1809</v>
      </c>
      <c r="L2" s="152"/>
      <c r="M2" s="152"/>
      <c r="N2" s="152"/>
      <c r="O2" s="152"/>
      <c r="P2" s="152"/>
      <c r="Q2" s="152"/>
      <c r="R2" s="152"/>
      <c r="S2" s="152"/>
      <c r="T2" s="152"/>
      <c r="U2" s="152"/>
      <c r="V2" s="152"/>
      <c r="W2" s="152"/>
      <c r="X2" s="152"/>
    </row>
    <row r="3" spans="1:38" x14ac:dyDescent="0.35">
      <c r="A3" s="153" t="s">
        <v>2212</v>
      </c>
      <c r="F3" s="154"/>
      <c r="G3" s="154"/>
      <c r="L3" s="152"/>
      <c r="M3" s="152"/>
      <c r="N3" s="152"/>
      <c r="O3" s="152"/>
      <c r="P3" s="152"/>
      <c r="Q3" s="152"/>
      <c r="R3" s="152"/>
      <c r="S3" s="152"/>
      <c r="T3" s="152"/>
      <c r="U3" s="152"/>
      <c r="V3" s="152"/>
      <c r="W3" s="152"/>
      <c r="X3" s="152"/>
      <c r="Y3" s="155"/>
      <c r="Z3" s="155"/>
      <c r="AA3" s="155"/>
      <c r="AB3" s="155"/>
      <c r="AC3" s="155"/>
      <c r="AD3" s="155"/>
      <c r="AE3" s="155"/>
      <c r="AF3" s="155"/>
      <c r="AG3" s="155"/>
      <c r="AH3" s="155"/>
      <c r="AI3" s="155"/>
      <c r="AJ3" s="155"/>
      <c r="AK3" s="155"/>
      <c r="AL3" s="155"/>
    </row>
    <row r="4" spans="1:38" x14ac:dyDescent="0.35">
      <c r="A4" s="1728" t="s">
        <v>3159</v>
      </c>
      <c r="B4" s="156" t="s">
        <v>2213</v>
      </c>
      <c r="C4" s="156" t="s">
        <v>2214</v>
      </c>
      <c r="D4" s="156" t="s">
        <v>2215</v>
      </c>
      <c r="E4" s="156" t="s">
        <v>2216</v>
      </c>
      <c r="F4" s="156" t="s">
        <v>2217</v>
      </c>
      <c r="G4" s="156" t="s">
        <v>826</v>
      </c>
      <c r="H4" s="156" t="s">
        <v>827</v>
      </c>
      <c r="I4" s="156" t="s">
        <v>1511</v>
      </c>
      <c r="J4" s="156" t="s">
        <v>1392</v>
      </c>
      <c r="K4" s="156" t="s">
        <v>1512</v>
      </c>
      <c r="L4" s="156" t="s">
        <v>2218</v>
      </c>
      <c r="M4" s="156" t="s">
        <v>2219</v>
      </c>
      <c r="N4" s="156" t="s">
        <v>2220</v>
      </c>
      <c r="O4" s="156" t="s">
        <v>1818</v>
      </c>
      <c r="P4" s="156" t="str">
        <f>PL!Q3</f>
        <v>2019A</v>
      </c>
      <c r="Q4" s="156" t="str">
        <f>PL!R3</f>
        <v>2020A</v>
      </c>
      <c r="R4" s="156" t="str">
        <f>PL!S3</f>
        <v>2021A</v>
      </c>
      <c r="S4" s="156" t="str">
        <f>PL!T3</f>
        <v>2022A</v>
      </c>
      <c r="T4" s="156" t="str">
        <f>PL!U3</f>
        <v>2023A</v>
      </c>
      <c r="U4" s="156" t="str">
        <f>PL!V3</f>
        <v>2024A</v>
      </c>
      <c r="V4" s="156" t="str">
        <f>PL!W3</f>
        <v>2025A</v>
      </c>
      <c r="W4" s="156" t="str">
        <f>PL!X3</f>
        <v>2026E</v>
      </c>
      <c r="X4" s="156" t="str">
        <f>PL!Y3</f>
        <v>2027E</v>
      </c>
      <c r="Y4" s="155"/>
      <c r="Z4" s="155"/>
      <c r="AA4" s="157"/>
      <c r="AB4" s="1741"/>
      <c r="AC4" s="1741"/>
      <c r="AD4" s="1741"/>
      <c r="AE4" s="1741"/>
      <c r="AF4" s="1741"/>
      <c r="AG4" s="1741"/>
      <c r="AH4" s="155"/>
      <c r="AI4" s="155"/>
      <c r="AJ4" s="155"/>
      <c r="AK4" s="155"/>
      <c r="AL4" s="155"/>
    </row>
    <row r="5" spans="1:38" x14ac:dyDescent="0.35">
      <c r="A5" s="159" t="s">
        <v>1721</v>
      </c>
      <c r="B5" s="160">
        <f>PL!C4</f>
        <v>7664.2520000000004</v>
      </c>
      <c r="C5" s="160">
        <f>PL!D4</f>
        <v>10294.825999999999</v>
      </c>
      <c r="D5" s="160">
        <f>PL!E4</f>
        <v>10168.321</v>
      </c>
      <c r="E5" s="160">
        <f>PL!F4</f>
        <v>11021.405000000001</v>
      </c>
      <c r="F5" s="160">
        <f>PL!G4</f>
        <v>11341.998</v>
      </c>
      <c r="G5" s="160">
        <f>PL!H4</f>
        <v>11982.870999999999</v>
      </c>
      <c r="H5" s="161">
        <f>PL!I4</f>
        <v>16379.311</v>
      </c>
      <c r="I5" s="161">
        <f>PL!J4</f>
        <v>21910.66</v>
      </c>
      <c r="J5" s="161">
        <f>PL!K4</f>
        <v>27285.62</v>
      </c>
      <c r="K5" s="161">
        <f>PL!L4</f>
        <v>34439.574999999997</v>
      </c>
      <c r="L5" s="161">
        <f>PL!M4</f>
        <v>38001.875999999997</v>
      </c>
      <c r="M5" s="161">
        <f>PL!N4</f>
        <v>46207.508000000002</v>
      </c>
      <c r="N5" s="161">
        <f>PL!O4</f>
        <v>50152.523999999998</v>
      </c>
      <c r="O5" s="161">
        <f>PL!P4</f>
        <v>55626.304000000004</v>
      </c>
      <c r="P5" s="161">
        <f>PL!Q4</f>
        <v>61669.678</v>
      </c>
      <c r="Q5" s="161">
        <f>PL!R4</f>
        <v>62458.008999999998</v>
      </c>
      <c r="R5" s="161">
        <f>PL!S4</f>
        <v>77309.614000000001</v>
      </c>
      <c r="S5" s="161">
        <f>PL!T4</f>
        <v>101975.265</v>
      </c>
      <c r="T5" s="161">
        <f>PL!U4</f>
        <v>113734.01300000001</v>
      </c>
      <c r="U5" s="161">
        <f>PL!V4</f>
        <v>105322.671</v>
      </c>
      <c r="V5" s="161">
        <f>PL!W4</f>
        <v>100448.5</v>
      </c>
      <c r="W5" s="161">
        <f>PL!X4</f>
        <v>103560.45987128874</v>
      </c>
      <c r="X5" s="161">
        <f>PL!Y4</f>
        <v>114194.84012038677</v>
      </c>
      <c r="Y5" s="155"/>
      <c r="Z5" s="155"/>
      <c r="AA5" s="155"/>
      <c r="AB5" s="158"/>
      <c r="AC5" s="158"/>
      <c r="AD5" s="158"/>
      <c r="AE5" s="158"/>
      <c r="AF5" s="158"/>
      <c r="AG5" s="158"/>
      <c r="AH5" s="155"/>
      <c r="AI5" s="155"/>
      <c r="AJ5" s="155"/>
      <c r="AK5" s="155"/>
      <c r="AL5" s="155"/>
    </row>
    <row r="6" spans="1:38" s="162" customFormat="1" x14ac:dyDescent="0.35">
      <c r="A6" s="163" t="s">
        <v>105</v>
      </c>
      <c r="B6" s="164"/>
      <c r="C6" s="164">
        <f t="shared" ref="C6:U6" si="0">(C5/B5-1)*1</f>
        <v>0.34322644923470658</v>
      </c>
      <c r="D6" s="164">
        <f t="shared" si="0"/>
        <v>-1.2288211573464158E-2</v>
      </c>
      <c r="E6" s="164">
        <f t="shared" si="0"/>
        <v>8.3896249931527667E-2</v>
      </c>
      <c r="F6" s="164">
        <f t="shared" si="0"/>
        <v>2.9088215159500885E-2</v>
      </c>
      <c r="G6" s="164">
        <f t="shared" si="0"/>
        <v>5.650441835733E-2</v>
      </c>
      <c r="H6" s="164">
        <f t="shared" si="0"/>
        <v>0.36689371019683015</v>
      </c>
      <c r="I6" s="164">
        <f t="shared" si="0"/>
        <v>0.33770339912344305</v>
      </c>
      <c r="J6" s="164">
        <f t="shared" si="0"/>
        <v>0.24531255562360976</v>
      </c>
      <c r="K6" s="164">
        <f t="shared" si="0"/>
        <v>0.26218773844977683</v>
      </c>
      <c r="L6" s="164">
        <f t="shared" si="0"/>
        <v>0.10343626482034107</v>
      </c>
      <c r="M6" s="164">
        <f t="shared" si="0"/>
        <v>0.21592702423427745</v>
      </c>
      <c r="N6" s="164">
        <f t="shared" si="0"/>
        <v>8.5376082172619938E-2</v>
      </c>
      <c r="O6" s="164">
        <f t="shared" si="0"/>
        <v>0.10914266249092486</v>
      </c>
      <c r="P6" s="164">
        <f t="shared" si="0"/>
        <v>0.10864237897236517</v>
      </c>
      <c r="Q6" s="164">
        <f t="shared" si="0"/>
        <v>1.2783121715018497E-2</v>
      </c>
      <c r="R6" s="164">
        <f t="shared" si="0"/>
        <v>0.23778543757294601</v>
      </c>
      <c r="S6" s="164">
        <f t="shared" si="0"/>
        <v>0.31905024128046988</v>
      </c>
      <c r="T6" s="164">
        <f t="shared" si="0"/>
        <v>0.11530980576515293</v>
      </c>
      <c r="U6" s="164">
        <f t="shared" si="0"/>
        <v>-7.395625792259708E-2</v>
      </c>
      <c r="V6" s="164">
        <f t="shared" ref="V6" si="1">(V5/U5-1)*1</f>
        <v>-4.6278459838907882E-2</v>
      </c>
      <c r="W6" s="164">
        <f t="shared" ref="W6:X6" si="2">(W5/V5-1)*1</f>
        <v>3.098065049541554E-2</v>
      </c>
      <c r="X6" s="164">
        <f t="shared" si="2"/>
        <v>0.10268764992271273</v>
      </c>
      <c r="Y6" s="165"/>
      <c r="Z6" s="165"/>
      <c r="AA6" s="166"/>
      <c r="AB6" s="167"/>
      <c r="AC6" s="167"/>
      <c r="AD6" s="168"/>
      <c r="AE6" s="167"/>
      <c r="AF6" s="167"/>
      <c r="AG6" s="167"/>
      <c r="AH6" s="165"/>
      <c r="AI6" s="165"/>
      <c r="AJ6" s="165"/>
      <c r="AK6" s="165"/>
      <c r="AL6" s="165"/>
    </row>
    <row r="7" spans="1:38" x14ac:dyDescent="0.35">
      <c r="A7" s="159" t="s">
        <v>2221</v>
      </c>
      <c r="B7" s="160">
        <f>PL!C103</f>
        <v>201.52400000000063</v>
      </c>
      <c r="C7" s="160">
        <f>PL!D103</f>
        <v>271.04399999999924</v>
      </c>
      <c r="D7" s="160">
        <f>PL!E103</f>
        <v>530.31000000000006</v>
      </c>
      <c r="E7" s="160">
        <f>PL!F103</f>
        <v>570.66500000000008</v>
      </c>
      <c r="F7" s="160">
        <f>PL!G103</f>
        <v>722.08</v>
      </c>
      <c r="G7" s="160">
        <f>PL!H103</f>
        <v>1333.4669999999994</v>
      </c>
      <c r="H7" s="161">
        <f>PL!I103</f>
        <v>1844.3009999999995</v>
      </c>
      <c r="I7" s="161">
        <f>PL!J103</f>
        <v>2541.3970000000008</v>
      </c>
      <c r="J7" s="161">
        <f>PL!K103</f>
        <v>3173.7580000000003</v>
      </c>
      <c r="K7" s="161">
        <f>PL!L103</f>
        <v>4047.5939999999964</v>
      </c>
      <c r="L7" s="161">
        <f>PL!M103</f>
        <v>5132.2449999999981</v>
      </c>
      <c r="M7" s="161">
        <f>PL!N103</f>
        <v>6011.7200000000048</v>
      </c>
      <c r="N7" s="161">
        <f>PL!O103</f>
        <v>6789.9659999999994</v>
      </c>
      <c r="O7" s="161">
        <f>PL!P103</f>
        <v>6205.5050000000028</v>
      </c>
      <c r="P7" s="161">
        <f>PL!Q103</f>
        <v>7284.4710000000014</v>
      </c>
      <c r="Q7" s="161">
        <f>PL!R103</f>
        <v>8244.4759999999987</v>
      </c>
      <c r="R7" s="161">
        <f>PL!S103</f>
        <v>9385.1779999999999</v>
      </c>
      <c r="S7" s="161">
        <f>PL!T103</f>
        <v>10778.684999999994</v>
      </c>
      <c r="T7" s="161">
        <f>PL!U103</f>
        <v>12103.547000000004</v>
      </c>
      <c r="U7" s="161">
        <f>PL!V103</f>
        <v>11839.239</v>
      </c>
      <c r="V7" s="161">
        <f>PL!W103</f>
        <v>11967.471999999998</v>
      </c>
      <c r="W7" s="161">
        <f ca="1">PL!X103</f>
        <v>13423.970433482549</v>
      </c>
      <c r="X7" s="161">
        <f ca="1">PL!Y103</f>
        <v>14554.861349565783</v>
      </c>
      <c r="Y7" s="155"/>
      <c r="Z7" s="155"/>
      <c r="AA7" s="169"/>
      <c r="AB7" s="170"/>
      <c r="AC7" s="170"/>
      <c r="AD7" s="168"/>
      <c r="AE7" s="170"/>
      <c r="AF7" s="170"/>
      <c r="AG7" s="170"/>
      <c r="AH7" s="155"/>
      <c r="AI7" s="155"/>
      <c r="AJ7" s="155"/>
      <c r="AK7" s="155"/>
      <c r="AL7" s="155"/>
    </row>
    <row r="8" spans="1:38" s="162" customFormat="1" x14ac:dyDescent="0.35">
      <c r="A8" s="163" t="s">
        <v>105</v>
      </c>
      <c r="B8" s="164"/>
      <c r="C8" s="164">
        <f t="shared" ref="C8:U8" si="3">(C7/B7-1)*1</f>
        <v>0.34497131855262109</v>
      </c>
      <c r="D8" s="164">
        <f t="shared" si="3"/>
        <v>0.95654580068181372</v>
      </c>
      <c r="E8" s="164">
        <f t="shared" si="3"/>
        <v>7.6096999868001669E-2</v>
      </c>
      <c r="F8" s="164">
        <f t="shared" si="3"/>
        <v>0.26533079827920059</v>
      </c>
      <c r="G8" s="164">
        <f t="shared" si="3"/>
        <v>0.84670258143141952</v>
      </c>
      <c r="H8" s="164">
        <f t="shared" si="3"/>
        <v>0.38308709551867448</v>
      </c>
      <c r="I8" s="164">
        <f t="shared" si="3"/>
        <v>0.37797300982865689</v>
      </c>
      <c r="J8" s="164">
        <f t="shared" si="3"/>
        <v>0.24882417032836623</v>
      </c>
      <c r="K8" s="164">
        <f t="shared" si="3"/>
        <v>0.27533164154292677</v>
      </c>
      <c r="L8" s="164">
        <f t="shared" si="3"/>
        <v>0.26797425828776378</v>
      </c>
      <c r="M8" s="164">
        <f t="shared" si="3"/>
        <v>0.17136262980430739</v>
      </c>
      <c r="N8" s="164">
        <f t="shared" si="3"/>
        <v>0.12945479829399797</v>
      </c>
      <c r="O8" s="164">
        <f t="shared" si="3"/>
        <v>-8.6077161505668354E-2</v>
      </c>
      <c r="P8" s="164">
        <f t="shared" si="3"/>
        <v>0.17387239233551477</v>
      </c>
      <c r="Q8" s="164">
        <f t="shared" si="3"/>
        <v>0.13178788137120701</v>
      </c>
      <c r="R8" s="164">
        <f t="shared" si="3"/>
        <v>0.13835955129228372</v>
      </c>
      <c r="S8" s="164">
        <f t="shared" si="3"/>
        <v>0.14847954934898344</v>
      </c>
      <c r="T8" s="164">
        <f t="shared" si="3"/>
        <v>0.12291499380490389</v>
      </c>
      <c r="U8" s="164">
        <f t="shared" si="3"/>
        <v>-2.1837234985744636E-2</v>
      </c>
      <c r="V8" s="164">
        <f t="shared" ref="V8" si="4">(V7/U7-1)*1</f>
        <v>1.0831186024709671E-2</v>
      </c>
      <c r="W8" s="164">
        <f t="shared" ref="W8:X8" ca="1" si="5">(W7/V7-1)*1</f>
        <v>0.12170477052150619</v>
      </c>
      <c r="X8" s="164">
        <f t="shared" ca="1" si="5"/>
        <v>8.4244145328458586E-2</v>
      </c>
      <c r="Y8" s="165"/>
      <c r="Z8" s="165"/>
      <c r="AA8" s="171"/>
      <c r="AB8" s="167"/>
      <c r="AC8" s="167"/>
      <c r="AD8" s="168"/>
      <c r="AE8" s="167"/>
      <c r="AF8" s="167"/>
      <c r="AG8" s="167"/>
      <c r="AH8" s="165"/>
      <c r="AI8" s="165"/>
      <c r="AJ8" s="165"/>
      <c r="AK8" s="165"/>
      <c r="AL8" s="165"/>
    </row>
    <row r="9" spans="1:38" x14ac:dyDescent="0.35">
      <c r="A9" s="159" t="s">
        <v>1640</v>
      </c>
      <c r="B9" s="160">
        <f>PL!C112</f>
        <v>152.02100000000064</v>
      </c>
      <c r="C9" s="160">
        <f>PL!D112</f>
        <v>222.18199999999925</v>
      </c>
      <c r="D9" s="160">
        <f>PL!E112</f>
        <v>404.89300000000003</v>
      </c>
      <c r="E9" s="160">
        <f>PL!F112</f>
        <v>489.32100000000008</v>
      </c>
      <c r="F9" s="160">
        <f>PL!G112</f>
        <v>612.53100000000006</v>
      </c>
      <c r="G9" s="160">
        <f>PL!H112</f>
        <v>1036.2779999999993</v>
      </c>
      <c r="H9" s="161">
        <f>PL!I112</f>
        <v>1507.4049999999995</v>
      </c>
      <c r="I9" s="161">
        <f>PL!J112</f>
        <v>2941.2510000000011</v>
      </c>
      <c r="J9" s="161">
        <f>PL!K112</f>
        <v>2749.5510000000004</v>
      </c>
      <c r="K9" s="161">
        <f>PL!L112</f>
        <v>3457.4099999999967</v>
      </c>
      <c r="L9" s="161">
        <f>PL!M112</f>
        <v>4524.1259999999984</v>
      </c>
      <c r="M9" s="161">
        <f>PL!N112</f>
        <v>5130.0660000000053</v>
      </c>
      <c r="N9" s="161">
        <f>PL!O112</f>
        <v>5490.0909999999994</v>
      </c>
      <c r="O9" s="161">
        <f>PL!P112</f>
        <v>4500.1480000000029</v>
      </c>
      <c r="P9" s="161">
        <f>PL!Q112</f>
        <v>5413.2080000000014</v>
      </c>
      <c r="Q9" s="161">
        <f>PL!R112</f>
        <v>6015.3679999999986</v>
      </c>
      <c r="R9" s="161">
        <f>PL!S112</f>
        <v>6800.8790000000008</v>
      </c>
      <c r="S9" s="161">
        <f>PL!T112</f>
        <v>7956.8759999999957</v>
      </c>
      <c r="T9" s="161">
        <f>PL!U112</f>
        <v>9164.0450000000037</v>
      </c>
      <c r="U9" s="161">
        <f>PL!V112</f>
        <v>8565.3309999999983</v>
      </c>
      <c r="V9" s="161">
        <f>PL!W112</f>
        <v>8588.4439999999995</v>
      </c>
      <c r="W9" s="161">
        <f ca="1">PL!X112</f>
        <v>9661.5456312902897</v>
      </c>
      <c r="X9" s="161">
        <f ca="1">PL!Y112</f>
        <v>10494.750019954554</v>
      </c>
      <c r="Y9" s="155"/>
      <c r="Z9" s="155"/>
      <c r="AA9" s="155"/>
      <c r="AB9" s="155"/>
      <c r="AC9" s="155"/>
      <c r="AD9" s="155"/>
      <c r="AE9" s="155"/>
      <c r="AF9" s="155"/>
      <c r="AG9" s="155"/>
      <c r="AH9" s="155"/>
      <c r="AI9" s="155"/>
      <c r="AJ9" s="155"/>
      <c r="AK9" s="155"/>
      <c r="AL9" s="155"/>
    </row>
    <row r="10" spans="1:38" s="162" customFormat="1" x14ac:dyDescent="0.35">
      <c r="A10" s="163" t="s">
        <v>105</v>
      </c>
      <c r="B10" s="164"/>
      <c r="C10" s="164">
        <f t="shared" ref="C10:U10" si="6">(C9/B9-1)*1</f>
        <v>0.46152176344056617</v>
      </c>
      <c r="D10" s="164">
        <f t="shared" si="6"/>
        <v>0.82234834505046051</v>
      </c>
      <c r="E10" s="164">
        <f t="shared" si="6"/>
        <v>0.20851928781184181</v>
      </c>
      <c r="F10" s="164">
        <f t="shared" si="6"/>
        <v>0.25179789953833986</v>
      </c>
      <c r="G10" s="164">
        <f t="shared" si="6"/>
        <v>0.69179682334444981</v>
      </c>
      <c r="H10" s="164">
        <f t="shared" si="6"/>
        <v>0.45463379517851443</v>
      </c>
      <c r="I10" s="164">
        <f t="shared" si="6"/>
        <v>0.95120156825803415</v>
      </c>
      <c r="J10" s="164">
        <f t="shared" si="6"/>
        <v>-6.5176348431331022E-2</v>
      </c>
      <c r="K10" s="164">
        <f t="shared" si="6"/>
        <v>0.25744530652459119</v>
      </c>
      <c r="L10" s="164">
        <f t="shared" si="6"/>
        <v>0.30853037389259663</v>
      </c>
      <c r="M10" s="164">
        <f t="shared" si="6"/>
        <v>0.13393526175000581</v>
      </c>
      <c r="N10" s="164">
        <f t="shared" si="6"/>
        <v>7.0179408997855797E-2</v>
      </c>
      <c r="O10" s="164">
        <f t="shared" si="6"/>
        <v>-0.18031449751925732</v>
      </c>
      <c r="P10" s="164">
        <f t="shared" si="6"/>
        <v>0.20289554921304775</v>
      </c>
      <c r="Q10" s="164">
        <f t="shared" si="6"/>
        <v>0.11123902868687052</v>
      </c>
      <c r="R10" s="164">
        <f t="shared" si="6"/>
        <v>0.13058403076919034</v>
      </c>
      <c r="S10" s="164">
        <f t="shared" si="6"/>
        <v>0.16997758672077468</v>
      </c>
      <c r="T10" s="164">
        <f t="shared" si="6"/>
        <v>0.15171393898811658</v>
      </c>
      <c r="U10" s="164">
        <f t="shared" si="6"/>
        <v>-6.5332939766228226E-2</v>
      </c>
      <c r="V10" s="164">
        <f t="shared" ref="V10" si="7">(V9/U9-1)*1</f>
        <v>2.6984362892690239E-3</v>
      </c>
      <c r="W10" s="164">
        <f t="shared" ref="W10:X10" ca="1" si="8">(W9/V9-1)*1</f>
        <v>0.12494715355776798</v>
      </c>
      <c r="X10" s="164">
        <f t="shared" ca="1" si="8"/>
        <v>8.6239243746446981E-2</v>
      </c>
      <c r="Y10" s="165"/>
      <c r="Z10" s="165"/>
      <c r="AA10" s="165"/>
      <c r="AB10" s="165"/>
      <c r="AC10" s="165"/>
      <c r="AD10" s="165"/>
      <c r="AE10" s="165"/>
      <c r="AF10" s="165"/>
      <c r="AG10" s="165"/>
      <c r="AH10" s="165"/>
      <c r="AI10" s="165"/>
      <c r="AJ10" s="165"/>
      <c r="AK10" s="165"/>
      <c r="AL10" s="165"/>
    </row>
    <row r="11" spans="1:38" x14ac:dyDescent="0.35">
      <c r="A11" s="159" t="s">
        <v>2222</v>
      </c>
      <c r="B11" s="172">
        <f>PL!C122</f>
        <v>2.87797734613956E-2</v>
      </c>
      <c r="C11" s="172">
        <f>PL!D122</f>
        <v>4.2062265260718906E-2</v>
      </c>
      <c r="D11" s="172">
        <f>PL!E122</f>
        <v>7.6652099486944569E-2</v>
      </c>
      <c r="E11" s="172">
        <f>PL!F122</f>
        <v>9.2635540681244688E-2</v>
      </c>
      <c r="F11" s="172">
        <f>PL!G122</f>
        <v>0.11596097524738053</v>
      </c>
      <c r="G11" s="172">
        <f>PL!H122</f>
        <v>0.19618240955544278</v>
      </c>
      <c r="H11" s="172">
        <f>PL!I122</f>
        <v>0.28537356295889932</v>
      </c>
      <c r="I11" s="172">
        <f>PL!J122</f>
        <v>0.5568213435847873</v>
      </c>
      <c r="J11" s="172">
        <f>PL!K122</f>
        <v>0.52052976168130327</v>
      </c>
      <c r="K11" s="172">
        <f>PL!L122</f>
        <v>0.65453770573251879</v>
      </c>
      <c r="L11" s="172">
        <f>PL!M122</f>
        <v>0.85648246880897527</v>
      </c>
      <c r="M11" s="172">
        <f>PL!N122</f>
        <v>0.9711956724531966</v>
      </c>
      <c r="N11" s="172">
        <f>PL!O122</f>
        <v>1.039353610767237</v>
      </c>
      <c r="O11" s="172">
        <f>PL!P122</f>
        <v>0.85194308669691698</v>
      </c>
      <c r="P11" s="172">
        <f>PL!Q122</f>
        <v>1.024798547170547</v>
      </c>
      <c r="Q11" s="172">
        <f>PL!R122</f>
        <v>1.1387961421575148</v>
      </c>
      <c r="R11" s="172">
        <f>PL!S122</f>
        <v>1.2875047326248468</v>
      </c>
      <c r="S11" s="172">
        <f>PL!T122</f>
        <v>1.5063516799679944</v>
      </c>
      <c r="T11" s="172">
        <f>PL!U122</f>
        <v>1.7348862268373055</v>
      </c>
      <c r="U11" s="172">
        <f>PL!V122</f>
        <v>1.6215410094780849</v>
      </c>
      <c r="V11" s="172">
        <f>PL!W122</f>
        <v>1.6259166345825986</v>
      </c>
      <c r="W11" s="172">
        <f ca="1">PL!X122</f>
        <v>1.8290702899959197</v>
      </c>
      <c r="X11" s="172">
        <f ca="1">PL!Y122</f>
        <v>1.9868079285642624</v>
      </c>
      <c r="Y11" s="155"/>
      <c r="Z11" s="155"/>
      <c r="AA11" s="155"/>
      <c r="AB11" s="155"/>
      <c r="AC11" s="155"/>
      <c r="AD11" s="155"/>
      <c r="AE11" s="155"/>
      <c r="AF11" s="155"/>
      <c r="AG11" s="155"/>
      <c r="AH11" s="155"/>
      <c r="AI11" s="155"/>
      <c r="AJ11" s="155"/>
      <c r="AK11" s="155"/>
      <c r="AL11" s="155"/>
    </row>
    <row r="12" spans="1:38" s="173" customFormat="1" x14ac:dyDescent="0.35">
      <c r="A12" s="174" t="s">
        <v>1722</v>
      </c>
      <c r="B12" s="175">
        <f>PL!C123</f>
        <v>0</v>
      </c>
      <c r="C12" s="175">
        <f>PL!D123</f>
        <v>201.84362271921285</v>
      </c>
      <c r="D12" s="175">
        <f>PL!E123</f>
        <v>110.76017560935851</v>
      </c>
      <c r="E12" s="175">
        <f>PL!F123</f>
        <v>91.649489359745431</v>
      </c>
      <c r="F12" s="175">
        <f>PL!G123</f>
        <v>73.214285943078792</v>
      </c>
      <c r="G12" s="175">
        <f>PL!H123</f>
        <v>43.276051197651618</v>
      </c>
      <c r="H12" s="176">
        <f>PL!I123</f>
        <v>29.750478327324124</v>
      </c>
      <c r="I12" s="176">
        <f>PL!J123</f>
        <v>15.247260360642455</v>
      </c>
      <c r="J12" s="176">
        <f>PL!K123</f>
        <v>16.310306585693446</v>
      </c>
      <c r="K12" s="176">
        <f>PL!L123</f>
        <v>12.970986889897365</v>
      </c>
      <c r="L12" s="176">
        <f>PL!M123</f>
        <v>9.9126372216423722</v>
      </c>
      <c r="M12" s="176">
        <f>PL!N123</f>
        <v>8.7418017200948199</v>
      </c>
      <c r="N12" s="176">
        <f>PL!O123</f>
        <v>8.1685385147532177</v>
      </c>
      <c r="O12" s="176">
        <f>PL!P123</f>
        <v>9.9654544212768048</v>
      </c>
      <c r="P12" s="176">
        <f>PL!Q123</f>
        <v>8.2845550703021189</v>
      </c>
      <c r="Q12" s="176">
        <f>PL!R123</f>
        <v>7.4552412725206523</v>
      </c>
      <c r="R12" s="176">
        <f>PL!S123</f>
        <v>6.5941505183374085</v>
      </c>
      <c r="S12" s="176">
        <f>PL!T123</f>
        <v>5.636134053490343</v>
      </c>
      <c r="T12" s="176">
        <f>PL!U123</f>
        <v>4.8936926633380766</v>
      </c>
      <c r="U12" s="176">
        <f>PL!V123</f>
        <v>5.235760273946215</v>
      </c>
      <c r="V12" s="176">
        <f>PL!W123</f>
        <v>5.2216699303156666</v>
      </c>
      <c r="W12" s="176">
        <f ca="1">PL!X123</f>
        <v>4.6417024246886323</v>
      </c>
      <c r="X12" s="176">
        <f ca="1">PL!Y123</f>
        <v>4.2731860880659838</v>
      </c>
      <c r="Y12" s="177"/>
      <c r="Z12" s="177"/>
      <c r="AA12" s="177"/>
      <c r="AB12" s="177"/>
      <c r="AC12" s="177"/>
      <c r="AD12" s="177"/>
      <c r="AE12" s="177"/>
      <c r="AF12" s="177"/>
      <c r="AG12" s="177"/>
      <c r="AH12" s="177"/>
      <c r="AI12" s="177"/>
      <c r="AJ12" s="177"/>
      <c r="AK12" s="177"/>
      <c r="AL12" s="177"/>
    </row>
    <row r="13" spans="1:38" x14ac:dyDescent="0.35">
      <c r="A13" s="159" t="s">
        <v>2223</v>
      </c>
      <c r="B13" s="175">
        <f>PL!C128</f>
        <v>0</v>
      </c>
      <c r="C13" s="175">
        <f>PL!D128</f>
        <v>46.033641705356494</v>
      </c>
      <c r="D13" s="175">
        <f>PL!E128</f>
        <v>20.803624551012373</v>
      </c>
      <c r="E13" s="175">
        <f>PL!F128</f>
        <v>17.773068610529961</v>
      </c>
      <c r="F13" s="175">
        <f>PL!G128</f>
        <v>10.417721450935264</v>
      </c>
      <c r="G13" s="175">
        <f>PL!H128</f>
        <v>9.7080864135340796</v>
      </c>
      <c r="H13" s="176">
        <f>PL!I128</f>
        <v>4.7254327113472723</v>
      </c>
      <c r="I13" s="176">
        <f>PL!J128</f>
        <v>3.3195117703235804</v>
      </c>
      <c r="J13" s="176">
        <f>PL!K128</f>
        <v>2.8145502873920303</v>
      </c>
      <c r="K13" s="176">
        <f>PL!L128</f>
        <v>2.2615129943395131</v>
      </c>
      <c r="L13" s="176">
        <f>PL!M128</f>
        <v>1.9343059082784166</v>
      </c>
      <c r="M13" s="176">
        <f>PL!N128</f>
        <v>1.762263981377209</v>
      </c>
      <c r="N13" s="176">
        <f>PL!O128</f>
        <v>1.1774432003367812</v>
      </c>
      <c r="O13" s="176">
        <f>PL!P128</f>
        <v>1.1662139339541349</v>
      </c>
      <c r="P13" s="176">
        <f>PL!Q128</f>
        <v>1.0640087050754516</v>
      </c>
      <c r="Q13" s="176">
        <f>PL!R128</f>
        <v>0.91347672279177405</v>
      </c>
      <c r="R13" s="176">
        <f>PL!S128</f>
        <v>0.79449188059100206</v>
      </c>
      <c r="S13" s="176">
        <f>PL!T128</f>
        <v>0.77601479225849535</v>
      </c>
      <c r="T13" s="176">
        <f>PL!U128</f>
        <v>0.72656409041436931</v>
      </c>
      <c r="U13" s="176">
        <f>PL!V128</f>
        <v>0.72501418240670423</v>
      </c>
      <c r="V13" s="176">
        <f>PL!W128</f>
        <v>0.63699443447557924</v>
      </c>
      <c r="W13" s="176">
        <f ca="1">PL!X128</f>
        <v>0.58166472703634831</v>
      </c>
      <c r="X13" s="176">
        <f ca="1">PL!Y128</f>
        <v>0.53253311481692456</v>
      </c>
      <c r="Y13" s="155"/>
      <c r="Z13" s="155"/>
      <c r="AA13" s="155"/>
      <c r="AB13" s="155"/>
      <c r="AC13" s="155"/>
      <c r="AD13" s="155"/>
      <c r="AE13" s="155"/>
      <c r="AF13" s="155"/>
      <c r="AG13" s="155"/>
      <c r="AH13" s="155"/>
      <c r="AI13" s="155"/>
      <c r="AJ13" s="155"/>
      <c r="AK13" s="155"/>
      <c r="AL13" s="155"/>
    </row>
    <row r="14" spans="1:38" s="173" customFormat="1" x14ac:dyDescent="0.35">
      <c r="A14" s="174" t="s">
        <v>564</v>
      </c>
      <c r="B14" s="178">
        <f>PL!C138</f>
        <v>0</v>
      </c>
      <c r="C14" s="178">
        <f>PL!D138</f>
        <v>121.95838359340374</v>
      </c>
      <c r="D14" s="178">
        <f>PL!E138</f>
        <v>74.952154764575297</v>
      </c>
      <c r="E14" s="178">
        <f>PL!F138</f>
        <v>62.542271719531165</v>
      </c>
      <c r="F14" s="178">
        <f>PL!G138</f>
        <v>42.342299818531458</v>
      </c>
      <c r="G14" s="178">
        <f>PL!H138</f>
        <v>25.81092821887815</v>
      </c>
      <c r="H14" s="179">
        <f>PL!I138</f>
        <v>16.794394645818752</v>
      </c>
      <c r="I14" s="179">
        <f>PL!J138</f>
        <v>13.019921388476831</v>
      </c>
      <c r="J14" s="179">
        <f>PL!K138</f>
        <v>11.412272236308571</v>
      </c>
      <c r="K14" s="179">
        <f>PL!L138</f>
        <v>10.511588596994464</v>
      </c>
      <c r="L14" s="179">
        <f>PL!M138</f>
        <v>7.7399306584678316</v>
      </c>
      <c r="M14" s="179">
        <f>PL!N138</f>
        <v>7.1004261294453075</v>
      </c>
      <c r="N14" s="179">
        <f>PL!O138</f>
        <v>6.4986502751957671</v>
      </c>
      <c r="O14" s="179">
        <f>PL!P138</f>
        <v>7.5830405666872185</v>
      </c>
      <c r="P14" s="179">
        <f>PL!Q138</f>
        <v>6.3915118862263283</v>
      </c>
      <c r="Q14" s="179">
        <f>PL!R138</f>
        <v>6.5030235114608388</v>
      </c>
      <c r="R14" s="179">
        <f>PL!S138</f>
        <v>6.7746921451530087</v>
      </c>
      <c r="S14" s="179">
        <f>PL!T138</f>
        <v>6.00457436431026</v>
      </c>
      <c r="T14" s="179">
        <f>PL!U138</f>
        <v>5.5924149363671933</v>
      </c>
      <c r="U14" s="179">
        <f>PL!V138</f>
        <v>6.0724923127914288</v>
      </c>
      <c r="V14" s="179">
        <f>PL!W138</f>
        <v>6.3135360412247339</v>
      </c>
      <c r="W14" s="179">
        <f ca="1">PL!X138</f>
        <v>5.9313173573560025</v>
      </c>
      <c r="X14" s="179">
        <f ca="1">PL!Y138</f>
        <v>5.7751923046510925</v>
      </c>
      <c r="Y14" s="177"/>
      <c r="Z14" s="177"/>
      <c r="AA14" s="177"/>
      <c r="AB14" s="177"/>
      <c r="AC14" s="177"/>
      <c r="AD14" s="177"/>
      <c r="AE14" s="177"/>
      <c r="AF14" s="177"/>
      <c r="AG14" s="177"/>
      <c r="AH14" s="177"/>
      <c r="AI14" s="177"/>
      <c r="AJ14" s="177"/>
      <c r="AK14" s="177"/>
      <c r="AL14" s="177"/>
    </row>
    <row r="15" spans="1:38" x14ac:dyDescent="0.35">
      <c r="A15" s="159" t="s">
        <v>2224</v>
      </c>
      <c r="B15" s="180">
        <f>PL!C140</f>
        <v>0</v>
      </c>
      <c r="C15" s="180">
        <f>PL!D140</f>
        <v>0.24659393664952384</v>
      </c>
      <c r="D15" s="180">
        <f>PL!E140</f>
        <v>0.25872716049540495</v>
      </c>
      <c r="E15" s="180">
        <f>PL!F140</f>
        <v>0.20915891206127885</v>
      </c>
      <c r="F15" s="180">
        <f>PL!G140</f>
        <v>0.17941637415955011</v>
      </c>
      <c r="G15" s="180">
        <f>PL!H140</f>
        <v>0.2322391439397809</v>
      </c>
      <c r="H15" s="180">
        <f>PL!I140</f>
        <v>0.21366777506870749</v>
      </c>
      <c r="I15" s="180">
        <f>PL!J140</f>
        <v>0.25575899940939595</v>
      </c>
      <c r="J15" s="180">
        <f>PL!K140</f>
        <v>0.18676819911790263</v>
      </c>
      <c r="K15" s="180">
        <f>PL!L140</f>
        <v>0.19334727147603031</v>
      </c>
      <c r="L15" s="180">
        <f>PL!M140</f>
        <v>0.21035279840705426</v>
      </c>
      <c r="M15" s="180">
        <f>PL!N140</f>
        <v>0.21097269250660977</v>
      </c>
      <c r="N15" s="180">
        <f>PL!O140</f>
        <v>0.17281939962245094</v>
      </c>
      <c r="O15" s="180">
        <f>PL!P140</f>
        <v>0.1175863754900464</v>
      </c>
      <c r="P15" s="180">
        <f>PL!Q140</f>
        <v>0.13431854962184941</v>
      </c>
      <c r="Q15" s="180">
        <f>PL!R140</f>
        <v>0.13185532302994332</v>
      </c>
      <c r="R15" s="180">
        <f>PL!S140</f>
        <v>0.12887782699969158</v>
      </c>
      <c r="S15" s="180">
        <f>PL!T140</f>
        <v>0.13930553053675757</v>
      </c>
      <c r="T15" s="180">
        <f>PL!U140</f>
        <v>0.15335571070668294</v>
      </c>
      <c r="U15" s="180">
        <f>PL!V140</f>
        <v>0.13862137893762153</v>
      </c>
      <c r="V15" s="180">
        <f>PL!W140</f>
        <v>0.12987419375231418</v>
      </c>
      <c r="W15" s="180">
        <f ca="1">PL!X140</f>
        <v>0.13100226644428831</v>
      </c>
      <c r="X15" s="180">
        <f ca="1">PL!Y140</f>
        <v>0.13011735433751684</v>
      </c>
      <c r="Y15" s="155"/>
      <c r="Z15" s="155"/>
      <c r="AA15" s="155"/>
      <c r="AB15" s="155"/>
      <c r="AC15" s="155"/>
      <c r="AD15" s="155"/>
      <c r="AE15" s="155"/>
      <c r="AF15" s="155"/>
      <c r="AG15" s="155"/>
      <c r="AH15" s="155"/>
      <c r="AI15" s="155"/>
      <c r="AJ15" s="155"/>
      <c r="AK15" s="155"/>
      <c r="AL15" s="155"/>
    </row>
    <row r="16" spans="1:38" x14ac:dyDescent="0.35">
      <c r="A16" s="159" t="s">
        <v>2225</v>
      </c>
      <c r="B16" s="180">
        <f>PL!C132</f>
        <v>0</v>
      </c>
      <c r="C16" s="180">
        <f>PL!D132</f>
        <v>4.2676655315075094E-3</v>
      </c>
      <c r="D16" s="180">
        <f>PL!E132</f>
        <v>5.0169400217536693E-3</v>
      </c>
      <c r="E16" s="180">
        <f>PL!F132</f>
        <v>9.6297092809896519E-3</v>
      </c>
      <c r="F16" s="180">
        <f>PL!G132</f>
        <v>7.4385905915728282E-3</v>
      </c>
      <c r="G16" s="180">
        <f>PL!H132</f>
        <v>9.944849936615369E-3</v>
      </c>
      <c r="H16" s="180">
        <f>PL!I132</f>
        <v>1.4133381653792541E-2</v>
      </c>
      <c r="I16" s="180">
        <f>PL!J132</f>
        <v>1.8848985799445037E-2</v>
      </c>
      <c r="J16" s="180">
        <f>PL!K132</f>
        <v>2.473783769070044E-2</v>
      </c>
      <c r="K16" s="180">
        <f>PL!L132</f>
        <v>2.7066674327864783E-2</v>
      </c>
      <c r="L16" s="180">
        <f>PL!M132</f>
        <v>3.8852305067788778E-2</v>
      </c>
      <c r="M16" s="180">
        <f>PL!N132</f>
        <v>3.8867002138856466E-2</v>
      </c>
      <c r="N16" s="180">
        <f>PL!O132</f>
        <v>4.1224970292321299E-2</v>
      </c>
      <c r="O16" s="180">
        <f>PL!P132</f>
        <v>3.1802119939790721E-2</v>
      </c>
      <c r="P16" s="180">
        <f>PL!Q132</f>
        <v>3.7691401410122324E-2</v>
      </c>
      <c r="Q16" s="180">
        <f>PL!R132</f>
        <v>4.2402826586387617E-2</v>
      </c>
      <c r="R16" s="180">
        <f>PL!S132</f>
        <v>4.7723741108438501E-2</v>
      </c>
      <c r="S16" s="180">
        <f>PL!T132</f>
        <v>5.6537102473498226E-2</v>
      </c>
      <c r="T16" s="180">
        <f>PL!U132</f>
        <v>6.5959952885747949E-2</v>
      </c>
      <c r="U16" s="180">
        <f>PL!V132</f>
        <v>7.2438162544169613E-2</v>
      </c>
      <c r="V16" s="180">
        <f>PL!W132</f>
        <v>7.361601884570082E-2</v>
      </c>
      <c r="W16" s="180">
        <f ca="1">PL!X132</f>
        <v>8.4694337690141092E-2</v>
      </c>
      <c r="X16" s="180">
        <f ca="1">PL!Y132</f>
        <v>9.3265882886251136E-2</v>
      </c>
      <c r="Y16" s="155"/>
      <c r="Z16" s="155"/>
      <c r="AA16" s="155"/>
      <c r="AB16" s="155"/>
      <c r="AC16" s="155"/>
      <c r="AD16" s="155"/>
      <c r="AE16" s="155"/>
      <c r="AF16" s="155"/>
      <c r="AG16" s="155"/>
      <c r="AH16" s="155"/>
      <c r="AI16" s="155"/>
      <c r="AJ16" s="155"/>
      <c r="AK16" s="155"/>
      <c r="AL16" s="155"/>
    </row>
    <row r="17" spans="1:38" x14ac:dyDescent="0.35">
      <c r="A17" s="159" t="s">
        <v>2226</v>
      </c>
      <c r="B17" s="180">
        <f>PL!C139</f>
        <v>0</v>
      </c>
      <c r="C17" s="180">
        <f>PL!D139</f>
        <v>2.1581909203710607E-2</v>
      </c>
      <c r="D17" s="180">
        <f>PL!E139</f>
        <v>3.9819061573685567E-2</v>
      </c>
      <c r="E17" s="180">
        <f>PL!F139</f>
        <v>4.4397334096696391E-2</v>
      </c>
      <c r="F17" s="180">
        <f>PL!G139</f>
        <v>5.400556409902383E-2</v>
      </c>
      <c r="G17" s="180">
        <f>PL!H139</f>
        <v>8.6479942911844701E-2</v>
      </c>
      <c r="H17" s="180">
        <f>PL!I139</f>
        <v>9.2031038424021591E-2</v>
      </c>
      <c r="I17" s="180">
        <f>PL!J139</f>
        <v>0.13423835703716827</v>
      </c>
      <c r="J17" s="180">
        <f>PL!K139</f>
        <v>0.10076923302457487</v>
      </c>
      <c r="K17" s="180">
        <f>PL!L139</f>
        <v>0.100390611672763</v>
      </c>
      <c r="L17" s="180">
        <f>PL!M139</f>
        <v>0.11905007005443623</v>
      </c>
      <c r="M17" s="180">
        <f>PL!N139</f>
        <v>0.11102234727741658</v>
      </c>
      <c r="N17" s="180">
        <f>PL!O139</f>
        <v>0.10946789038972395</v>
      </c>
      <c r="O17" s="180">
        <f>PL!P139</f>
        <v>8.0899640572920373E-2</v>
      </c>
      <c r="P17" s="180">
        <f>PL!Q139</f>
        <v>8.7777464964224422E-2</v>
      </c>
      <c r="Q17" s="180">
        <f>PL!R139</f>
        <v>9.6310594851014203E-2</v>
      </c>
      <c r="R17" s="180">
        <f>PL!S139</f>
        <v>8.7969382436704449E-2</v>
      </c>
      <c r="S17" s="180">
        <f>PL!T139</f>
        <v>7.8027509906446385E-2</v>
      </c>
      <c r="T17" s="180">
        <f>PL!U139</f>
        <v>8.0574357294506113E-2</v>
      </c>
      <c r="U17" s="180">
        <f>PL!V139</f>
        <v>8.1324665607844279E-2</v>
      </c>
      <c r="V17" s="180">
        <f>PL!W139</f>
        <v>8.5500968157812204E-2</v>
      </c>
      <c r="W17" s="180">
        <f ca="1">PL!X139</f>
        <v>9.3293769101626706E-2</v>
      </c>
      <c r="X17" s="180">
        <f ca="1">PL!Y139</f>
        <v>9.1902138563272673E-2</v>
      </c>
      <c r="Y17" s="155"/>
      <c r="Z17" s="155"/>
      <c r="AA17" s="155"/>
      <c r="AB17" s="155"/>
      <c r="AC17" s="155"/>
      <c r="AD17" s="155"/>
      <c r="AE17" s="155"/>
      <c r="AF17" s="155"/>
      <c r="AG17" s="155"/>
      <c r="AH17" s="155"/>
      <c r="AI17" s="155"/>
      <c r="AJ17" s="155"/>
      <c r="AK17" s="155"/>
      <c r="AL17" s="155"/>
    </row>
    <row r="18" spans="1:38" x14ac:dyDescent="0.35">
      <c r="A18" s="159" t="s">
        <v>2227</v>
      </c>
      <c r="B18" s="180">
        <f>PL!C141</f>
        <v>0</v>
      </c>
      <c r="C18" s="180">
        <f>PL!D141</f>
        <v>4.1082886167887515E-2</v>
      </c>
      <c r="D18" s="180">
        <f>PL!E141</f>
        <v>5.3222823192932985E-2</v>
      </c>
      <c r="E18" s="180">
        <f>PL!F141</f>
        <v>5.4467865227372715E-2</v>
      </c>
      <c r="F18" s="180">
        <f>PL!G141</f>
        <v>4.6546740973542888E-2</v>
      </c>
      <c r="G18" s="180">
        <f>PL!H141</f>
        <v>5.5476984245015688E-2</v>
      </c>
      <c r="H18" s="180">
        <f>PL!I141</f>
        <v>5.6387120048431244E-2</v>
      </c>
      <c r="I18" s="180">
        <f>PL!J141</f>
        <v>7.903870160787442E-2</v>
      </c>
      <c r="J18" s="180">
        <f>PL!K141</f>
        <v>5.2421615409560418E-2</v>
      </c>
      <c r="K18" s="180">
        <f>PL!L141</f>
        <v>5.1929353753573118E-2</v>
      </c>
      <c r="L18" s="180">
        <f>PL!M141</f>
        <v>6.1886081757800276E-2</v>
      </c>
      <c r="M18" s="180">
        <f>PL!N141</f>
        <v>5.9531175396604012E-2</v>
      </c>
      <c r="N18" s="180">
        <f>PL!O141</f>
        <v>4.6322738772948541E-2</v>
      </c>
      <c r="O18" s="180">
        <f>PL!P141</f>
        <v>3.3059644962403656E-2</v>
      </c>
      <c r="P18" s="180">
        <f>PL!Q141</f>
        <v>3.3534116691503864E-2</v>
      </c>
      <c r="Q18" s="180">
        <f>PL!R141</f>
        <v>3.2200235074636027E-2</v>
      </c>
      <c r="R18" s="180">
        <f>PL!S141</f>
        <v>3.1013962801963706E-2</v>
      </c>
      <c r="S18" s="180">
        <f>PL!T141</f>
        <v>3.4768938233808007E-2</v>
      </c>
      <c r="T18" s="180">
        <f>PL!U141</f>
        <v>3.676283855298023E-2</v>
      </c>
      <c r="U18" s="180">
        <f>PL!V141</f>
        <v>3.2513664834277693E-2</v>
      </c>
      <c r="V18" s="180">
        <f>PL!W141</f>
        <v>3.0597687151046569E-2</v>
      </c>
      <c r="W18" s="180">
        <f ca="1">PL!X141</f>
        <v>3.309679197266386E-2</v>
      </c>
      <c r="X18" s="180">
        <f ca="1">PL!Y141</f>
        <v>3.3413708492579963E-2</v>
      </c>
      <c r="Y18" s="155"/>
      <c r="Z18" s="155"/>
      <c r="AA18" s="155"/>
      <c r="AB18" s="155"/>
      <c r="AC18" s="155"/>
      <c r="AD18" s="155"/>
      <c r="AE18" s="155"/>
      <c r="AF18" s="155"/>
      <c r="AG18" s="155"/>
      <c r="AH18" s="155"/>
      <c r="AI18" s="155"/>
      <c r="AJ18" s="155"/>
      <c r="AK18" s="155"/>
      <c r="AL18" s="155"/>
    </row>
    <row r="19" spans="1:38" x14ac:dyDescent="0.35">
      <c r="A19" s="159" t="s">
        <v>2228</v>
      </c>
      <c r="B19" s="180">
        <f>BS!C95</f>
        <v>0</v>
      </c>
      <c r="C19" s="180">
        <f>BS!D95</f>
        <v>0.81986394582980471</v>
      </c>
      <c r="D19" s="180">
        <f>BS!E95</f>
        <v>0.71663739514140434</v>
      </c>
      <c r="E19" s="180">
        <f>BS!F95</f>
        <v>0.71912829776358522</v>
      </c>
      <c r="F19" s="180">
        <f>BS!G95</f>
        <v>0.672876029618795</v>
      </c>
      <c r="G19" s="180">
        <f>BS!H95</f>
        <v>0.75248698808774717</v>
      </c>
      <c r="H19" s="180">
        <f>BS!I95</f>
        <v>0.6447452645300531</v>
      </c>
      <c r="I19" s="180">
        <f>BS!J95</f>
        <v>0.62773642775287364</v>
      </c>
      <c r="J19" s="180">
        <f>BS!K95</f>
        <v>0.69137934088252873</v>
      </c>
      <c r="K19" s="180">
        <f>BS!L95</f>
        <v>0.69964057943883207</v>
      </c>
      <c r="L19" s="180">
        <f>BS!M95</f>
        <v>0.68148410837997508</v>
      </c>
      <c r="M19" s="180">
        <f>BS!N95</f>
        <v>0.70211217490289612</v>
      </c>
      <c r="N19" s="180">
        <f>BS!O95</f>
        <v>0.67546851615024794</v>
      </c>
      <c r="O19" s="180">
        <f>BS!P95</f>
        <v>0.6835322636940685</v>
      </c>
      <c r="P19" s="180">
        <f>BS!Q95</f>
        <v>0.68463428244576641</v>
      </c>
      <c r="Q19" s="180">
        <f>BS!R95</f>
        <v>0.68802987390907766</v>
      </c>
      <c r="R19" s="180">
        <f>BS!S95</f>
        <v>0.69803477378751366</v>
      </c>
      <c r="S19" s="180">
        <f>BS!T95</f>
        <v>0.70375173351988807</v>
      </c>
      <c r="T19" s="180">
        <f>BS!U95</f>
        <v>0.70202502111275356</v>
      </c>
      <c r="U19" s="180">
        <f>BS!V95</f>
        <v>0.73020956796183167</v>
      </c>
      <c r="V19" s="180">
        <f>BS!W95</f>
        <v>0.71364400327023481</v>
      </c>
      <c r="W19" s="180">
        <f ca="1">BS!X95</f>
        <v>0.70099472396460927</v>
      </c>
      <c r="X19" s="180">
        <f ca="1">BS!Y95</f>
        <v>0.69872186305954165</v>
      </c>
    </row>
    <row r="20" spans="1:38" x14ac:dyDescent="0.35">
      <c r="A20" s="159"/>
      <c r="B20" s="181"/>
      <c r="C20" s="181"/>
      <c r="G20" s="182"/>
    </row>
    <row r="21" spans="1:38" x14ac:dyDescent="0.35">
      <c r="A21" s="1729" t="s">
        <v>3160</v>
      </c>
      <c r="B21" s="156" t="str">
        <f t="shared" ref="B21:U21" si="9">B4</f>
        <v xml:space="preserve">    2005A</v>
      </c>
      <c r="C21" s="156" t="str">
        <f t="shared" si="9"/>
        <v xml:space="preserve">    2006A</v>
      </c>
      <c r="D21" s="156" t="str">
        <f t="shared" si="9"/>
        <v xml:space="preserve">    2007A</v>
      </c>
      <c r="E21" s="156" t="str">
        <f t="shared" si="9"/>
        <v xml:space="preserve">    2008A</v>
      </c>
      <c r="F21" s="156" t="str">
        <f t="shared" si="9"/>
        <v xml:space="preserve">    2009A</v>
      </c>
      <c r="G21" s="156" t="str">
        <f t="shared" si="9"/>
        <v xml:space="preserve">    2010A</v>
      </c>
      <c r="H21" s="156" t="str">
        <f t="shared" si="9"/>
        <v xml:space="preserve">    2011A</v>
      </c>
      <c r="I21" s="156" t="str">
        <f t="shared" si="9"/>
        <v xml:space="preserve">    2012A</v>
      </c>
      <c r="J21" s="156" t="str">
        <f t="shared" si="9"/>
        <v xml:space="preserve">    2013A</v>
      </c>
      <c r="K21" s="156" t="str">
        <f t="shared" si="9"/>
        <v xml:space="preserve">    2014A</v>
      </c>
      <c r="L21" s="156" t="str">
        <f t="shared" si="9"/>
        <v xml:space="preserve">    2015A</v>
      </c>
      <c r="M21" s="156" t="str">
        <f t="shared" si="9"/>
        <v xml:space="preserve">    2016A</v>
      </c>
      <c r="N21" s="156" t="str">
        <f t="shared" si="9"/>
        <v xml:space="preserve">    2017A</v>
      </c>
      <c r="O21" s="156" t="str">
        <f t="shared" si="9"/>
        <v>2018A</v>
      </c>
      <c r="P21" s="156" t="str">
        <f t="shared" si="9"/>
        <v>2019A</v>
      </c>
      <c r="Q21" s="156" t="str">
        <f t="shared" si="9"/>
        <v>2020A</v>
      </c>
      <c r="R21" s="156" t="str">
        <f t="shared" si="9"/>
        <v>2021A</v>
      </c>
      <c r="S21" s="156" t="str">
        <f t="shared" si="9"/>
        <v>2022A</v>
      </c>
      <c r="T21" s="156" t="str">
        <f t="shared" si="9"/>
        <v>2023A</v>
      </c>
      <c r="U21" s="156" t="str">
        <f t="shared" si="9"/>
        <v>2024A</v>
      </c>
      <c r="V21" s="156" t="str">
        <f t="shared" ref="V21:W21" si="10">V4</f>
        <v>2025A</v>
      </c>
      <c r="W21" s="156" t="str">
        <f t="shared" si="10"/>
        <v>2026E</v>
      </c>
      <c r="X21" s="156" t="str">
        <f t="shared" ref="X21" si="11">X4</f>
        <v>2027E</v>
      </c>
      <c r="AI21" s="183"/>
      <c r="AJ21" s="183"/>
      <c r="AK21" s="183"/>
      <c r="AL21" s="183"/>
    </row>
    <row r="22" spans="1:38" x14ac:dyDescent="0.35">
      <c r="A22" s="148" t="s">
        <v>262</v>
      </c>
      <c r="B22" s="161">
        <f>PL!C4</f>
        <v>7664.2520000000004</v>
      </c>
      <c r="C22" s="161">
        <f>PL!D4</f>
        <v>10294.825999999999</v>
      </c>
      <c r="D22" s="161">
        <f>PL!E4</f>
        <v>10168.321</v>
      </c>
      <c r="E22" s="161">
        <f>PL!F4</f>
        <v>11021.405000000001</v>
      </c>
      <c r="F22" s="161">
        <f>PL!G4</f>
        <v>11341.998</v>
      </c>
      <c r="G22" s="161">
        <f>PL!H4</f>
        <v>11982.870999999999</v>
      </c>
      <c r="H22" s="161">
        <f>PL!I4</f>
        <v>16379.311</v>
      </c>
      <c r="I22" s="161">
        <f>PL!J4</f>
        <v>21910.66</v>
      </c>
      <c r="J22" s="161">
        <f>PL!K4</f>
        <v>27285.62</v>
      </c>
      <c r="K22" s="161">
        <f>PL!L4</f>
        <v>34439.574999999997</v>
      </c>
      <c r="L22" s="161">
        <f>PL!M4</f>
        <v>38001.875999999997</v>
      </c>
      <c r="M22" s="161">
        <f>PL!N4</f>
        <v>46207.508000000002</v>
      </c>
      <c r="N22" s="161">
        <f>PL!O4</f>
        <v>50152.523999999998</v>
      </c>
      <c r="O22" s="161">
        <f>PL!P4</f>
        <v>55626.304000000004</v>
      </c>
      <c r="P22" s="161">
        <f>PL!Q4</f>
        <v>61669.678</v>
      </c>
      <c r="Q22" s="161">
        <f>PL!R4</f>
        <v>62458.008999999998</v>
      </c>
      <c r="R22" s="161">
        <f>PL!S4</f>
        <v>77309.614000000001</v>
      </c>
      <c r="S22" s="161">
        <f>PL!T4</f>
        <v>101975.265</v>
      </c>
      <c r="T22" s="161">
        <f>PL!U4</f>
        <v>113734.01300000001</v>
      </c>
      <c r="U22" s="161">
        <f>PL!V4</f>
        <v>105322.671</v>
      </c>
      <c r="V22" s="161">
        <f>PL!W4</f>
        <v>100448.5</v>
      </c>
      <c r="W22" s="161">
        <f>PL!X4</f>
        <v>103560.45987128874</v>
      </c>
      <c r="X22" s="161">
        <f>PL!Y4</f>
        <v>114194.84012038677</v>
      </c>
      <c r="AI22" s="160"/>
      <c r="AJ22" s="160"/>
      <c r="AK22" s="160"/>
      <c r="AL22" s="160"/>
    </row>
    <row r="23" spans="1:38" x14ac:dyDescent="0.35">
      <c r="A23" s="184" t="s">
        <v>105</v>
      </c>
      <c r="B23" s="185"/>
      <c r="C23" s="185">
        <f>PL!D5</f>
        <v>0.34322644923470658</v>
      </c>
      <c r="D23" s="185">
        <f>PL!E5</f>
        <v>-1.2288211573464158E-2</v>
      </c>
      <c r="E23" s="164">
        <f>PL!F5</f>
        <v>8.3896249931527667E-2</v>
      </c>
      <c r="F23" s="164">
        <f>PL!G5</f>
        <v>2.9088215159500885E-2</v>
      </c>
      <c r="G23" s="164">
        <f>PL!H5</f>
        <v>5.650441835733E-2</v>
      </c>
      <c r="H23" s="164">
        <f>PL!I5</f>
        <v>0.36689371019683015</v>
      </c>
      <c r="I23" s="164">
        <f>PL!J5</f>
        <v>0.33770339912344305</v>
      </c>
      <c r="J23" s="164">
        <f>PL!K5</f>
        <v>0.24531255562360976</v>
      </c>
      <c r="K23" s="164">
        <f>PL!L5</f>
        <v>0.26218773844977683</v>
      </c>
      <c r="L23" s="164">
        <f>PL!M5</f>
        <v>0.10343626482034107</v>
      </c>
      <c r="M23" s="164">
        <f>PL!N5</f>
        <v>0.21592702423427745</v>
      </c>
      <c r="N23" s="164">
        <f>PL!O5</f>
        <v>8.5376082172619938E-2</v>
      </c>
      <c r="O23" s="164">
        <f>PL!P5</f>
        <v>0.10914266249092486</v>
      </c>
      <c r="P23" s="164">
        <f>PL!Q5</f>
        <v>0.10864237897236517</v>
      </c>
      <c r="Q23" s="164">
        <f>PL!R5</f>
        <v>1.2783121715018497E-2</v>
      </c>
      <c r="R23" s="164">
        <f>PL!S5</f>
        <v>0.23778543757294601</v>
      </c>
      <c r="S23" s="164">
        <f>PL!T5</f>
        <v>0.31905024128046988</v>
      </c>
      <c r="T23" s="164">
        <f>PL!U5</f>
        <v>0.11530980576515293</v>
      </c>
      <c r="U23" s="164">
        <f>PL!V5</f>
        <v>-7.395625792259708E-2</v>
      </c>
      <c r="V23" s="164">
        <f>PL!W5</f>
        <v>-4.6278459838907882E-2</v>
      </c>
      <c r="W23" s="164">
        <f>PL!X5</f>
        <v>3.098065049541554E-2</v>
      </c>
      <c r="X23" s="164">
        <f>PL!Y5</f>
        <v>0.10268764992271273</v>
      </c>
      <c r="AI23" s="164"/>
      <c r="AJ23" s="164"/>
      <c r="AK23" s="164"/>
      <c r="AL23" s="164"/>
    </row>
    <row r="24" spans="1:38" x14ac:dyDescent="0.35">
      <c r="A24" s="148" t="s">
        <v>2229</v>
      </c>
      <c r="B24" s="161">
        <f t="shared" ref="B24:G24" si="12">B7</f>
        <v>201.52400000000063</v>
      </c>
      <c r="C24" s="161">
        <f t="shared" si="12"/>
        <v>271.04399999999924</v>
      </c>
      <c r="D24" s="161">
        <f t="shared" si="12"/>
        <v>530.31000000000006</v>
      </c>
      <c r="E24" s="161">
        <f t="shared" si="12"/>
        <v>570.66500000000008</v>
      </c>
      <c r="F24" s="161">
        <f t="shared" si="12"/>
        <v>722.08</v>
      </c>
      <c r="G24" s="161">
        <f t="shared" si="12"/>
        <v>1333.4669999999994</v>
      </c>
      <c r="H24" s="161">
        <f>PL!I103</f>
        <v>1844.3009999999995</v>
      </c>
      <c r="I24" s="161">
        <f>PL!J103</f>
        <v>2541.3970000000008</v>
      </c>
      <c r="J24" s="161">
        <f>PL!K103</f>
        <v>3173.7580000000003</v>
      </c>
      <c r="K24" s="161">
        <f>PL!L103</f>
        <v>4047.5939999999964</v>
      </c>
      <c r="L24" s="161">
        <f>PL!M103</f>
        <v>5132.2449999999981</v>
      </c>
      <c r="M24" s="161">
        <f>PL!N103</f>
        <v>6011.7200000000048</v>
      </c>
      <c r="N24" s="161">
        <f>PL!O103</f>
        <v>6789.9659999999994</v>
      </c>
      <c r="O24" s="161">
        <f>PL!P103</f>
        <v>6205.5050000000028</v>
      </c>
      <c r="P24" s="161">
        <f>PL!Q103</f>
        <v>7284.4710000000014</v>
      </c>
      <c r="Q24" s="161">
        <f>PL!R103</f>
        <v>8244.4759999999987</v>
      </c>
      <c r="R24" s="161">
        <f>PL!S103</f>
        <v>9385.1779999999999</v>
      </c>
      <c r="S24" s="161">
        <f>PL!T103</f>
        <v>10778.684999999994</v>
      </c>
      <c r="T24" s="161">
        <f>PL!U103</f>
        <v>12103.547000000004</v>
      </c>
      <c r="U24" s="161">
        <f>PL!V103</f>
        <v>11839.239</v>
      </c>
      <c r="V24" s="161">
        <f>PL!W103</f>
        <v>11967.471999999998</v>
      </c>
      <c r="W24" s="161">
        <f ca="1">PL!X103</f>
        <v>13423.970433482549</v>
      </c>
      <c r="X24" s="161">
        <f ca="1">PL!Y103</f>
        <v>14554.861349565783</v>
      </c>
      <c r="Y24" s="186"/>
      <c r="Z24" s="186"/>
      <c r="AI24" s="160"/>
      <c r="AJ24" s="160"/>
      <c r="AK24" s="160"/>
      <c r="AL24" s="160"/>
    </row>
    <row r="25" spans="1:38" x14ac:dyDescent="0.35">
      <c r="A25" s="184" t="s">
        <v>105</v>
      </c>
      <c r="B25" s="185"/>
      <c r="C25" s="185">
        <f>C8</f>
        <v>0.34497131855262109</v>
      </c>
      <c r="D25" s="185">
        <f>D8</f>
        <v>0.95654580068181372</v>
      </c>
      <c r="E25" s="164">
        <f>E8</f>
        <v>7.6096999868001669E-2</v>
      </c>
      <c r="F25" s="164">
        <f>F8</f>
        <v>0.26533079827920059</v>
      </c>
      <c r="G25" s="164">
        <f>G8</f>
        <v>0.84670258143141952</v>
      </c>
      <c r="H25" s="164">
        <f t="shared" ref="H25:U25" si="13">H24/G24-1</f>
        <v>0.38308709551867448</v>
      </c>
      <c r="I25" s="164">
        <f t="shared" si="13"/>
        <v>0.37797300982865689</v>
      </c>
      <c r="J25" s="164">
        <f t="shared" si="13"/>
        <v>0.24882417032836623</v>
      </c>
      <c r="K25" s="164">
        <f t="shared" si="13"/>
        <v>0.27533164154292677</v>
      </c>
      <c r="L25" s="164">
        <f t="shared" si="13"/>
        <v>0.26797425828776378</v>
      </c>
      <c r="M25" s="164">
        <f t="shared" si="13"/>
        <v>0.17136262980430739</v>
      </c>
      <c r="N25" s="164">
        <f t="shared" si="13"/>
        <v>0.12945479829399797</v>
      </c>
      <c r="O25" s="164">
        <f t="shared" si="13"/>
        <v>-8.6077161505668354E-2</v>
      </c>
      <c r="P25" s="164">
        <f t="shared" si="13"/>
        <v>0.17387239233551477</v>
      </c>
      <c r="Q25" s="164">
        <f t="shared" si="13"/>
        <v>0.13178788137120701</v>
      </c>
      <c r="R25" s="164">
        <f t="shared" si="13"/>
        <v>0.13835955129228372</v>
      </c>
      <c r="S25" s="164">
        <f t="shared" si="13"/>
        <v>0.14847954934898344</v>
      </c>
      <c r="T25" s="164">
        <f t="shared" si="13"/>
        <v>0.12291499380490389</v>
      </c>
      <c r="U25" s="164">
        <f t="shared" si="13"/>
        <v>-2.1837234985744636E-2</v>
      </c>
      <c r="V25" s="164">
        <f t="shared" ref="V25" si="14">V24/U24-1</f>
        <v>1.0831186024709671E-2</v>
      </c>
      <c r="W25" s="164">
        <f t="shared" ref="W25:X25" ca="1" si="15">W24/V24-1</f>
        <v>0.12170477052150619</v>
      </c>
      <c r="X25" s="164">
        <f t="shared" ca="1" si="15"/>
        <v>8.4244145328458586E-2</v>
      </c>
      <c r="Y25" s="180"/>
      <c r="Z25" s="180"/>
      <c r="AI25" s="164"/>
      <c r="AJ25" s="164"/>
      <c r="AK25" s="164"/>
      <c r="AL25" s="164"/>
    </row>
    <row r="26" spans="1:38" x14ac:dyDescent="0.35">
      <c r="A26" s="148" t="s">
        <v>2009</v>
      </c>
      <c r="B26" s="161">
        <f>B9</f>
        <v>152.02100000000064</v>
      </c>
      <c r="C26" s="161">
        <f>PL!D112</f>
        <v>222.18199999999925</v>
      </c>
      <c r="D26" s="161">
        <f>PL!E112</f>
        <v>404.89300000000003</v>
      </c>
      <c r="E26" s="161">
        <f>PL!F112</f>
        <v>489.32100000000008</v>
      </c>
      <c r="F26" s="161">
        <f>PL!G112</f>
        <v>612.53100000000006</v>
      </c>
      <c r="G26" s="161">
        <f>PL!H112</f>
        <v>1036.2779999999993</v>
      </c>
      <c r="H26" s="161">
        <f>PL!I112</f>
        <v>1507.4049999999995</v>
      </c>
      <c r="I26" s="161">
        <f>PL!J112</f>
        <v>2941.2510000000011</v>
      </c>
      <c r="J26" s="161">
        <f>PL!K112</f>
        <v>2749.5510000000004</v>
      </c>
      <c r="K26" s="161">
        <f>PL!L112</f>
        <v>3457.4099999999967</v>
      </c>
      <c r="L26" s="161">
        <f>PL!M112</f>
        <v>4524.1259999999984</v>
      </c>
      <c r="M26" s="161">
        <f>PL!N112</f>
        <v>5130.0660000000053</v>
      </c>
      <c r="N26" s="161">
        <f>PL!O112</f>
        <v>5490.0909999999994</v>
      </c>
      <c r="O26" s="161">
        <f>PL!P112</f>
        <v>4500.1480000000029</v>
      </c>
      <c r="P26" s="161">
        <f>PL!Q112</f>
        <v>5413.2080000000014</v>
      </c>
      <c r="Q26" s="161">
        <f>PL!R112</f>
        <v>6015.3679999999986</v>
      </c>
      <c r="R26" s="161">
        <f>PL!S112</f>
        <v>6800.8790000000008</v>
      </c>
      <c r="S26" s="161">
        <f>PL!T112</f>
        <v>7956.8759999999957</v>
      </c>
      <c r="T26" s="161">
        <f>PL!U112</f>
        <v>9164.0450000000037</v>
      </c>
      <c r="U26" s="161">
        <f>PL!V112</f>
        <v>8565.3309999999983</v>
      </c>
      <c r="V26" s="161">
        <f>PL!W112</f>
        <v>8588.4439999999995</v>
      </c>
      <c r="W26" s="161">
        <f ca="1">PL!X112</f>
        <v>9661.5456312902897</v>
      </c>
      <c r="X26" s="161">
        <f ca="1">PL!Y112</f>
        <v>10494.750019954554</v>
      </c>
      <c r="Y26" s="186"/>
      <c r="Z26" s="186"/>
      <c r="AI26" s="160"/>
      <c r="AJ26" s="160"/>
      <c r="AK26" s="160"/>
      <c r="AL26" s="160"/>
    </row>
    <row r="27" spans="1:38" x14ac:dyDescent="0.35">
      <c r="A27" s="184" t="s">
        <v>105</v>
      </c>
      <c r="B27" s="185"/>
      <c r="C27" s="185">
        <f>PL!D113</f>
        <v>0.46152176344056617</v>
      </c>
      <c r="D27" s="185">
        <f>PL!E113</f>
        <v>0.82234834505046051</v>
      </c>
      <c r="E27" s="164">
        <f>PL!F113</f>
        <v>0.20851928781184181</v>
      </c>
      <c r="F27" s="164">
        <f>PL!G113</f>
        <v>0.25179789953833986</v>
      </c>
      <c r="G27" s="164">
        <f>PL!H113</f>
        <v>0.69179682334444981</v>
      </c>
      <c r="H27" s="164">
        <f>PL!I113</f>
        <v>0.45463379517851443</v>
      </c>
      <c r="I27" s="164">
        <f>PL!J113</f>
        <v>0.95120156825803415</v>
      </c>
      <c r="J27" s="164">
        <f>PL!K113</f>
        <v>-6.5176348431331022E-2</v>
      </c>
      <c r="K27" s="164">
        <f>PL!L113</f>
        <v>0.25744530652459119</v>
      </c>
      <c r="L27" s="164">
        <f>PL!M113</f>
        <v>0.30853037389259663</v>
      </c>
      <c r="M27" s="164">
        <f>PL!N113</f>
        <v>0.13393526175000581</v>
      </c>
      <c r="N27" s="164">
        <f>PL!O113</f>
        <v>7.0179408997855797E-2</v>
      </c>
      <c r="O27" s="164">
        <f>PL!P113</f>
        <v>-0.18031449751925732</v>
      </c>
      <c r="P27" s="164">
        <f>PL!Q113</f>
        <v>0.20289554921304775</v>
      </c>
      <c r="Q27" s="164">
        <f>PL!R113</f>
        <v>0.11123902868687052</v>
      </c>
      <c r="R27" s="164">
        <f>PL!S113</f>
        <v>0.13058403076919034</v>
      </c>
      <c r="S27" s="164">
        <f>PL!T113</f>
        <v>0.16997758672077468</v>
      </c>
      <c r="T27" s="164">
        <f>PL!U113</f>
        <v>0.15171393898811658</v>
      </c>
      <c r="U27" s="164">
        <f>PL!V113</f>
        <v>-6.5332939766228226E-2</v>
      </c>
      <c r="V27" s="164">
        <f>PL!W113</f>
        <v>2.6984362892690239E-3</v>
      </c>
      <c r="W27" s="164">
        <f ca="1">PL!X113</f>
        <v>0.12494715355776798</v>
      </c>
      <c r="X27" s="164">
        <f ca="1">PL!Y113</f>
        <v>8.6239243746446981E-2</v>
      </c>
      <c r="AI27" s="164"/>
      <c r="AJ27" s="164"/>
      <c r="AK27" s="164"/>
      <c r="AL27" s="164"/>
    </row>
    <row r="28" spans="1:38" x14ac:dyDescent="0.35">
      <c r="A28" s="148" t="s">
        <v>2230</v>
      </c>
      <c r="B28" s="187">
        <f t="shared" ref="B28:B33" si="16">B11</f>
        <v>2.87797734613956E-2</v>
      </c>
      <c r="C28" s="187">
        <f>PL!D122</f>
        <v>4.2062265260718906E-2</v>
      </c>
      <c r="D28" s="187">
        <f>PL!E122</f>
        <v>7.6652099486944569E-2</v>
      </c>
      <c r="E28" s="188">
        <f>PL!F122</f>
        <v>9.2635540681244688E-2</v>
      </c>
      <c r="F28" s="188">
        <f>PL!G122</f>
        <v>0.11596097524738053</v>
      </c>
      <c r="G28" s="188">
        <f>PL!H122</f>
        <v>0.19618240955544278</v>
      </c>
      <c r="H28" s="188">
        <f>PL!I122</f>
        <v>0.28537356295889932</v>
      </c>
      <c r="I28" s="188">
        <f>PL!J122</f>
        <v>0.5568213435847873</v>
      </c>
      <c r="J28" s="188">
        <f>PL!K122</f>
        <v>0.52052976168130327</v>
      </c>
      <c r="K28" s="188">
        <f>PL!L122</f>
        <v>0.65453770573251879</v>
      </c>
      <c r="L28" s="188">
        <f>PL!M122</f>
        <v>0.85648246880897527</v>
      </c>
      <c r="M28" s="188">
        <f>PL!N122</f>
        <v>0.9711956724531966</v>
      </c>
      <c r="N28" s="188">
        <f>PL!O122</f>
        <v>1.039353610767237</v>
      </c>
      <c r="O28" s="188">
        <f>PL!P122</f>
        <v>0.85194308669691698</v>
      </c>
      <c r="P28" s="188">
        <f>PL!Q122</f>
        <v>1.024798547170547</v>
      </c>
      <c r="Q28" s="188">
        <f>PL!R122</f>
        <v>1.1387961421575148</v>
      </c>
      <c r="R28" s="188">
        <f>PL!S122</f>
        <v>1.2875047326248468</v>
      </c>
      <c r="S28" s="188">
        <f>PL!T122</f>
        <v>1.5063516799679944</v>
      </c>
      <c r="T28" s="188">
        <f>PL!U122</f>
        <v>1.7348862268373055</v>
      </c>
      <c r="U28" s="188">
        <f>PL!V122</f>
        <v>1.6215410094780849</v>
      </c>
      <c r="V28" s="188">
        <f>PL!W122</f>
        <v>1.6259166345825986</v>
      </c>
      <c r="W28" s="188">
        <f ca="1">PL!X122</f>
        <v>1.8290702899959197</v>
      </c>
      <c r="X28" s="188">
        <f ca="1">PL!Y122</f>
        <v>1.9868079285642624</v>
      </c>
      <c r="AI28" s="189"/>
      <c r="AJ28" s="189"/>
      <c r="AK28" s="189"/>
      <c r="AL28" s="189"/>
    </row>
    <row r="29" spans="1:38" x14ac:dyDescent="0.35">
      <c r="A29" s="148" t="s">
        <v>2231</v>
      </c>
      <c r="B29" s="176">
        <f t="shared" si="16"/>
        <v>0</v>
      </c>
      <c r="C29" s="176">
        <f>PL!D123</f>
        <v>201.84362271921285</v>
      </c>
      <c r="D29" s="176">
        <f>PL!E123</f>
        <v>110.76017560935851</v>
      </c>
      <c r="E29" s="176">
        <f>PL!F123</f>
        <v>91.649489359745431</v>
      </c>
      <c r="F29" s="176">
        <f>PL!G123</f>
        <v>73.214285943078792</v>
      </c>
      <c r="G29" s="176">
        <f>PL!H123</f>
        <v>43.276051197651618</v>
      </c>
      <c r="H29" s="176">
        <f>PL!I123</f>
        <v>29.750478327324124</v>
      </c>
      <c r="I29" s="176">
        <f>PL!J123</f>
        <v>15.247260360642455</v>
      </c>
      <c r="J29" s="176">
        <f>PL!K123</f>
        <v>16.310306585693446</v>
      </c>
      <c r="K29" s="176">
        <f>PL!L123</f>
        <v>12.970986889897365</v>
      </c>
      <c r="L29" s="176">
        <f>PL!M123</f>
        <v>9.9126372216423722</v>
      </c>
      <c r="M29" s="176">
        <f>PL!N123</f>
        <v>8.7418017200948199</v>
      </c>
      <c r="N29" s="176">
        <f>PL!O123</f>
        <v>8.1685385147532177</v>
      </c>
      <c r="O29" s="176">
        <f>PL!P123</f>
        <v>9.9654544212768048</v>
      </c>
      <c r="P29" s="176">
        <f>PL!Q123</f>
        <v>8.2845550703021189</v>
      </c>
      <c r="Q29" s="176">
        <f>PL!R123</f>
        <v>7.4552412725206523</v>
      </c>
      <c r="R29" s="176">
        <f>PL!S123</f>
        <v>6.5941505183374085</v>
      </c>
      <c r="S29" s="176">
        <f>PL!T123</f>
        <v>5.636134053490343</v>
      </c>
      <c r="T29" s="176">
        <f>PL!U123</f>
        <v>4.8936926633380766</v>
      </c>
      <c r="U29" s="176">
        <f>PL!V123</f>
        <v>5.235760273946215</v>
      </c>
      <c r="V29" s="176">
        <f>PL!W123</f>
        <v>5.2216699303156666</v>
      </c>
      <c r="W29" s="176">
        <f ca="1">PL!X123</f>
        <v>4.6417024246886323</v>
      </c>
      <c r="X29" s="176">
        <f ca="1">PL!Y123</f>
        <v>4.2731860880659838</v>
      </c>
      <c r="AI29" s="175"/>
      <c r="AJ29" s="175"/>
      <c r="AK29" s="175"/>
      <c r="AL29" s="175"/>
    </row>
    <row r="30" spans="1:38" x14ac:dyDescent="0.35">
      <c r="A30" s="148" t="s">
        <v>482</v>
      </c>
      <c r="B30" s="176">
        <f t="shared" si="16"/>
        <v>0</v>
      </c>
      <c r="C30" s="176">
        <f>PL!D128</f>
        <v>46.033641705356494</v>
      </c>
      <c r="D30" s="176">
        <f>PL!E128</f>
        <v>20.803624551012373</v>
      </c>
      <c r="E30" s="176">
        <f>PL!F128</f>
        <v>17.773068610529961</v>
      </c>
      <c r="F30" s="176">
        <f>PL!G128</f>
        <v>10.417721450935264</v>
      </c>
      <c r="G30" s="176">
        <f>PL!H128</f>
        <v>9.7080864135340796</v>
      </c>
      <c r="H30" s="176">
        <f>PL!I128</f>
        <v>4.7254327113472723</v>
      </c>
      <c r="I30" s="176">
        <f>PL!J128</f>
        <v>3.3195117703235804</v>
      </c>
      <c r="J30" s="176">
        <f>PL!K128</f>
        <v>2.8145502873920303</v>
      </c>
      <c r="K30" s="176">
        <f>PL!L128</f>
        <v>2.2615129943395131</v>
      </c>
      <c r="L30" s="176">
        <f>PL!M128</f>
        <v>1.9343059082784166</v>
      </c>
      <c r="M30" s="176">
        <f>PL!N128</f>
        <v>1.762263981377209</v>
      </c>
      <c r="N30" s="176">
        <f>PL!O128</f>
        <v>1.1774432003367812</v>
      </c>
      <c r="O30" s="176">
        <f>PL!P128</f>
        <v>1.1662139339541349</v>
      </c>
      <c r="P30" s="176">
        <f>PL!Q128</f>
        <v>1.0640087050754516</v>
      </c>
      <c r="Q30" s="176">
        <f>PL!R128</f>
        <v>0.91347672279177405</v>
      </c>
      <c r="R30" s="176">
        <f>PL!S128</f>
        <v>0.79449188059100206</v>
      </c>
      <c r="S30" s="176">
        <f>PL!T128</f>
        <v>0.77601479225849535</v>
      </c>
      <c r="T30" s="176">
        <f>PL!U128</f>
        <v>0.72656409041436931</v>
      </c>
      <c r="U30" s="176">
        <f>PL!V128</f>
        <v>0.72501418240670423</v>
      </c>
      <c r="V30" s="176">
        <f>PL!W128</f>
        <v>0.63699443447557924</v>
      </c>
      <c r="W30" s="176">
        <f ca="1">PL!X128</f>
        <v>0.58166472703634831</v>
      </c>
      <c r="X30" s="176">
        <f ca="1">PL!Y128</f>
        <v>0.53253311481692456</v>
      </c>
      <c r="AI30" s="175"/>
      <c r="AJ30" s="175"/>
      <c r="AK30" s="175"/>
      <c r="AL30" s="175"/>
    </row>
    <row r="31" spans="1:38" outlineLevel="1" x14ac:dyDescent="0.35">
      <c r="A31" s="148" t="s">
        <v>2232</v>
      </c>
      <c r="B31" s="179">
        <f t="shared" si="16"/>
        <v>0</v>
      </c>
      <c r="C31" s="179">
        <f>PL!D138</f>
        <v>121.95838359340374</v>
      </c>
      <c r="D31" s="179">
        <f>PL!E138</f>
        <v>74.952154764575297</v>
      </c>
      <c r="E31" s="179">
        <f>PL!F138</f>
        <v>62.542271719531165</v>
      </c>
      <c r="F31" s="179">
        <f>PL!G138</f>
        <v>42.342299818531458</v>
      </c>
      <c r="G31" s="179">
        <f>PL!H138</f>
        <v>25.81092821887815</v>
      </c>
      <c r="H31" s="179">
        <f>PL!I138</f>
        <v>16.794394645818752</v>
      </c>
      <c r="I31" s="179">
        <f>PL!J138</f>
        <v>13.019921388476831</v>
      </c>
      <c r="J31" s="179">
        <f>PL!K138</f>
        <v>11.412272236308571</v>
      </c>
      <c r="K31" s="179">
        <f>PL!L138</f>
        <v>10.511588596994464</v>
      </c>
      <c r="L31" s="179">
        <f>PL!M138</f>
        <v>7.7399306584678316</v>
      </c>
      <c r="M31" s="179">
        <f>PL!N138</f>
        <v>7.1004261294453075</v>
      </c>
      <c r="N31" s="179">
        <f>PL!O138</f>
        <v>6.4986502751957671</v>
      </c>
      <c r="O31" s="179">
        <f>PL!P138</f>
        <v>7.5830405666872185</v>
      </c>
      <c r="P31" s="179">
        <f>PL!Q138</f>
        <v>6.3915118862263283</v>
      </c>
      <c r="Q31" s="179">
        <f>PL!R138</f>
        <v>6.5030235114608388</v>
      </c>
      <c r="R31" s="179">
        <f>PL!S138</f>
        <v>6.7746921451530087</v>
      </c>
      <c r="S31" s="179">
        <f>PL!T138</f>
        <v>6.00457436431026</v>
      </c>
      <c r="T31" s="179">
        <f>PL!U138</f>
        <v>5.5924149363671933</v>
      </c>
      <c r="U31" s="179">
        <f>PL!V138</f>
        <v>6.0724923127914288</v>
      </c>
      <c r="V31" s="179">
        <f>PL!W138</f>
        <v>6.3135360412247339</v>
      </c>
      <c r="W31" s="179">
        <f ca="1">PL!X138</f>
        <v>5.9313173573560025</v>
      </c>
      <c r="X31" s="179">
        <f ca="1">PL!Y138</f>
        <v>5.7751923046510925</v>
      </c>
      <c r="AI31" s="178"/>
      <c r="AJ31" s="178"/>
      <c r="AK31" s="178"/>
      <c r="AL31" s="178"/>
    </row>
    <row r="32" spans="1:38" x14ac:dyDescent="0.35">
      <c r="A32" s="148" t="s">
        <v>2010</v>
      </c>
      <c r="B32" s="180">
        <f t="shared" si="16"/>
        <v>0</v>
      </c>
      <c r="C32" s="180">
        <f>PL!D140</f>
        <v>0.24659393664952384</v>
      </c>
      <c r="D32" s="180">
        <f>PL!E140</f>
        <v>0.25872716049540495</v>
      </c>
      <c r="E32" s="180">
        <f>PL!F140</f>
        <v>0.20915891206127885</v>
      </c>
      <c r="F32" s="180">
        <f>PL!G140</f>
        <v>0.17941637415955011</v>
      </c>
      <c r="G32" s="180">
        <f>PL!H140</f>
        <v>0.2322391439397809</v>
      </c>
      <c r="H32" s="180">
        <f>PL!I140</f>
        <v>0.21366777506870749</v>
      </c>
      <c r="I32" s="180">
        <f>PL!J140</f>
        <v>0.25575899940939595</v>
      </c>
      <c r="J32" s="180">
        <f>PL!K140</f>
        <v>0.18676819911790263</v>
      </c>
      <c r="K32" s="180">
        <f>PL!L140</f>
        <v>0.19334727147603031</v>
      </c>
      <c r="L32" s="180">
        <f>PL!M140</f>
        <v>0.21035279840705426</v>
      </c>
      <c r="M32" s="180">
        <f>PL!N140</f>
        <v>0.21097269250660977</v>
      </c>
      <c r="N32" s="180">
        <f>PL!O140</f>
        <v>0.17281939962245094</v>
      </c>
      <c r="O32" s="180">
        <f>PL!P140</f>
        <v>0.1175863754900464</v>
      </c>
      <c r="P32" s="180">
        <f>PL!Q140</f>
        <v>0.13431854962184941</v>
      </c>
      <c r="Q32" s="180">
        <f>PL!R140</f>
        <v>0.13185532302994332</v>
      </c>
      <c r="R32" s="180">
        <f>PL!S140</f>
        <v>0.12887782699969158</v>
      </c>
      <c r="S32" s="180">
        <f>PL!T140</f>
        <v>0.13930553053675757</v>
      </c>
      <c r="T32" s="180">
        <f>PL!U140</f>
        <v>0.15335571070668294</v>
      </c>
      <c r="U32" s="180">
        <f>PL!V140</f>
        <v>0.13862137893762153</v>
      </c>
      <c r="V32" s="180">
        <f>PL!W140</f>
        <v>0.12987419375231418</v>
      </c>
      <c r="W32" s="180">
        <f ca="1">PL!X140</f>
        <v>0.13100226644428831</v>
      </c>
      <c r="X32" s="180">
        <f ca="1">PL!Y140</f>
        <v>0.13011735433751684</v>
      </c>
      <c r="AI32" s="180"/>
      <c r="AJ32" s="180"/>
      <c r="AK32" s="180"/>
      <c r="AL32" s="180"/>
    </row>
    <row r="33" spans="1:38" x14ac:dyDescent="0.35">
      <c r="A33" s="148" t="s">
        <v>784</v>
      </c>
      <c r="B33" s="180">
        <f t="shared" si="16"/>
        <v>0</v>
      </c>
      <c r="C33" s="180">
        <f>PL!D132</f>
        <v>4.2676655315075094E-3</v>
      </c>
      <c r="D33" s="180">
        <f>PL!E132</f>
        <v>5.0169400217536693E-3</v>
      </c>
      <c r="E33" s="180">
        <f>PL!F132</f>
        <v>9.6297092809896519E-3</v>
      </c>
      <c r="F33" s="180">
        <f>PL!G132</f>
        <v>7.4385905915728282E-3</v>
      </c>
      <c r="G33" s="180">
        <f>PL!H132</f>
        <v>9.944849936615369E-3</v>
      </c>
      <c r="H33" s="180">
        <f>PL!I132</f>
        <v>1.4133381653792541E-2</v>
      </c>
      <c r="I33" s="180">
        <f>PL!J132</f>
        <v>1.8848985799445037E-2</v>
      </c>
      <c r="J33" s="180">
        <f>PL!K132</f>
        <v>2.473783769070044E-2</v>
      </c>
      <c r="K33" s="180">
        <f>PL!L132</f>
        <v>2.7066674327864783E-2</v>
      </c>
      <c r="L33" s="180">
        <f>PL!M132</f>
        <v>3.8852305067788778E-2</v>
      </c>
      <c r="M33" s="180">
        <f>PL!N132</f>
        <v>3.8867002138856466E-2</v>
      </c>
      <c r="N33" s="180">
        <f>PL!O132</f>
        <v>4.1224970292321299E-2</v>
      </c>
      <c r="O33" s="180">
        <f>PL!P132</f>
        <v>3.1802119939790721E-2</v>
      </c>
      <c r="P33" s="180">
        <f>PL!Q132</f>
        <v>3.7691401410122324E-2</v>
      </c>
      <c r="Q33" s="180">
        <f>PL!R132</f>
        <v>4.2402826586387617E-2</v>
      </c>
      <c r="R33" s="180">
        <f>PL!S132</f>
        <v>4.7723741108438501E-2</v>
      </c>
      <c r="S33" s="180">
        <f>PL!T132</f>
        <v>5.6537102473498226E-2</v>
      </c>
      <c r="T33" s="180">
        <f>PL!U132</f>
        <v>6.5959952885747949E-2</v>
      </c>
      <c r="U33" s="180">
        <f>PL!V132</f>
        <v>7.2438162544169613E-2</v>
      </c>
      <c r="V33" s="180">
        <f>PL!W132</f>
        <v>7.361601884570082E-2</v>
      </c>
      <c r="W33" s="180">
        <f ca="1">PL!X132</f>
        <v>8.4694337690141092E-2</v>
      </c>
      <c r="X33" s="180">
        <f ca="1">PL!Y132</f>
        <v>9.3265882886251136E-2</v>
      </c>
      <c r="AI33" s="180"/>
      <c r="AJ33" s="180"/>
      <c r="AK33" s="180"/>
      <c r="AL33" s="180"/>
    </row>
    <row r="34" spans="1:38" outlineLevel="1" x14ac:dyDescent="0.35">
      <c r="A34" s="148" t="s">
        <v>394</v>
      </c>
      <c r="B34" s="190"/>
      <c r="C34" s="180">
        <f t="shared" ref="C34:G36" si="17">C17</f>
        <v>2.1581909203710607E-2</v>
      </c>
      <c r="D34" s="180">
        <f t="shared" si="17"/>
        <v>3.9819061573685567E-2</v>
      </c>
      <c r="E34" s="180">
        <f t="shared" si="17"/>
        <v>4.4397334096696391E-2</v>
      </c>
      <c r="F34" s="180">
        <f t="shared" si="17"/>
        <v>5.400556409902383E-2</v>
      </c>
      <c r="G34" s="180">
        <f t="shared" si="17"/>
        <v>8.6479942911844701E-2</v>
      </c>
      <c r="H34" s="180">
        <f>PL!I139</f>
        <v>9.2031038424021591E-2</v>
      </c>
      <c r="I34" s="180">
        <f>PL!J139</f>
        <v>0.13423835703716827</v>
      </c>
      <c r="J34" s="180">
        <f>PL!K139</f>
        <v>0.10076923302457487</v>
      </c>
      <c r="K34" s="180">
        <f>PL!L139</f>
        <v>0.100390611672763</v>
      </c>
      <c r="L34" s="180">
        <f>PL!M139</f>
        <v>0.11905007005443623</v>
      </c>
      <c r="M34" s="180">
        <f>PL!N139</f>
        <v>0.11102234727741658</v>
      </c>
      <c r="N34" s="180">
        <f>PL!O139</f>
        <v>0.10946789038972395</v>
      </c>
      <c r="O34" s="180">
        <f>PL!P139</f>
        <v>8.0899640572920373E-2</v>
      </c>
      <c r="P34" s="180">
        <f>PL!Q139</f>
        <v>8.7777464964224422E-2</v>
      </c>
      <c r="Q34" s="180">
        <f>PL!R139</f>
        <v>9.6310594851014203E-2</v>
      </c>
      <c r="R34" s="180">
        <f>PL!S139</f>
        <v>8.7969382436704449E-2</v>
      </c>
      <c r="S34" s="180">
        <f>PL!T139</f>
        <v>7.8027509906446385E-2</v>
      </c>
      <c r="T34" s="180">
        <f>PL!U139</f>
        <v>8.0574357294506113E-2</v>
      </c>
      <c r="U34" s="180">
        <f>PL!V139</f>
        <v>8.1324665607844279E-2</v>
      </c>
      <c r="V34" s="180">
        <f>PL!W139</f>
        <v>8.5500968157812204E-2</v>
      </c>
      <c r="W34" s="180">
        <f ca="1">PL!X139</f>
        <v>9.3293769101626706E-2</v>
      </c>
      <c r="X34" s="180">
        <f ca="1">PL!Y139</f>
        <v>9.1902138563272673E-2</v>
      </c>
      <c r="AI34" s="180"/>
      <c r="AJ34" s="180"/>
      <c r="AK34" s="180"/>
      <c r="AL34" s="180"/>
    </row>
    <row r="35" spans="1:38" x14ac:dyDescent="0.35">
      <c r="A35" s="148" t="s">
        <v>2233</v>
      </c>
      <c r="B35" s="190"/>
      <c r="C35" s="180">
        <f t="shared" si="17"/>
        <v>4.1082886167887515E-2</v>
      </c>
      <c r="D35" s="180">
        <f t="shared" si="17"/>
        <v>5.3222823192932985E-2</v>
      </c>
      <c r="E35" s="180">
        <f t="shared" si="17"/>
        <v>5.4467865227372715E-2</v>
      </c>
      <c r="F35" s="180">
        <f t="shared" si="17"/>
        <v>4.6546740973542888E-2</v>
      </c>
      <c r="G35" s="180">
        <f t="shared" si="17"/>
        <v>5.5476984245015688E-2</v>
      </c>
      <c r="H35" s="180">
        <f>PL!I141</f>
        <v>5.6387120048431244E-2</v>
      </c>
      <c r="I35" s="180">
        <f>PL!J141</f>
        <v>7.903870160787442E-2</v>
      </c>
      <c r="J35" s="180">
        <f>PL!K141</f>
        <v>5.2421615409560418E-2</v>
      </c>
      <c r="K35" s="180">
        <f>PL!L141</f>
        <v>5.1929353753573118E-2</v>
      </c>
      <c r="L35" s="180">
        <f>PL!M141</f>
        <v>6.1886081757800276E-2</v>
      </c>
      <c r="M35" s="180">
        <f>PL!N141</f>
        <v>5.9531175396604012E-2</v>
      </c>
      <c r="N35" s="180">
        <f>PL!O141</f>
        <v>4.6322738772948541E-2</v>
      </c>
      <c r="O35" s="180">
        <f>PL!P141</f>
        <v>3.3059644962403656E-2</v>
      </c>
      <c r="P35" s="180">
        <f>PL!Q141</f>
        <v>3.3534116691503864E-2</v>
      </c>
      <c r="Q35" s="180">
        <f>PL!R141</f>
        <v>3.2200235074636027E-2</v>
      </c>
      <c r="R35" s="180">
        <f>PL!S141</f>
        <v>3.1013962801963706E-2</v>
      </c>
      <c r="S35" s="180">
        <f>PL!T141</f>
        <v>3.4768938233808007E-2</v>
      </c>
      <c r="T35" s="180">
        <f>PL!U141</f>
        <v>3.676283855298023E-2</v>
      </c>
      <c r="U35" s="180">
        <f>PL!V141</f>
        <v>3.2513664834277693E-2</v>
      </c>
      <c r="V35" s="180">
        <f>PL!W141</f>
        <v>3.0597687151046569E-2</v>
      </c>
      <c r="W35" s="180">
        <f ca="1">PL!X141</f>
        <v>3.309679197266386E-2</v>
      </c>
      <c r="X35" s="180">
        <f ca="1">PL!Y141</f>
        <v>3.3413708492579963E-2</v>
      </c>
      <c r="AI35" s="180"/>
      <c r="AJ35" s="180"/>
      <c r="AK35" s="180"/>
      <c r="AL35" s="180"/>
    </row>
    <row r="36" spans="1:38" outlineLevel="1" x14ac:dyDescent="0.35">
      <c r="A36" s="148" t="s">
        <v>2234</v>
      </c>
      <c r="C36" s="180">
        <f t="shared" si="17"/>
        <v>0.81986394582980471</v>
      </c>
      <c r="D36" s="180">
        <f t="shared" si="17"/>
        <v>0.71663739514140434</v>
      </c>
      <c r="E36" s="180">
        <f t="shared" si="17"/>
        <v>0.71912829776358522</v>
      </c>
      <c r="F36" s="180">
        <f t="shared" si="17"/>
        <v>0.672876029618795</v>
      </c>
      <c r="G36" s="180">
        <f t="shared" si="17"/>
        <v>0.75248698808774717</v>
      </c>
      <c r="H36" s="180">
        <f>BS!I95</f>
        <v>0.6447452645300531</v>
      </c>
      <c r="I36" s="180">
        <f>BS!J95</f>
        <v>0.62773642775287364</v>
      </c>
      <c r="J36" s="180">
        <f>BS!K95</f>
        <v>0.69137934088252873</v>
      </c>
      <c r="K36" s="180">
        <f>BS!L95</f>
        <v>0.69964057943883207</v>
      </c>
      <c r="L36" s="180">
        <f>BS!M95</f>
        <v>0.68148410837997508</v>
      </c>
      <c r="M36" s="180">
        <f>BS!N95</f>
        <v>0.70211217490289612</v>
      </c>
      <c r="N36" s="180">
        <f>BS!O95</f>
        <v>0.67546851615024794</v>
      </c>
      <c r="O36" s="180">
        <f>BS!P95</f>
        <v>0.6835322636940685</v>
      </c>
      <c r="P36" s="180">
        <f>BS!Q95</f>
        <v>0.68463428244576641</v>
      </c>
      <c r="Q36" s="180">
        <f>BS!R95</f>
        <v>0.68802987390907766</v>
      </c>
      <c r="R36" s="180">
        <f>BS!S95</f>
        <v>0.69803477378751366</v>
      </c>
      <c r="S36" s="180">
        <f>BS!T95</f>
        <v>0.70375173351988807</v>
      </c>
      <c r="T36" s="180">
        <f>BS!U95</f>
        <v>0.70202502111275356</v>
      </c>
      <c r="U36" s="180">
        <f>BS!V95</f>
        <v>0.73020956796183167</v>
      </c>
      <c r="V36" s="180">
        <f>BS!W95</f>
        <v>0.71364400327023481</v>
      </c>
      <c r="W36" s="180">
        <f ca="1">BS!X95</f>
        <v>0.70099472396460927</v>
      </c>
      <c r="X36" s="180">
        <f ca="1">BS!Y95</f>
        <v>0.69872186305954165</v>
      </c>
      <c r="Y36" s="155"/>
      <c r="Z36" s="155"/>
      <c r="AA36" s="155"/>
      <c r="AB36" s="155"/>
      <c r="AC36" s="155"/>
      <c r="AD36" s="155"/>
      <c r="AE36" s="155"/>
      <c r="AF36" s="155"/>
      <c r="AG36" s="155"/>
      <c r="AI36" s="180"/>
      <c r="AJ36" s="180"/>
      <c r="AK36" s="180"/>
      <c r="AL36" s="180"/>
    </row>
    <row r="37" spans="1:38" x14ac:dyDescent="0.35">
      <c r="A37" s="145" t="s">
        <v>2235</v>
      </c>
      <c r="F37" s="191">
        <f>CF!G11/BS!$M$89</f>
        <v>0.21752174612601563</v>
      </c>
      <c r="G37" s="191">
        <f>CF!H11/BS!$M$89</f>
        <v>7.7662470757778653E-3</v>
      </c>
      <c r="H37" s="191">
        <f>CF!I11/BS!$N$89</f>
        <v>-0.19016542808628054</v>
      </c>
      <c r="I37" s="191">
        <f>CF!J11/BS!$N$89</f>
        <v>-0.63227508254252418</v>
      </c>
      <c r="J37" s="191">
        <f>CF!K11/BS!$N$89</f>
        <v>-0.5841174596263724</v>
      </c>
      <c r="K37" s="191">
        <f>CF!L11/BS!$N$89</f>
        <v>-0.31974038475172745</v>
      </c>
      <c r="L37" s="191">
        <f>CF!M11/BS!$N$89</f>
        <v>5.6415708957945628E-2</v>
      </c>
      <c r="M37" s="191">
        <f>CF!N11/BS!$N$89</f>
        <v>0.54276455564573867</v>
      </c>
      <c r="N37" s="191">
        <f>CF!O11/BS!$N$89</f>
        <v>-0.91736221272406338</v>
      </c>
      <c r="O37" s="191">
        <f>CF!P11/BS!$N$89</f>
        <v>-0.36435366235542743</v>
      </c>
      <c r="P37" s="191">
        <f>CF!Q11/BS!$N$89</f>
        <v>-0.51197236947889702</v>
      </c>
      <c r="Q37" s="191">
        <f>CF!R11/BS!$N$89</f>
        <v>-0.85779668978745238</v>
      </c>
      <c r="R37" s="191">
        <f>CF!S11/BS!$N$89</f>
        <v>-0.10431226723432228</v>
      </c>
      <c r="S37" s="191">
        <f>CF!T11/BS!$N$89</f>
        <v>4.0134665433169375E-2</v>
      </c>
      <c r="T37" s="191">
        <f>CF!U11/BS!$N$89</f>
        <v>9.4845408368043671E-2</v>
      </c>
      <c r="U37" s="191">
        <f>CF!V11/BS!$N$89</f>
        <v>0.38004063710600894</v>
      </c>
      <c r="V37" s="191">
        <f>CF!W11/BS!$N$89</f>
        <v>0.19878018256994265</v>
      </c>
      <c r="W37" s="191">
        <f ca="1">CF!X11/BS!$N$89</f>
        <v>0.74362801642931609</v>
      </c>
      <c r="X37" s="191">
        <f ca="1">CF!Y11/BS!$N$89</f>
        <v>0.46655232809080704</v>
      </c>
      <c r="Y37" s="155"/>
      <c r="Z37" s="155"/>
      <c r="AA37" s="155"/>
      <c r="AB37" s="155"/>
      <c r="AC37" s="155"/>
      <c r="AD37" s="155"/>
      <c r="AE37" s="155"/>
      <c r="AF37" s="155"/>
      <c r="AG37" s="155"/>
    </row>
    <row r="38" spans="1:38" x14ac:dyDescent="0.35">
      <c r="H38" s="147"/>
      <c r="I38" s="147"/>
      <c r="J38" s="147"/>
      <c r="K38" s="147"/>
      <c r="Y38" s="155"/>
      <c r="Z38" s="155"/>
      <c r="AA38" s="155"/>
      <c r="AB38" s="155"/>
      <c r="AC38" s="155"/>
      <c r="AD38" s="155"/>
      <c r="AE38" s="155"/>
      <c r="AF38" s="155"/>
      <c r="AG38" s="155"/>
    </row>
    <row r="39" spans="1:38" x14ac:dyDescent="0.35">
      <c r="A39" s="1729" t="s">
        <v>3160</v>
      </c>
      <c r="B39" s="156" t="str">
        <f t="shared" ref="B39:U39" si="18">B4</f>
        <v xml:space="preserve">    2005A</v>
      </c>
      <c r="C39" s="156" t="str">
        <f t="shared" si="18"/>
        <v xml:space="preserve">    2006A</v>
      </c>
      <c r="D39" s="156" t="str">
        <f t="shared" si="18"/>
        <v xml:space="preserve">    2007A</v>
      </c>
      <c r="E39" s="156" t="str">
        <f t="shared" si="18"/>
        <v xml:space="preserve">    2008A</v>
      </c>
      <c r="F39" s="156" t="str">
        <f t="shared" si="18"/>
        <v xml:space="preserve">    2009A</v>
      </c>
      <c r="G39" s="156" t="str">
        <f t="shared" si="18"/>
        <v xml:space="preserve">    2010A</v>
      </c>
      <c r="H39" s="156" t="str">
        <f t="shared" si="18"/>
        <v xml:space="preserve">    2011A</v>
      </c>
      <c r="I39" s="156" t="str">
        <f t="shared" si="18"/>
        <v xml:space="preserve">    2012A</v>
      </c>
      <c r="J39" s="156" t="str">
        <f t="shared" si="18"/>
        <v xml:space="preserve">    2013A</v>
      </c>
      <c r="K39" s="156" t="str">
        <f t="shared" si="18"/>
        <v xml:space="preserve">    2014A</v>
      </c>
      <c r="L39" s="156" t="str">
        <f t="shared" si="18"/>
        <v xml:space="preserve">    2015A</v>
      </c>
      <c r="M39" s="156" t="str">
        <f t="shared" si="18"/>
        <v xml:space="preserve">    2016A</v>
      </c>
      <c r="N39" s="156" t="str">
        <f t="shared" si="18"/>
        <v xml:space="preserve">    2017A</v>
      </c>
      <c r="O39" s="156" t="str">
        <f t="shared" si="18"/>
        <v>2018A</v>
      </c>
      <c r="P39" s="156" t="str">
        <f t="shared" si="18"/>
        <v>2019A</v>
      </c>
      <c r="Q39" s="156" t="str">
        <f t="shared" si="18"/>
        <v>2020A</v>
      </c>
      <c r="R39" s="156" t="str">
        <f t="shared" si="18"/>
        <v>2021A</v>
      </c>
      <c r="S39" s="156" t="str">
        <f t="shared" si="18"/>
        <v>2022A</v>
      </c>
      <c r="T39" s="156" t="str">
        <f t="shared" si="18"/>
        <v>2023A</v>
      </c>
      <c r="U39" s="156" t="str">
        <f t="shared" si="18"/>
        <v>2024A</v>
      </c>
      <c r="V39" s="156" t="str">
        <f t="shared" ref="V39:W39" si="19">V4</f>
        <v>2025A</v>
      </c>
      <c r="W39" s="156" t="str">
        <f t="shared" si="19"/>
        <v>2026E</v>
      </c>
      <c r="X39" s="156" t="str">
        <f t="shared" ref="X39" si="20">X4</f>
        <v>2027E</v>
      </c>
      <c r="Y39" s="155"/>
      <c r="Z39" s="155"/>
      <c r="AA39" s="157"/>
      <c r="AB39" s="1742"/>
      <c r="AC39" s="1742"/>
      <c r="AD39" s="1742"/>
      <c r="AE39" s="1742"/>
      <c r="AF39" s="1742"/>
      <c r="AG39" s="1742"/>
    </row>
    <row r="40" spans="1:38" x14ac:dyDescent="0.35">
      <c r="A40" s="148" t="s">
        <v>262</v>
      </c>
      <c r="B40" s="160">
        <f t="shared" ref="B40:L40" si="21">B5</f>
        <v>7664.2520000000004</v>
      </c>
      <c r="C40" s="160">
        <f t="shared" si="21"/>
        <v>10294.825999999999</v>
      </c>
      <c r="D40" s="160">
        <f t="shared" si="21"/>
        <v>10168.321</v>
      </c>
      <c r="E40" s="160">
        <f t="shared" si="21"/>
        <v>11021.405000000001</v>
      </c>
      <c r="F40" s="160">
        <f t="shared" si="21"/>
        <v>11341.998</v>
      </c>
      <c r="G40" s="160">
        <f t="shared" si="21"/>
        <v>11982.870999999999</v>
      </c>
      <c r="H40" s="161">
        <f t="shared" si="21"/>
        <v>16379.311</v>
      </c>
      <c r="I40" s="161">
        <f t="shared" si="21"/>
        <v>21910.66</v>
      </c>
      <c r="J40" s="161">
        <f t="shared" si="21"/>
        <v>27285.62</v>
      </c>
      <c r="K40" s="161">
        <f t="shared" si="21"/>
        <v>34439.574999999997</v>
      </c>
      <c r="L40" s="161">
        <f t="shared" si="21"/>
        <v>38001.875999999997</v>
      </c>
      <c r="M40" s="161">
        <f t="shared" ref="M40:U40" si="22">M22</f>
        <v>46207.508000000002</v>
      </c>
      <c r="N40" s="161">
        <f t="shared" si="22"/>
        <v>50152.523999999998</v>
      </c>
      <c r="O40" s="161">
        <f t="shared" si="22"/>
        <v>55626.304000000004</v>
      </c>
      <c r="P40" s="161">
        <f t="shared" si="22"/>
        <v>61669.678</v>
      </c>
      <c r="Q40" s="161">
        <f t="shared" si="22"/>
        <v>62458.008999999998</v>
      </c>
      <c r="R40" s="161">
        <f t="shared" si="22"/>
        <v>77309.614000000001</v>
      </c>
      <c r="S40" s="161">
        <f t="shared" si="22"/>
        <v>101975.265</v>
      </c>
      <c r="T40" s="161">
        <f t="shared" si="22"/>
        <v>113734.01300000001</v>
      </c>
      <c r="U40" s="161">
        <f t="shared" si="22"/>
        <v>105322.671</v>
      </c>
      <c r="V40" s="161">
        <f t="shared" ref="V40:W40" si="23">V22</f>
        <v>100448.5</v>
      </c>
      <c r="W40" s="161">
        <f t="shared" si="23"/>
        <v>103560.45987128874</v>
      </c>
      <c r="X40" s="161">
        <f t="shared" ref="X40" si="24">X22</f>
        <v>114194.84012038677</v>
      </c>
      <c r="Y40" s="155"/>
      <c r="Z40" s="155"/>
      <c r="AA40" s="155"/>
      <c r="AB40" s="158"/>
      <c r="AC40" s="158"/>
      <c r="AD40" s="158"/>
      <c r="AE40" s="158"/>
      <c r="AF40" s="158"/>
      <c r="AG40" s="158"/>
    </row>
    <row r="41" spans="1:38" x14ac:dyDescent="0.35">
      <c r="A41" s="184" t="s">
        <v>105</v>
      </c>
      <c r="B41" s="185"/>
      <c r="C41" s="185">
        <f t="shared" ref="C41:G46" si="25">C6</f>
        <v>0.34322644923470658</v>
      </c>
      <c r="D41" s="185">
        <f t="shared" si="25"/>
        <v>-1.2288211573464158E-2</v>
      </c>
      <c r="E41" s="185">
        <f t="shared" si="25"/>
        <v>8.3896249931527667E-2</v>
      </c>
      <c r="F41" s="185">
        <f t="shared" si="25"/>
        <v>2.9088215159500885E-2</v>
      </c>
      <c r="G41" s="185">
        <f t="shared" si="25"/>
        <v>5.650441835733E-2</v>
      </c>
      <c r="H41" s="164">
        <f t="shared" ref="H41:U41" si="26">H40/G40-1</f>
        <v>0.36689371019683015</v>
      </c>
      <c r="I41" s="164">
        <f t="shared" si="26"/>
        <v>0.33770339912344305</v>
      </c>
      <c r="J41" s="164">
        <f t="shared" si="26"/>
        <v>0.24531255562360976</v>
      </c>
      <c r="K41" s="164">
        <f t="shared" si="26"/>
        <v>0.26218773844977683</v>
      </c>
      <c r="L41" s="164">
        <f t="shared" si="26"/>
        <v>0.10343626482034107</v>
      </c>
      <c r="M41" s="164">
        <f t="shared" si="26"/>
        <v>0.21592702423427745</v>
      </c>
      <c r="N41" s="164">
        <f t="shared" si="26"/>
        <v>8.5376082172619938E-2</v>
      </c>
      <c r="O41" s="164">
        <f t="shared" si="26"/>
        <v>0.10914266249092486</v>
      </c>
      <c r="P41" s="164">
        <f t="shared" si="26"/>
        <v>0.10864237897236517</v>
      </c>
      <c r="Q41" s="164">
        <f t="shared" si="26"/>
        <v>1.2783121715018497E-2</v>
      </c>
      <c r="R41" s="164">
        <f t="shared" si="26"/>
        <v>0.23778543757294601</v>
      </c>
      <c r="S41" s="164">
        <f t="shared" si="26"/>
        <v>0.31905024128046988</v>
      </c>
      <c r="T41" s="164">
        <f t="shared" si="26"/>
        <v>0.11530980576515293</v>
      </c>
      <c r="U41" s="164">
        <f t="shared" si="26"/>
        <v>-7.395625792259708E-2</v>
      </c>
      <c r="V41" s="164">
        <f t="shared" ref="V41" si="27">V40/U40-1</f>
        <v>-4.6278459838907882E-2</v>
      </c>
      <c r="W41" s="164">
        <f t="shared" ref="W41:X41" si="28">W40/V40-1</f>
        <v>3.098065049541554E-2</v>
      </c>
      <c r="X41" s="164">
        <f t="shared" si="28"/>
        <v>0.10268764992271273</v>
      </c>
      <c r="Y41" s="155"/>
      <c r="Z41" s="155"/>
      <c r="AA41" s="169"/>
      <c r="AB41" s="170"/>
      <c r="AC41" s="170"/>
      <c r="AD41" s="167"/>
      <c r="AE41" s="170"/>
      <c r="AF41" s="170"/>
      <c r="AG41" s="167"/>
    </row>
    <row r="42" spans="1:38" x14ac:dyDescent="0.35">
      <c r="A42" s="148" t="s">
        <v>2229</v>
      </c>
      <c r="B42" s="160">
        <f>B7</f>
        <v>201.52400000000063</v>
      </c>
      <c r="C42" s="160">
        <f t="shared" si="25"/>
        <v>271.04399999999924</v>
      </c>
      <c r="D42" s="160">
        <f t="shared" si="25"/>
        <v>530.31000000000006</v>
      </c>
      <c r="E42" s="160">
        <f t="shared" si="25"/>
        <v>570.66500000000008</v>
      </c>
      <c r="F42" s="160">
        <f t="shared" si="25"/>
        <v>722.08</v>
      </c>
      <c r="G42" s="160">
        <f t="shared" si="25"/>
        <v>1333.4669999999994</v>
      </c>
      <c r="H42" s="161">
        <f t="shared" ref="H42:U42" si="29">H24</f>
        <v>1844.3009999999995</v>
      </c>
      <c r="I42" s="161">
        <f t="shared" si="29"/>
        <v>2541.3970000000008</v>
      </c>
      <c r="J42" s="161">
        <f t="shared" si="29"/>
        <v>3173.7580000000003</v>
      </c>
      <c r="K42" s="161">
        <f t="shared" si="29"/>
        <v>4047.5939999999964</v>
      </c>
      <c r="L42" s="161">
        <f t="shared" si="29"/>
        <v>5132.2449999999981</v>
      </c>
      <c r="M42" s="161">
        <f t="shared" si="29"/>
        <v>6011.7200000000048</v>
      </c>
      <c r="N42" s="161">
        <f t="shared" si="29"/>
        <v>6789.9659999999994</v>
      </c>
      <c r="O42" s="161">
        <f t="shared" si="29"/>
        <v>6205.5050000000028</v>
      </c>
      <c r="P42" s="161">
        <f t="shared" si="29"/>
        <v>7284.4710000000014</v>
      </c>
      <c r="Q42" s="161">
        <f t="shared" si="29"/>
        <v>8244.4759999999987</v>
      </c>
      <c r="R42" s="161">
        <f t="shared" si="29"/>
        <v>9385.1779999999999</v>
      </c>
      <c r="S42" s="161">
        <f t="shared" si="29"/>
        <v>10778.684999999994</v>
      </c>
      <c r="T42" s="161">
        <f t="shared" si="29"/>
        <v>12103.547000000004</v>
      </c>
      <c r="U42" s="161">
        <f t="shared" si="29"/>
        <v>11839.239</v>
      </c>
      <c r="V42" s="161">
        <f t="shared" ref="V42:W42" si="30">V24</f>
        <v>11967.471999999998</v>
      </c>
      <c r="W42" s="161">
        <f t="shared" ca="1" si="30"/>
        <v>13423.970433482549</v>
      </c>
      <c r="X42" s="161">
        <f t="shared" ref="X42" ca="1" si="31">X24</f>
        <v>14554.861349565783</v>
      </c>
      <c r="Y42" s="155"/>
      <c r="Z42" s="155"/>
      <c r="AA42" s="155"/>
      <c r="AB42" s="170"/>
      <c r="AC42" s="170"/>
      <c r="AD42" s="167"/>
      <c r="AE42" s="170"/>
      <c r="AF42" s="170"/>
      <c r="AG42" s="167"/>
    </row>
    <row r="43" spans="1:38" x14ac:dyDescent="0.35">
      <c r="A43" s="184" t="s">
        <v>105</v>
      </c>
      <c r="B43" s="185"/>
      <c r="C43" s="185">
        <f t="shared" si="25"/>
        <v>0.34497131855262109</v>
      </c>
      <c r="D43" s="185">
        <f t="shared" si="25"/>
        <v>0.95654580068181372</v>
      </c>
      <c r="E43" s="185">
        <f t="shared" si="25"/>
        <v>7.6096999868001669E-2</v>
      </c>
      <c r="F43" s="185">
        <f t="shared" si="25"/>
        <v>0.26533079827920059</v>
      </c>
      <c r="G43" s="185">
        <f t="shared" si="25"/>
        <v>0.84670258143141952</v>
      </c>
      <c r="H43" s="185">
        <f t="shared" ref="H43:U43" si="32">H42/G42-1</f>
        <v>0.38308709551867448</v>
      </c>
      <c r="I43" s="185">
        <f t="shared" si="32"/>
        <v>0.37797300982865689</v>
      </c>
      <c r="J43" s="185">
        <f t="shared" si="32"/>
        <v>0.24882417032836623</v>
      </c>
      <c r="K43" s="185">
        <f t="shared" si="32"/>
        <v>0.27533164154292677</v>
      </c>
      <c r="L43" s="185">
        <f t="shared" si="32"/>
        <v>0.26797425828776378</v>
      </c>
      <c r="M43" s="185">
        <f t="shared" si="32"/>
        <v>0.17136262980430739</v>
      </c>
      <c r="N43" s="185">
        <f t="shared" si="32"/>
        <v>0.12945479829399797</v>
      </c>
      <c r="O43" s="185">
        <f t="shared" si="32"/>
        <v>-8.6077161505668354E-2</v>
      </c>
      <c r="P43" s="185">
        <f t="shared" si="32"/>
        <v>0.17387239233551477</v>
      </c>
      <c r="Q43" s="185">
        <f t="shared" si="32"/>
        <v>0.13178788137120701</v>
      </c>
      <c r="R43" s="185">
        <f t="shared" si="32"/>
        <v>0.13835955129228372</v>
      </c>
      <c r="S43" s="185">
        <f t="shared" si="32"/>
        <v>0.14847954934898344</v>
      </c>
      <c r="T43" s="185">
        <f t="shared" si="32"/>
        <v>0.12291499380490389</v>
      </c>
      <c r="U43" s="185">
        <f t="shared" si="32"/>
        <v>-2.1837234985744636E-2</v>
      </c>
      <c r="V43" s="185">
        <f t="shared" ref="V43" si="33">V42/U42-1</f>
        <v>1.0831186024709671E-2</v>
      </c>
      <c r="W43" s="185">
        <f t="shared" ref="W43:X43" ca="1" si="34">W42/V42-1</f>
        <v>0.12170477052150619</v>
      </c>
      <c r="X43" s="185">
        <f t="shared" ca="1" si="34"/>
        <v>8.4244145328458586E-2</v>
      </c>
      <c r="Y43" s="155"/>
      <c r="Z43" s="155"/>
      <c r="AA43" s="169"/>
      <c r="AB43" s="170"/>
      <c r="AC43" s="170"/>
      <c r="AD43" s="167"/>
      <c r="AE43" s="170"/>
      <c r="AF43" s="170"/>
      <c r="AG43" s="167"/>
    </row>
    <row r="44" spans="1:38" x14ac:dyDescent="0.35">
      <c r="A44" s="148" t="s">
        <v>2009</v>
      </c>
      <c r="B44" s="160">
        <f>B9</f>
        <v>152.02100000000064</v>
      </c>
      <c r="C44" s="160">
        <f t="shared" si="25"/>
        <v>222.18199999999925</v>
      </c>
      <c r="D44" s="160">
        <f t="shared" si="25"/>
        <v>404.89300000000003</v>
      </c>
      <c r="E44" s="160">
        <f t="shared" si="25"/>
        <v>489.32100000000008</v>
      </c>
      <c r="F44" s="160">
        <f t="shared" si="25"/>
        <v>612.53100000000006</v>
      </c>
      <c r="G44" s="160">
        <f t="shared" si="25"/>
        <v>1036.2779999999993</v>
      </c>
      <c r="H44" s="161">
        <f>H9</f>
        <v>1507.4049999999995</v>
      </c>
      <c r="I44" s="161">
        <f>I9</f>
        <v>2941.2510000000011</v>
      </c>
      <c r="J44" s="161">
        <f>J9</f>
        <v>2749.5510000000004</v>
      </c>
      <c r="K44" s="161">
        <f>K9</f>
        <v>3457.4099999999967</v>
      </c>
      <c r="L44" s="161">
        <f>L9</f>
        <v>4524.1259999999984</v>
      </c>
      <c r="M44" s="161">
        <f t="shared" ref="M44:U44" si="35">M26</f>
        <v>5130.0660000000053</v>
      </c>
      <c r="N44" s="161">
        <f t="shared" si="35"/>
        <v>5490.0909999999994</v>
      </c>
      <c r="O44" s="161">
        <f t="shared" si="35"/>
        <v>4500.1480000000029</v>
      </c>
      <c r="P44" s="161">
        <f t="shared" si="35"/>
        <v>5413.2080000000014</v>
      </c>
      <c r="Q44" s="161">
        <f t="shared" si="35"/>
        <v>6015.3679999999986</v>
      </c>
      <c r="R44" s="161">
        <f t="shared" si="35"/>
        <v>6800.8790000000008</v>
      </c>
      <c r="S44" s="161">
        <f t="shared" si="35"/>
        <v>7956.8759999999957</v>
      </c>
      <c r="T44" s="161">
        <f t="shared" si="35"/>
        <v>9164.0450000000037</v>
      </c>
      <c r="U44" s="161">
        <f t="shared" si="35"/>
        <v>8565.3309999999983</v>
      </c>
      <c r="V44" s="161">
        <f t="shared" ref="V44:W44" si="36">V26</f>
        <v>8588.4439999999995</v>
      </c>
      <c r="W44" s="161">
        <f t="shared" ca="1" si="36"/>
        <v>9661.5456312902897</v>
      </c>
      <c r="X44" s="161">
        <f t="shared" ref="X44" ca="1" si="37">X26</f>
        <v>10494.750019954554</v>
      </c>
      <c r="Y44" s="155"/>
      <c r="Z44" s="155"/>
      <c r="AA44" s="192"/>
      <c r="AB44" s="193"/>
      <c r="AC44" s="193"/>
      <c r="AD44" s="167"/>
      <c r="AE44" s="193"/>
      <c r="AF44" s="193"/>
      <c r="AG44" s="167"/>
    </row>
    <row r="45" spans="1:38" x14ac:dyDescent="0.35">
      <c r="A45" s="184" t="s">
        <v>105</v>
      </c>
      <c r="B45" s="185"/>
      <c r="C45" s="185">
        <f t="shared" si="25"/>
        <v>0.46152176344056617</v>
      </c>
      <c r="D45" s="185">
        <f t="shared" si="25"/>
        <v>0.82234834505046051</v>
      </c>
      <c r="E45" s="185">
        <f t="shared" si="25"/>
        <v>0.20851928781184181</v>
      </c>
      <c r="F45" s="185">
        <f t="shared" si="25"/>
        <v>0.25179789953833986</v>
      </c>
      <c r="G45" s="185">
        <f t="shared" si="25"/>
        <v>0.69179682334444981</v>
      </c>
      <c r="H45" s="185">
        <f t="shared" ref="H45:U45" si="38">H44/G44-1</f>
        <v>0.45463379517851443</v>
      </c>
      <c r="I45" s="185">
        <f t="shared" si="38"/>
        <v>0.95120156825803415</v>
      </c>
      <c r="J45" s="185">
        <f t="shared" si="38"/>
        <v>-6.5176348431331022E-2</v>
      </c>
      <c r="K45" s="185">
        <f t="shared" si="38"/>
        <v>0.25744530652459119</v>
      </c>
      <c r="L45" s="185">
        <f t="shared" si="38"/>
        <v>0.30853037389259663</v>
      </c>
      <c r="M45" s="185">
        <f t="shared" si="38"/>
        <v>0.13393526175000581</v>
      </c>
      <c r="N45" s="185">
        <f t="shared" si="38"/>
        <v>7.0179408997855797E-2</v>
      </c>
      <c r="O45" s="185">
        <f t="shared" si="38"/>
        <v>-0.18031449751925732</v>
      </c>
      <c r="P45" s="185">
        <f t="shared" si="38"/>
        <v>0.20289554921304775</v>
      </c>
      <c r="Q45" s="185">
        <f t="shared" si="38"/>
        <v>0.11123902868687052</v>
      </c>
      <c r="R45" s="185">
        <f t="shared" si="38"/>
        <v>0.13058403076919034</v>
      </c>
      <c r="S45" s="185">
        <f t="shared" si="38"/>
        <v>0.16997758672077468</v>
      </c>
      <c r="T45" s="185">
        <f t="shared" si="38"/>
        <v>0.15171393898811658</v>
      </c>
      <c r="U45" s="185">
        <f t="shared" si="38"/>
        <v>-6.5332939766228226E-2</v>
      </c>
      <c r="V45" s="185">
        <f t="shared" ref="V45" si="39">V44/U44-1</f>
        <v>2.6984362892690239E-3</v>
      </c>
      <c r="W45" s="185">
        <f t="shared" ref="W45:X45" ca="1" si="40">W44/V44-1</f>
        <v>0.12494715355776798</v>
      </c>
      <c r="X45" s="185">
        <f t="shared" ca="1" si="40"/>
        <v>8.6239243746446981E-2</v>
      </c>
      <c r="Y45" s="155"/>
      <c r="Z45" s="155"/>
      <c r="AA45" s="169"/>
      <c r="AB45" s="170"/>
      <c r="AC45" s="170"/>
      <c r="AD45" s="167"/>
      <c r="AE45" s="170"/>
      <c r="AF45" s="170"/>
      <c r="AG45" s="167"/>
    </row>
    <row r="46" spans="1:38" x14ac:dyDescent="0.35">
      <c r="A46" s="148" t="s">
        <v>2236</v>
      </c>
      <c r="B46" s="172">
        <f>PL!C161</f>
        <v>0</v>
      </c>
      <c r="C46" s="172">
        <f t="shared" si="25"/>
        <v>4.2062265260718906E-2</v>
      </c>
      <c r="D46" s="172">
        <f t="shared" si="25"/>
        <v>7.6652099486944569E-2</v>
      </c>
      <c r="E46" s="172">
        <f t="shared" si="25"/>
        <v>9.2635540681244688E-2</v>
      </c>
      <c r="F46" s="172">
        <f t="shared" si="25"/>
        <v>0.11596097524738053</v>
      </c>
      <c r="G46" s="172">
        <f t="shared" si="25"/>
        <v>0.19618240955544278</v>
      </c>
      <c r="H46" s="172">
        <f>H11</f>
        <v>0.28537356295889932</v>
      </c>
      <c r="I46" s="172">
        <f>I11</f>
        <v>0.5568213435847873</v>
      </c>
      <c r="J46" s="172">
        <f>J11</f>
        <v>0.52052976168130327</v>
      </c>
      <c r="K46" s="172">
        <f>K11</f>
        <v>0.65453770573251879</v>
      </c>
      <c r="L46" s="172">
        <f>L11</f>
        <v>0.85648246880897527</v>
      </c>
      <c r="M46" s="172">
        <f t="shared" ref="M46:U46" si="41">M28</f>
        <v>0.9711956724531966</v>
      </c>
      <c r="N46" s="172">
        <f t="shared" si="41"/>
        <v>1.039353610767237</v>
      </c>
      <c r="O46" s="172">
        <f t="shared" si="41"/>
        <v>0.85194308669691698</v>
      </c>
      <c r="P46" s="172">
        <f t="shared" si="41"/>
        <v>1.024798547170547</v>
      </c>
      <c r="Q46" s="172">
        <f t="shared" si="41"/>
        <v>1.1387961421575148</v>
      </c>
      <c r="R46" s="172">
        <f t="shared" si="41"/>
        <v>1.2875047326248468</v>
      </c>
      <c r="S46" s="172">
        <f t="shared" si="41"/>
        <v>1.5063516799679944</v>
      </c>
      <c r="T46" s="172">
        <f t="shared" si="41"/>
        <v>1.7348862268373055</v>
      </c>
      <c r="U46" s="172">
        <f t="shared" si="41"/>
        <v>1.6215410094780849</v>
      </c>
      <c r="V46" s="172">
        <f t="shared" ref="V46:W46" si="42">V28</f>
        <v>1.6259166345825986</v>
      </c>
      <c r="W46" s="172">
        <f t="shared" ca="1" si="42"/>
        <v>1.8290702899959197</v>
      </c>
      <c r="X46" s="172">
        <f t="shared" ref="X46" ca="1" si="43">X28</f>
        <v>1.9868079285642624</v>
      </c>
      <c r="Y46" s="155"/>
      <c r="Z46" s="155"/>
      <c r="AA46" s="155"/>
      <c r="AB46" s="155"/>
      <c r="AC46" s="155"/>
      <c r="AD46" s="155"/>
      <c r="AE46" s="155"/>
      <c r="AF46" s="155"/>
      <c r="AG46" s="155"/>
    </row>
    <row r="47" spans="1:38" s="173" customFormat="1" x14ac:dyDescent="0.35">
      <c r="A47" s="174" t="s">
        <v>564</v>
      </c>
      <c r="B47" s="178">
        <f>PL!C174</f>
        <v>0</v>
      </c>
      <c r="C47" s="178">
        <f t="shared" ref="C47:L47" si="44">C14</f>
        <v>121.95838359340374</v>
      </c>
      <c r="D47" s="178">
        <f t="shared" si="44"/>
        <v>74.952154764575297</v>
      </c>
      <c r="E47" s="178">
        <f t="shared" si="44"/>
        <v>62.542271719531165</v>
      </c>
      <c r="F47" s="178">
        <f t="shared" si="44"/>
        <v>42.342299818531458</v>
      </c>
      <c r="G47" s="178">
        <f t="shared" si="44"/>
        <v>25.81092821887815</v>
      </c>
      <c r="H47" s="178">
        <f t="shared" si="44"/>
        <v>16.794394645818752</v>
      </c>
      <c r="I47" s="178">
        <f t="shared" si="44"/>
        <v>13.019921388476831</v>
      </c>
      <c r="J47" s="178">
        <f t="shared" si="44"/>
        <v>11.412272236308571</v>
      </c>
      <c r="K47" s="178">
        <f t="shared" si="44"/>
        <v>10.511588596994464</v>
      </c>
      <c r="L47" s="178">
        <f t="shared" si="44"/>
        <v>7.7399306584678316</v>
      </c>
      <c r="M47" s="178">
        <f t="shared" ref="M47:U47" si="45">M31</f>
        <v>7.1004261294453075</v>
      </c>
      <c r="N47" s="178">
        <f t="shared" si="45"/>
        <v>6.4986502751957671</v>
      </c>
      <c r="O47" s="178">
        <f t="shared" si="45"/>
        <v>7.5830405666872185</v>
      </c>
      <c r="P47" s="178">
        <f t="shared" si="45"/>
        <v>6.3915118862263283</v>
      </c>
      <c r="Q47" s="178">
        <f t="shared" si="45"/>
        <v>6.5030235114608388</v>
      </c>
      <c r="R47" s="178">
        <f t="shared" si="45"/>
        <v>6.7746921451530087</v>
      </c>
      <c r="S47" s="178">
        <f t="shared" si="45"/>
        <v>6.00457436431026</v>
      </c>
      <c r="T47" s="178">
        <f t="shared" si="45"/>
        <v>5.5924149363671933</v>
      </c>
      <c r="U47" s="178">
        <f t="shared" si="45"/>
        <v>6.0724923127914288</v>
      </c>
      <c r="V47" s="178">
        <f t="shared" ref="V47:W47" si="46">V31</f>
        <v>6.3135360412247339</v>
      </c>
      <c r="W47" s="178">
        <f t="shared" ca="1" si="46"/>
        <v>5.9313173573560025</v>
      </c>
      <c r="X47" s="178">
        <f t="shared" ref="X47" ca="1" si="47">X31</f>
        <v>5.7751923046510925</v>
      </c>
      <c r="Y47" s="177"/>
      <c r="Z47" s="177"/>
      <c r="AA47" s="177"/>
      <c r="AB47" s="177"/>
      <c r="AC47" s="177"/>
      <c r="AD47" s="177"/>
      <c r="AE47" s="177"/>
      <c r="AF47" s="177"/>
      <c r="AG47" s="177"/>
    </row>
    <row r="48" spans="1:38" x14ac:dyDescent="0.35">
      <c r="A48" s="148" t="s">
        <v>2010</v>
      </c>
      <c r="B48" s="180">
        <f>PL!C176</f>
        <v>0</v>
      </c>
      <c r="C48" s="180">
        <f t="shared" ref="C48:L48" si="48">C15</f>
        <v>0.24659393664952384</v>
      </c>
      <c r="D48" s="180">
        <f t="shared" si="48"/>
        <v>0.25872716049540495</v>
      </c>
      <c r="E48" s="180">
        <f t="shared" si="48"/>
        <v>0.20915891206127885</v>
      </c>
      <c r="F48" s="180">
        <f t="shared" si="48"/>
        <v>0.17941637415955011</v>
      </c>
      <c r="G48" s="180">
        <f t="shared" si="48"/>
        <v>0.2322391439397809</v>
      </c>
      <c r="H48" s="180">
        <f t="shared" si="48"/>
        <v>0.21366777506870749</v>
      </c>
      <c r="I48" s="180">
        <f t="shared" si="48"/>
        <v>0.25575899940939595</v>
      </c>
      <c r="J48" s="180">
        <f t="shared" si="48"/>
        <v>0.18676819911790263</v>
      </c>
      <c r="K48" s="180">
        <f t="shared" si="48"/>
        <v>0.19334727147603031</v>
      </c>
      <c r="L48" s="180">
        <f t="shared" si="48"/>
        <v>0.21035279840705426</v>
      </c>
      <c r="M48" s="194">
        <f t="shared" ref="M48:U48" si="49">M32</f>
        <v>0.21097269250660977</v>
      </c>
      <c r="N48" s="194">
        <f t="shared" si="49"/>
        <v>0.17281939962245094</v>
      </c>
      <c r="O48" s="194">
        <f t="shared" si="49"/>
        <v>0.1175863754900464</v>
      </c>
      <c r="P48" s="194">
        <f t="shared" si="49"/>
        <v>0.13431854962184941</v>
      </c>
      <c r="Q48" s="194">
        <f t="shared" si="49"/>
        <v>0.13185532302994332</v>
      </c>
      <c r="R48" s="194">
        <f t="shared" si="49"/>
        <v>0.12887782699969158</v>
      </c>
      <c r="S48" s="194">
        <f t="shared" si="49"/>
        <v>0.13930553053675757</v>
      </c>
      <c r="T48" s="194">
        <f t="shared" si="49"/>
        <v>0.15335571070668294</v>
      </c>
      <c r="U48" s="194">
        <f t="shared" si="49"/>
        <v>0.13862137893762153</v>
      </c>
      <c r="V48" s="194">
        <f t="shared" ref="V48:W48" si="50">V32</f>
        <v>0.12987419375231418</v>
      </c>
      <c r="W48" s="194">
        <f t="shared" ca="1" si="50"/>
        <v>0.13100226644428831</v>
      </c>
      <c r="X48" s="194">
        <f t="shared" ref="X48" ca="1" si="51">X32</f>
        <v>0.13011735433751684</v>
      </c>
      <c r="Y48" s="155"/>
      <c r="Z48" s="155"/>
      <c r="AA48" s="155"/>
      <c r="AB48" s="155"/>
      <c r="AC48" s="155"/>
      <c r="AD48" s="155"/>
      <c r="AE48" s="155"/>
      <c r="AF48" s="155"/>
      <c r="AG48" s="155"/>
    </row>
    <row r="49" spans="1:33" s="173" customFormat="1" x14ac:dyDescent="0.35">
      <c r="A49" s="148" t="s">
        <v>784</v>
      </c>
      <c r="B49" s="180">
        <f>PL!C168</f>
        <v>0</v>
      </c>
      <c r="C49" s="180">
        <f t="shared" ref="C49:L49" si="52">C16</f>
        <v>4.2676655315075094E-3</v>
      </c>
      <c r="D49" s="180">
        <f t="shared" si="52"/>
        <v>5.0169400217536693E-3</v>
      </c>
      <c r="E49" s="180">
        <f t="shared" si="52"/>
        <v>9.6297092809896519E-3</v>
      </c>
      <c r="F49" s="180">
        <f t="shared" si="52"/>
        <v>7.4385905915728282E-3</v>
      </c>
      <c r="G49" s="180">
        <f t="shared" si="52"/>
        <v>9.944849936615369E-3</v>
      </c>
      <c r="H49" s="180">
        <f t="shared" si="52"/>
        <v>1.4133381653792541E-2</v>
      </c>
      <c r="I49" s="180">
        <f t="shared" si="52"/>
        <v>1.8848985799445037E-2</v>
      </c>
      <c r="J49" s="180">
        <f t="shared" si="52"/>
        <v>2.473783769070044E-2</v>
      </c>
      <c r="K49" s="180">
        <f t="shared" si="52"/>
        <v>2.7066674327864783E-2</v>
      </c>
      <c r="L49" s="180">
        <f t="shared" si="52"/>
        <v>3.8852305067788778E-2</v>
      </c>
      <c r="M49" s="194">
        <f t="shared" ref="M49:U49" si="53">M33</f>
        <v>3.8867002138856466E-2</v>
      </c>
      <c r="N49" s="194">
        <f t="shared" si="53"/>
        <v>4.1224970292321299E-2</v>
      </c>
      <c r="O49" s="194">
        <f t="shared" si="53"/>
        <v>3.1802119939790721E-2</v>
      </c>
      <c r="P49" s="194">
        <f t="shared" si="53"/>
        <v>3.7691401410122324E-2</v>
      </c>
      <c r="Q49" s="194">
        <f t="shared" si="53"/>
        <v>4.2402826586387617E-2</v>
      </c>
      <c r="R49" s="194">
        <f t="shared" si="53"/>
        <v>4.7723741108438501E-2</v>
      </c>
      <c r="S49" s="194">
        <f t="shared" si="53"/>
        <v>5.6537102473498226E-2</v>
      </c>
      <c r="T49" s="194">
        <f t="shared" si="53"/>
        <v>6.5959952885747949E-2</v>
      </c>
      <c r="U49" s="194">
        <f t="shared" si="53"/>
        <v>7.2438162544169613E-2</v>
      </c>
      <c r="V49" s="194">
        <f t="shared" ref="V49:W49" si="54">V33</f>
        <v>7.361601884570082E-2</v>
      </c>
      <c r="W49" s="194">
        <f t="shared" ca="1" si="54"/>
        <v>8.4694337690141092E-2</v>
      </c>
      <c r="X49" s="194">
        <f t="shared" ref="X49" ca="1" si="55">X33</f>
        <v>9.3265882886251136E-2</v>
      </c>
      <c r="Y49" s="155"/>
      <c r="Z49" s="155"/>
      <c r="AA49" s="177"/>
      <c r="AB49" s="177"/>
      <c r="AC49" s="177"/>
      <c r="AD49" s="177"/>
      <c r="AE49" s="177"/>
      <c r="AF49" s="177"/>
      <c r="AG49" s="177"/>
    </row>
    <row r="50" spans="1:33" x14ac:dyDescent="0.35">
      <c r="A50" s="148" t="s">
        <v>394</v>
      </c>
      <c r="B50" s="180">
        <f>PL!C175</f>
        <v>0</v>
      </c>
      <c r="C50" s="180">
        <f t="shared" ref="C50:L50" si="56">C17</f>
        <v>2.1581909203710607E-2</v>
      </c>
      <c r="D50" s="180">
        <f t="shared" si="56"/>
        <v>3.9819061573685567E-2</v>
      </c>
      <c r="E50" s="180">
        <f t="shared" si="56"/>
        <v>4.4397334096696391E-2</v>
      </c>
      <c r="F50" s="180">
        <f t="shared" si="56"/>
        <v>5.400556409902383E-2</v>
      </c>
      <c r="G50" s="180">
        <f t="shared" si="56"/>
        <v>8.6479942911844701E-2</v>
      </c>
      <c r="H50" s="180">
        <f t="shared" si="56"/>
        <v>9.2031038424021591E-2</v>
      </c>
      <c r="I50" s="180">
        <f t="shared" si="56"/>
        <v>0.13423835703716827</v>
      </c>
      <c r="J50" s="180">
        <f t="shared" si="56"/>
        <v>0.10076923302457487</v>
      </c>
      <c r="K50" s="180">
        <f t="shared" si="56"/>
        <v>0.100390611672763</v>
      </c>
      <c r="L50" s="180">
        <f t="shared" si="56"/>
        <v>0.11905007005443623</v>
      </c>
      <c r="M50" s="194">
        <f t="shared" ref="M50:U50" si="57">M34</f>
        <v>0.11102234727741658</v>
      </c>
      <c r="N50" s="194">
        <f t="shared" si="57"/>
        <v>0.10946789038972395</v>
      </c>
      <c r="O50" s="194">
        <f t="shared" si="57"/>
        <v>8.0899640572920373E-2</v>
      </c>
      <c r="P50" s="194">
        <f t="shared" si="57"/>
        <v>8.7777464964224422E-2</v>
      </c>
      <c r="Q50" s="194">
        <f t="shared" si="57"/>
        <v>9.6310594851014203E-2</v>
      </c>
      <c r="R50" s="194">
        <f t="shared" si="57"/>
        <v>8.7969382436704449E-2</v>
      </c>
      <c r="S50" s="194">
        <f t="shared" si="57"/>
        <v>7.8027509906446385E-2</v>
      </c>
      <c r="T50" s="194">
        <f t="shared" si="57"/>
        <v>8.0574357294506113E-2</v>
      </c>
      <c r="U50" s="194">
        <f t="shared" si="57"/>
        <v>8.1324665607844279E-2</v>
      </c>
      <c r="V50" s="194">
        <f t="shared" ref="V50:W50" si="58">V34</f>
        <v>8.5500968157812204E-2</v>
      </c>
      <c r="W50" s="194">
        <f t="shared" ca="1" si="58"/>
        <v>9.3293769101626706E-2</v>
      </c>
      <c r="X50" s="194">
        <f t="shared" ref="X50" ca="1" si="59">X34</f>
        <v>9.1902138563272673E-2</v>
      </c>
      <c r="Y50" s="155"/>
      <c r="Z50" s="155"/>
      <c r="AA50" s="155"/>
      <c r="AB50" s="155"/>
      <c r="AC50" s="155"/>
      <c r="AD50" s="155"/>
      <c r="AE50" s="155"/>
      <c r="AF50" s="155"/>
      <c r="AG50" s="155"/>
    </row>
    <row r="51" spans="1:33" x14ac:dyDescent="0.35">
      <c r="A51" s="148" t="s">
        <v>2233</v>
      </c>
      <c r="B51" s="180">
        <f>PL!C177</f>
        <v>0</v>
      </c>
      <c r="C51" s="180">
        <f t="shared" ref="C51:L51" si="60">C18</f>
        <v>4.1082886167887515E-2</v>
      </c>
      <c r="D51" s="180">
        <f t="shared" si="60"/>
        <v>5.3222823192932985E-2</v>
      </c>
      <c r="E51" s="180">
        <f t="shared" si="60"/>
        <v>5.4467865227372715E-2</v>
      </c>
      <c r="F51" s="180">
        <f t="shared" si="60"/>
        <v>4.6546740973542888E-2</v>
      </c>
      <c r="G51" s="180">
        <f t="shared" si="60"/>
        <v>5.5476984245015688E-2</v>
      </c>
      <c r="H51" s="180">
        <f t="shared" si="60"/>
        <v>5.6387120048431244E-2</v>
      </c>
      <c r="I51" s="180">
        <f t="shared" si="60"/>
        <v>7.903870160787442E-2</v>
      </c>
      <c r="J51" s="180">
        <f t="shared" si="60"/>
        <v>5.2421615409560418E-2</v>
      </c>
      <c r="K51" s="180">
        <f t="shared" si="60"/>
        <v>5.1929353753573118E-2</v>
      </c>
      <c r="L51" s="180">
        <f t="shared" si="60"/>
        <v>6.1886081757800276E-2</v>
      </c>
      <c r="M51" s="194">
        <f t="shared" ref="M51:U51" si="61">M35</f>
        <v>5.9531175396604012E-2</v>
      </c>
      <c r="N51" s="194">
        <f t="shared" si="61"/>
        <v>4.6322738772948541E-2</v>
      </c>
      <c r="O51" s="194">
        <f t="shared" si="61"/>
        <v>3.3059644962403656E-2</v>
      </c>
      <c r="P51" s="194">
        <f t="shared" si="61"/>
        <v>3.3534116691503864E-2</v>
      </c>
      <c r="Q51" s="194">
        <f t="shared" si="61"/>
        <v>3.2200235074636027E-2</v>
      </c>
      <c r="R51" s="194">
        <f t="shared" si="61"/>
        <v>3.1013962801963706E-2</v>
      </c>
      <c r="S51" s="194">
        <f t="shared" si="61"/>
        <v>3.4768938233808007E-2</v>
      </c>
      <c r="T51" s="194">
        <f t="shared" si="61"/>
        <v>3.676283855298023E-2</v>
      </c>
      <c r="U51" s="194">
        <f t="shared" si="61"/>
        <v>3.2513664834277693E-2</v>
      </c>
      <c r="V51" s="194">
        <f t="shared" ref="V51:W51" si="62">V35</f>
        <v>3.0597687151046569E-2</v>
      </c>
      <c r="W51" s="194">
        <f t="shared" ca="1" si="62"/>
        <v>3.309679197266386E-2</v>
      </c>
      <c r="X51" s="194">
        <f t="shared" ref="X51" ca="1" si="63">X35</f>
        <v>3.3413708492579963E-2</v>
      </c>
      <c r="Y51" s="155"/>
      <c r="Z51" s="155"/>
      <c r="AA51" s="155"/>
      <c r="AB51" s="155"/>
      <c r="AC51" s="155"/>
      <c r="AD51" s="155"/>
      <c r="AE51" s="155"/>
      <c r="AF51" s="155"/>
      <c r="AG51" s="155"/>
    </row>
    <row r="52" spans="1:33" x14ac:dyDescent="0.35">
      <c r="A52" s="148" t="s">
        <v>2234</v>
      </c>
      <c r="B52" s="180">
        <f>BS!C140</f>
        <v>0</v>
      </c>
      <c r="C52" s="180">
        <f t="shared" ref="C52:L52" si="64">C19</f>
        <v>0.81986394582980471</v>
      </c>
      <c r="D52" s="180">
        <f t="shared" si="64"/>
        <v>0.71663739514140434</v>
      </c>
      <c r="E52" s="180">
        <f t="shared" si="64"/>
        <v>0.71912829776358522</v>
      </c>
      <c r="F52" s="180">
        <f t="shared" si="64"/>
        <v>0.672876029618795</v>
      </c>
      <c r="G52" s="180">
        <f t="shared" si="64"/>
        <v>0.75248698808774717</v>
      </c>
      <c r="H52" s="180">
        <f t="shared" si="64"/>
        <v>0.6447452645300531</v>
      </c>
      <c r="I52" s="180">
        <f t="shared" si="64"/>
        <v>0.62773642775287364</v>
      </c>
      <c r="J52" s="180">
        <f t="shared" si="64"/>
        <v>0.69137934088252873</v>
      </c>
      <c r="K52" s="180">
        <f t="shared" si="64"/>
        <v>0.69964057943883207</v>
      </c>
      <c r="L52" s="180">
        <f t="shared" si="64"/>
        <v>0.68148410837997508</v>
      </c>
      <c r="M52" s="194">
        <f t="shared" ref="M52:U52" si="65">M36</f>
        <v>0.70211217490289612</v>
      </c>
      <c r="N52" s="194">
        <f t="shared" si="65"/>
        <v>0.67546851615024794</v>
      </c>
      <c r="O52" s="194">
        <f t="shared" si="65"/>
        <v>0.6835322636940685</v>
      </c>
      <c r="P52" s="194">
        <f t="shared" si="65"/>
        <v>0.68463428244576641</v>
      </c>
      <c r="Q52" s="194">
        <f t="shared" si="65"/>
        <v>0.68802987390907766</v>
      </c>
      <c r="R52" s="194">
        <f t="shared" si="65"/>
        <v>0.69803477378751366</v>
      </c>
      <c r="S52" s="194">
        <f t="shared" si="65"/>
        <v>0.70375173351988807</v>
      </c>
      <c r="T52" s="194">
        <f t="shared" si="65"/>
        <v>0.70202502111275356</v>
      </c>
      <c r="U52" s="194">
        <f t="shared" si="65"/>
        <v>0.73020956796183167</v>
      </c>
      <c r="V52" s="194">
        <f t="shared" ref="V52:W52" si="66">V36</f>
        <v>0.71364400327023481</v>
      </c>
      <c r="W52" s="194">
        <f t="shared" ca="1" si="66"/>
        <v>0.70099472396460927</v>
      </c>
      <c r="X52" s="194">
        <f t="shared" ref="X52" ca="1" si="67">X36</f>
        <v>0.69872186305954165</v>
      </c>
    </row>
    <row r="53" spans="1:33" x14ac:dyDescent="0.35">
      <c r="A53" s="148" t="s">
        <v>2231</v>
      </c>
      <c r="B53" s="175">
        <f>PL!C162</f>
        <v>0</v>
      </c>
      <c r="C53" s="175">
        <f t="shared" ref="C53:U53" si="68">C12</f>
        <v>201.84362271921285</v>
      </c>
      <c r="D53" s="175">
        <f t="shared" si="68"/>
        <v>110.76017560935851</v>
      </c>
      <c r="E53" s="175">
        <f t="shared" si="68"/>
        <v>91.649489359745431</v>
      </c>
      <c r="F53" s="175">
        <f t="shared" si="68"/>
        <v>73.214285943078792</v>
      </c>
      <c r="G53" s="175">
        <f t="shared" si="68"/>
        <v>43.276051197651618</v>
      </c>
      <c r="H53" s="176">
        <f t="shared" si="68"/>
        <v>29.750478327324124</v>
      </c>
      <c r="I53" s="176">
        <f t="shared" si="68"/>
        <v>15.247260360642455</v>
      </c>
      <c r="J53" s="176">
        <f t="shared" si="68"/>
        <v>16.310306585693446</v>
      </c>
      <c r="K53" s="176">
        <f t="shared" si="68"/>
        <v>12.970986889897365</v>
      </c>
      <c r="L53" s="176">
        <f t="shared" si="68"/>
        <v>9.9126372216423722</v>
      </c>
      <c r="M53" s="176">
        <f t="shared" si="68"/>
        <v>8.7418017200948199</v>
      </c>
      <c r="N53" s="176">
        <f t="shared" si="68"/>
        <v>8.1685385147532177</v>
      </c>
      <c r="O53" s="176">
        <f t="shared" si="68"/>
        <v>9.9654544212768048</v>
      </c>
      <c r="P53" s="176">
        <f t="shared" si="68"/>
        <v>8.2845550703021189</v>
      </c>
      <c r="Q53" s="176">
        <f t="shared" si="68"/>
        <v>7.4552412725206523</v>
      </c>
      <c r="R53" s="176">
        <f t="shared" si="68"/>
        <v>6.5941505183374085</v>
      </c>
      <c r="S53" s="176">
        <f t="shared" si="68"/>
        <v>5.636134053490343</v>
      </c>
      <c r="T53" s="176">
        <f t="shared" si="68"/>
        <v>4.8936926633380766</v>
      </c>
      <c r="U53" s="176">
        <f t="shared" si="68"/>
        <v>5.235760273946215</v>
      </c>
      <c r="V53" s="176">
        <f t="shared" ref="V53:W53" si="69">V12</f>
        <v>5.2216699303156666</v>
      </c>
      <c r="W53" s="176">
        <f t="shared" ca="1" si="69"/>
        <v>4.6417024246886323</v>
      </c>
      <c r="X53" s="176">
        <f t="shared" ref="X53" ca="1" si="70">X12</f>
        <v>4.2731860880659838</v>
      </c>
    </row>
    <row r="54" spans="1:33" x14ac:dyDescent="0.35">
      <c r="A54" s="148" t="s">
        <v>482</v>
      </c>
      <c r="B54" s="175">
        <f>PL!C164</f>
        <v>0</v>
      </c>
      <c r="C54" s="175">
        <f t="shared" ref="C54:U54" si="71">C13</f>
        <v>46.033641705356494</v>
      </c>
      <c r="D54" s="175">
        <f t="shared" si="71"/>
        <v>20.803624551012373</v>
      </c>
      <c r="E54" s="175">
        <f t="shared" si="71"/>
        <v>17.773068610529961</v>
      </c>
      <c r="F54" s="175">
        <f t="shared" si="71"/>
        <v>10.417721450935264</v>
      </c>
      <c r="G54" s="175">
        <f t="shared" si="71"/>
        <v>9.7080864135340796</v>
      </c>
      <c r="H54" s="176">
        <f t="shared" si="71"/>
        <v>4.7254327113472723</v>
      </c>
      <c r="I54" s="176">
        <f t="shared" si="71"/>
        <v>3.3195117703235804</v>
      </c>
      <c r="J54" s="176">
        <f t="shared" si="71"/>
        <v>2.8145502873920303</v>
      </c>
      <c r="K54" s="176">
        <f t="shared" si="71"/>
        <v>2.2615129943395131</v>
      </c>
      <c r="L54" s="176">
        <f t="shared" si="71"/>
        <v>1.9343059082784166</v>
      </c>
      <c r="M54" s="176">
        <f t="shared" si="71"/>
        <v>1.762263981377209</v>
      </c>
      <c r="N54" s="176">
        <f t="shared" si="71"/>
        <v>1.1774432003367812</v>
      </c>
      <c r="O54" s="176">
        <f t="shared" si="71"/>
        <v>1.1662139339541349</v>
      </c>
      <c r="P54" s="176">
        <f t="shared" si="71"/>
        <v>1.0640087050754516</v>
      </c>
      <c r="Q54" s="176">
        <f t="shared" si="71"/>
        <v>0.91347672279177405</v>
      </c>
      <c r="R54" s="176">
        <f t="shared" si="71"/>
        <v>0.79449188059100206</v>
      </c>
      <c r="S54" s="176">
        <f t="shared" si="71"/>
        <v>0.77601479225849535</v>
      </c>
      <c r="T54" s="176">
        <f t="shared" si="71"/>
        <v>0.72656409041436931</v>
      </c>
      <c r="U54" s="176">
        <f t="shared" si="71"/>
        <v>0.72501418240670423</v>
      </c>
      <c r="V54" s="176">
        <f t="shared" ref="V54:W54" si="72">V13</f>
        <v>0.63699443447557924</v>
      </c>
      <c r="W54" s="176">
        <f t="shared" ca="1" si="72"/>
        <v>0.58166472703634831</v>
      </c>
      <c r="X54" s="176">
        <f t="shared" ref="X54" ca="1" si="73">X13</f>
        <v>0.53253311481692456</v>
      </c>
    </row>
    <row r="55" spans="1:33" x14ac:dyDescent="0.35">
      <c r="A55" s="145" t="s">
        <v>2235</v>
      </c>
      <c r="F55" s="191">
        <f>CF!G11/BS!$M$89</f>
        <v>0.21752174612601563</v>
      </c>
      <c r="G55" s="191">
        <f>CF!H11/BS!$M$89</f>
        <v>7.7662470757778653E-3</v>
      </c>
      <c r="H55" s="195">
        <f>CF!I11/BS!$M$89</f>
        <v>-0.19016542808628054</v>
      </c>
      <c r="I55" s="195">
        <f>CF!J11/BS!$M$89</f>
        <v>-0.63227508254252418</v>
      </c>
      <c r="J55" s="195">
        <f>CF!K11/BS!$M$89</f>
        <v>-0.5841174596263724</v>
      </c>
      <c r="K55" s="195">
        <f>CF!L11/BS!$M$89</f>
        <v>-0.31974038475172745</v>
      </c>
      <c r="L55" s="195">
        <f>CF!M11/BS!$M$89</f>
        <v>5.6415708957945628E-2</v>
      </c>
      <c r="M55" s="195">
        <f>CF!N11/BS!$M$89</f>
        <v>0.54276455564573867</v>
      </c>
      <c r="N55" s="195">
        <f>CF!O11/BS!$M$89</f>
        <v>-0.91736221272406338</v>
      </c>
      <c r="O55" s="195">
        <f>CF!P11/BS!$M$89</f>
        <v>-0.36435366235542743</v>
      </c>
      <c r="P55" s="195">
        <f>CF!Q11/BS!$M$89</f>
        <v>-0.51197236947889702</v>
      </c>
      <c r="Q55" s="195">
        <f>CF!R11/BS!$M$89</f>
        <v>-0.85779668978745238</v>
      </c>
      <c r="R55" s="195">
        <f>CF!S11/BS!$M$89</f>
        <v>-0.10431226723432228</v>
      </c>
      <c r="S55" s="195">
        <f>CF!T11/BS!$M$89</f>
        <v>4.0134665433169375E-2</v>
      </c>
      <c r="T55" s="195">
        <f>CF!U11/BS!$M$89</f>
        <v>9.4845408368043671E-2</v>
      </c>
      <c r="U55" s="195">
        <f>CF!V11/BS!$M$89</f>
        <v>0.38004063710600894</v>
      </c>
      <c r="V55" s="195">
        <f>CF!W11/BS!$M$89</f>
        <v>0.19878018256994265</v>
      </c>
      <c r="W55" s="195">
        <f ca="1">CF!X11/BS!$M$89</f>
        <v>0.74362801642931609</v>
      </c>
      <c r="X55" s="195">
        <f ca="1">CF!Y11/BS!$M$89</f>
        <v>0.46655232809080704</v>
      </c>
    </row>
    <row r="56" spans="1:33" x14ac:dyDescent="0.35">
      <c r="L56" s="152"/>
      <c r="M56" s="152"/>
      <c r="N56" s="152"/>
      <c r="O56" s="152"/>
      <c r="P56" s="152"/>
      <c r="Q56" s="152"/>
      <c r="R56" s="152"/>
      <c r="S56" s="152"/>
      <c r="T56" s="152"/>
      <c r="U56" s="152"/>
      <c r="V56" s="152"/>
      <c r="W56" s="152"/>
      <c r="X56" s="152"/>
    </row>
    <row r="57" spans="1:33" x14ac:dyDescent="0.35">
      <c r="L57" s="152"/>
      <c r="M57" s="152"/>
      <c r="N57" s="152"/>
      <c r="O57" s="152"/>
      <c r="P57" s="152"/>
      <c r="Q57" s="152"/>
      <c r="R57" s="152"/>
      <c r="S57" s="152"/>
      <c r="T57" s="152"/>
      <c r="U57" s="152"/>
      <c r="V57" s="152"/>
      <c r="W57" s="152"/>
      <c r="X57" s="152"/>
    </row>
    <row r="58" spans="1:33" x14ac:dyDescent="0.35">
      <c r="L58" s="152"/>
      <c r="M58" s="152"/>
      <c r="N58" s="152"/>
      <c r="O58" s="152"/>
      <c r="P58" s="152"/>
      <c r="Q58" s="152"/>
      <c r="R58" s="152"/>
      <c r="S58" s="152"/>
      <c r="T58" s="152"/>
      <c r="U58" s="152"/>
      <c r="V58" s="152"/>
      <c r="W58" s="152"/>
      <c r="X58" s="152"/>
    </row>
    <row r="59" spans="1:33" x14ac:dyDescent="0.35">
      <c r="L59" s="152"/>
      <c r="M59" s="152"/>
      <c r="N59" s="152"/>
      <c r="O59" s="152"/>
      <c r="P59" s="152"/>
      <c r="Q59" s="152"/>
      <c r="R59" s="152"/>
      <c r="S59" s="152"/>
      <c r="T59" s="152"/>
      <c r="U59" s="152"/>
      <c r="V59" s="152"/>
      <c r="W59" s="152"/>
      <c r="X59" s="152"/>
    </row>
    <row r="60" spans="1:33" x14ac:dyDescent="0.35">
      <c r="L60" s="152"/>
      <c r="M60" s="152"/>
      <c r="N60" s="152"/>
      <c r="O60" s="152"/>
      <c r="P60" s="152"/>
      <c r="Q60" s="152"/>
      <c r="R60" s="152"/>
      <c r="S60" s="152"/>
      <c r="T60" s="152"/>
      <c r="U60" s="152"/>
      <c r="V60" s="152"/>
      <c r="W60" s="152"/>
      <c r="X60" s="152"/>
    </row>
    <row r="61" spans="1:33" x14ac:dyDescent="0.35">
      <c r="L61" s="152"/>
      <c r="M61" s="152"/>
      <c r="N61" s="152"/>
      <c r="O61" s="152"/>
      <c r="P61" s="152"/>
      <c r="Q61" s="152"/>
      <c r="R61" s="152"/>
      <c r="S61" s="152"/>
      <c r="T61" s="152"/>
      <c r="U61" s="152"/>
      <c r="V61" s="152"/>
      <c r="W61" s="152"/>
      <c r="X61" s="152"/>
    </row>
    <row r="62" spans="1:33" x14ac:dyDescent="0.35">
      <c r="L62" s="152"/>
      <c r="M62" s="152"/>
      <c r="N62" s="152"/>
      <c r="O62" s="152"/>
      <c r="P62" s="152"/>
      <c r="Q62" s="152"/>
      <c r="R62" s="152"/>
      <c r="S62" s="152"/>
      <c r="T62" s="152"/>
      <c r="U62" s="152"/>
      <c r="V62" s="152"/>
      <c r="W62" s="152"/>
      <c r="X62" s="152"/>
    </row>
    <row r="63" spans="1:33" x14ac:dyDescent="0.35">
      <c r="L63" s="152"/>
      <c r="M63" s="152"/>
      <c r="N63" s="152"/>
      <c r="O63" s="152"/>
      <c r="P63" s="152"/>
      <c r="Q63" s="152"/>
      <c r="R63" s="152"/>
      <c r="S63" s="152"/>
      <c r="T63" s="152"/>
      <c r="U63" s="152"/>
      <c r="V63" s="152"/>
      <c r="W63" s="152"/>
      <c r="X63" s="152"/>
    </row>
    <row r="64" spans="1:33" x14ac:dyDescent="0.35">
      <c r="L64" s="152"/>
      <c r="M64" s="152"/>
      <c r="N64" s="152"/>
      <c r="O64" s="152"/>
      <c r="P64" s="152"/>
      <c r="Q64" s="152"/>
      <c r="R64" s="152"/>
      <c r="S64" s="152"/>
      <c r="T64" s="152"/>
      <c r="U64" s="152"/>
      <c r="V64" s="152"/>
      <c r="W64" s="152"/>
      <c r="X64" s="152"/>
    </row>
    <row r="65" spans="12:24" x14ac:dyDescent="0.35">
      <c r="L65" s="152"/>
      <c r="M65" s="152"/>
      <c r="N65" s="152"/>
      <c r="O65" s="152"/>
      <c r="P65" s="152"/>
      <c r="Q65" s="152"/>
      <c r="R65" s="152"/>
      <c r="S65" s="152"/>
      <c r="T65" s="152"/>
      <c r="U65" s="152"/>
      <c r="V65" s="152"/>
      <c r="W65" s="152"/>
      <c r="X65" s="152"/>
    </row>
    <row r="66" spans="12:24" x14ac:dyDescent="0.35">
      <c r="L66" s="152"/>
      <c r="M66" s="152"/>
      <c r="N66" s="152"/>
      <c r="O66" s="152"/>
      <c r="P66" s="152"/>
      <c r="Q66" s="152"/>
      <c r="R66" s="152"/>
      <c r="S66" s="152"/>
      <c r="T66" s="152"/>
      <c r="U66" s="152"/>
      <c r="V66" s="152"/>
      <c r="W66" s="152"/>
      <c r="X66" s="152"/>
    </row>
    <row r="67" spans="12:24" x14ac:dyDescent="0.35">
      <c r="L67" s="152"/>
      <c r="M67" s="152"/>
      <c r="N67" s="152"/>
      <c r="O67" s="152"/>
      <c r="P67" s="152"/>
      <c r="Q67" s="152"/>
      <c r="R67" s="152"/>
      <c r="S67" s="152"/>
      <c r="T67" s="152"/>
      <c r="U67" s="152"/>
      <c r="V67" s="152"/>
      <c r="W67" s="152"/>
      <c r="X67" s="152"/>
    </row>
    <row r="68" spans="12:24" x14ac:dyDescent="0.35">
      <c r="L68" s="152"/>
      <c r="M68" s="152"/>
      <c r="N68" s="152"/>
      <c r="O68" s="152"/>
      <c r="P68" s="152"/>
      <c r="Q68" s="152"/>
      <c r="R68" s="152"/>
      <c r="S68" s="152"/>
      <c r="T68" s="152"/>
      <c r="U68" s="152"/>
      <c r="V68" s="152"/>
      <c r="W68" s="152"/>
      <c r="X68" s="152"/>
    </row>
    <row r="69" spans="12:24" x14ac:dyDescent="0.35">
      <c r="L69" s="152"/>
      <c r="M69" s="152"/>
      <c r="N69" s="152"/>
      <c r="O69" s="152"/>
      <c r="P69" s="152"/>
      <c r="Q69" s="152"/>
      <c r="R69" s="152"/>
      <c r="S69" s="152"/>
      <c r="T69" s="152"/>
      <c r="U69" s="152"/>
      <c r="V69" s="152"/>
      <c r="W69" s="152"/>
      <c r="X69" s="152"/>
    </row>
    <row r="70" spans="12:24" x14ac:dyDescent="0.35">
      <c r="L70" s="152"/>
      <c r="M70" s="152"/>
      <c r="N70" s="152"/>
      <c r="O70" s="152"/>
      <c r="P70" s="152"/>
      <c r="Q70" s="152"/>
      <c r="R70" s="152"/>
      <c r="S70" s="152"/>
      <c r="T70" s="152"/>
      <c r="U70" s="152"/>
      <c r="V70" s="152"/>
      <c r="W70" s="152"/>
      <c r="X70" s="152"/>
    </row>
    <row r="71" spans="12:24" x14ac:dyDescent="0.35">
      <c r="L71" s="152"/>
      <c r="M71" s="152"/>
      <c r="N71" s="152"/>
      <c r="O71" s="152"/>
      <c r="P71" s="152"/>
      <c r="Q71" s="152"/>
      <c r="R71" s="152"/>
      <c r="S71" s="152"/>
      <c r="T71" s="152"/>
      <c r="U71" s="152"/>
      <c r="V71" s="152"/>
      <c r="W71" s="152"/>
      <c r="X71" s="152"/>
    </row>
    <row r="72" spans="12:24" x14ac:dyDescent="0.35">
      <c r="L72" s="152"/>
      <c r="M72" s="152"/>
      <c r="N72" s="152"/>
      <c r="O72" s="152"/>
      <c r="P72" s="152"/>
      <c r="Q72" s="152"/>
      <c r="R72" s="152"/>
      <c r="S72" s="152"/>
      <c r="T72" s="152"/>
      <c r="U72" s="152"/>
      <c r="V72" s="152"/>
      <c r="W72" s="152"/>
      <c r="X72" s="152"/>
    </row>
    <row r="73" spans="12:24" x14ac:dyDescent="0.35">
      <c r="L73" s="152"/>
      <c r="M73" s="152"/>
      <c r="N73" s="152"/>
      <c r="O73" s="152"/>
      <c r="P73" s="152"/>
      <c r="Q73" s="152"/>
      <c r="R73" s="152"/>
      <c r="S73" s="152"/>
      <c r="T73" s="152"/>
      <c r="U73" s="152"/>
      <c r="V73" s="152"/>
      <c r="W73" s="152"/>
      <c r="X73" s="152"/>
    </row>
    <row r="74" spans="12:24" x14ac:dyDescent="0.35">
      <c r="L74" s="152"/>
      <c r="M74" s="152"/>
      <c r="N74" s="152"/>
      <c r="O74" s="152"/>
      <c r="P74" s="152"/>
      <c r="Q74" s="152"/>
      <c r="R74" s="152"/>
      <c r="S74" s="152"/>
      <c r="T74" s="152"/>
      <c r="U74" s="152"/>
      <c r="V74" s="152"/>
      <c r="W74" s="152"/>
      <c r="X74" s="152"/>
    </row>
    <row r="75" spans="12:24" x14ac:dyDescent="0.35">
      <c r="L75" s="152"/>
      <c r="M75" s="152"/>
      <c r="N75" s="152"/>
      <c r="O75" s="152"/>
      <c r="P75" s="152"/>
      <c r="Q75" s="152"/>
      <c r="R75" s="152"/>
      <c r="S75" s="152"/>
      <c r="T75" s="152"/>
      <c r="U75" s="152"/>
      <c r="V75" s="152"/>
      <c r="W75" s="152"/>
      <c r="X75" s="152"/>
    </row>
    <row r="76" spans="12:24" x14ac:dyDescent="0.35">
      <c r="L76" s="152"/>
      <c r="M76" s="152"/>
      <c r="N76" s="152"/>
      <c r="O76" s="152"/>
      <c r="P76" s="152"/>
      <c r="Q76" s="152"/>
      <c r="R76" s="152"/>
      <c r="S76" s="152"/>
      <c r="T76" s="152"/>
      <c r="U76" s="152"/>
      <c r="V76" s="152"/>
      <c r="W76" s="152"/>
      <c r="X76" s="152"/>
    </row>
    <row r="77" spans="12:24" x14ac:dyDescent="0.35">
      <c r="L77" s="152"/>
      <c r="M77" s="152"/>
      <c r="N77" s="152"/>
      <c r="O77" s="152"/>
      <c r="P77" s="152"/>
      <c r="Q77" s="152"/>
      <c r="R77" s="152"/>
      <c r="S77" s="152"/>
      <c r="T77" s="152"/>
      <c r="U77" s="152"/>
      <c r="V77" s="152"/>
      <c r="W77" s="152"/>
      <c r="X77" s="152"/>
    </row>
    <row r="78" spans="12:24" x14ac:dyDescent="0.35">
      <c r="L78" s="152"/>
      <c r="M78" s="152"/>
      <c r="N78" s="152"/>
      <c r="O78" s="152"/>
      <c r="P78" s="152"/>
      <c r="Q78" s="152"/>
      <c r="R78" s="152"/>
      <c r="S78" s="152"/>
      <c r="T78" s="152"/>
      <c r="U78" s="152"/>
      <c r="V78" s="152"/>
      <c r="W78" s="152"/>
      <c r="X78" s="152"/>
    </row>
    <row r="79" spans="12:24" x14ac:dyDescent="0.35">
      <c r="L79" s="152"/>
      <c r="M79" s="152"/>
      <c r="N79" s="152"/>
      <c r="O79" s="152"/>
      <c r="P79" s="152"/>
      <c r="Q79" s="152"/>
      <c r="R79" s="152"/>
      <c r="S79" s="152"/>
      <c r="T79" s="152"/>
      <c r="U79" s="152"/>
      <c r="V79" s="152"/>
      <c r="W79" s="152"/>
      <c r="X79" s="152"/>
    </row>
    <row r="80" spans="12:24" x14ac:dyDescent="0.35">
      <c r="L80" s="152"/>
      <c r="M80" s="152"/>
      <c r="N80" s="152"/>
      <c r="O80" s="152"/>
      <c r="P80" s="152"/>
      <c r="Q80" s="152"/>
      <c r="R80" s="152"/>
      <c r="S80" s="152"/>
      <c r="T80" s="152"/>
      <c r="U80" s="152"/>
      <c r="V80" s="152"/>
      <c r="W80" s="152"/>
      <c r="X80" s="152"/>
    </row>
    <row r="81" spans="12:24" x14ac:dyDescent="0.35">
      <c r="L81" s="152"/>
      <c r="M81" s="152"/>
      <c r="N81" s="152"/>
      <c r="O81" s="152"/>
      <c r="P81" s="152"/>
      <c r="Q81" s="152"/>
      <c r="R81" s="152"/>
      <c r="S81" s="152"/>
      <c r="T81" s="152"/>
      <c r="U81" s="152"/>
      <c r="V81" s="152"/>
      <c r="W81" s="152"/>
      <c r="X81" s="152"/>
    </row>
    <row r="82" spans="12:24" x14ac:dyDescent="0.35">
      <c r="L82" s="152"/>
      <c r="M82" s="152"/>
      <c r="N82" s="152"/>
      <c r="O82" s="152"/>
      <c r="P82" s="152"/>
      <c r="Q82" s="152"/>
      <c r="R82" s="152"/>
      <c r="S82" s="152"/>
      <c r="T82" s="152"/>
      <c r="U82" s="152"/>
      <c r="V82" s="152"/>
      <c r="W82" s="152"/>
      <c r="X82" s="152"/>
    </row>
    <row r="83" spans="12:24" x14ac:dyDescent="0.35">
      <c r="L83" s="152"/>
      <c r="M83" s="152"/>
      <c r="N83" s="152"/>
      <c r="O83" s="152"/>
      <c r="P83" s="152"/>
      <c r="Q83" s="152"/>
      <c r="R83" s="152"/>
      <c r="S83" s="152"/>
      <c r="T83" s="152"/>
      <c r="U83" s="152"/>
      <c r="V83" s="152"/>
      <c r="W83" s="152"/>
      <c r="X83" s="152"/>
    </row>
    <row r="84" spans="12:24" x14ac:dyDescent="0.35">
      <c r="L84" s="152"/>
      <c r="M84" s="152"/>
      <c r="N84" s="152"/>
      <c r="O84" s="152"/>
      <c r="P84" s="152"/>
      <c r="Q84" s="152"/>
      <c r="R84" s="152"/>
      <c r="S84" s="152"/>
      <c r="T84" s="152"/>
      <c r="U84" s="152"/>
      <c r="V84" s="152"/>
      <c r="W84" s="152"/>
      <c r="X84" s="152"/>
    </row>
    <row r="85" spans="12:24" x14ac:dyDescent="0.35">
      <c r="L85" s="152"/>
      <c r="M85" s="152"/>
      <c r="N85" s="152"/>
      <c r="O85" s="152"/>
      <c r="P85" s="152"/>
      <c r="Q85" s="152"/>
      <c r="R85" s="152"/>
      <c r="S85" s="152"/>
      <c r="T85" s="152"/>
      <c r="U85" s="152"/>
      <c r="V85" s="152"/>
      <c r="W85" s="152"/>
      <c r="X85" s="152"/>
    </row>
    <row r="86" spans="12:24" x14ac:dyDescent="0.35">
      <c r="L86" s="152"/>
      <c r="M86" s="152"/>
      <c r="N86" s="152"/>
      <c r="O86" s="152"/>
      <c r="P86" s="152"/>
      <c r="Q86" s="152"/>
      <c r="R86" s="152"/>
      <c r="S86" s="152"/>
      <c r="T86" s="152"/>
      <c r="U86" s="152"/>
      <c r="V86" s="152"/>
      <c r="W86" s="152"/>
      <c r="X86" s="152"/>
    </row>
    <row r="87" spans="12:24" x14ac:dyDescent="0.35">
      <c r="L87" s="152"/>
      <c r="M87" s="152"/>
      <c r="N87" s="152"/>
      <c r="O87" s="152"/>
      <c r="P87" s="152"/>
      <c r="Q87" s="152"/>
      <c r="R87" s="152"/>
      <c r="S87" s="152"/>
      <c r="T87" s="152"/>
      <c r="U87" s="152"/>
      <c r="V87" s="152"/>
      <c r="W87" s="152"/>
      <c r="X87" s="152"/>
    </row>
    <row r="88" spans="12:24" x14ac:dyDescent="0.35">
      <c r="L88" s="152"/>
      <c r="M88" s="152"/>
      <c r="N88" s="152"/>
      <c r="O88" s="152"/>
      <c r="P88" s="152"/>
      <c r="Q88" s="152"/>
      <c r="R88" s="152"/>
      <c r="S88" s="152"/>
      <c r="T88" s="152"/>
      <c r="U88" s="152"/>
      <c r="V88" s="152"/>
      <c r="W88" s="152"/>
      <c r="X88" s="152"/>
    </row>
    <row r="89" spans="12:24" x14ac:dyDescent="0.35">
      <c r="L89" s="152"/>
      <c r="M89" s="152"/>
      <c r="N89" s="152"/>
      <c r="O89" s="152"/>
      <c r="P89" s="152"/>
      <c r="Q89" s="152"/>
      <c r="R89" s="152"/>
      <c r="S89" s="152"/>
      <c r="T89" s="152"/>
      <c r="U89" s="152"/>
      <c r="V89" s="152"/>
      <c r="W89" s="152"/>
      <c r="X89" s="152"/>
    </row>
    <row r="90" spans="12:24" x14ac:dyDescent="0.35">
      <c r="L90" s="152"/>
      <c r="M90" s="152"/>
      <c r="N90" s="152"/>
      <c r="O90" s="152"/>
      <c r="P90" s="152"/>
      <c r="Q90" s="152"/>
      <c r="R90" s="152"/>
      <c r="S90" s="152"/>
      <c r="T90" s="152"/>
      <c r="U90" s="152"/>
      <c r="V90" s="152"/>
      <c r="W90" s="152"/>
      <c r="X90" s="152"/>
    </row>
    <row r="91" spans="12:24" x14ac:dyDescent="0.35">
      <c r="L91" s="152"/>
      <c r="M91" s="152"/>
      <c r="N91" s="152"/>
      <c r="O91" s="152"/>
      <c r="P91" s="152"/>
      <c r="Q91" s="152"/>
      <c r="R91" s="152"/>
      <c r="S91" s="152"/>
      <c r="T91" s="152"/>
      <c r="U91" s="152"/>
      <c r="V91" s="152"/>
      <c r="W91" s="152"/>
      <c r="X91" s="152"/>
    </row>
    <row r="92" spans="12:24" x14ac:dyDescent="0.35">
      <c r="L92" s="152"/>
      <c r="M92" s="152"/>
      <c r="N92" s="152"/>
      <c r="O92" s="152"/>
      <c r="P92" s="152"/>
      <c r="Q92" s="152"/>
      <c r="R92" s="152"/>
      <c r="S92" s="152"/>
      <c r="T92" s="152"/>
      <c r="U92" s="152"/>
      <c r="V92" s="152"/>
      <c r="W92" s="152"/>
      <c r="X92" s="152"/>
    </row>
    <row r="93" spans="12:24" x14ac:dyDescent="0.35">
      <c r="L93" s="152"/>
      <c r="M93" s="152"/>
      <c r="N93" s="152"/>
      <c r="O93" s="152"/>
      <c r="P93" s="152"/>
      <c r="Q93" s="152"/>
      <c r="R93" s="152"/>
      <c r="S93" s="152"/>
      <c r="T93" s="152"/>
      <c r="U93" s="152"/>
      <c r="V93" s="152"/>
      <c r="W93" s="152"/>
      <c r="X93" s="152"/>
    </row>
    <row r="94" spans="12:24" x14ac:dyDescent="0.35">
      <c r="L94" s="152"/>
      <c r="M94" s="152"/>
      <c r="N94" s="152"/>
      <c r="O94" s="152"/>
      <c r="P94" s="152"/>
      <c r="Q94" s="152"/>
      <c r="R94" s="152"/>
      <c r="S94" s="152"/>
      <c r="T94" s="152"/>
      <c r="U94" s="152"/>
      <c r="V94" s="152"/>
      <c r="W94" s="152"/>
      <c r="X94" s="152"/>
    </row>
    <row r="95" spans="12:24" x14ac:dyDescent="0.35">
      <c r="L95" s="152"/>
      <c r="M95" s="152"/>
      <c r="N95" s="152"/>
      <c r="O95" s="152"/>
      <c r="P95" s="152"/>
      <c r="Q95" s="152"/>
      <c r="R95" s="152"/>
      <c r="S95" s="152"/>
      <c r="T95" s="152"/>
      <c r="U95" s="152"/>
      <c r="V95" s="152"/>
      <c r="W95" s="152"/>
      <c r="X95" s="152"/>
    </row>
    <row r="96" spans="12:24" x14ac:dyDescent="0.35">
      <c r="L96" s="152"/>
      <c r="M96" s="152"/>
      <c r="N96" s="152"/>
      <c r="O96" s="152"/>
      <c r="P96" s="152"/>
      <c r="Q96" s="152"/>
      <c r="R96" s="152"/>
      <c r="S96" s="152"/>
      <c r="T96" s="152"/>
      <c r="U96" s="152"/>
      <c r="V96" s="152"/>
      <c r="W96" s="152"/>
      <c r="X96" s="152"/>
    </row>
    <row r="97" spans="12:24" x14ac:dyDescent="0.35">
      <c r="L97" s="152"/>
      <c r="M97" s="152"/>
      <c r="N97" s="152"/>
      <c r="O97" s="152"/>
      <c r="P97" s="152"/>
      <c r="Q97" s="152"/>
      <c r="R97" s="152"/>
      <c r="S97" s="152"/>
      <c r="T97" s="152"/>
      <c r="U97" s="152"/>
      <c r="V97" s="152"/>
      <c r="W97" s="152"/>
      <c r="X97" s="152"/>
    </row>
    <row r="98" spans="12:24" x14ac:dyDescent="0.35">
      <c r="L98" s="152"/>
      <c r="M98" s="152"/>
      <c r="N98" s="152"/>
      <c r="O98" s="152"/>
      <c r="P98" s="152"/>
      <c r="Q98" s="152"/>
      <c r="R98" s="152"/>
      <c r="S98" s="152"/>
      <c r="T98" s="152"/>
      <c r="U98" s="152"/>
      <c r="V98" s="152"/>
      <c r="W98" s="152"/>
      <c r="X98" s="152"/>
    </row>
    <row r="99" spans="12:24" x14ac:dyDescent="0.35">
      <c r="L99" s="152"/>
      <c r="M99" s="152"/>
      <c r="N99" s="152"/>
      <c r="O99" s="152"/>
      <c r="P99" s="152"/>
      <c r="Q99" s="152"/>
      <c r="R99" s="152"/>
      <c r="S99" s="152"/>
      <c r="T99" s="152"/>
      <c r="U99" s="152"/>
      <c r="V99" s="152"/>
      <c r="W99" s="152"/>
      <c r="X99" s="152"/>
    </row>
    <row r="100" spans="12:24" x14ac:dyDescent="0.35">
      <c r="L100" s="152"/>
      <c r="M100" s="152"/>
      <c r="N100" s="152"/>
      <c r="O100" s="152"/>
      <c r="P100" s="152"/>
      <c r="Q100" s="152"/>
      <c r="R100" s="152"/>
      <c r="S100" s="152"/>
      <c r="T100" s="152"/>
      <c r="U100" s="152"/>
      <c r="V100" s="152"/>
      <c r="W100" s="152"/>
      <c r="X100" s="152"/>
    </row>
    <row r="101" spans="12:24" x14ac:dyDescent="0.35">
      <c r="L101" s="152"/>
      <c r="M101" s="152"/>
      <c r="N101" s="152"/>
      <c r="O101" s="152"/>
      <c r="P101" s="152"/>
      <c r="Q101" s="152"/>
      <c r="R101" s="152"/>
      <c r="S101" s="152"/>
      <c r="T101" s="152"/>
      <c r="U101" s="152"/>
      <c r="V101" s="152"/>
      <c r="W101" s="152"/>
      <c r="X101" s="152"/>
    </row>
    <row r="102" spans="12:24" x14ac:dyDescent="0.35">
      <c r="L102" s="152"/>
      <c r="M102" s="152"/>
      <c r="N102" s="152"/>
      <c r="O102" s="152"/>
      <c r="P102" s="152"/>
      <c r="Q102" s="152"/>
      <c r="R102" s="152"/>
      <c r="S102" s="152"/>
      <c r="T102" s="152"/>
      <c r="U102" s="152"/>
      <c r="V102" s="152"/>
      <c r="W102" s="152"/>
      <c r="X102" s="152"/>
    </row>
    <row r="103" spans="12:24" x14ac:dyDescent="0.35">
      <c r="L103" s="152"/>
      <c r="M103" s="152"/>
      <c r="N103" s="152"/>
      <c r="O103" s="152"/>
      <c r="P103" s="152"/>
      <c r="Q103" s="152"/>
      <c r="R103" s="152"/>
      <c r="S103" s="152"/>
      <c r="T103" s="152"/>
      <c r="U103" s="152"/>
      <c r="V103" s="152"/>
      <c r="W103" s="152"/>
      <c r="X103" s="152"/>
    </row>
    <row r="104" spans="12:24" x14ac:dyDescent="0.35">
      <c r="L104" s="152"/>
      <c r="M104" s="152"/>
      <c r="N104" s="152"/>
      <c r="O104" s="152"/>
      <c r="P104" s="152"/>
      <c r="Q104" s="152"/>
      <c r="R104" s="152"/>
      <c r="S104" s="152"/>
      <c r="T104" s="152"/>
      <c r="U104" s="152"/>
      <c r="V104" s="152"/>
      <c r="W104" s="152"/>
      <c r="X104" s="152"/>
    </row>
    <row r="105" spans="12:24" x14ac:dyDescent="0.35">
      <c r="L105" s="152"/>
      <c r="M105" s="152"/>
      <c r="N105" s="152"/>
      <c r="O105" s="152"/>
      <c r="P105" s="152"/>
      <c r="Q105" s="152"/>
      <c r="R105" s="152"/>
      <c r="S105" s="152"/>
      <c r="T105" s="152"/>
      <c r="U105" s="152"/>
      <c r="V105" s="152"/>
      <c r="W105" s="152"/>
      <c r="X105" s="152"/>
    </row>
    <row r="106" spans="12:24" x14ac:dyDescent="0.35">
      <c r="L106" s="152"/>
      <c r="M106" s="152"/>
      <c r="N106" s="152"/>
      <c r="O106" s="152"/>
      <c r="P106" s="152"/>
      <c r="Q106" s="152"/>
      <c r="R106" s="152"/>
      <c r="S106" s="152"/>
      <c r="T106" s="152"/>
      <c r="U106" s="152"/>
      <c r="V106" s="152"/>
      <c r="W106" s="152"/>
      <c r="X106" s="152"/>
    </row>
    <row r="107" spans="12:24" x14ac:dyDescent="0.35">
      <c r="L107" s="152"/>
      <c r="M107" s="152"/>
      <c r="N107" s="152"/>
      <c r="O107" s="152"/>
      <c r="P107" s="152"/>
      <c r="Q107" s="152"/>
      <c r="R107" s="152"/>
      <c r="S107" s="152"/>
      <c r="T107" s="152"/>
      <c r="U107" s="152"/>
      <c r="V107" s="152"/>
      <c r="W107" s="152"/>
      <c r="X107" s="152"/>
    </row>
    <row r="108" spans="12:24" x14ac:dyDescent="0.35">
      <c r="L108" s="152"/>
      <c r="M108" s="152"/>
      <c r="N108" s="152"/>
      <c r="O108" s="152"/>
      <c r="P108" s="152"/>
      <c r="Q108" s="152"/>
      <c r="R108" s="152"/>
      <c r="S108" s="152"/>
      <c r="T108" s="152"/>
      <c r="U108" s="152"/>
      <c r="V108" s="152"/>
      <c r="W108" s="152"/>
      <c r="X108" s="152"/>
    </row>
    <row r="109" spans="12:24" x14ac:dyDescent="0.35">
      <c r="L109" s="152"/>
      <c r="M109" s="152"/>
      <c r="N109" s="152"/>
      <c r="O109" s="152"/>
      <c r="P109" s="152"/>
      <c r="Q109" s="152"/>
      <c r="R109" s="152"/>
      <c r="S109" s="152"/>
      <c r="T109" s="152"/>
      <c r="U109" s="152"/>
      <c r="V109" s="152"/>
      <c r="W109" s="152"/>
      <c r="X109" s="152"/>
    </row>
    <row r="110" spans="12:24" x14ac:dyDescent="0.35">
      <c r="L110" s="152"/>
      <c r="M110" s="152"/>
      <c r="N110" s="152"/>
      <c r="O110" s="152"/>
      <c r="P110" s="152"/>
      <c r="Q110" s="152"/>
      <c r="R110" s="152"/>
      <c r="S110" s="152"/>
      <c r="T110" s="152"/>
      <c r="U110" s="152"/>
      <c r="V110" s="152"/>
      <c r="W110" s="152"/>
      <c r="X110" s="152"/>
    </row>
    <row r="111" spans="12:24" x14ac:dyDescent="0.35">
      <c r="L111" s="152"/>
      <c r="M111" s="152"/>
      <c r="N111" s="152"/>
      <c r="O111" s="152"/>
      <c r="P111" s="152"/>
      <c r="Q111" s="152"/>
      <c r="R111" s="152"/>
      <c r="S111" s="152"/>
      <c r="T111" s="152"/>
      <c r="U111" s="152"/>
      <c r="V111" s="152"/>
      <c r="W111" s="152"/>
      <c r="X111" s="152"/>
    </row>
    <row r="112" spans="12:24" x14ac:dyDescent="0.35">
      <c r="L112" s="152"/>
      <c r="M112" s="152"/>
      <c r="N112" s="152"/>
      <c r="O112" s="152"/>
      <c r="P112" s="152"/>
      <c r="Q112" s="152"/>
      <c r="R112" s="152"/>
      <c r="S112" s="152"/>
      <c r="T112" s="152"/>
      <c r="U112" s="152"/>
      <c r="V112" s="152"/>
      <c r="W112" s="152"/>
      <c r="X112" s="152"/>
    </row>
    <row r="113" spans="12:24" x14ac:dyDescent="0.35">
      <c r="L113" s="152"/>
      <c r="M113" s="152"/>
      <c r="N113" s="152"/>
      <c r="O113" s="152"/>
      <c r="P113" s="152"/>
      <c r="Q113" s="152"/>
      <c r="R113" s="152"/>
      <c r="S113" s="152"/>
      <c r="T113" s="152"/>
      <c r="U113" s="152"/>
      <c r="V113" s="152"/>
      <c r="W113" s="152"/>
      <c r="X113" s="152"/>
    </row>
    <row r="114" spans="12:24" x14ac:dyDescent="0.35">
      <c r="L114" s="152"/>
      <c r="M114" s="152"/>
      <c r="N114" s="152"/>
      <c r="O114" s="152"/>
      <c r="P114" s="152"/>
      <c r="Q114" s="152"/>
      <c r="R114" s="152"/>
      <c r="S114" s="152"/>
      <c r="T114" s="152"/>
      <c r="U114" s="152"/>
      <c r="V114" s="152"/>
      <c r="W114" s="152"/>
      <c r="X114" s="152"/>
    </row>
    <row r="115" spans="12:24" x14ac:dyDescent="0.35">
      <c r="L115" s="152"/>
      <c r="M115" s="152"/>
      <c r="N115" s="152"/>
      <c r="O115" s="152"/>
      <c r="P115" s="152"/>
      <c r="Q115" s="152"/>
      <c r="R115" s="152"/>
      <c r="S115" s="152"/>
      <c r="T115" s="152"/>
      <c r="U115" s="152"/>
      <c r="V115" s="152"/>
      <c r="W115" s="152"/>
      <c r="X115" s="152"/>
    </row>
    <row r="116" spans="12:24" x14ac:dyDescent="0.35">
      <c r="L116" s="152"/>
      <c r="M116" s="152"/>
      <c r="N116" s="152"/>
      <c r="O116" s="152"/>
      <c r="P116" s="152"/>
      <c r="Q116" s="152"/>
      <c r="R116" s="152"/>
      <c r="S116" s="152"/>
      <c r="T116" s="152"/>
      <c r="U116" s="152"/>
      <c r="V116" s="152"/>
      <c r="W116" s="152"/>
      <c r="X116" s="152"/>
    </row>
    <row r="117" spans="12:24" x14ac:dyDescent="0.35">
      <c r="L117" s="152"/>
      <c r="M117" s="152"/>
      <c r="N117" s="152"/>
      <c r="O117" s="152"/>
      <c r="P117" s="152"/>
      <c r="Q117" s="152"/>
      <c r="R117" s="152"/>
      <c r="S117" s="152"/>
      <c r="T117" s="152"/>
      <c r="U117" s="152"/>
      <c r="V117" s="152"/>
      <c r="W117" s="152"/>
      <c r="X117" s="152"/>
    </row>
    <row r="118" spans="12:24" x14ac:dyDescent="0.35">
      <c r="L118" s="152"/>
      <c r="M118" s="152"/>
      <c r="N118" s="152"/>
      <c r="O118" s="152"/>
      <c r="P118" s="152"/>
      <c r="Q118" s="152"/>
      <c r="R118" s="152"/>
      <c r="S118" s="152"/>
      <c r="T118" s="152"/>
      <c r="U118" s="152"/>
      <c r="V118" s="152"/>
      <c r="W118" s="152"/>
      <c r="X118" s="152"/>
    </row>
    <row r="119" spans="12:24" x14ac:dyDescent="0.35">
      <c r="L119" s="152"/>
      <c r="M119" s="152"/>
      <c r="N119" s="152"/>
      <c r="O119" s="152"/>
      <c r="P119" s="152"/>
      <c r="Q119" s="152"/>
      <c r="R119" s="152"/>
      <c r="S119" s="152"/>
      <c r="T119" s="152"/>
      <c r="U119" s="152"/>
      <c r="V119" s="152"/>
      <c r="W119" s="152"/>
      <c r="X119" s="152"/>
    </row>
    <row r="120" spans="12:24" x14ac:dyDescent="0.35">
      <c r="L120" s="152"/>
      <c r="M120" s="152"/>
      <c r="N120" s="152"/>
      <c r="O120" s="152"/>
      <c r="P120" s="152"/>
      <c r="Q120" s="152"/>
      <c r="R120" s="152"/>
      <c r="S120" s="152"/>
      <c r="T120" s="152"/>
      <c r="U120" s="152"/>
      <c r="V120" s="152"/>
      <c r="W120" s="152"/>
      <c r="X120" s="152"/>
    </row>
    <row r="121" spans="12:24" x14ac:dyDescent="0.35">
      <c r="L121" s="152"/>
      <c r="M121" s="152"/>
      <c r="N121" s="152"/>
      <c r="O121" s="152"/>
      <c r="P121" s="152"/>
      <c r="Q121" s="152"/>
      <c r="R121" s="152"/>
      <c r="S121" s="152"/>
      <c r="T121" s="152"/>
      <c r="U121" s="152"/>
      <c r="V121" s="152"/>
      <c r="W121" s="152"/>
      <c r="X121" s="152"/>
    </row>
    <row r="122" spans="12:24" x14ac:dyDescent="0.35">
      <c r="L122" s="152"/>
      <c r="M122" s="152"/>
      <c r="N122" s="152"/>
      <c r="O122" s="152"/>
      <c r="P122" s="152"/>
      <c r="Q122" s="152"/>
      <c r="R122" s="152"/>
      <c r="S122" s="152"/>
      <c r="T122" s="152"/>
      <c r="U122" s="152"/>
      <c r="V122" s="152"/>
      <c r="W122" s="152"/>
      <c r="X122" s="152"/>
    </row>
    <row r="123" spans="12:24" x14ac:dyDescent="0.35">
      <c r="L123" s="152"/>
      <c r="M123" s="152"/>
      <c r="N123" s="152"/>
      <c r="O123" s="152"/>
      <c r="P123" s="152"/>
      <c r="Q123" s="152"/>
      <c r="R123" s="152"/>
      <c r="S123" s="152"/>
      <c r="T123" s="152"/>
      <c r="U123" s="152"/>
      <c r="V123" s="152"/>
      <c r="W123" s="152"/>
      <c r="X123" s="152"/>
    </row>
    <row r="124" spans="12:24" x14ac:dyDescent="0.35">
      <c r="L124" s="152"/>
      <c r="M124" s="152"/>
      <c r="N124" s="152"/>
      <c r="O124" s="152"/>
      <c r="P124" s="152"/>
      <c r="Q124" s="152"/>
      <c r="R124" s="152"/>
      <c r="S124" s="152"/>
      <c r="T124" s="152"/>
      <c r="U124" s="152"/>
      <c r="V124" s="152"/>
      <c r="W124" s="152"/>
      <c r="X124" s="152"/>
    </row>
    <row r="125" spans="12:24" x14ac:dyDescent="0.35">
      <c r="L125" s="152"/>
      <c r="M125" s="152"/>
      <c r="N125" s="152"/>
      <c r="O125" s="152"/>
      <c r="P125" s="152"/>
      <c r="Q125" s="152"/>
      <c r="R125" s="152"/>
      <c r="S125" s="152"/>
      <c r="T125" s="152"/>
      <c r="U125" s="152"/>
      <c r="V125" s="152"/>
      <c r="W125" s="152"/>
      <c r="X125" s="152"/>
    </row>
    <row r="126" spans="12:24" x14ac:dyDescent="0.35">
      <c r="L126" s="152"/>
      <c r="M126" s="152"/>
      <c r="N126" s="152"/>
      <c r="O126" s="152"/>
      <c r="P126" s="152"/>
      <c r="Q126" s="152"/>
      <c r="R126" s="152"/>
      <c r="S126" s="152"/>
      <c r="T126" s="152"/>
      <c r="U126" s="152"/>
      <c r="V126" s="152"/>
      <c r="W126" s="152"/>
      <c r="X126" s="152"/>
    </row>
    <row r="127" spans="12:24" x14ac:dyDescent="0.35">
      <c r="L127" s="152"/>
      <c r="M127" s="152"/>
      <c r="N127" s="152"/>
      <c r="O127" s="152"/>
      <c r="P127" s="152"/>
      <c r="Q127" s="152"/>
      <c r="R127" s="152"/>
      <c r="S127" s="152"/>
      <c r="T127" s="152"/>
      <c r="U127" s="152"/>
      <c r="V127" s="152"/>
      <c r="W127" s="152"/>
      <c r="X127" s="152"/>
    </row>
    <row r="128" spans="12:24" x14ac:dyDescent="0.35">
      <c r="L128" s="152"/>
      <c r="M128" s="152"/>
      <c r="N128" s="152"/>
      <c r="O128" s="152"/>
      <c r="P128" s="152"/>
      <c r="Q128" s="152"/>
      <c r="R128" s="152"/>
      <c r="S128" s="152"/>
      <c r="T128" s="152"/>
      <c r="U128" s="152"/>
      <c r="V128" s="152"/>
      <c r="W128" s="152"/>
      <c r="X128" s="152"/>
    </row>
    <row r="129" spans="12:24" x14ac:dyDescent="0.35">
      <c r="L129" s="152"/>
      <c r="M129" s="152"/>
      <c r="N129" s="152"/>
      <c r="O129" s="152"/>
      <c r="P129" s="152"/>
      <c r="Q129" s="152"/>
      <c r="R129" s="152"/>
      <c r="S129" s="152"/>
      <c r="T129" s="152"/>
      <c r="U129" s="152"/>
      <c r="V129" s="152"/>
      <c r="W129" s="152"/>
      <c r="X129" s="152"/>
    </row>
    <row r="130" spans="12:24" x14ac:dyDescent="0.35">
      <c r="L130" s="152"/>
      <c r="M130" s="152"/>
      <c r="N130" s="152"/>
      <c r="O130" s="152"/>
      <c r="P130" s="152"/>
      <c r="Q130" s="152"/>
      <c r="R130" s="152"/>
      <c r="S130" s="152"/>
      <c r="T130" s="152"/>
      <c r="U130" s="152"/>
      <c r="V130" s="152"/>
      <c r="W130" s="152"/>
      <c r="X130" s="152"/>
    </row>
    <row r="131" spans="12:24" x14ac:dyDescent="0.35">
      <c r="L131" s="152"/>
      <c r="M131" s="152"/>
      <c r="N131" s="152"/>
      <c r="O131" s="152"/>
      <c r="P131" s="152"/>
      <c r="Q131" s="152"/>
      <c r="R131" s="152"/>
      <c r="S131" s="152"/>
      <c r="T131" s="152"/>
      <c r="U131" s="152"/>
      <c r="V131" s="152"/>
      <c r="W131" s="152"/>
      <c r="X131" s="152"/>
    </row>
    <row r="132" spans="12:24" x14ac:dyDescent="0.35">
      <c r="L132" s="152"/>
      <c r="M132" s="152"/>
      <c r="N132" s="152"/>
      <c r="O132" s="152"/>
      <c r="P132" s="152"/>
      <c r="Q132" s="152"/>
      <c r="R132" s="152"/>
      <c r="S132" s="152"/>
      <c r="T132" s="152"/>
      <c r="U132" s="152"/>
      <c r="V132" s="152"/>
      <c r="W132" s="152"/>
      <c r="X132" s="152"/>
    </row>
    <row r="133" spans="12:24" x14ac:dyDescent="0.35">
      <c r="L133" s="152"/>
      <c r="M133" s="152"/>
      <c r="N133" s="152"/>
      <c r="O133" s="152"/>
      <c r="P133" s="152"/>
      <c r="Q133" s="152"/>
      <c r="R133" s="152"/>
      <c r="S133" s="152"/>
      <c r="T133" s="152"/>
      <c r="U133" s="152"/>
      <c r="V133" s="152"/>
      <c r="W133" s="152"/>
      <c r="X133" s="152"/>
    </row>
    <row r="134" spans="12:24" x14ac:dyDescent="0.35">
      <c r="L134" s="152"/>
      <c r="M134" s="152"/>
      <c r="N134" s="152"/>
      <c r="O134" s="152"/>
      <c r="P134" s="152"/>
      <c r="Q134" s="152"/>
      <c r="R134" s="152"/>
      <c r="S134" s="152"/>
      <c r="T134" s="152"/>
      <c r="U134" s="152"/>
      <c r="V134" s="152"/>
      <c r="W134" s="152"/>
      <c r="X134" s="152"/>
    </row>
    <row r="135" spans="12:24" x14ac:dyDescent="0.35">
      <c r="L135" s="152"/>
      <c r="M135" s="152"/>
      <c r="N135" s="152"/>
      <c r="O135" s="152"/>
      <c r="P135" s="152"/>
      <c r="Q135" s="152"/>
      <c r="R135" s="152"/>
      <c r="S135" s="152"/>
      <c r="T135" s="152"/>
      <c r="U135" s="152"/>
      <c r="V135" s="152"/>
      <c r="W135" s="152"/>
      <c r="X135" s="152"/>
    </row>
    <row r="136" spans="12:24" x14ac:dyDescent="0.35">
      <c r="L136" s="152"/>
      <c r="M136" s="152"/>
      <c r="N136" s="152"/>
      <c r="O136" s="152"/>
      <c r="P136" s="152"/>
      <c r="Q136" s="152"/>
      <c r="R136" s="152"/>
      <c r="S136" s="152"/>
      <c r="T136" s="152"/>
      <c r="U136" s="152"/>
      <c r="V136" s="152"/>
      <c r="W136" s="152"/>
      <c r="X136" s="152"/>
    </row>
    <row r="137" spans="12:24" x14ac:dyDescent="0.35">
      <c r="L137" s="152"/>
      <c r="M137" s="152"/>
      <c r="N137" s="152"/>
      <c r="O137" s="152"/>
      <c r="P137" s="152"/>
      <c r="Q137" s="152"/>
      <c r="R137" s="152"/>
      <c r="S137" s="152"/>
      <c r="T137" s="152"/>
      <c r="U137" s="152"/>
      <c r="V137" s="152"/>
      <c r="W137" s="152"/>
      <c r="X137" s="152"/>
    </row>
    <row r="138" spans="12:24" x14ac:dyDescent="0.35">
      <c r="L138" s="152"/>
      <c r="M138" s="152"/>
      <c r="N138" s="152"/>
      <c r="O138" s="152"/>
      <c r="P138" s="152"/>
      <c r="Q138" s="152"/>
      <c r="R138" s="152"/>
      <c r="S138" s="152"/>
      <c r="T138" s="152"/>
      <c r="U138" s="152"/>
      <c r="V138" s="152"/>
      <c r="W138" s="152"/>
      <c r="X138" s="152"/>
    </row>
    <row r="139" spans="12:24" x14ac:dyDescent="0.35">
      <c r="L139" s="152"/>
      <c r="M139" s="152"/>
      <c r="N139" s="152"/>
      <c r="O139" s="152"/>
      <c r="P139" s="152"/>
      <c r="Q139" s="152"/>
      <c r="R139" s="152"/>
      <c r="S139" s="152"/>
      <c r="T139" s="152"/>
      <c r="U139" s="152"/>
      <c r="V139" s="152"/>
      <c r="W139" s="152"/>
      <c r="X139" s="152"/>
    </row>
    <row r="140" spans="12:24" x14ac:dyDescent="0.35">
      <c r="L140" s="152"/>
      <c r="M140" s="152"/>
      <c r="N140" s="152"/>
      <c r="O140" s="152"/>
      <c r="P140" s="152"/>
      <c r="Q140" s="152"/>
      <c r="R140" s="152"/>
      <c r="S140" s="152"/>
      <c r="T140" s="152"/>
      <c r="U140" s="152"/>
      <c r="V140" s="152"/>
      <c r="W140" s="152"/>
      <c r="X140" s="152"/>
    </row>
    <row r="141" spans="12:24" x14ac:dyDescent="0.35">
      <c r="L141" s="152"/>
      <c r="M141" s="152"/>
      <c r="N141" s="152"/>
      <c r="O141" s="152"/>
      <c r="P141" s="152"/>
      <c r="Q141" s="152"/>
      <c r="R141" s="152"/>
      <c r="S141" s="152"/>
      <c r="T141" s="152"/>
      <c r="U141" s="152"/>
      <c r="V141" s="152"/>
      <c r="W141" s="152"/>
      <c r="X141" s="152"/>
    </row>
    <row r="142" spans="12:24" x14ac:dyDescent="0.35">
      <c r="L142" s="152"/>
      <c r="M142" s="152"/>
      <c r="N142" s="152"/>
      <c r="O142" s="152"/>
      <c r="P142" s="152"/>
      <c r="Q142" s="152"/>
      <c r="R142" s="152"/>
      <c r="S142" s="152"/>
      <c r="T142" s="152"/>
      <c r="U142" s="152"/>
      <c r="V142" s="152"/>
      <c r="W142" s="152"/>
      <c r="X142" s="152"/>
    </row>
    <row r="143" spans="12:24" x14ac:dyDescent="0.35">
      <c r="L143" s="152"/>
      <c r="M143" s="152"/>
      <c r="N143" s="152"/>
      <c r="O143" s="152"/>
      <c r="P143" s="152"/>
      <c r="Q143" s="152"/>
      <c r="R143" s="152"/>
      <c r="S143" s="152"/>
      <c r="T143" s="152"/>
      <c r="U143" s="152"/>
      <c r="V143" s="152"/>
      <c r="W143" s="152"/>
      <c r="X143" s="152"/>
    </row>
    <row r="144" spans="12:24" x14ac:dyDescent="0.35">
      <c r="L144" s="152"/>
      <c r="M144" s="152"/>
      <c r="N144" s="152"/>
      <c r="O144" s="152"/>
      <c r="P144" s="152"/>
      <c r="Q144" s="152"/>
      <c r="R144" s="152"/>
      <c r="S144" s="152"/>
      <c r="T144" s="152"/>
      <c r="U144" s="152"/>
      <c r="V144" s="152"/>
      <c r="W144" s="152"/>
      <c r="X144" s="152"/>
    </row>
    <row r="145" spans="12:24" x14ac:dyDescent="0.35">
      <c r="L145" s="152"/>
      <c r="M145" s="152"/>
      <c r="N145" s="152"/>
      <c r="O145" s="152"/>
      <c r="P145" s="152"/>
      <c r="Q145" s="152"/>
      <c r="R145" s="152"/>
      <c r="S145" s="152"/>
      <c r="T145" s="152"/>
      <c r="U145" s="152"/>
      <c r="V145" s="152"/>
      <c r="W145" s="152"/>
      <c r="X145" s="152"/>
    </row>
    <row r="146" spans="12:24" x14ac:dyDescent="0.35">
      <c r="L146" s="152"/>
      <c r="M146" s="152"/>
      <c r="N146" s="152"/>
      <c r="O146" s="152"/>
      <c r="P146" s="152"/>
      <c r="Q146" s="152"/>
      <c r="R146" s="152"/>
      <c r="S146" s="152"/>
      <c r="T146" s="152"/>
      <c r="U146" s="152"/>
      <c r="V146" s="152"/>
      <c r="W146" s="152"/>
      <c r="X146" s="152"/>
    </row>
    <row r="147" spans="12:24" x14ac:dyDescent="0.35">
      <c r="L147" s="152"/>
      <c r="M147" s="152"/>
      <c r="N147" s="152"/>
      <c r="O147" s="152"/>
      <c r="P147" s="152"/>
      <c r="Q147" s="152"/>
      <c r="R147" s="152"/>
      <c r="S147" s="152"/>
      <c r="T147" s="152"/>
      <c r="U147" s="152"/>
      <c r="V147" s="152"/>
      <c r="W147" s="152"/>
      <c r="X147" s="152"/>
    </row>
    <row r="148" spans="12:24" x14ac:dyDescent="0.35">
      <c r="L148" s="152"/>
      <c r="M148" s="152"/>
      <c r="N148" s="152"/>
      <c r="O148" s="152"/>
      <c r="P148" s="152"/>
      <c r="Q148" s="152"/>
      <c r="R148" s="152"/>
      <c r="S148" s="152"/>
      <c r="T148" s="152"/>
      <c r="U148" s="152"/>
      <c r="V148" s="152"/>
      <c r="W148" s="152"/>
      <c r="X148" s="152"/>
    </row>
    <row r="149" spans="12:24" x14ac:dyDescent="0.35">
      <c r="L149" s="152"/>
      <c r="M149" s="152"/>
      <c r="N149" s="152"/>
      <c r="O149" s="152"/>
      <c r="P149" s="152"/>
      <c r="Q149" s="152"/>
      <c r="R149" s="152"/>
      <c r="S149" s="152"/>
      <c r="T149" s="152"/>
      <c r="U149" s="152"/>
      <c r="V149" s="152"/>
      <c r="W149" s="152"/>
      <c r="X149" s="152"/>
    </row>
    <row r="150" spans="12:24" x14ac:dyDescent="0.35">
      <c r="L150" s="152"/>
      <c r="M150" s="152"/>
      <c r="N150" s="152"/>
      <c r="O150" s="152"/>
      <c r="P150" s="152"/>
      <c r="Q150" s="152"/>
      <c r="R150" s="152"/>
      <c r="S150" s="152"/>
      <c r="T150" s="152"/>
      <c r="U150" s="152"/>
      <c r="V150" s="152"/>
      <c r="W150" s="152"/>
      <c r="X150" s="152"/>
    </row>
    <row r="151" spans="12:24" x14ac:dyDescent="0.35">
      <c r="L151" s="152"/>
      <c r="M151" s="152"/>
      <c r="N151" s="152"/>
      <c r="O151" s="152"/>
      <c r="P151" s="152"/>
      <c r="Q151" s="152"/>
      <c r="R151" s="152"/>
      <c r="S151" s="152"/>
      <c r="T151" s="152"/>
      <c r="U151" s="152"/>
      <c r="V151" s="152"/>
      <c r="W151" s="152"/>
      <c r="X151" s="152"/>
    </row>
    <row r="152" spans="12:24" x14ac:dyDescent="0.35">
      <c r="L152" s="152"/>
      <c r="M152" s="152"/>
      <c r="N152" s="152"/>
      <c r="O152" s="152"/>
      <c r="P152" s="152"/>
      <c r="Q152" s="152"/>
      <c r="R152" s="152"/>
      <c r="S152" s="152"/>
      <c r="T152" s="152"/>
      <c r="U152" s="152"/>
      <c r="V152" s="152"/>
      <c r="W152" s="152"/>
      <c r="X152" s="152"/>
    </row>
    <row r="153" spans="12:24" x14ac:dyDescent="0.35">
      <c r="L153" s="152"/>
      <c r="M153" s="152"/>
      <c r="N153" s="152"/>
      <c r="O153" s="152"/>
      <c r="P153" s="152"/>
      <c r="Q153" s="152"/>
      <c r="R153" s="152"/>
      <c r="S153" s="152"/>
      <c r="T153" s="152"/>
      <c r="U153" s="152"/>
      <c r="V153" s="152"/>
      <c r="W153" s="152"/>
      <c r="X153" s="152"/>
    </row>
    <row r="154" spans="12:24" x14ac:dyDescent="0.35">
      <c r="L154" s="152"/>
      <c r="M154" s="152"/>
      <c r="N154" s="152"/>
      <c r="O154" s="152"/>
      <c r="P154" s="152"/>
      <c r="Q154" s="152"/>
      <c r="R154" s="152"/>
      <c r="S154" s="152"/>
      <c r="T154" s="152"/>
      <c r="U154" s="152"/>
      <c r="V154" s="152"/>
      <c r="W154" s="152"/>
      <c r="X154" s="152"/>
    </row>
    <row r="155" spans="12:24" x14ac:dyDescent="0.35">
      <c r="L155" s="152"/>
      <c r="M155" s="152"/>
      <c r="N155" s="152"/>
      <c r="O155" s="152"/>
      <c r="P155" s="152"/>
      <c r="Q155" s="152"/>
      <c r="R155" s="152"/>
      <c r="S155" s="152"/>
      <c r="T155" s="152"/>
      <c r="U155" s="152"/>
      <c r="V155" s="152"/>
      <c r="W155" s="152"/>
      <c r="X155" s="152"/>
    </row>
    <row r="156" spans="12:24" x14ac:dyDescent="0.35">
      <c r="L156" s="152"/>
      <c r="M156" s="152"/>
      <c r="N156" s="152"/>
      <c r="O156" s="152"/>
      <c r="P156" s="152"/>
      <c r="Q156" s="152"/>
      <c r="R156" s="152"/>
      <c r="S156" s="152"/>
      <c r="T156" s="152"/>
      <c r="U156" s="152"/>
      <c r="V156" s="152"/>
      <c r="W156" s="152"/>
      <c r="X156" s="152"/>
    </row>
    <row r="157" spans="12:24" x14ac:dyDescent="0.35">
      <c r="L157" s="152"/>
      <c r="M157" s="152"/>
      <c r="N157" s="152"/>
      <c r="O157" s="152"/>
      <c r="P157" s="152"/>
      <c r="Q157" s="152"/>
      <c r="R157" s="152"/>
      <c r="S157" s="152"/>
      <c r="T157" s="152"/>
      <c r="U157" s="152"/>
      <c r="V157" s="152"/>
      <c r="W157" s="152"/>
      <c r="X157" s="152"/>
    </row>
    <row r="158" spans="12:24" x14ac:dyDescent="0.35">
      <c r="L158" s="152"/>
      <c r="M158" s="152"/>
      <c r="N158" s="152"/>
      <c r="O158" s="152"/>
      <c r="P158" s="152"/>
      <c r="Q158" s="152"/>
      <c r="R158" s="152"/>
      <c r="S158" s="152"/>
      <c r="T158" s="152"/>
      <c r="U158" s="152"/>
      <c r="V158" s="152"/>
      <c r="W158" s="152"/>
      <c r="X158" s="152"/>
    </row>
    <row r="159" spans="12:24" x14ac:dyDescent="0.35">
      <c r="L159" s="152"/>
      <c r="M159" s="152"/>
      <c r="N159" s="152"/>
      <c r="O159" s="152"/>
      <c r="P159" s="152"/>
      <c r="Q159" s="152"/>
      <c r="R159" s="152"/>
      <c r="S159" s="152"/>
      <c r="T159" s="152"/>
      <c r="U159" s="152"/>
      <c r="V159" s="152"/>
      <c r="W159" s="152"/>
      <c r="X159" s="152"/>
    </row>
    <row r="160" spans="12:24" x14ac:dyDescent="0.35">
      <c r="L160" s="152"/>
      <c r="M160" s="152"/>
      <c r="N160" s="152"/>
      <c r="O160" s="152"/>
      <c r="P160" s="152"/>
      <c r="Q160" s="152"/>
      <c r="R160" s="152"/>
      <c r="S160" s="152"/>
      <c r="T160" s="152"/>
      <c r="U160" s="152"/>
      <c r="V160" s="152"/>
      <c r="W160" s="152"/>
      <c r="X160" s="152"/>
    </row>
    <row r="161" spans="12:24" x14ac:dyDescent="0.35">
      <c r="L161" s="152"/>
      <c r="M161" s="152"/>
      <c r="N161" s="152"/>
      <c r="O161" s="152"/>
      <c r="P161" s="152"/>
      <c r="Q161" s="152"/>
      <c r="R161" s="152"/>
      <c r="S161" s="152"/>
      <c r="T161" s="152"/>
      <c r="U161" s="152"/>
      <c r="V161" s="152"/>
      <c r="W161" s="152"/>
      <c r="X161" s="152"/>
    </row>
    <row r="162" spans="12:24" x14ac:dyDescent="0.35">
      <c r="L162" s="152"/>
      <c r="M162" s="152"/>
      <c r="N162" s="152"/>
      <c r="O162" s="152"/>
      <c r="P162" s="152"/>
      <c r="Q162" s="152"/>
      <c r="R162" s="152"/>
      <c r="S162" s="152"/>
      <c r="T162" s="152"/>
      <c r="U162" s="152"/>
      <c r="V162" s="152"/>
      <c r="W162" s="152"/>
      <c r="X162" s="152"/>
    </row>
    <row r="163" spans="12:24" x14ac:dyDescent="0.35">
      <c r="L163" s="152"/>
      <c r="M163" s="152"/>
      <c r="N163" s="152"/>
      <c r="O163" s="152"/>
      <c r="P163" s="152"/>
      <c r="Q163" s="152"/>
      <c r="R163" s="152"/>
      <c r="S163" s="152"/>
      <c r="T163" s="152"/>
      <c r="U163" s="152"/>
      <c r="V163" s="152"/>
      <c r="W163" s="152"/>
      <c r="X163" s="152"/>
    </row>
    <row r="164" spans="12:24" x14ac:dyDescent="0.35">
      <c r="L164" s="152"/>
      <c r="M164" s="152"/>
      <c r="N164" s="152"/>
      <c r="O164" s="152"/>
      <c r="P164" s="152"/>
      <c r="Q164" s="152"/>
      <c r="R164" s="152"/>
      <c r="S164" s="152"/>
      <c r="T164" s="152"/>
      <c r="U164" s="152"/>
      <c r="V164" s="152"/>
      <c r="W164" s="152"/>
      <c r="X164" s="152"/>
    </row>
    <row r="165" spans="12:24" x14ac:dyDescent="0.35">
      <c r="L165" s="152"/>
      <c r="M165" s="152"/>
      <c r="N165" s="152"/>
      <c r="O165" s="152"/>
      <c r="P165" s="152"/>
      <c r="Q165" s="152"/>
      <c r="R165" s="152"/>
      <c r="S165" s="152"/>
      <c r="T165" s="152"/>
      <c r="U165" s="152"/>
      <c r="V165" s="152"/>
      <c r="W165" s="152"/>
      <c r="X165" s="152"/>
    </row>
    <row r="166" spans="12:24" x14ac:dyDescent="0.35">
      <c r="L166" s="152"/>
      <c r="M166" s="152"/>
      <c r="N166" s="152"/>
      <c r="O166" s="152"/>
      <c r="P166" s="152"/>
      <c r="Q166" s="152"/>
      <c r="R166" s="152"/>
      <c r="S166" s="152"/>
      <c r="T166" s="152"/>
      <c r="U166" s="152"/>
      <c r="V166" s="152"/>
      <c r="W166" s="152"/>
      <c r="X166" s="152"/>
    </row>
    <row r="167" spans="12:24" x14ac:dyDescent="0.35">
      <c r="L167" s="152"/>
      <c r="M167" s="152"/>
      <c r="N167" s="152"/>
      <c r="O167" s="152"/>
      <c r="P167" s="152"/>
      <c r="Q167" s="152"/>
      <c r="R167" s="152"/>
      <c r="S167" s="152"/>
      <c r="T167" s="152"/>
      <c r="U167" s="152"/>
      <c r="V167" s="152"/>
      <c r="W167" s="152"/>
      <c r="X167" s="152"/>
    </row>
    <row r="168" spans="12:24" x14ac:dyDescent="0.35">
      <c r="L168" s="152"/>
      <c r="M168" s="152"/>
      <c r="N168" s="152"/>
      <c r="O168" s="152"/>
      <c r="P168" s="152"/>
      <c r="Q168" s="152"/>
      <c r="R168" s="152"/>
      <c r="S168" s="152"/>
      <c r="T168" s="152"/>
      <c r="U168" s="152"/>
      <c r="V168" s="152"/>
      <c r="W168" s="152"/>
      <c r="X168" s="152"/>
    </row>
    <row r="169" spans="12:24" x14ac:dyDescent="0.35">
      <c r="L169" s="152"/>
      <c r="M169" s="152"/>
      <c r="N169" s="152"/>
      <c r="O169" s="152"/>
      <c r="P169" s="152"/>
      <c r="Q169" s="152"/>
      <c r="R169" s="152"/>
      <c r="S169" s="152"/>
      <c r="T169" s="152"/>
      <c r="U169" s="152"/>
      <c r="V169" s="152"/>
      <c r="W169" s="152"/>
      <c r="X169" s="152"/>
    </row>
    <row r="170" spans="12:24" x14ac:dyDescent="0.35">
      <c r="L170" s="152"/>
      <c r="M170" s="152"/>
      <c r="N170" s="152"/>
      <c r="O170" s="152"/>
      <c r="P170" s="152"/>
      <c r="Q170" s="152"/>
      <c r="R170" s="152"/>
      <c r="S170" s="152"/>
      <c r="T170" s="152"/>
      <c r="U170" s="152"/>
      <c r="V170" s="152"/>
      <c r="W170" s="152"/>
      <c r="X170" s="152"/>
    </row>
    <row r="171" spans="12:24" x14ac:dyDescent="0.35">
      <c r="L171" s="152"/>
      <c r="M171" s="152"/>
      <c r="N171" s="152"/>
      <c r="O171" s="152"/>
      <c r="P171" s="152"/>
      <c r="Q171" s="152"/>
      <c r="R171" s="152"/>
      <c r="S171" s="152"/>
      <c r="T171" s="152"/>
      <c r="U171" s="152"/>
      <c r="V171" s="152"/>
      <c r="W171" s="152"/>
      <c r="X171" s="152"/>
    </row>
    <row r="172" spans="12:24" x14ac:dyDescent="0.35">
      <c r="L172" s="152"/>
      <c r="M172" s="152"/>
      <c r="N172" s="152"/>
      <c r="O172" s="152"/>
      <c r="P172" s="152"/>
      <c r="Q172" s="152"/>
      <c r="R172" s="152"/>
      <c r="S172" s="152"/>
      <c r="T172" s="152"/>
      <c r="U172" s="152"/>
      <c r="V172" s="152"/>
      <c r="W172" s="152"/>
      <c r="X172" s="152"/>
    </row>
    <row r="173" spans="12:24" x14ac:dyDescent="0.35">
      <c r="L173" s="152"/>
      <c r="M173" s="152"/>
      <c r="N173" s="152"/>
      <c r="O173" s="152"/>
      <c r="P173" s="152"/>
      <c r="Q173" s="152"/>
      <c r="R173" s="152"/>
      <c r="S173" s="152"/>
      <c r="T173" s="152"/>
      <c r="U173" s="152"/>
      <c r="V173" s="152"/>
      <c r="W173" s="152"/>
      <c r="X173" s="152"/>
    </row>
    <row r="174" spans="12:24" x14ac:dyDescent="0.35">
      <c r="L174" s="152"/>
      <c r="M174" s="152"/>
      <c r="N174" s="152"/>
      <c r="O174" s="152"/>
      <c r="P174" s="152"/>
      <c r="Q174" s="152"/>
      <c r="R174" s="152"/>
      <c r="S174" s="152"/>
      <c r="T174" s="152"/>
      <c r="U174" s="152"/>
      <c r="V174" s="152"/>
      <c r="W174" s="152"/>
      <c r="X174" s="152"/>
    </row>
    <row r="175" spans="12:24" x14ac:dyDescent="0.35">
      <c r="L175" s="152"/>
      <c r="M175" s="152"/>
      <c r="N175" s="152"/>
      <c r="O175" s="152"/>
      <c r="P175" s="152"/>
      <c r="Q175" s="152"/>
      <c r="R175" s="152"/>
      <c r="S175" s="152"/>
      <c r="T175" s="152"/>
      <c r="U175" s="152"/>
      <c r="V175" s="152"/>
      <c r="W175" s="152"/>
      <c r="X175" s="152"/>
    </row>
    <row r="176" spans="12:24" x14ac:dyDescent="0.35">
      <c r="L176" s="152"/>
      <c r="M176" s="152"/>
      <c r="N176" s="152"/>
      <c r="O176" s="152"/>
      <c r="P176" s="152"/>
      <c r="Q176" s="152"/>
      <c r="R176" s="152"/>
      <c r="S176" s="152"/>
      <c r="T176" s="152"/>
      <c r="U176" s="152"/>
      <c r="V176" s="152"/>
      <c r="W176" s="152"/>
      <c r="X176" s="152"/>
    </row>
    <row r="177" spans="12:24" x14ac:dyDescent="0.35">
      <c r="L177" s="152"/>
      <c r="M177" s="152"/>
      <c r="N177" s="152"/>
      <c r="O177" s="152"/>
      <c r="P177" s="152"/>
      <c r="Q177" s="152"/>
      <c r="R177" s="152"/>
      <c r="S177" s="152"/>
      <c r="T177" s="152"/>
      <c r="U177" s="152"/>
      <c r="V177" s="152"/>
      <c r="W177" s="152"/>
      <c r="X177" s="152"/>
    </row>
    <row r="178" spans="12:24" x14ac:dyDescent="0.35">
      <c r="L178" s="152"/>
      <c r="M178" s="152"/>
      <c r="N178" s="152"/>
      <c r="O178" s="152"/>
      <c r="P178" s="152"/>
      <c r="Q178" s="152"/>
      <c r="R178" s="152"/>
      <c r="S178" s="152"/>
      <c r="T178" s="152"/>
      <c r="U178" s="152"/>
      <c r="V178" s="152"/>
      <c r="W178" s="152"/>
      <c r="X178" s="152"/>
    </row>
    <row r="179" spans="12:24" x14ac:dyDescent="0.35">
      <c r="L179" s="152"/>
      <c r="M179" s="152"/>
      <c r="N179" s="152"/>
      <c r="O179" s="152"/>
      <c r="P179" s="152"/>
      <c r="Q179" s="152"/>
      <c r="R179" s="152"/>
      <c r="S179" s="152"/>
      <c r="T179" s="152"/>
      <c r="U179" s="152"/>
      <c r="V179" s="152"/>
      <c r="W179" s="152"/>
      <c r="X179" s="152"/>
    </row>
    <row r="180" spans="12:24" x14ac:dyDescent="0.35">
      <c r="L180" s="152"/>
      <c r="M180" s="152"/>
      <c r="N180" s="152"/>
      <c r="O180" s="152"/>
      <c r="P180" s="152"/>
      <c r="Q180" s="152"/>
      <c r="R180" s="152"/>
      <c r="S180" s="152"/>
      <c r="T180" s="152"/>
      <c r="U180" s="152"/>
      <c r="V180" s="152"/>
      <c r="W180" s="152"/>
      <c r="X180" s="152"/>
    </row>
    <row r="181" spans="12:24" x14ac:dyDescent="0.35">
      <c r="L181" s="152"/>
      <c r="M181" s="152"/>
      <c r="N181" s="152"/>
      <c r="O181" s="152"/>
      <c r="P181" s="152"/>
      <c r="Q181" s="152"/>
      <c r="R181" s="152"/>
      <c r="S181" s="152"/>
      <c r="T181" s="152"/>
      <c r="U181" s="152"/>
      <c r="V181" s="152"/>
      <c r="W181" s="152"/>
      <c r="X181" s="152"/>
    </row>
    <row r="182" spans="12:24" x14ac:dyDescent="0.35">
      <c r="L182" s="152"/>
      <c r="M182" s="152"/>
      <c r="N182" s="152"/>
      <c r="O182" s="152"/>
      <c r="P182" s="152"/>
      <c r="Q182" s="152"/>
      <c r="R182" s="152"/>
      <c r="S182" s="152"/>
      <c r="T182" s="152"/>
      <c r="U182" s="152"/>
      <c r="V182" s="152"/>
      <c r="W182" s="152"/>
      <c r="X182" s="152"/>
    </row>
    <row r="183" spans="12:24" x14ac:dyDescent="0.35">
      <c r="L183" s="152"/>
      <c r="M183" s="152"/>
      <c r="N183" s="152"/>
      <c r="O183" s="152"/>
      <c r="P183" s="152"/>
      <c r="Q183" s="152"/>
      <c r="R183" s="152"/>
      <c r="S183" s="152"/>
      <c r="T183" s="152"/>
      <c r="U183" s="152"/>
      <c r="V183" s="152"/>
      <c r="W183" s="152"/>
      <c r="X183" s="152"/>
    </row>
    <row r="184" spans="12:24" x14ac:dyDescent="0.35">
      <c r="L184" s="152"/>
      <c r="M184" s="152"/>
      <c r="N184" s="152"/>
      <c r="O184" s="152"/>
      <c r="P184" s="152"/>
      <c r="Q184" s="152"/>
      <c r="R184" s="152"/>
      <c r="S184" s="152"/>
      <c r="T184" s="152"/>
      <c r="U184" s="152"/>
      <c r="V184" s="152"/>
      <c r="W184" s="152"/>
      <c r="X184" s="152"/>
    </row>
    <row r="185" spans="12:24" x14ac:dyDescent="0.35">
      <c r="L185" s="152"/>
      <c r="M185" s="152"/>
      <c r="N185" s="152"/>
      <c r="O185" s="152"/>
      <c r="P185" s="152"/>
      <c r="Q185" s="152"/>
      <c r="R185" s="152"/>
      <c r="S185" s="152"/>
      <c r="T185" s="152"/>
      <c r="U185" s="152"/>
      <c r="V185" s="152"/>
      <c r="W185" s="152"/>
      <c r="X185" s="152"/>
    </row>
    <row r="186" spans="12:24" x14ac:dyDescent="0.35">
      <c r="L186" s="152"/>
      <c r="M186" s="152"/>
      <c r="N186" s="152"/>
      <c r="O186" s="152"/>
      <c r="P186" s="152"/>
      <c r="Q186" s="152"/>
      <c r="R186" s="152"/>
      <c r="S186" s="152"/>
      <c r="T186" s="152"/>
      <c r="U186" s="152"/>
      <c r="V186" s="152"/>
      <c r="W186" s="152"/>
      <c r="X186" s="152"/>
    </row>
    <row r="187" spans="12:24" x14ac:dyDescent="0.35">
      <c r="L187" s="152"/>
      <c r="M187" s="152"/>
      <c r="N187" s="152"/>
      <c r="O187" s="152"/>
      <c r="P187" s="152"/>
      <c r="Q187" s="152"/>
      <c r="R187" s="152"/>
      <c r="S187" s="152"/>
      <c r="T187" s="152"/>
      <c r="U187" s="152"/>
      <c r="V187" s="152"/>
      <c r="W187" s="152"/>
      <c r="X187" s="152"/>
    </row>
    <row r="188" spans="12:24" x14ac:dyDescent="0.35">
      <c r="L188" s="152"/>
      <c r="M188" s="152"/>
      <c r="N188" s="152"/>
      <c r="O188" s="152"/>
      <c r="P188" s="152"/>
      <c r="Q188" s="152"/>
      <c r="R188" s="152"/>
      <c r="S188" s="152"/>
      <c r="T188" s="152"/>
      <c r="U188" s="152"/>
      <c r="V188" s="152"/>
      <c r="W188" s="152"/>
      <c r="X188" s="152"/>
    </row>
    <row r="189" spans="12:24" x14ac:dyDescent="0.35">
      <c r="L189" s="152"/>
      <c r="M189" s="152"/>
      <c r="N189" s="152"/>
      <c r="O189" s="152"/>
      <c r="P189" s="152"/>
      <c r="Q189" s="152"/>
      <c r="R189" s="152"/>
      <c r="S189" s="152"/>
      <c r="T189" s="152"/>
      <c r="U189" s="152"/>
      <c r="V189" s="152"/>
      <c r="W189" s="152"/>
      <c r="X189" s="152"/>
    </row>
    <row r="190" spans="12:24" x14ac:dyDescent="0.35">
      <c r="L190" s="152"/>
      <c r="M190" s="152"/>
      <c r="N190" s="152"/>
      <c r="O190" s="152"/>
      <c r="P190" s="152"/>
      <c r="Q190" s="152"/>
      <c r="R190" s="152"/>
      <c r="S190" s="152"/>
      <c r="T190" s="152"/>
      <c r="U190" s="152"/>
      <c r="V190" s="152"/>
      <c r="W190" s="152"/>
      <c r="X190" s="152"/>
    </row>
    <row r="191" spans="12:24" x14ac:dyDescent="0.35">
      <c r="L191" s="152"/>
      <c r="M191" s="152"/>
      <c r="N191" s="152"/>
      <c r="O191" s="152"/>
      <c r="P191" s="152"/>
      <c r="Q191" s="152"/>
      <c r="R191" s="152"/>
      <c r="S191" s="152"/>
      <c r="T191" s="152"/>
      <c r="U191" s="152"/>
      <c r="V191" s="152"/>
      <c r="W191" s="152"/>
      <c r="X191" s="152"/>
    </row>
    <row r="192" spans="12:24" x14ac:dyDescent="0.35">
      <c r="L192" s="152"/>
      <c r="M192" s="152"/>
      <c r="N192" s="152"/>
      <c r="O192" s="152"/>
      <c r="P192" s="152"/>
      <c r="Q192" s="152"/>
      <c r="R192" s="152"/>
      <c r="S192" s="152"/>
      <c r="T192" s="152"/>
      <c r="U192" s="152"/>
      <c r="V192" s="152"/>
      <c r="W192" s="152"/>
      <c r="X192" s="152"/>
    </row>
    <row r="193" spans="12:24" x14ac:dyDescent="0.35">
      <c r="L193" s="152"/>
      <c r="M193" s="152"/>
      <c r="N193" s="152"/>
      <c r="O193" s="152"/>
      <c r="P193" s="152"/>
      <c r="Q193" s="152"/>
      <c r="R193" s="152"/>
      <c r="S193" s="152"/>
      <c r="T193" s="152"/>
      <c r="U193" s="152"/>
      <c r="V193" s="152"/>
      <c r="W193" s="152"/>
      <c r="X193" s="152"/>
    </row>
    <row r="194" spans="12:24" x14ac:dyDescent="0.35">
      <c r="L194" s="152"/>
      <c r="M194" s="152"/>
      <c r="N194" s="152"/>
      <c r="O194" s="152"/>
      <c r="P194" s="152"/>
      <c r="Q194" s="152"/>
      <c r="R194" s="152"/>
      <c r="S194" s="152"/>
      <c r="T194" s="152"/>
      <c r="U194" s="152"/>
      <c r="V194" s="152"/>
      <c r="W194" s="152"/>
      <c r="X194" s="152"/>
    </row>
    <row r="195" spans="12:24" x14ac:dyDescent="0.35">
      <c r="L195" s="152"/>
      <c r="M195" s="152"/>
      <c r="N195" s="152"/>
      <c r="O195" s="152"/>
      <c r="P195" s="152"/>
      <c r="Q195" s="152"/>
      <c r="R195" s="152"/>
      <c r="S195" s="152"/>
      <c r="T195" s="152"/>
      <c r="U195" s="152"/>
      <c r="V195" s="152"/>
      <c r="W195" s="152"/>
      <c r="X195" s="152"/>
    </row>
    <row r="196" spans="12:24" x14ac:dyDescent="0.35">
      <c r="L196" s="152"/>
      <c r="M196" s="152"/>
      <c r="N196" s="152"/>
      <c r="O196" s="152"/>
      <c r="P196" s="152"/>
      <c r="Q196" s="152"/>
      <c r="R196" s="152"/>
      <c r="S196" s="152"/>
      <c r="T196" s="152"/>
      <c r="U196" s="152"/>
      <c r="V196" s="152"/>
      <c r="W196" s="152"/>
      <c r="X196" s="152"/>
    </row>
    <row r="197" spans="12:24" x14ac:dyDescent="0.35">
      <c r="L197" s="152"/>
      <c r="M197" s="152"/>
      <c r="N197" s="152"/>
      <c r="O197" s="152"/>
      <c r="P197" s="152"/>
      <c r="Q197" s="152"/>
      <c r="R197" s="152"/>
      <c r="S197" s="152"/>
      <c r="T197" s="152"/>
      <c r="U197" s="152"/>
      <c r="V197" s="152"/>
      <c r="W197" s="152"/>
      <c r="X197" s="152"/>
    </row>
    <row r="198" spans="12:24" x14ac:dyDescent="0.35">
      <c r="L198" s="152"/>
      <c r="M198" s="152"/>
      <c r="N198" s="152"/>
      <c r="O198" s="152"/>
      <c r="P198" s="152"/>
      <c r="Q198" s="152"/>
      <c r="R198" s="152"/>
      <c r="S198" s="152"/>
      <c r="T198" s="152"/>
      <c r="U198" s="152"/>
      <c r="V198" s="152"/>
      <c r="W198" s="152"/>
      <c r="X198" s="152"/>
    </row>
    <row r="199" spans="12:24" x14ac:dyDescent="0.35">
      <c r="L199" s="152"/>
      <c r="M199" s="152"/>
      <c r="N199" s="152"/>
      <c r="O199" s="152"/>
      <c r="P199" s="152"/>
      <c r="Q199" s="152"/>
      <c r="R199" s="152"/>
      <c r="S199" s="152"/>
      <c r="T199" s="152"/>
      <c r="U199" s="152"/>
      <c r="V199" s="152"/>
      <c r="W199" s="152"/>
      <c r="X199" s="152"/>
    </row>
    <row r="200" spans="12:24" x14ac:dyDescent="0.35">
      <c r="L200" s="152"/>
      <c r="M200" s="152"/>
      <c r="N200" s="152"/>
      <c r="O200" s="152"/>
      <c r="P200" s="152"/>
      <c r="Q200" s="152"/>
      <c r="R200" s="152"/>
      <c r="S200" s="152"/>
      <c r="T200" s="152"/>
      <c r="U200" s="152"/>
      <c r="V200" s="152"/>
      <c r="W200" s="152"/>
      <c r="X200" s="152"/>
    </row>
    <row r="201" spans="12:24" x14ac:dyDescent="0.35">
      <c r="L201" s="152"/>
      <c r="M201" s="152"/>
      <c r="N201" s="152"/>
      <c r="O201" s="152"/>
      <c r="P201" s="152"/>
      <c r="Q201" s="152"/>
      <c r="R201" s="152"/>
      <c r="S201" s="152"/>
      <c r="T201" s="152"/>
      <c r="U201" s="152"/>
      <c r="V201" s="152"/>
      <c r="W201" s="152"/>
      <c r="X201" s="152"/>
    </row>
    <row r="202" spans="12:24" x14ac:dyDescent="0.35">
      <c r="L202" s="152"/>
      <c r="M202" s="152"/>
      <c r="N202" s="152"/>
      <c r="O202" s="152"/>
      <c r="P202" s="152"/>
      <c r="Q202" s="152"/>
      <c r="R202" s="152"/>
      <c r="S202" s="152"/>
      <c r="T202" s="152"/>
      <c r="U202" s="152"/>
      <c r="V202" s="152"/>
      <c r="W202" s="152"/>
      <c r="X202" s="152"/>
    </row>
    <row r="203" spans="12:24" x14ac:dyDescent="0.35">
      <c r="L203" s="152"/>
      <c r="M203" s="152"/>
      <c r="N203" s="152"/>
      <c r="O203" s="152"/>
      <c r="P203" s="152"/>
      <c r="Q203" s="152"/>
      <c r="R203" s="152"/>
      <c r="S203" s="152"/>
      <c r="T203" s="152"/>
      <c r="U203" s="152"/>
      <c r="V203" s="152"/>
      <c r="W203" s="152"/>
      <c r="X203" s="152"/>
    </row>
    <row r="204" spans="12:24" x14ac:dyDescent="0.35">
      <c r="L204" s="152"/>
      <c r="M204" s="152"/>
      <c r="N204" s="152"/>
      <c r="O204" s="152"/>
      <c r="P204" s="152"/>
      <c r="Q204" s="152"/>
      <c r="R204" s="152"/>
      <c r="S204" s="152"/>
      <c r="T204" s="152"/>
      <c r="U204" s="152"/>
      <c r="V204" s="152"/>
      <c r="W204" s="152"/>
      <c r="X204" s="152"/>
    </row>
    <row r="205" spans="12:24" x14ac:dyDescent="0.35">
      <c r="L205" s="152"/>
      <c r="M205" s="152"/>
      <c r="N205" s="152"/>
      <c r="O205" s="152"/>
      <c r="P205" s="152"/>
      <c r="Q205" s="152"/>
      <c r="R205" s="152"/>
      <c r="S205" s="152"/>
      <c r="T205" s="152"/>
      <c r="U205" s="152"/>
      <c r="V205" s="152"/>
      <c r="W205" s="152"/>
      <c r="X205" s="152"/>
    </row>
    <row r="206" spans="12:24" x14ac:dyDescent="0.35">
      <c r="L206" s="152"/>
      <c r="M206" s="152"/>
      <c r="N206" s="152"/>
      <c r="O206" s="152"/>
      <c r="P206" s="152"/>
      <c r="Q206" s="152"/>
      <c r="R206" s="152"/>
      <c r="S206" s="152"/>
      <c r="T206" s="152"/>
      <c r="U206" s="152"/>
      <c r="V206" s="152"/>
      <c r="W206" s="152"/>
      <c r="X206" s="152"/>
    </row>
    <row r="207" spans="12:24" x14ac:dyDescent="0.35">
      <c r="L207" s="152"/>
      <c r="M207" s="152"/>
      <c r="N207" s="152"/>
      <c r="O207" s="152"/>
      <c r="P207" s="152"/>
      <c r="Q207" s="152"/>
      <c r="R207" s="152"/>
      <c r="S207" s="152"/>
      <c r="T207" s="152"/>
      <c r="U207" s="152"/>
      <c r="V207" s="152"/>
      <c r="W207" s="152"/>
      <c r="X207" s="152"/>
    </row>
    <row r="208" spans="12:24" x14ac:dyDescent="0.35">
      <c r="L208" s="152"/>
      <c r="M208" s="152"/>
      <c r="N208" s="152"/>
      <c r="O208" s="152"/>
      <c r="P208" s="152"/>
      <c r="Q208" s="152"/>
      <c r="R208" s="152"/>
      <c r="S208" s="152"/>
      <c r="T208" s="152"/>
      <c r="U208" s="152"/>
      <c r="V208" s="152"/>
      <c r="W208" s="152"/>
      <c r="X208" s="152"/>
    </row>
    <row r="209" spans="12:24" x14ac:dyDescent="0.35">
      <c r="L209" s="152"/>
      <c r="M209" s="152"/>
      <c r="N209" s="152"/>
      <c r="O209" s="152"/>
      <c r="P209" s="152"/>
      <c r="Q209" s="152"/>
      <c r="R209" s="152"/>
      <c r="S209" s="152"/>
      <c r="T209" s="152"/>
      <c r="U209" s="152"/>
      <c r="V209" s="152"/>
      <c r="W209" s="152"/>
      <c r="X209" s="152"/>
    </row>
    <row r="210" spans="12:24" x14ac:dyDescent="0.35">
      <c r="L210" s="152"/>
      <c r="M210" s="152"/>
      <c r="N210" s="152"/>
      <c r="O210" s="152"/>
      <c r="P210" s="152"/>
      <c r="Q210" s="152"/>
      <c r="R210" s="152"/>
      <c r="S210" s="152"/>
      <c r="T210" s="152"/>
      <c r="U210" s="152"/>
      <c r="V210" s="152"/>
      <c r="W210" s="152"/>
      <c r="X210" s="152"/>
    </row>
    <row r="211" spans="12:24" x14ac:dyDescent="0.35">
      <c r="L211" s="152"/>
      <c r="M211" s="152"/>
      <c r="N211" s="152"/>
      <c r="O211" s="152"/>
      <c r="P211" s="152"/>
      <c r="Q211" s="152"/>
      <c r="R211" s="152"/>
      <c r="S211" s="152"/>
      <c r="T211" s="152"/>
      <c r="U211" s="152"/>
      <c r="V211" s="152"/>
      <c r="W211" s="152"/>
      <c r="X211" s="152"/>
    </row>
    <row r="212" spans="12:24" x14ac:dyDescent="0.35">
      <c r="L212" s="152"/>
      <c r="M212" s="152"/>
      <c r="N212" s="152"/>
      <c r="O212" s="152"/>
      <c r="P212" s="152"/>
      <c r="Q212" s="152"/>
      <c r="R212" s="152"/>
      <c r="S212" s="152"/>
      <c r="T212" s="152"/>
      <c r="U212" s="152"/>
      <c r="V212" s="152"/>
      <c r="W212" s="152"/>
      <c r="X212" s="152"/>
    </row>
    <row r="213" spans="12:24" x14ac:dyDescent="0.35">
      <c r="L213" s="152"/>
      <c r="M213" s="152"/>
      <c r="N213" s="152"/>
      <c r="O213" s="152"/>
      <c r="P213" s="152"/>
      <c r="Q213" s="152"/>
      <c r="R213" s="152"/>
      <c r="S213" s="152"/>
      <c r="T213" s="152"/>
      <c r="U213" s="152"/>
      <c r="V213" s="152"/>
      <c r="W213" s="152"/>
      <c r="X213" s="152"/>
    </row>
    <row r="214" spans="12:24" x14ac:dyDescent="0.35">
      <c r="L214" s="152"/>
      <c r="M214" s="152"/>
      <c r="N214" s="152"/>
      <c r="O214" s="152"/>
      <c r="P214" s="152"/>
      <c r="Q214" s="152"/>
      <c r="R214" s="152"/>
      <c r="S214" s="152"/>
      <c r="T214" s="152"/>
      <c r="U214" s="152"/>
      <c r="V214" s="152"/>
      <c r="W214" s="152"/>
      <c r="X214" s="152"/>
    </row>
    <row r="215" spans="12:24" x14ac:dyDescent="0.35">
      <c r="L215" s="152"/>
      <c r="M215" s="152"/>
      <c r="N215" s="152"/>
      <c r="O215" s="152"/>
      <c r="P215" s="152"/>
      <c r="Q215" s="152"/>
      <c r="R215" s="152"/>
      <c r="S215" s="152"/>
      <c r="T215" s="152"/>
      <c r="U215" s="152"/>
      <c r="V215" s="152"/>
      <c r="W215" s="152"/>
      <c r="X215" s="152"/>
    </row>
    <row r="216" spans="12:24" x14ac:dyDescent="0.35">
      <c r="L216" s="152"/>
      <c r="M216" s="152"/>
      <c r="N216" s="152"/>
      <c r="O216" s="152"/>
      <c r="P216" s="152"/>
      <c r="Q216" s="152"/>
      <c r="R216" s="152"/>
      <c r="S216" s="152"/>
      <c r="T216" s="152"/>
      <c r="U216" s="152"/>
      <c r="V216" s="152"/>
      <c r="W216" s="152"/>
      <c r="X216" s="152"/>
    </row>
    <row r="217" spans="12:24" x14ac:dyDescent="0.35">
      <c r="L217" s="152"/>
      <c r="M217" s="152"/>
      <c r="N217" s="152"/>
      <c r="O217" s="152"/>
      <c r="P217" s="152"/>
      <c r="Q217" s="152"/>
      <c r="R217" s="152"/>
      <c r="S217" s="152"/>
      <c r="T217" s="152"/>
      <c r="U217" s="152"/>
      <c r="V217" s="152"/>
      <c r="W217" s="152"/>
      <c r="X217" s="152"/>
    </row>
    <row r="218" spans="12:24" x14ac:dyDescent="0.35">
      <c r="L218" s="152"/>
      <c r="M218" s="152"/>
      <c r="N218" s="152"/>
      <c r="O218" s="152"/>
      <c r="P218" s="152"/>
      <c r="Q218" s="152"/>
      <c r="R218" s="152"/>
      <c r="S218" s="152"/>
      <c r="T218" s="152"/>
      <c r="U218" s="152"/>
      <c r="V218" s="152"/>
      <c r="W218" s="152"/>
      <c r="X218" s="152"/>
    </row>
    <row r="219" spans="12:24" x14ac:dyDescent="0.35">
      <c r="L219" s="152"/>
      <c r="M219" s="152"/>
      <c r="N219" s="152"/>
      <c r="O219" s="152"/>
      <c r="P219" s="152"/>
      <c r="Q219" s="152"/>
      <c r="R219" s="152"/>
      <c r="S219" s="152"/>
      <c r="T219" s="152"/>
      <c r="U219" s="152"/>
      <c r="V219" s="152"/>
      <c r="W219" s="152"/>
      <c r="X219" s="152"/>
    </row>
    <row r="220" spans="12:24" x14ac:dyDescent="0.35">
      <c r="L220" s="152"/>
      <c r="M220" s="152"/>
      <c r="N220" s="152"/>
      <c r="O220" s="152"/>
      <c r="P220" s="152"/>
      <c r="Q220" s="152"/>
      <c r="R220" s="152"/>
      <c r="S220" s="152"/>
      <c r="T220" s="152"/>
      <c r="U220" s="152"/>
      <c r="V220" s="152"/>
      <c r="W220" s="152"/>
      <c r="X220" s="152"/>
    </row>
    <row r="221" spans="12:24" x14ac:dyDescent="0.35">
      <c r="L221" s="152"/>
      <c r="M221" s="152"/>
      <c r="N221" s="152"/>
      <c r="O221" s="152"/>
      <c r="P221" s="152"/>
      <c r="Q221" s="152"/>
      <c r="R221" s="152"/>
      <c r="S221" s="152"/>
      <c r="T221" s="152"/>
      <c r="U221" s="152"/>
      <c r="V221" s="152"/>
      <c r="W221" s="152"/>
      <c r="X221" s="152"/>
    </row>
    <row r="222" spans="12:24" x14ac:dyDescent="0.35">
      <c r="L222" s="152"/>
      <c r="M222" s="152"/>
      <c r="N222" s="152"/>
      <c r="O222" s="152"/>
      <c r="P222" s="152"/>
      <c r="Q222" s="152"/>
      <c r="R222" s="152"/>
      <c r="S222" s="152"/>
      <c r="T222" s="152"/>
      <c r="U222" s="152"/>
      <c r="V222" s="152"/>
      <c r="W222" s="152"/>
      <c r="X222" s="152"/>
    </row>
    <row r="223" spans="12:24" x14ac:dyDescent="0.35">
      <c r="L223" s="152"/>
      <c r="M223" s="152"/>
      <c r="N223" s="152"/>
      <c r="O223" s="152"/>
      <c r="P223" s="152"/>
      <c r="Q223" s="152"/>
      <c r="R223" s="152"/>
      <c r="S223" s="152"/>
      <c r="T223" s="152"/>
      <c r="U223" s="152"/>
      <c r="V223" s="152"/>
      <c r="W223" s="152"/>
      <c r="X223" s="152"/>
    </row>
    <row r="224" spans="12:24" x14ac:dyDescent="0.35">
      <c r="L224" s="152"/>
      <c r="M224" s="152"/>
      <c r="N224" s="152"/>
      <c r="O224" s="152"/>
      <c r="P224" s="152"/>
      <c r="Q224" s="152"/>
      <c r="R224" s="152"/>
      <c r="S224" s="152"/>
      <c r="T224" s="152"/>
      <c r="U224" s="152"/>
      <c r="V224" s="152"/>
      <c r="W224" s="152"/>
      <c r="X224" s="152"/>
    </row>
    <row r="225" spans="12:24" x14ac:dyDescent="0.35">
      <c r="L225" s="152"/>
      <c r="M225" s="152"/>
      <c r="N225" s="152"/>
      <c r="O225" s="152"/>
      <c r="P225" s="152"/>
      <c r="Q225" s="152"/>
      <c r="R225" s="152"/>
      <c r="S225" s="152"/>
      <c r="T225" s="152"/>
      <c r="U225" s="152"/>
      <c r="V225" s="152"/>
      <c r="W225" s="152"/>
      <c r="X225" s="152"/>
    </row>
    <row r="226" spans="12:24" x14ac:dyDescent="0.35">
      <c r="L226" s="152"/>
      <c r="M226" s="152"/>
      <c r="N226" s="152"/>
      <c r="O226" s="152"/>
      <c r="P226" s="152"/>
      <c r="Q226" s="152"/>
      <c r="R226" s="152"/>
      <c r="S226" s="152"/>
      <c r="T226" s="152"/>
      <c r="U226" s="152"/>
      <c r="V226" s="152"/>
      <c r="W226" s="152"/>
      <c r="X226" s="152"/>
    </row>
    <row r="227" spans="12:24" x14ac:dyDescent="0.35">
      <c r="L227" s="152"/>
      <c r="M227" s="152"/>
      <c r="N227" s="152"/>
      <c r="O227" s="152"/>
      <c r="P227" s="152"/>
      <c r="Q227" s="152"/>
      <c r="R227" s="152"/>
      <c r="S227" s="152"/>
      <c r="T227" s="152"/>
      <c r="U227" s="152"/>
      <c r="V227" s="152"/>
      <c r="W227" s="152"/>
      <c r="X227" s="152"/>
    </row>
    <row r="228" spans="12:24" x14ac:dyDescent="0.35">
      <c r="L228" s="152"/>
      <c r="M228" s="152"/>
      <c r="N228" s="152"/>
      <c r="O228" s="152"/>
      <c r="P228" s="152"/>
      <c r="Q228" s="152"/>
      <c r="R228" s="152"/>
      <c r="S228" s="152"/>
      <c r="T228" s="152"/>
      <c r="U228" s="152"/>
      <c r="V228" s="152"/>
      <c r="W228" s="152"/>
      <c r="X228" s="152"/>
    </row>
    <row r="229" spans="12:24" x14ac:dyDescent="0.35">
      <c r="L229" s="152"/>
      <c r="M229" s="152"/>
      <c r="N229" s="152"/>
      <c r="O229" s="152"/>
      <c r="P229" s="152"/>
      <c r="Q229" s="152"/>
      <c r="R229" s="152"/>
      <c r="S229" s="152"/>
      <c r="T229" s="152"/>
      <c r="U229" s="152"/>
      <c r="V229" s="152"/>
      <c r="W229" s="152"/>
      <c r="X229" s="152"/>
    </row>
    <row r="230" spans="12:24" x14ac:dyDescent="0.35">
      <c r="L230" s="152"/>
      <c r="M230" s="152"/>
      <c r="N230" s="152"/>
      <c r="O230" s="152"/>
      <c r="P230" s="152"/>
      <c r="Q230" s="152"/>
      <c r="R230" s="152"/>
      <c r="S230" s="152"/>
      <c r="T230" s="152"/>
      <c r="U230" s="152"/>
      <c r="V230" s="152"/>
      <c r="W230" s="152"/>
      <c r="X230" s="152"/>
    </row>
    <row r="231" spans="12:24" x14ac:dyDescent="0.35">
      <c r="L231" s="152"/>
      <c r="M231" s="152"/>
      <c r="N231" s="152"/>
      <c r="O231" s="152"/>
      <c r="P231" s="152"/>
      <c r="Q231" s="152"/>
      <c r="R231" s="152"/>
      <c r="S231" s="152"/>
      <c r="T231" s="152"/>
      <c r="U231" s="152"/>
      <c r="V231" s="152"/>
      <c r="W231" s="152"/>
      <c r="X231" s="152"/>
    </row>
    <row r="232" spans="12:24" x14ac:dyDescent="0.35">
      <c r="L232" s="152"/>
      <c r="M232" s="152"/>
      <c r="N232" s="152"/>
      <c r="O232" s="152"/>
      <c r="P232" s="152"/>
      <c r="Q232" s="152"/>
      <c r="R232" s="152"/>
      <c r="S232" s="152"/>
      <c r="T232" s="152"/>
      <c r="U232" s="152"/>
      <c r="V232" s="152"/>
      <c r="W232" s="152"/>
      <c r="X232" s="152"/>
    </row>
    <row r="233" spans="12:24" x14ac:dyDescent="0.35">
      <c r="L233" s="152"/>
      <c r="M233" s="152"/>
      <c r="N233" s="152"/>
      <c r="O233" s="152"/>
      <c r="P233" s="152"/>
      <c r="Q233" s="152"/>
      <c r="R233" s="152"/>
      <c r="S233" s="152"/>
      <c r="T233" s="152"/>
      <c r="U233" s="152"/>
      <c r="V233" s="152"/>
      <c r="W233" s="152"/>
      <c r="X233" s="152"/>
    </row>
    <row r="234" spans="12:24" x14ac:dyDescent="0.35">
      <c r="L234" s="152"/>
      <c r="M234" s="152"/>
      <c r="N234" s="152"/>
      <c r="O234" s="152"/>
      <c r="P234" s="152"/>
      <c r="Q234" s="152"/>
      <c r="R234" s="152"/>
      <c r="S234" s="152"/>
      <c r="T234" s="152"/>
      <c r="U234" s="152"/>
      <c r="V234" s="152"/>
      <c r="W234" s="152"/>
      <c r="X234" s="152"/>
    </row>
    <row r="235" spans="12:24" x14ac:dyDescent="0.35">
      <c r="L235" s="152"/>
      <c r="M235" s="152"/>
      <c r="N235" s="152"/>
      <c r="O235" s="152"/>
      <c r="P235" s="152"/>
      <c r="Q235" s="152"/>
      <c r="R235" s="152"/>
      <c r="S235" s="152"/>
      <c r="T235" s="152"/>
      <c r="U235" s="152"/>
      <c r="V235" s="152"/>
      <c r="W235" s="152"/>
      <c r="X235" s="152"/>
    </row>
    <row r="236" spans="12:24" x14ac:dyDescent="0.35">
      <c r="L236" s="152"/>
      <c r="M236" s="152"/>
      <c r="N236" s="152"/>
      <c r="O236" s="152"/>
      <c r="P236" s="152"/>
      <c r="Q236" s="152"/>
      <c r="R236" s="152"/>
      <c r="S236" s="152"/>
      <c r="T236" s="152"/>
      <c r="U236" s="152"/>
      <c r="V236" s="152"/>
      <c r="W236" s="152"/>
      <c r="X236" s="152"/>
    </row>
    <row r="237" spans="12:24" x14ac:dyDescent="0.35">
      <c r="L237" s="152"/>
      <c r="M237" s="152"/>
      <c r="N237" s="152"/>
      <c r="O237" s="152"/>
      <c r="P237" s="152"/>
      <c r="Q237" s="152"/>
      <c r="R237" s="152"/>
      <c r="S237" s="152"/>
      <c r="T237" s="152"/>
      <c r="U237" s="152"/>
      <c r="V237" s="152"/>
      <c r="W237" s="152"/>
      <c r="X237" s="152"/>
    </row>
    <row r="238" spans="12:24" x14ac:dyDescent="0.35">
      <c r="L238" s="152"/>
      <c r="M238" s="152"/>
      <c r="N238" s="152"/>
      <c r="O238" s="152"/>
      <c r="P238" s="152"/>
      <c r="Q238" s="152"/>
      <c r="R238" s="152"/>
      <c r="S238" s="152"/>
      <c r="T238" s="152"/>
      <c r="U238" s="152"/>
      <c r="V238" s="152"/>
      <c r="W238" s="152"/>
      <c r="X238" s="152"/>
    </row>
    <row r="239" spans="12:24" x14ac:dyDescent="0.35">
      <c r="L239" s="152"/>
      <c r="M239" s="152"/>
      <c r="N239" s="152"/>
      <c r="O239" s="152"/>
      <c r="P239" s="152"/>
      <c r="Q239" s="152"/>
      <c r="R239" s="152"/>
      <c r="S239" s="152"/>
      <c r="T239" s="152"/>
      <c r="U239" s="152"/>
      <c r="V239" s="152"/>
      <c r="W239" s="152"/>
      <c r="X239" s="152"/>
    </row>
    <row r="240" spans="12:24" x14ac:dyDescent="0.35">
      <c r="L240" s="152"/>
      <c r="M240" s="152"/>
      <c r="N240" s="152"/>
      <c r="O240" s="152"/>
      <c r="P240" s="152"/>
      <c r="Q240" s="152"/>
      <c r="R240" s="152"/>
      <c r="S240" s="152"/>
      <c r="T240" s="152"/>
      <c r="U240" s="152"/>
      <c r="V240" s="152"/>
      <c r="W240" s="152"/>
      <c r="X240" s="152"/>
    </row>
    <row r="241" spans="12:24" x14ac:dyDescent="0.35">
      <c r="L241" s="152"/>
      <c r="M241" s="152"/>
      <c r="N241" s="152"/>
      <c r="O241" s="152"/>
      <c r="P241" s="152"/>
      <c r="Q241" s="152"/>
      <c r="R241" s="152"/>
      <c r="S241" s="152"/>
      <c r="T241" s="152"/>
      <c r="U241" s="152"/>
      <c r="V241" s="152"/>
      <c r="W241" s="152"/>
      <c r="X241" s="152"/>
    </row>
    <row r="242" spans="12:24" x14ac:dyDescent="0.35">
      <c r="L242" s="152"/>
      <c r="M242" s="152"/>
      <c r="N242" s="152"/>
      <c r="O242" s="152"/>
      <c r="P242" s="152"/>
      <c r="Q242" s="152"/>
      <c r="R242" s="152"/>
      <c r="S242" s="152"/>
      <c r="T242" s="152"/>
      <c r="U242" s="152"/>
      <c r="V242" s="152"/>
      <c r="W242" s="152"/>
      <c r="X242" s="152"/>
    </row>
    <row r="243" spans="12:24" x14ac:dyDescent="0.35">
      <c r="L243" s="152"/>
      <c r="M243" s="152"/>
      <c r="N243" s="152"/>
      <c r="O243" s="152"/>
      <c r="P243" s="152"/>
      <c r="Q243" s="152"/>
      <c r="R243" s="152"/>
      <c r="S243" s="152"/>
      <c r="T243" s="152"/>
      <c r="U243" s="152"/>
      <c r="V243" s="152"/>
      <c r="W243" s="152"/>
      <c r="X243" s="152"/>
    </row>
    <row r="244" spans="12:24" x14ac:dyDescent="0.35">
      <c r="L244" s="152"/>
      <c r="M244" s="152"/>
      <c r="N244" s="152"/>
      <c r="O244" s="152"/>
      <c r="P244" s="152"/>
      <c r="Q244" s="152"/>
      <c r="R244" s="152"/>
      <c r="S244" s="152"/>
      <c r="T244" s="152"/>
      <c r="U244" s="152"/>
      <c r="V244" s="152"/>
      <c r="W244" s="152"/>
      <c r="X244" s="152"/>
    </row>
    <row r="245" spans="12:24" x14ac:dyDescent="0.35">
      <c r="L245" s="152"/>
      <c r="M245" s="152"/>
      <c r="N245" s="152"/>
      <c r="O245" s="152"/>
      <c r="P245" s="152"/>
      <c r="Q245" s="152"/>
      <c r="R245" s="152"/>
      <c r="S245" s="152"/>
      <c r="T245" s="152"/>
      <c r="U245" s="152"/>
      <c r="V245" s="152"/>
      <c r="W245" s="152"/>
      <c r="X245" s="152"/>
    </row>
    <row r="246" spans="12:24" x14ac:dyDescent="0.35">
      <c r="L246" s="152"/>
      <c r="M246" s="152"/>
      <c r="N246" s="152"/>
      <c r="O246" s="152"/>
      <c r="P246" s="152"/>
      <c r="Q246" s="152"/>
      <c r="R246" s="152"/>
      <c r="S246" s="152"/>
      <c r="T246" s="152"/>
      <c r="U246" s="152"/>
      <c r="V246" s="152"/>
      <c r="W246" s="152"/>
      <c r="X246" s="152"/>
    </row>
    <row r="247" spans="12:24" x14ac:dyDescent="0.35">
      <c r="L247" s="152"/>
      <c r="M247" s="152"/>
      <c r="N247" s="152"/>
      <c r="O247" s="152"/>
      <c r="P247" s="152"/>
      <c r="Q247" s="152"/>
      <c r="R247" s="152"/>
      <c r="S247" s="152"/>
      <c r="T247" s="152"/>
      <c r="U247" s="152"/>
      <c r="V247" s="152"/>
      <c r="W247" s="152"/>
      <c r="X247" s="152"/>
    </row>
    <row r="248" spans="12:24" x14ac:dyDescent="0.35">
      <c r="L248" s="152"/>
      <c r="M248" s="152"/>
      <c r="N248" s="152"/>
      <c r="O248" s="152"/>
      <c r="P248" s="152"/>
      <c r="Q248" s="152"/>
      <c r="R248" s="152"/>
      <c r="S248" s="152"/>
      <c r="T248" s="152"/>
      <c r="U248" s="152"/>
      <c r="V248" s="152"/>
      <c r="W248" s="152"/>
      <c r="X248" s="152"/>
    </row>
    <row r="249" spans="12:24" x14ac:dyDescent="0.35">
      <c r="L249" s="152"/>
      <c r="M249" s="152"/>
      <c r="N249" s="152"/>
      <c r="O249" s="152"/>
      <c r="P249" s="152"/>
      <c r="Q249" s="152"/>
      <c r="R249" s="152"/>
      <c r="S249" s="152"/>
      <c r="T249" s="152"/>
      <c r="U249" s="152"/>
      <c r="V249" s="152"/>
      <c r="W249" s="152"/>
      <c r="X249" s="152"/>
    </row>
    <row r="250" spans="12:24" x14ac:dyDescent="0.35">
      <c r="L250" s="152"/>
      <c r="M250" s="152"/>
      <c r="N250" s="152"/>
      <c r="O250" s="152"/>
      <c r="P250" s="152"/>
      <c r="Q250" s="152"/>
      <c r="R250" s="152"/>
      <c r="S250" s="152"/>
      <c r="T250" s="152"/>
      <c r="U250" s="152"/>
      <c r="V250" s="152"/>
      <c r="W250" s="152"/>
      <c r="X250" s="152"/>
    </row>
    <row r="251" spans="12:24" x14ac:dyDescent="0.35">
      <c r="L251" s="152"/>
      <c r="M251" s="152"/>
      <c r="N251" s="152"/>
      <c r="O251" s="152"/>
      <c r="P251" s="152"/>
      <c r="Q251" s="152"/>
      <c r="R251" s="152"/>
      <c r="S251" s="152"/>
      <c r="T251" s="152"/>
      <c r="U251" s="152"/>
      <c r="V251" s="152"/>
      <c r="W251" s="152"/>
      <c r="X251" s="152"/>
    </row>
    <row r="252" spans="12:24" x14ac:dyDescent="0.35">
      <c r="L252" s="152"/>
      <c r="M252" s="152"/>
      <c r="N252" s="152"/>
      <c r="O252" s="152"/>
      <c r="P252" s="152"/>
      <c r="Q252" s="152"/>
      <c r="R252" s="152"/>
      <c r="S252" s="152"/>
      <c r="T252" s="152"/>
      <c r="U252" s="152"/>
      <c r="V252" s="152"/>
      <c r="W252" s="152"/>
      <c r="X252" s="152"/>
    </row>
    <row r="253" spans="12:24" x14ac:dyDescent="0.35">
      <c r="L253" s="152"/>
      <c r="M253" s="152"/>
      <c r="N253" s="152"/>
      <c r="O253" s="152"/>
      <c r="P253" s="152"/>
      <c r="Q253" s="152"/>
      <c r="R253" s="152"/>
      <c r="S253" s="152"/>
      <c r="T253" s="152"/>
      <c r="U253" s="152"/>
      <c r="V253" s="152"/>
      <c r="W253" s="152"/>
      <c r="X253" s="152"/>
    </row>
    <row r="254" spans="12:24" x14ac:dyDescent="0.35">
      <c r="L254" s="152"/>
      <c r="M254" s="152"/>
      <c r="N254" s="152"/>
      <c r="O254" s="152"/>
      <c r="P254" s="152"/>
      <c r="Q254" s="152"/>
      <c r="R254" s="152"/>
      <c r="S254" s="152"/>
      <c r="T254" s="152"/>
      <c r="U254" s="152"/>
      <c r="V254" s="152"/>
      <c r="W254" s="152"/>
      <c r="X254" s="152"/>
    </row>
    <row r="255" spans="12:24" x14ac:dyDescent="0.35">
      <c r="L255" s="152"/>
      <c r="M255" s="152"/>
      <c r="N255" s="152"/>
      <c r="O255" s="152"/>
      <c r="P255" s="152"/>
      <c r="Q255" s="152"/>
      <c r="R255" s="152"/>
      <c r="S255" s="152"/>
      <c r="T255" s="152"/>
      <c r="U255" s="152"/>
      <c r="V255" s="152"/>
      <c r="W255" s="152"/>
      <c r="X255" s="152"/>
    </row>
    <row r="256" spans="12:24" x14ac:dyDescent="0.35">
      <c r="L256" s="152"/>
      <c r="M256" s="152"/>
      <c r="N256" s="152"/>
      <c r="O256" s="152"/>
      <c r="P256" s="152"/>
      <c r="Q256" s="152"/>
      <c r="R256" s="152"/>
      <c r="S256" s="152"/>
      <c r="T256" s="152"/>
      <c r="U256" s="152"/>
      <c r="V256" s="152"/>
      <c r="W256" s="152"/>
      <c r="X256" s="152"/>
    </row>
    <row r="257" spans="12:24" x14ac:dyDescent="0.35">
      <c r="L257" s="152"/>
      <c r="M257" s="152"/>
      <c r="N257" s="152"/>
      <c r="O257" s="152"/>
      <c r="P257" s="152"/>
      <c r="Q257" s="152"/>
      <c r="R257" s="152"/>
      <c r="S257" s="152"/>
      <c r="T257" s="152"/>
      <c r="U257" s="152"/>
      <c r="V257" s="152"/>
      <c r="W257" s="152"/>
      <c r="X257" s="152"/>
    </row>
    <row r="258" spans="12:24" x14ac:dyDescent="0.35">
      <c r="L258" s="152"/>
      <c r="M258" s="152"/>
      <c r="N258" s="152"/>
      <c r="O258" s="152"/>
      <c r="P258" s="152"/>
      <c r="Q258" s="152"/>
      <c r="R258" s="152"/>
      <c r="S258" s="152"/>
      <c r="T258" s="152"/>
      <c r="U258" s="152"/>
      <c r="V258" s="152"/>
      <c r="W258" s="152"/>
      <c r="X258" s="152"/>
    </row>
    <row r="259" spans="12:24" x14ac:dyDescent="0.35">
      <c r="L259" s="152"/>
      <c r="M259" s="152"/>
      <c r="N259" s="152"/>
      <c r="O259" s="152"/>
      <c r="P259" s="152"/>
      <c r="Q259" s="152"/>
      <c r="R259" s="152"/>
      <c r="S259" s="152"/>
      <c r="T259" s="152"/>
      <c r="U259" s="152"/>
      <c r="V259" s="152"/>
      <c r="W259" s="152"/>
      <c r="X259" s="152"/>
    </row>
    <row r="260" spans="12:24" x14ac:dyDescent="0.35">
      <c r="L260" s="152"/>
      <c r="M260" s="152"/>
      <c r="N260" s="152"/>
      <c r="O260" s="152"/>
      <c r="P260" s="152"/>
      <c r="Q260" s="152"/>
      <c r="R260" s="152"/>
      <c r="S260" s="152"/>
      <c r="T260" s="152"/>
      <c r="U260" s="152"/>
      <c r="V260" s="152"/>
      <c r="W260" s="152"/>
      <c r="X260" s="152"/>
    </row>
    <row r="261" spans="12:24" x14ac:dyDescent="0.35">
      <c r="L261" s="152"/>
      <c r="M261" s="152"/>
      <c r="N261" s="152"/>
      <c r="O261" s="152"/>
      <c r="P261" s="152"/>
      <c r="Q261" s="152"/>
      <c r="R261" s="152"/>
      <c r="S261" s="152"/>
      <c r="T261" s="152"/>
      <c r="U261" s="152"/>
      <c r="V261" s="152"/>
      <c r="W261" s="152"/>
      <c r="X261" s="152"/>
    </row>
    <row r="262" spans="12:24" x14ac:dyDescent="0.35">
      <c r="L262" s="152"/>
      <c r="M262" s="152"/>
      <c r="N262" s="152"/>
      <c r="O262" s="152"/>
      <c r="P262" s="152"/>
      <c r="Q262" s="152"/>
      <c r="R262" s="152"/>
      <c r="S262" s="152"/>
      <c r="T262" s="152"/>
      <c r="U262" s="152"/>
      <c r="V262" s="152"/>
      <c r="W262" s="152"/>
      <c r="X262" s="152"/>
    </row>
    <row r="263" spans="12:24" x14ac:dyDescent="0.35">
      <c r="L263" s="152"/>
      <c r="M263" s="152"/>
      <c r="N263" s="152"/>
      <c r="O263" s="152"/>
      <c r="P263" s="152"/>
      <c r="Q263" s="152"/>
      <c r="R263" s="152"/>
      <c r="S263" s="152"/>
      <c r="T263" s="152"/>
      <c r="U263" s="152"/>
      <c r="V263" s="152"/>
      <c r="W263" s="152"/>
      <c r="X263" s="152"/>
    </row>
    <row r="264" spans="12:24" x14ac:dyDescent="0.35">
      <c r="L264" s="152"/>
      <c r="M264" s="152"/>
      <c r="N264" s="152"/>
      <c r="O264" s="152"/>
      <c r="P264" s="152"/>
      <c r="Q264" s="152"/>
      <c r="R264" s="152"/>
      <c r="S264" s="152"/>
      <c r="T264" s="152"/>
      <c r="U264" s="152"/>
      <c r="V264" s="152"/>
      <c r="W264" s="152"/>
      <c r="X264" s="152"/>
    </row>
    <row r="265" spans="12:24" x14ac:dyDescent="0.35">
      <c r="L265" s="152"/>
      <c r="M265" s="152"/>
      <c r="N265" s="152"/>
      <c r="O265" s="152"/>
      <c r="P265" s="152"/>
      <c r="Q265" s="152"/>
      <c r="R265" s="152"/>
      <c r="S265" s="152"/>
      <c r="T265" s="152"/>
      <c r="U265" s="152"/>
      <c r="V265" s="152"/>
      <c r="W265" s="152"/>
      <c r="X265" s="152"/>
    </row>
    <row r="266" spans="12:24" x14ac:dyDescent="0.35">
      <c r="L266" s="152"/>
      <c r="M266" s="152"/>
      <c r="N266" s="152"/>
      <c r="O266" s="152"/>
      <c r="P266" s="152"/>
      <c r="Q266" s="152"/>
      <c r="R266" s="152"/>
      <c r="S266" s="152"/>
      <c r="T266" s="152"/>
      <c r="U266" s="152"/>
      <c r="V266" s="152"/>
      <c r="W266" s="152"/>
      <c r="X266" s="152"/>
    </row>
    <row r="267" spans="12:24" x14ac:dyDescent="0.35">
      <c r="L267" s="152"/>
      <c r="M267" s="152"/>
      <c r="N267" s="152"/>
      <c r="O267" s="152"/>
      <c r="P267" s="152"/>
      <c r="Q267" s="152"/>
      <c r="R267" s="152"/>
      <c r="S267" s="152"/>
      <c r="T267" s="152"/>
      <c r="U267" s="152"/>
      <c r="V267" s="152"/>
      <c r="W267" s="152"/>
      <c r="X267" s="152"/>
    </row>
    <row r="268" spans="12:24" x14ac:dyDescent="0.35">
      <c r="L268" s="152"/>
      <c r="M268" s="152"/>
      <c r="N268" s="152"/>
      <c r="O268" s="152"/>
      <c r="P268" s="152"/>
      <c r="Q268" s="152"/>
      <c r="R268" s="152"/>
      <c r="S268" s="152"/>
      <c r="T268" s="152"/>
      <c r="U268" s="152"/>
      <c r="V268" s="152"/>
      <c r="W268" s="152"/>
      <c r="X268" s="152"/>
    </row>
    <row r="269" spans="12:24" x14ac:dyDescent="0.35">
      <c r="L269" s="152"/>
      <c r="M269" s="152"/>
      <c r="N269" s="152"/>
      <c r="O269" s="152"/>
      <c r="P269" s="152"/>
      <c r="Q269" s="152"/>
      <c r="R269" s="152"/>
      <c r="S269" s="152"/>
      <c r="T269" s="152"/>
      <c r="U269" s="152"/>
      <c r="V269" s="152"/>
      <c r="W269" s="152"/>
      <c r="X269" s="152"/>
    </row>
    <row r="270" spans="12:24" x14ac:dyDescent="0.35">
      <c r="L270" s="152"/>
      <c r="M270" s="152"/>
      <c r="N270" s="152"/>
      <c r="O270" s="152"/>
      <c r="P270" s="152"/>
      <c r="Q270" s="152"/>
      <c r="R270" s="152"/>
      <c r="S270" s="152"/>
      <c r="T270" s="152"/>
      <c r="U270" s="152"/>
      <c r="V270" s="152"/>
      <c r="W270" s="152"/>
      <c r="X270" s="152"/>
    </row>
    <row r="271" spans="12:24" x14ac:dyDescent="0.35">
      <c r="L271" s="152"/>
      <c r="M271" s="152"/>
      <c r="N271" s="152"/>
      <c r="O271" s="152"/>
      <c r="P271" s="152"/>
      <c r="Q271" s="152"/>
      <c r="R271" s="152"/>
      <c r="S271" s="152"/>
      <c r="T271" s="152"/>
      <c r="U271" s="152"/>
      <c r="V271" s="152"/>
      <c r="W271" s="152"/>
      <c r="X271" s="152"/>
    </row>
    <row r="272" spans="12:24" x14ac:dyDescent="0.35">
      <c r="L272" s="152"/>
      <c r="M272" s="152"/>
      <c r="N272" s="152"/>
      <c r="O272" s="152"/>
      <c r="P272" s="152"/>
      <c r="Q272" s="152"/>
      <c r="R272" s="152"/>
      <c r="S272" s="152"/>
      <c r="T272" s="152"/>
      <c r="U272" s="152"/>
      <c r="V272" s="152"/>
      <c r="W272" s="152"/>
      <c r="X272" s="152"/>
    </row>
    <row r="273" spans="12:24" x14ac:dyDescent="0.35">
      <c r="L273" s="152"/>
      <c r="M273" s="152"/>
      <c r="N273" s="152"/>
      <c r="O273" s="152"/>
      <c r="P273" s="152"/>
      <c r="Q273" s="152"/>
      <c r="R273" s="152"/>
      <c r="S273" s="152"/>
      <c r="T273" s="152"/>
      <c r="U273" s="152"/>
      <c r="V273" s="152"/>
      <c r="W273" s="152"/>
      <c r="X273" s="152"/>
    </row>
    <row r="274" spans="12:24" x14ac:dyDescent="0.35">
      <c r="L274" s="152"/>
      <c r="M274" s="152"/>
      <c r="N274" s="152"/>
      <c r="O274" s="152"/>
      <c r="P274" s="152"/>
      <c r="Q274" s="152"/>
      <c r="R274" s="152"/>
      <c r="S274" s="152"/>
      <c r="T274" s="152"/>
      <c r="U274" s="152"/>
      <c r="V274" s="152"/>
      <c r="W274" s="152"/>
      <c r="X274" s="152"/>
    </row>
    <row r="275" spans="12:24" x14ac:dyDescent="0.35">
      <c r="L275" s="152"/>
      <c r="M275" s="152"/>
      <c r="N275" s="152"/>
      <c r="O275" s="152"/>
      <c r="P275" s="152"/>
      <c r="Q275" s="152"/>
      <c r="R275" s="152"/>
      <c r="S275" s="152"/>
      <c r="T275" s="152"/>
      <c r="U275" s="152"/>
      <c r="V275" s="152"/>
      <c r="W275" s="152"/>
      <c r="X275" s="152"/>
    </row>
    <row r="276" spans="12:24" x14ac:dyDescent="0.35">
      <c r="L276" s="152"/>
      <c r="M276" s="152"/>
      <c r="N276" s="152"/>
      <c r="O276" s="152"/>
      <c r="P276" s="152"/>
      <c r="Q276" s="152"/>
      <c r="R276" s="152"/>
      <c r="S276" s="152"/>
      <c r="T276" s="152"/>
      <c r="U276" s="152"/>
      <c r="V276" s="152"/>
      <c r="W276" s="152"/>
      <c r="X276" s="152"/>
    </row>
    <row r="277" spans="12:24" x14ac:dyDescent="0.35">
      <c r="L277" s="152"/>
      <c r="M277" s="152"/>
      <c r="N277" s="152"/>
      <c r="O277" s="152"/>
      <c r="P277" s="152"/>
      <c r="Q277" s="152"/>
      <c r="R277" s="152"/>
      <c r="S277" s="152"/>
      <c r="T277" s="152"/>
      <c r="U277" s="152"/>
      <c r="V277" s="152"/>
      <c r="W277" s="152"/>
      <c r="X277" s="152"/>
    </row>
    <row r="278" spans="12:24" x14ac:dyDescent="0.35">
      <c r="L278" s="152"/>
      <c r="M278" s="152"/>
      <c r="N278" s="152"/>
      <c r="O278" s="152"/>
      <c r="P278" s="152"/>
      <c r="Q278" s="152"/>
      <c r="R278" s="152"/>
      <c r="S278" s="152"/>
      <c r="T278" s="152"/>
      <c r="U278" s="152"/>
      <c r="V278" s="152"/>
      <c r="W278" s="152"/>
      <c r="X278" s="152"/>
    </row>
    <row r="279" spans="12:24" x14ac:dyDescent="0.35">
      <c r="L279" s="152"/>
      <c r="M279" s="152"/>
      <c r="N279" s="152"/>
      <c r="O279" s="152"/>
      <c r="P279" s="152"/>
      <c r="Q279" s="152"/>
      <c r="R279" s="152"/>
      <c r="S279" s="152"/>
      <c r="T279" s="152"/>
      <c r="U279" s="152"/>
      <c r="V279" s="152"/>
      <c r="W279" s="152"/>
      <c r="X279" s="152"/>
    </row>
    <row r="280" spans="12:24" x14ac:dyDescent="0.35">
      <c r="L280" s="152"/>
      <c r="M280" s="152"/>
      <c r="N280" s="152"/>
      <c r="O280" s="152"/>
      <c r="P280" s="152"/>
      <c r="Q280" s="152"/>
      <c r="R280" s="152"/>
      <c r="S280" s="152"/>
      <c r="T280" s="152"/>
      <c r="U280" s="152"/>
      <c r="V280" s="152"/>
      <c r="W280" s="152"/>
      <c r="X280" s="152"/>
    </row>
    <row r="281" spans="12:24" x14ac:dyDescent="0.35">
      <c r="L281" s="152"/>
      <c r="M281" s="152"/>
      <c r="N281" s="152"/>
      <c r="O281" s="152"/>
      <c r="P281" s="152"/>
      <c r="Q281" s="152"/>
      <c r="R281" s="152"/>
      <c r="S281" s="152"/>
      <c r="T281" s="152"/>
      <c r="U281" s="152"/>
      <c r="V281" s="152"/>
      <c r="W281" s="152"/>
      <c r="X281" s="152"/>
    </row>
    <row r="282" spans="12:24" x14ac:dyDescent="0.35">
      <c r="L282" s="152"/>
      <c r="M282" s="152"/>
      <c r="N282" s="152"/>
      <c r="O282" s="152"/>
      <c r="P282" s="152"/>
      <c r="Q282" s="152"/>
      <c r="R282" s="152"/>
      <c r="S282" s="152"/>
      <c r="T282" s="152"/>
      <c r="U282" s="152"/>
      <c r="V282" s="152"/>
      <c r="W282" s="152"/>
      <c r="X282" s="152"/>
    </row>
    <row r="283" spans="12:24" x14ac:dyDescent="0.35">
      <c r="L283" s="152"/>
      <c r="M283" s="152"/>
      <c r="N283" s="152"/>
      <c r="O283" s="152"/>
      <c r="P283" s="152"/>
      <c r="Q283" s="152"/>
      <c r="R283" s="152"/>
      <c r="S283" s="152"/>
      <c r="T283" s="152"/>
      <c r="U283" s="152"/>
      <c r="V283" s="152"/>
      <c r="W283" s="152"/>
      <c r="X283" s="152"/>
    </row>
    <row r="284" spans="12:24" x14ac:dyDescent="0.35">
      <c r="L284" s="152"/>
      <c r="M284" s="152"/>
      <c r="N284" s="152"/>
      <c r="O284" s="152"/>
      <c r="P284" s="152"/>
      <c r="Q284" s="152"/>
      <c r="R284" s="152"/>
      <c r="S284" s="152"/>
      <c r="T284" s="152"/>
      <c r="U284" s="152"/>
      <c r="V284" s="152"/>
      <c r="W284" s="152"/>
      <c r="X284" s="152"/>
    </row>
    <row r="285" spans="12:24" x14ac:dyDescent="0.35">
      <c r="L285" s="152"/>
      <c r="M285" s="152"/>
      <c r="N285" s="152"/>
      <c r="O285" s="152"/>
      <c r="P285" s="152"/>
      <c r="Q285" s="152"/>
      <c r="R285" s="152"/>
      <c r="S285" s="152"/>
      <c r="T285" s="152"/>
      <c r="U285" s="152"/>
      <c r="V285" s="152"/>
      <c r="W285" s="152"/>
      <c r="X285" s="152"/>
    </row>
    <row r="286" spans="12:24" x14ac:dyDescent="0.35">
      <c r="L286" s="152"/>
      <c r="M286" s="152"/>
      <c r="N286" s="152"/>
      <c r="O286" s="152"/>
      <c r="P286" s="152"/>
      <c r="Q286" s="152"/>
      <c r="R286" s="152"/>
      <c r="S286" s="152"/>
      <c r="T286" s="152"/>
      <c r="U286" s="152"/>
      <c r="V286" s="152"/>
      <c r="W286" s="152"/>
      <c r="X286" s="152"/>
    </row>
    <row r="287" spans="12:24" x14ac:dyDescent="0.35">
      <c r="L287" s="152"/>
      <c r="M287" s="152"/>
      <c r="N287" s="152"/>
      <c r="O287" s="152"/>
      <c r="P287" s="152"/>
      <c r="Q287" s="152"/>
      <c r="R287" s="152"/>
      <c r="S287" s="152"/>
      <c r="T287" s="152"/>
      <c r="U287" s="152"/>
      <c r="V287" s="152"/>
      <c r="W287" s="152"/>
      <c r="X287" s="152"/>
    </row>
    <row r="288" spans="12:24" x14ac:dyDescent="0.35">
      <c r="L288" s="152"/>
      <c r="M288" s="152"/>
      <c r="N288" s="152"/>
      <c r="O288" s="152"/>
      <c r="P288" s="152"/>
      <c r="Q288" s="152"/>
      <c r="R288" s="152"/>
      <c r="S288" s="152"/>
      <c r="T288" s="152"/>
      <c r="U288" s="152"/>
      <c r="V288" s="152"/>
      <c r="W288" s="152"/>
      <c r="X288" s="152"/>
    </row>
    <row r="289" spans="12:24" x14ac:dyDescent="0.35">
      <c r="L289" s="152"/>
      <c r="M289" s="152"/>
      <c r="N289" s="152"/>
      <c r="O289" s="152"/>
      <c r="P289" s="152"/>
      <c r="Q289" s="152"/>
      <c r="R289" s="152"/>
      <c r="S289" s="152"/>
      <c r="T289" s="152"/>
      <c r="U289" s="152"/>
      <c r="V289" s="152"/>
      <c r="W289" s="152"/>
      <c r="X289" s="152"/>
    </row>
    <row r="290" spans="12:24" x14ac:dyDescent="0.35">
      <c r="L290" s="152"/>
      <c r="M290" s="152"/>
      <c r="N290" s="152"/>
      <c r="O290" s="152"/>
      <c r="P290" s="152"/>
      <c r="Q290" s="152"/>
      <c r="R290" s="152"/>
      <c r="S290" s="152"/>
      <c r="T290" s="152"/>
      <c r="U290" s="152"/>
      <c r="V290" s="152"/>
      <c r="W290" s="152"/>
      <c r="X290" s="152"/>
    </row>
    <row r="291" spans="12:24" x14ac:dyDescent="0.35">
      <c r="L291" s="152"/>
      <c r="M291" s="152"/>
      <c r="N291" s="152"/>
      <c r="O291" s="152"/>
      <c r="P291" s="152"/>
      <c r="Q291" s="152"/>
      <c r="R291" s="152"/>
      <c r="S291" s="152"/>
      <c r="T291" s="152"/>
      <c r="U291" s="152"/>
      <c r="V291" s="152"/>
      <c r="W291" s="152"/>
      <c r="X291" s="152"/>
    </row>
    <row r="292" spans="12:24" x14ac:dyDescent="0.35">
      <c r="L292" s="152"/>
      <c r="M292" s="152"/>
      <c r="N292" s="152"/>
      <c r="O292" s="152"/>
      <c r="P292" s="152"/>
      <c r="Q292" s="152"/>
      <c r="R292" s="152"/>
      <c r="S292" s="152"/>
      <c r="T292" s="152"/>
      <c r="U292" s="152"/>
      <c r="V292" s="152"/>
      <c r="W292" s="152"/>
      <c r="X292" s="152"/>
    </row>
    <row r="293" spans="12:24" x14ac:dyDescent="0.35">
      <c r="L293" s="152"/>
      <c r="M293" s="152"/>
      <c r="N293" s="152"/>
      <c r="O293" s="152"/>
      <c r="P293" s="152"/>
      <c r="Q293" s="152"/>
      <c r="R293" s="152"/>
      <c r="S293" s="152"/>
      <c r="T293" s="152"/>
      <c r="U293" s="152"/>
      <c r="V293" s="152"/>
      <c r="W293" s="152"/>
      <c r="X293" s="152"/>
    </row>
    <row r="294" spans="12:24" x14ac:dyDescent="0.35">
      <c r="L294" s="152"/>
      <c r="M294" s="152"/>
      <c r="N294" s="152"/>
      <c r="O294" s="152"/>
      <c r="P294" s="152"/>
      <c r="Q294" s="152"/>
      <c r="R294" s="152"/>
      <c r="S294" s="152"/>
      <c r="T294" s="152"/>
      <c r="U294" s="152"/>
      <c r="V294" s="152"/>
      <c r="W294" s="152"/>
      <c r="X294" s="152"/>
    </row>
    <row r="295" spans="12:24" x14ac:dyDescent="0.35">
      <c r="L295" s="152"/>
      <c r="M295" s="152"/>
      <c r="N295" s="152"/>
      <c r="O295" s="152"/>
      <c r="P295" s="152"/>
      <c r="Q295" s="152"/>
      <c r="R295" s="152"/>
      <c r="S295" s="152"/>
      <c r="T295" s="152"/>
      <c r="U295" s="152"/>
      <c r="V295" s="152"/>
      <c r="W295" s="152"/>
      <c r="X295" s="152"/>
    </row>
    <row r="296" spans="12:24" x14ac:dyDescent="0.35">
      <c r="L296" s="152"/>
      <c r="M296" s="152"/>
      <c r="N296" s="152"/>
      <c r="O296" s="152"/>
      <c r="P296" s="152"/>
      <c r="Q296" s="152"/>
      <c r="R296" s="152"/>
      <c r="S296" s="152"/>
      <c r="T296" s="152"/>
      <c r="U296" s="152"/>
      <c r="V296" s="152"/>
      <c r="W296" s="152"/>
      <c r="X296" s="152"/>
    </row>
    <row r="297" spans="12:24" x14ac:dyDescent="0.35">
      <c r="L297" s="152"/>
      <c r="M297" s="152"/>
      <c r="N297" s="152"/>
      <c r="O297" s="152"/>
      <c r="P297" s="152"/>
      <c r="Q297" s="152"/>
      <c r="R297" s="152"/>
      <c r="S297" s="152"/>
      <c r="T297" s="152"/>
      <c r="U297" s="152"/>
      <c r="V297" s="152"/>
      <c r="W297" s="152"/>
      <c r="X297" s="152"/>
    </row>
    <row r="298" spans="12:24" x14ac:dyDescent="0.35">
      <c r="L298" s="152"/>
      <c r="M298" s="152"/>
      <c r="N298" s="152"/>
      <c r="O298" s="152"/>
      <c r="P298" s="152"/>
      <c r="Q298" s="152"/>
      <c r="R298" s="152"/>
      <c r="S298" s="152"/>
      <c r="T298" s="152"/>
      <c r="U298" s="152"/>
      <c r="V298" s="152"/>
      <c r="W298" s="152"/>
      <c r="X298" s="152"/>
    </row>
    <row r="299" spans="12:24" x14ac:dyDescent="0.35">
      <c r="L299" s="152"/>
      <c r="M299" s="152"/>
      <c r="N299" s="152"/>
      <c r="O299" s="152"/>
      <c r="P299" s="152"/>
      <c r="Q299" s="152"/>
      <c r="R299" s="152"/>
      <c r="S299" s="152"/>
      <c r="T299" s="152"/>
      <c r="U299" s="152"/>
      <c r="V299" s="152"/>
      <c r="W299" s="152"/>
      <c r="X299" s="152"/>
    </row>
    <row r="300" spans="12:24" x14ac:dyDescent="0.35">
      <c r="L300" s="152"/>
      <c r="M300" s="152"/>
      <c r="N300" s="152"/>
      <c r="O300" s="152"/>
      <c r="P300" s="152"/>
      <c r="Q300" s="152"/>
      <c r="R300" s="152"/>
      <c r="S300" s="152"/>
      <c r="T300" s="152"/>
      <c r="U300" s="152"/>
      <c r="V300" s="152"/>
      <c r="W300" s="152"/>
      <c r="X300" s="152"/>
    </row>
    <row r="301" spans="12:24" x14ac:dyDescent="0.35">
      <c r="L301" s="152"/>
      <c r="M301" s="152"/>
      <c r="N301" s="152"/>
      <c r="O301" s="152"/>
      <c r="P301" s="152"/>
      <c r="Q301" s="152"/>
      <c r="R301" s="152"/>
      <c r="S301" s="152"/>
      <c r="T301" s="152"/>
      <c r="U301" s="152"/>
      <c r="V301" s="152"/>
      <c r="W301" s="152"/>
      <c r="X301" s="152"/>
    </row>
    <row r="302" spans="12:24" x14ac:dyDescent="0.35">
      <c r="L302" s="152"/>
      <c r="M302" s="152"/>
      <c r="N302" s="152"/>
      <c r="O302" s="152"/>
      <c r="P302" s="152"/>
      <c r="Q302" s="152"/>
      <c r="R302" s="152"/>
      <c r="S302" s="152"/>
      <c r="T302" s="152"/>
      <c r="U302" s="152"/>
      <c r="V302" s="152"/>
      <c r="W302" s="152"/>
      <c r="X302" s="152"/>
    </row>
    <row r="303" spans="12:24" x14ac:dyDescent="0.35">
      <c r="L303" s="152"/>
      <c r="M303" s="152"/>
      <c r="N303" s="152"/>
      <c r="O303" s="152"/>
      <c r="P303" s="152"/>
      <c r="Q303" s="152"/>
      <c r="R303" s="152"/>
      <c r="S303" s="152"/>
      <c r="T303" s="152"/>
      <c r="U303" s="152"/>
      <c r="V303" s="152"/>
      <c r="W303" s="152"/>
      <c r="X303" s="152"/>
    </row>
    <row r="304" spans="12:24" x14ac:dyDescent="0.35">
      <c r="L304" s="152"/>
      <c r="M304" s="152"/>
      <c r="N304" s="152"/>
      <c r="O304" s="152"/>
      <c r="P304" s="152"/>
      <c r="Q304" s="152"/>
      <c r="R304" s="152"/>
      <c r="S304" s="152"/>
      <c r="T304" s="152"/>
      <c r="U304" s="152"/>
      <c r="V304" s="152"/>
      <c r="W304" s="152"/>
      <c r="X304" s="152"/>
    </row>
    <row r="305" spans="12:24" x14ac:dyDescent="0.35">
      <c r="L305" s="152"/>
      <c r="M305" s="152"/>
      <c r="N305" s="152"/>
      <c r="O305" s="152"/>
      <c r="P305" s="152"/>
      <c r="Q305" s="152"/>
      <c r="R305" s="152"/>
      <c r="S305" s="152"/>
      <c r="T305" s="152"/>
      <c r="U305" s="152"/>
      <c r="V305" s="152"/>
      <c r="W305" s="152"/>
      <c r="X305" s="152"/>
    </row>
    <row r="306" spans="12:24" x14ac:dyDescent="0.35">
      <c r="L306" s="152"/>
      <c r="M306" s="152"/>
      <c r="N306" s="152"/>
      <c r="O306" s="152"/>
      <c r="P306" s="152"/>
      <c r="Q306" s="152"/>
      <c r="R306" s="152"/>
      <c r="S306" s="152"/>
      <c r="T306" s="152"/>
      <c r="U306" s="152"/>
      <c r="V306" s="152"/>
      <c r="W306" s="152"/>
      <c r="X306" s="152"/>
    </row>
    <row r="307" spans="12:24" x14ac:dyDescent="0.35">
      <c r="L307" s="152"/>
      <c r="M307" s="152"/>
      <c r="N307" s="152"/>
      <c r="O307" s="152"/>
      <c r="P307" s="152"/>
      <c r="Q307" s="152"/>
      <c r="R307" s="152"/>
      <c r="S307" s="152"/>
      <c r="T307" s="152"/>
      <c r="U307" s="152"/>
      <c r="V307" s="152"/>
      <c r="W307" s="152"/>
      <c r="X307" s="152"/>
    </row>
    <row r="308" spans="12:24" x14ac:dyDescent="0.35">
      <c r="L308" s="152"/>
      <c r="M308" s="152"/>
      <c r="N308" s="152"/>
      <c r="O308" s="152"/>
      <c r="P308" s="152"/>
      <c r="Q308" s="152"/>
      <c r="R308" s="152"/>
      <c r="S308" s="152"/>
      <c r="T308" s="152"/>
      <c r="U308" s="152"/>
      <c r="V308" s="152"/>
      <c r="W308" s="152"/>
      <c r="X308" s="152"/>
    </row>
    <row r="309" spans="12:24" x14ac:dyDescent="0.35">
      <c r="L309" s="152"/>
      <c r="M309" s="152"/>
      <c r="N309" s="152"/>
      <c r="O309" s="152"/>
      <c r="P309" s="152"/>
      <c r="Q309" s="152"/>
      <c r="R309" s="152"/>
      <c r="S309" s="152"/>
      <c r="T309" s="152"/>
      <c r="U309" s="152"/>
      <c r="V309" s="152"/>
      <c r="W309" s="152"/>
      <c r="X309" s="152"/>
    </row>
    <row r="310" spans="12:24" x14ac:dyDescent="0.35">
      <c r="L310" s="152"/>
      <c r="M310" s="152"/>
      <c r="N310" s="152"/>
      <c r="O310" s="152"/>
      <c r="P310" s="152"/>
      <c r="Q310" s="152"/>
      <c r="R310" s="152"/>
      <c r="S310" s="152"/>
      <c r="T310" s="152"/>
      <c r="U310" s="152"/>
      <c r="V310" s="152"/>
      <c r="W310" s="152"/>
      <c r="X310" s="152"/>
    </row>
    <row r="311" spans="12:24" x14ac:dyDescent="0.35">
      <c r="L311" s="152"/>
      <c r="M311" s="152"/>
      <c r="N311" s="152"/>
      <c r="O311" s="152"/>
      <c r="P311" s="152"/>
      <c r="Q311" s="152"/>
      <c r="R311" s="152"/>
      <c r="S311" s="152"/>
      <c r="T311" s="152"/>
      <c r="U311" s="152"/>
      <c r="V311" s="152"/>
      <c r="W311" s="152"/>
      <c r="X311" s="152"/>
    </row>
    <row r="312" spans="12:24" x14ac:dyDescent="0.35">
      <c r="L312" s="152"/>
      <c r="M312" s="152"/>
      <c r="N312" s="152"/>
      <c r="O312" s="152"/>
      <c r="P312" s="152"/>
      <c r="Q312" s="152"/>
      <c r="R312" s="152"/>
      <c r="S312" s="152"/>
      <c r="T312" s="152"/>
      <c r="U312" s="152"/>
      <c r="V312" s="152"/>
      <c r="W312" s="152"/>
      <c r="X312" s="152"/>
    </row>
    <row r="313" spans="12:24" x14ac:dyDescent="0.35">
      <c r="L313" s="152"/>
      <c r="M313" s="152"/>
      <c r="N313" s="152"/>
      <c r="O313" s="152"/>
      <c r="P313" s="152"/>
      <c r="Q313" s="152"/>
      <c r="R313" s="152"/>
      <c r="S313" s="152"/>
      <c r="T313" s="152"/>
      <c r="U313" s="152"/>
      <c r="V313" s="152"/>
      <c r="W313" s="152"/>
      <c r="X313" s="152"/>
    </row>
    <row r="314" spans="12:24" x14ac:dyDescent="0.35">
      <c r="L314" s="152"/>
      <c r="M314" s="152"/>
      <c r="N314" s="152"/>
      <c r="O314" s="152"/>
      <c r="P314" s="152"/>
      <c r="Q314" s="152"/>
      <c r="R314" s="152"/>
      <c r="S314" s="152"/>
      <c r="T314" s="152"/>
      <c r="U314" s="152"/>
      <c r="V314" s="152"/>
      <c r="W314" s="152"/>
      <c r="X314" s="152"/>
    </row>
    <row r="315" spans="12:24" x14ac:dyDescent="0.35">
      <c r="L315" s="152"/>
      <c r="M315" s="152"/>
      <c r="N315" s="152"/>
      <c r="O315" s="152"/>
      <c r="P315" s="152"/>
      <c r="Q315" s="152"/>
      <c r="R315" s="152"/>
      <c r="S315" s="152"/>
      <c r="T315" s="152"/>
      <c r="U315" s="152"/>
      <c r="V315" s="152"/>
      <c r="W315" s="152"/>
      <c r="X315" s="152"/>
    </row>
    <row r="316" spans="12:24" x14ac:dyDescent="0.35">
      <c r="L316" s="152"/>
      <c r="M316" s="152"/>
      <c r="N316" s="152"/>
      <c r="O316" s="152"/>
      <c r="P316" s="152"/>
      <c r="Q316" s="152"/>
      <c r="R316" s="152"/>
      <c r="S316" s="152"/>
      <c r="T316" s="152"/>
      <c r="U316" s="152"/>
      <c r="V316" s="152"/>
      <c r="W316" s="152"/>
      <c r="X316" s="152"/>
    </row>
    <row r="317" spans="12:24" x14ac:dyDescent="0.35">
      <c r="L317" s="152"/>
      <c r="M317" s="152"/>
      <c r="N317" s="152"/>
      <c r="O317" s="152"/>
      <c r="P317" s="152"/>
      <c r="Q317" s="152"/>
      <c r="R317" s="152"/>
      <c r="S317" s="152"/>
      <c r="T317" s="152"/>
      <c r="U317" s="152"/>
      <c r="V317" s="152"/>
      <c r="W317" s="152"/>
      <c r="X317" s="152"/>
    </row>
    <row r="318" spans="12:24" x14ac:dyDescent="0.35">
      <c r="L318" s="152"/>
      <c r="M318" s="152"/>
      <c r="N318" s="152"/>
      <c r="O318" s="152"/>
      <c r="P318" s="152"/>
      <c r="Q318" s="152"/>
      <c r="R318" s="152"/>
      <c r="S318" s="152"/>
      <c r="T318" s="152"/>
      <c r="U318" s="152"/>
      <c r="V318" s="152"/>
      <c r="W318" s="152"/>
      <c r="X318" s="152"/>
    </row>
    <row r="319" spans="12:24" x14ac:dyDescent="0.35">
      <c r="L319" s="152"/>
      <c r="M319" s="152"/>
      <c r="N319" s="152"/>
      <c r="O319" s="152"/>
      <c r="P319" s="152"/>
      <c r="Q319" s="152"/>
      <c r="R319" s="152"/>
      <c r="S319" s="152"/>
      <c r="T319" s="152"/>
      <c r="U319" s="152"/>
      <c r="V319" s="152"/>
      <c r="W319" s="152"/>
      <c r="X319" s="152"/>
    </row>
    <row r="320" spans="12:24" x14ac:dyDescent="0.35">
      <c r="L320" s="152"/>
      <c r="M320" s="152"/>
      <c r="N320" s="152"/>
      <c r="O320" s="152"/>
      <c r="P320" s="152"/>
      <c r="Q320" s="152"/>
      <c r="R320" s="152"/>
      <c r="S320" s="152"/>
      <c r="T320" s="152"/>
      <c r="U320" s="152"/>
      <c r="V320" s="152"/>
      <c r="W320" s="152"/>
      <c r="X320" s="152"/>
    </row>
    <row r="321" spans="12:24" x14ac:dyDescent="0.35">
      <c r="L321" s="152"/>
      <c r="M321" s="152"/>
      <c r="N321" s="152"/>
      <c r="O321" s="152"/>
      <c r="P321" s="152"/>
      <c r="Q321" s="152"/>
      <c r="R321" s="152"/>
      <c r="S321" s="152"/>
      <c r="T321" s="152"/>
      <c r="U321" s="152"/>
      <c r="V321" s="152"/>
      <c r="W321" s="152"/>
      <c r="X321" s="152"/>
    </row>
    <row r="322" spans="12:24" x14ac:dyDescent="0.35">
      <c r="L322" s="152"/>
      <c r="M322" s="152"/>
      <c r="N322" s="152"/>
      <c r="O322" s="152"/>
      <c r="P322" s="152"/>
      <c r="Q322" s="152"/>
      <c r="R322" s="152"/>
      <c r="S322" s="152"/>
      <c r="T322" s="152"/>
      <c r="U322" s="152"/>
      <c r="V322" s="152"/>
      <c r="W322" s="152"/>
      <c r="X322" s="152"/>
    </row>
    <row r="323" spans="12:24" x14ac:dyDescent="0.35">
      <c r="L323" s="152"/>
      <c r="M323" s="152"/>
      <c r="N323" s="152"/>
      <c r="O323" s="152"/>
      <c r="P323" s="152"/>
      <c r="Q323" s="152"/>
      <c r="R323" s="152"/>
      <c r="S323" s="152"/>
      <c r="T323" s="152"/>
      <c r="U323" s="152"/>
      <c r="V323" s="152"/>
      <c r="W323" s="152"/>
      <c r="X323" s="152"/>
    </row>
    <row r="324" spans="12:24" x14ac:dyDescent="0.35">
      <c r="L324" s="152"/>
      <c r="M324" s="152"/>
      <c r="N324" s="152"/>
      <c r="O324" s="152"/>
      <c r="P324" s="152"/>
      <c r="Q324" s="152"/>
      <c r="R324" s="152"/>
      <c r="S324" s="152"/>
      <c r="T324" s="152"/>
      <c r="U324" s="152"/>
      <c r="V324" s="152"/>
      <c r="W324" s="152"/>
      <c r="X324" s="152"/>
    </row>
    <row r="325" spans="12:24" x14ac:dyDescent="0.35">
      <c r="L325" s="152"/>
      <c r="M325" s="152"/>
      <c r="N325" s="152"/>
      <c r="O325" s="152"/>
      <c r="P325" s="152"/>
      <c r="Q325" s="152"/>
      <c r="R325" s="152"/>
      <c r="S325" s="152"/>
      <c r="T325" s="152"/>
      <c r="U325" s="152"/>
      <c r="V325" s="152"/>
      <c r="W325" s="152"/>
      <c r="X325" s="152"/>
    </row>
    <row r="326" spans="12:24" x14ac:dyDescent="0.35">
      <c r="L326" s="152"/>
      <c r="M326" s="152"/>
      <c r="N326" s="152"/>
      <c r="O326" s="152"/>
      <c r="P326" s="152"/>
      <c r="Q326" s="152"/>
      <c r="R326" s="152"/>
      <c r="S326" s="152"/>
      <c r="T326" s="152"/>
      <c r="U326" s="152"/>
      <c r="V326" s="152"/>
      <c r="W326" s="152"/>
      <c r="X326" s="152"/>
    </row>
    <row r="327" spans="12:24" x14ac:dyDescent="0.35">
      <c r="L327" s="152"/>
      <c r="M327" s="152"/>
      <c r="N327" s="152"/>
      <c r="O327" s="152"/>
      <c r="P327" s="152"/>
      <c r="Q327" s="152"/>
      <c r="R327" s="152"/>
      <c r="S327" s="152"/>
      <c r="T327" s="152"/>
      <c r="U327" s="152"/>
      <c r="V327" s="152"/>
      <c r="W327" s="152"/>
      <c r="X327" s="152"/>
    </row>
    <row r="328" spans="12:24" x14ac:dyDescent="0.35">
      <c r="L328" s="152"/>
      <c r="M328" s="152"/>
      <c r="N328" s="152"/>
      <c r="O328" s="152"/>
      <c r="P328" s="152"/>
      <c r="Q328" s="152"/>
      <c r="R328" s="152"/>
      <c r="S328" s="152"/>
      <c r="T328" s="152"/>
      <c r="U328" s="152"/>
      <c r="V328" s="152"/>
      <c r="W328" s="152"/>
      <c r="X328" s="152"/>
    </row>
    <row r="329" spans="12:24" x14ac:dyDescent="0.35">
      <c r="L329" s="152"/>
      <c r="M329" s="152"/>
      <c r="N329" s="152"/>
      <c r="O329" s="152"/>
      <c r="P329" s="152"/>
      <c r="Q329" s="152"/>
      <c r="R329" s="152"/>
      <c r="S329" s="152"/>
      <c r="T329" s="152"/>
      <c r="U329" s="152"/>
      <c r="V329" s="152"/>
      <c r="W329" s="152"/>
      <c r="X329" s="152"/>
    </row>
    <row r="330" spans="12:24" x14ac:dyDescent="0.35">
      <c r="L330" s="152"/>
      <c r="M330" s="152"/>
      <c r="N330" s="152"/>
      <c r="O330" s="152"/>
      <c r="P330" s="152"/>
      <c r="Q330" s="152"/>
      <c r="R330" s="152"/>
      <c r="S330" s="152"/>
      <c r="T330" s="152"/>
      <c r="U330" s="152"/>
      <c r="V330" s="152"/>
      <c r="W330" s="152"/>
      <c r="X330" s="152"/>
    </row>
    <row r="331" spans="12:24" x14ac:dyDescent="0.35">
      <c r="L331" s="152"/>
      <c r="M331" s="152"/>
      <c r="N331" s="152"/>
      <c r="O331" s="152"/>
      <c r="P331" s="152"/>
      <c r="Q331" s="152"/>
      <c r="R331" s="152"/>
      <c r="S331" s="152"/>
      <c r="T331" s="152"/>
      <c r="U331" s="152"/>
      <c r="V331" s="152"/>
      <c r="W331" s="152"/>
      <c r="X331" s="152"/>
    </row>
    <row r="332" spans="12:24" x14ac:dyDescent="0.35">
      <c r="L332" s="152"/>
      <c r="M332" s="152"/>
      <c r="N332" s="152"/>
      <c r="O332" s="152"/>
      <c r="P332" s="152"/>
      <c r="Q332" s="152"/>
      <c r="R332" s="152"/>
      <c r="S332" s="152"/>
      <c r="T332" s="152"/>
      <c r="U332" s="152"/>
      <c r="V332" s="152"/>
      <c r="W332" s="152"/>
      <c r="X332" s="152"/>
    </row>
    <row r="333" spans="12:24" x14ac:dyDescent="0.35">
      <c r="L333" s="152"/>
      <c r="M333" s="152"/>
      <c r="N333" s="152"/>
      <c r="O333" s="152"/>
      <c r="P333" s="152"/>
      <c r="Q333" s="152"/>
      <c r="R333" s="152"/>
      <c r="S333" s="152"/>
      <c r="T333" s="152"/>
      <c r="U333" s="152"/>
      <c r="V333" s="152"/>
      <c r="W333" s="152"/>
      <c r="X333" s="152"/>
    </row>
    <row r="334" spans="12:24" x14ac:dyDescent="0.35">
      <c r="L334" s="152"/>
      <c r="M334" s="152"/>
      <c r="N334" s="152"/>
      <c r="O334" s="152"/>
      <c r="P334" s="152"/>
      <c r="Q334" s="152"/>
      <c r="R334" s="152"/>
      <c r="S334" s="152"/>
      <c r="T334" s="152"/>
      <c r="U334" s="152"/>
      <c r="V334" s="152"/>
      <c r="W334" s="152"/>
      <c r="X334" s="152"/>
    </row>
    <row r="335" spans="12:24" x14ac:dyDescent="0.35">
      <c r="L335" s="152"/>
      <c r="M335" s="152"/>
      <c r="N335" s="152"/>
      <c r="O335" s="152"/>
      <c r="P335" s="152"/>
      <c r="Q335" s="152"/>
      <c r="R335" s="152"/>
      <c r="S335" s="152"/>
      <c r="T335" s="152"/>
      <c r="U335" s="152"/>
      <c r="V335" s="152"/>
      <c r="W335" s="152"/>
      <c r="X335" s="152"/>
    </row>
    <row r="336" spans="12:24" x14ac:dyDescent="0.35">
      <c r="L336" s="152"/>
      <c r="M336" s="152"/>
      <c r="N336" s="152"/>
      <c r="O336" s="152"/>
      <c r="P336" s="152"/>
      <c r="Q336" s="152"/>
      <c r="R336" s="152"/>
      <c r="S336" s="152"/>
      <c r="T336" s="152"/>
      <c r="U336" s="152"/>
      <c r="V336" s="152"/>
      <c r="W336" s="152"/>
      <c r="X336" s="152"/>
    </row>
    <row r="337" spans="12:24" x14ac:dyDescent="0.35">
      <c r="L337" s="152"/>
      <c r="M337" s="152"/>
      <c r="N337" s="152"/>
      <c r="O337" s="152"/>
      <c r="P337" s="152"/>
      <c r="Q337" s="152"/>
      <c r="R337" s="152"/>
      <c r="S337" s="152"/>
      <c r="T337" s="152"/>
      <c r="U337" s="152"/>
      <c r="V337" s="152"/>
      <c r="W337" s="152"/>
      <c r="X337" s="152"/>
    </row>
    <row r="338" spans="12:24" x14ac:dyDescent="0.35">
      <c r="L338" s="152"/>
      <c r="M338" s="152"/>
      <c r="N338" s="152"/>
      <c r="O338" s="152"/>
      <c r="P338" s="152"/>
      <c r="Q338" s="152"/>
      <c r="R338" s="152"/>
      <c r="S338" s="152"/>
      <c r="T338" s="152"/>
      <c r="U338" s="152"/>
      <c r="V338" s="152"/>
      <c r="W338" s="152"/>
      <c r="X338" s="152"/>
    </row>
    <row r="339" spans="12:24" x14ac:dyDescent="0.35">
      <c r="L339" s="152"/>
      <c r="M339" s="152"/>
      <c r="N339" s="152"/>
      <c r="O339" s="152"/>
      <c r="P339" s="152"/>
      <c r="Q339" s="152"/>
      <c r="R339" s="152"/>
      <c r="S339" s="152"/>
      <c r="T339" s="152"/>
      <c r="U339" s="152"/>
      <c r="V339" s="152"/>
      <c r="W339" s="152"/>
      <c r="X339" s="152"/>
    </row>
    <row r="340" spans="12:24" x14ac:dyDescent="0.35">
      <c r="L340" s="152"/>
      <c r="M340" s="152"/>
      <c r="N340" s="152"/>
      <c r="O340" s="152"/>
      <c r="P340" s="152"/>
      <c r="Q340" s="152"/>
      <c r="R340" s="152"/>
      <c r="S340" s="152"/>
      <c r="T340" s="152"/>
      <c r="U340" s="152"/>
      <c r="V340" s="152"/>
      <c r="W340" s="152"/>
      <c r="X340" s="152"/>
    </row>
    <row r="341" spans="12:24" x14ac:dyDescent="0.35">
      <c r="L341" s="152"/>
      <c r="M341" s="152"/>
      <c r="N341" s="152"/>
      <c r="O341" s="152"/>
      <c r="P341" s="152"/>
      <c r="Q341" s="152"/>
      <c r="R341" s="152"/>
      <c r="S341" s="152"/>
      <c r="T341" s="152"/>
      <c r="U341" s="152"/>
      <c r="V341" s="152"/>
      <c r="W341" s="152"/>
      <c r="X341" s="152"/>
    </row>
    <row r="342" spans="12:24" x14ac:dyDescent="0.35">
      <c r="L342" s="152"/>
      <c r="M342" s="152"/>
      <c r="N342" s="152"/>
      <c r="O342" s="152"/>
      <c r="P342" s="152"/>
      <c r="Q342" s="152"/>
      <c r="R342" s="152"/>
      <c r="S342" s="152"/>
      <c r="T342" s="152"/>
      <c r="U342" s="152"/>
      <c r="V342" s="152"/>
      <c r="W342" s="152"/>
      <c r="X342" s="152"/>
    </row>
    <row r="343" spans="12:24" x14ac:dyDescent="0.35">
      <c r="L343" s="152"/>
      <c r="M343" s="152"/>
      <c r="N343" s="152"/>
      <c r="O343" s="152"/>
      <c r="P343" s="152"/>
      <c r="Q343" s="152"/>
      <c r="R343" s="152"/>
      <c r="S343" s="152"/>
      <c r="T343" s="152"/>
      <c r="U343" s="152"/>
      <c r="V343" s="152"/>
      <c r="W343" s="152"/>
      <c r="X343" s="152"/>
    </row>
    <row r="344" spans="12:24" x14ac:dyDescent="0.35">
      <c r="L344" s="152"/>
      <c r="M344" s="152"/>
      <c r="N344" s="152"/>
      <c r="O344" s="152"/>
      <c r="P344" s="152"/>
      <c r="Q344" s="152"/>
      <c r="R344" s="152"/>
      <c r="S344" s="152"/>
      <c r="T344" s="152"/>
      <c r="U344" s="152"/>
      <c r="V344" s="152"/>
      <c r="W344" s="152"/>
      <c r="X344" s="152"/>
    </row>
    <row r="345" spans="12:24" x14ac:dyDescent="0.35">
      <c r="L345" s="152"/>
      <c r="M345" s="152"/>
      <c r="N345" s="152"/>
      <c r="O345" s="152"/>
      <c r="P345" s="152"/>
      <c r="Q345" s="152"/>
      <c r="R345" s="152"/>
      <c r="S345" s="152"/>
      <c r="T345" s="152"/>
      <c r="U345" s="152"/>
      <c r="V345" s="152"/>
      <c r="W345" s="152"/>
      <c r="X345" s="152"/>
    </row>
    <row r="346" spans="12:24" x14ac:dyDescent="0.35">
      <c r="L346" s="152"/>
      <c r="M346" s="152"/>
      <c r="N346" s="152"/>
      <c r="O346" s="152"/>
      <c r="P346" s="152"/>
      <c r="Q346" s="152"/>
      <c r="R346" s="152"/>
      <c r="S346" s="152"/>
      <c r="T346" s="152"/>
      <c r="U346" s="152"/>
      <c r="V346" s="152"/>
      <c r="W346" s="152"/>
      <c r="X346" s="152"/>
    </row>
    <row r="347" spans="12:24" x14ac:dyDescent="0.35">
      <c r="L347" s="152"/>
      <c r="M347" s="152"/>
      <c r="N347" s="152"/>
      <c r="O347" s="152"/>
      <c r="P347" s="152"/>
      <c r="Q347" s="152"/>
      <c r="R347" s="152"/>
      <c r="S347" s="152"/>
      <c r="T347" s="152"/>
      <c r="U347" s="152"/>
      <c r="V347" s="152"/>
      <c r="W347" s="152"/>
      <c r="X347" s="152"/>
    </row>
    <row r="348" spans="12:24" x14ac:dyDescent="0.35">
      <c r="L348" s="152"/>
      <c r="M348" s="152"/>
      <c r="N348" s="152"/>
      <c r="O348" s="152"/>
      <c r="P348" s="152"/>
      <c r="Q348" s="152"/>
      <c r="R348" s="152"/>
      <c r="S348" s="152"/>
      <c r="T348" s="152"/>
      <c r="U348" s="152"/>
      <c r="V348" s="152"/>
      <c r="W348" s="152"/>
      <c r="X348" s="152"/>
    </row>
    <row r="349" spans="12:24" x14ac:dyDescent="0.35">
      <c r="L349" s="152"/>
      <c r="M349" s="152"/>
      <c r="N349" s="152"/>
      <c r="O349" s="152"/>
      <c r="P349" s="152"/>
      <c r="Q349" s="152"/>
      <c r="R349" s="152"/>
      <c r="S349" s="152"/>
      <c r="T349" s="152"/>
      <c r="U349" s="152"/>
      <c r="V349" s="152"/>
      <c r="W349" s="152"/>
      <c r="X349" s="152"/>
    </row>
    <row r="350" spans="12:24" x14ac:dyDescent="0.35">
      <c r="L350" s="152"/>
      <c r="M350" s="152"/>
      <c r="N350" s="152"/>
      <c r="O350" s="152"/>
      <c r="P350" s="152"/>
      <c r="Q350" s="152"/>
      <c r="R350" s="152"/>
      <c r="S350" s="152"/>
      <c r="T350" s="152"/>
      <c r="U350" s="152"/>
      <c r="V350" s="152"/>
      <c r="W350" s="152"/>
      <c r="X350" s="152"/>
    </row>
    <row r="351" spans="12:24" x14ac:dyDescent="0.35">
      <c r="L351" s="152"/>
      <c r="M351" s="152"/>
      <c r="N351" s="152"/>
      <c r="O351" s="152"/>
      <c r="P351" s="152"/>
      <c r="Q351" s="152"/>
      <c r="R351" s="152"/>
      <c r="S351" s="152"/>
      <c r="T351" s="152"/>
      <c r="U351" s="152"/>
      <c r="V351" s="152"/>
      <c r="W351" s="152"/>
      <c r="X351" s="152"/>
    </row>
    <row r="352" spans="12:24" x14ac:dyDescent="0.35">
      <c r="L352" s="152"/>
      <c r="M352" s="152"/>
      <c r="N352" s="152"/>
      <c r="O352" s="152"/>
      <c r="P352" s="152"/>
      <c r="Q352" s="152"/>
      <c r="R352" s="152"/>
      <c r="S352" s="152"/>
      <c r="T352" s="152"/>
      <c r="U352" s="152"/>
      <c r="V352" s="152"/>
      <c r="W352" s="152"/>
      <c r="X352" s="152"/>
    </row>
    <row r="353" spans="4:24" x14ac:dyDescent="0.35">
      <c r="L353" s="152"/>
      <c r="M353" s="152"/>
      <c r="N353" s="152"/>
      <c r="O353" s="152"/>
      <c r="P353" s="152"/>
      <c r="Q353" s="152"/>
      <c r="R353" s="152"/>
      <c r="S353" s="152"/>
      <c r="T353" s="152"/>
      <c r="U353" s="152"/>
      <c r="V353" s="152"/>
      <c r="W353" s="152"/>
      <c r="X353" s="152"/>
    </row>
    <row r="354" spans="4:24" x14ac:dyDescent="0.35">
      <c r="L354" s="152"/>
      <c r="M354" s="152"/>
      <c r="N354" s="152"/>
      <c r="O354" s="152"/>
      <c r="P354" s="152"/>
      <c r="Q354" s="152"/>
      <c r="R354" s="152"/>
      <c r="S354" s="152"/>
      <c r="T354" s="152"/>
      <c r="U354" s="152"/>
      <c r="V354" s="152"/>
      <c r="W354" s="152"/>
      <c r="X354" s="152"/>
    </row>
    <row r="355" spans="4:24" x14ac:dyDescent="0.35">
      <c r="L355" s="152"/>
      <c r="M355" s="152"/>
      <c r="N355" s="152"/>
      <c r="O355" s="152"/>
      <c r="P355" s="152"/>
      <c r="Q355" s="152"/>
      <c r="R355" s="152"/>
      <c r="S355" s="152"/>
      <c r="T355" s="152"/>
      <c r="U355" s="152"/>
      <c r="V355" s="152"/>
      <c r="W355" s="152"/>
      <c r="X355" s="152"/>
    </row>
    <row r="356" spans="4:24" x14ac:dyDescent="0.35">
      <c r="L356" s="152"/>
      <c r="M356" s="152"/>
      <c r="N356" s="152"/>
      <c r="O356" s="152"/>
      <c r="P356" s="152"/>
      <c r="Q356" s="152"/>
      <c r="R356" s="152"/>
      <c r="S356" s="152"/>
      <c r="T356" s="152"/>
      <c r="U356" s="152"/>
      <c r="V356" s="152"/>
      <c r="W356" s="152"/>
      <c r="X356" s="152"/>
    </row>
    <row r="357" spans="4:24" x14ac:dyDescent="0.35">
      <c r="L357" s="152"/>
      <c r="M357" s="152"/>
      <c r="N357" s="152"/>
      <c r="O357" s="152"/>
      <c r="P357" s="152"/>
      <c r="Q357" s="152"/>
      <c r="R357" s="152"/>
      <c r="S357" s="152"/>
      <c r="T357" s="152"/>
      <c r="U357" s="152"/>
      <c r="V357" s="152"/>
      <c r="W357" s="152"/>
      <c r="X357" s="152"/>
    </row>
    <row r="358" spans="4:24" x14ac:dyDescent="0.35">
      <c r="L358" s="152"/>
      <c r="M358" s="152"/>
      <c r="N358" s="152"/>
      <c r="O358" s="152"/>
      <c r="P358" s="152"/>
      <c r="Q358" s="152"/>
      <c r="R358" s="152"/>
      <c r="S358" s="152"/>
      <c r="T358" s="152"/>
      <c r="U358" s="152"/>
      <c r="V358" s="152"/>
      <c r="W358" s="152"/>
      <c r="X358" s="152"/>
    </row>
    <row r="359" spans="4:24" x14ac:dyDescent="0.35">
      <c r="L359" s="152"/>
      <c r="M359" s="152"/>
      <c r="N359" s="152"/>
      <c r="O359" s="152"/>
      <c r="P359" s="152"/>
      <c r="Q359" s="152"/>
      <c r="R359" s="152"/>
      <c r="S359" s="152"/>
      <c r="T359" s="152"/>
      <c r="U359" s="152"/>
      <c r="V359" s="152"/>
      <c r="W359" s="152"/>
      <c r="X359" s="152"/>
    </row>
    <row r="360" spans="4:24" x14ac:dyDescent="0.35">
      <c r="L360" s="152"/>
      <c r="M360" s="152"/>
      <c r="N360" s="152"/>
      <c r="O360" s="152"/>
      <c r="P360" s="152"/>
      <c r="Q360" s="152"/>
      <c r="R360" s="152"/>
      <c r="S360" s="152"/>
      <c r="T360" s="152"/>
      <c r="U360" s="152"/>
      <c r="V360" s="152"/>
      <c r="W360" s="152"/>
      <c r="X360" s="152"/>
    </row>
    <row r="361" spans="4:24" x14ac:dyDescent="0.35">
      <c r="L361" s="152"/>
      <c r="M361" s="152"/>
      <c r="N361" s="152"/>
      <c r="O361" s="152"/>
      <c r="P361" s="152"/>
      <c r="Q361" s="152"/>
      <c r="R361" s="152"/>
      <c r="S361" s="152"/>
      <c r="T361" s="152"/>
      <c r="U361" s="152"/>
      <c r="V361" s="152"/>
      <c r="W361" s="152"/>
      <c r="X361" s="152"/>
    </row>
    <row r="362" spans="4:24" x14ac:dyDescent="0.35">
      <c r="L362" s="152"/>
      <c r="M362" s="152"/>
      <c r="N362" s="152"/>
      <c r="O362" s="152"/>
      <c r="P362" s="152"/>
      <c r="Q362" s="152"/>
      <c r="R362" s="152"/>
      <c r="S362" s="152"/>
      <c r="T362" s="152"/>
      <c r="U362" s="152"/>
      <c r="V362" s="152"/>
      <c r="W362" s="152"/>
      <c r="X362" s="152"/>
    </row>
    <row r="363" spans="4:24" x14ac:dyDescent="0.35">
      <c r="L363" s="152"/>
      <c r="M363" s="152"/>
      <c r="N363" s="152"/>
      <c r="O363" s="152"/>
      <c r="P363" s="152"/>
      <c r="Q363" s="152"/>
      <c r="R363" s="152"/>
      <c r="S363" s="152"/>
      <c r="T363" s="152"/>
      <c r="U363" s="152"/>
      <c r="V363" s="152"/>
      <c r="W363" s="152"/>
      <c r="X363" s="152"/>
    </row>
    <row r="364" spans="4:24" x14ac:dyDescent="0.35">
      <c r="L364" s="152"/>
      <c r="M364" s="152"/>
      <c r="N364" s="152"/>
      <c r="O364" s="152"/>
      <c r="P364" s="152"/>
      <c r="Q364" s="152"/>
      <c r="R364" s="152"/>
      <c r="S364" s="152"/>
      <c r="T364" s="152"/>
      <c r="U364" s="152"/>
      <c r="V364" s="152"/>
      <c r="W364" s="152"/>
      <c r="X364" s="152"/>
    </row>
    <row r="365" spans="4:24" x14ac:dyDescent="0.35">
      <c r="D365" s="196"/>
      <c r="E365" s="196"/>
      <c r="F365" s="196"/>
      <c r="G365" s="196"/>
      <c r="L365" s="152"/>
      <c r="M365" s="152"/>
      <c r="N365" s="152"/>
      <c r="O365" s="152"/>
      <c r="P365" s="152"/>
      <c r="Q365" s="152"/>
      <c r="R365" s="152"/>
      <c r="S365" s="152"/>
      <c r="T365" s="152"/>
      <c r="U365" s="152"/>
      <c r="V365" s="152"/>
      <c r="W365" s="152"/>
      <c r="X365" s="152"/>
    </row>
    <row r="366" spans="4:24" x14ac:dyDescent="0.35">
      <c r="L366" s="197"/>
      <c r="M366" s="197"/>
      <c r="N366" s="197"/>
      <c r="O366" s="197"/>
      <c r="P366" s="197"/>
      <c r="Q366" s="197"/>
      <c r="R366" s="197"/>
      <c r="S366" s="197"/>
      <c r="T366" s="197"/>
      <c r="U366" s="197"/>
      <c r="V366" s="197"/>
      <c r="W366" s="197"/>
      <c r="X366" s="197"/>
    </row>
    <row r="367" spans="4:24" x14ac:dyDescent="0.35">
      <c r="H367" s="198"/>
      <c r="I367" s="198"/>
      <c r="J367" s="198"/>
      <c r="K367" s="198"/>
      <c r="L367" s="152"/>
      <c r="M367" s="152"/>
      <c r="N367" s="152"/>
      <c r="O367" s="152"/>
      <c r="P367" s="152"/>
      <c r="Q367" s="152"/>
      <c r="R367" s="152"/>
      <c r="S367" s="152"/>
      <c r="T367" s="152"/>
      <c r="U367" s="152"/>
      <c r="V367" s="152"/>
      <c r="W367" s="152"/>
      <c r="X367" s="152"/>
    </row>
    <row r="368" spans="4:24" x14ac:dyDescent="0.35">
      <c r="L368" s="152"/>
      <c r="M368" s="152"/>
      <c r="N368" s="152"/>
      <c r="O368" s="152"/>
      <c r="P368" s="152"/>
      <c r="Q368" s="152"/>
      <c r="R368" s="152"/>
      <c r="S368" s="152"/>
      <c r="T368" s="152"/>
      <c r="U368" s="152"/>
      <c r="V368" s="152"/>
      <c r="W368" s="152"/>
      <c r="X368" s="152"/>
    </row>
    <row r="369" spans="4:24" x14ac:dyDescent="0.35">
      <c r="L369" s="152"/>
      <c r="M369" s="152"/>
      <c r="N369" s="152"/>
      <c r="O369" s="152"/>
      <c r="P369" s="152"/>
      <c r="Q369" s="152"/>
      <c r="R369" s="152"/>
      <c r="S369" s="152"/>
      <c r="T369" s="152"/>
      <c r="U369" s="152"/>
      <c r="V369" s="152"/>
      <c r="W369" s="152"/>
      <c r="X369" s="152"/>
    </row>
    <row r="370" spans="4:24" x14ac:dyDescent="0.35">
      <c r="L370" s="152"/>
      <c r="M370" s="152"/>
      <c r="N370" s="152"/>
      <c r="O370" s="152"/>
      <c r="P370" s="152"/>
      <c r="Q370" s="152"/>
      <c r="R370" s="152"/>
      <c r="S370" s="152"/>
      <c r="T370" s="152"/>
      <c r="U370" s="152"/>
      <c r="V370" s="152"/>
      <c r="W370" s="152"/>
      <c r="X370" s="152"/>
    </row>
    <row r="371" spans="4:24" x14ac:dyDescent="0.35">
      <c r="L371" s="152"/>
      <c r="M371" s="152"/>
      <c r="N371" s="152"/>
      <c r="O371" s="152"/>
      <c r="P371" s="152"/>
      <c r="Q371" s="152"/>
      <c r="R371" s="152"/>
      <c r="S371" s="152"/>
      <c r="T371" s="152"/>
      <c r="U371" s="152"/>
      <c r="V371" s="152"/>
      <c r="W371" s="152"/>
      <c r="X371" s="152"/>
    </row>
    <row r="372" spans="4:24" x14ac:dyDescent="0.35">
      <c r="L372" s="152"/>
      <c r="M372" s="152"/>
      <c r="N372" s="152"/>
      <c r="O372" s="152"/>
      <c r="P372" s="152"/>
      <c r="Q372" s="152"/>
      <c r="R372" s="152"/>
      <c r="S372" s="152"/>
      <c r="T372" s="152"/>
      <c r="U372" s="152"/>
      <c r="V372" s="152"/>
      <c r="W372" s="152"/>
      <c r="X372" s="152"/>
    </row>
    <row r="373" spans="4:24" x14ac:dyDescent="0.35">
      <c r="L373" s="152"/>
      <c r="M373" s="152"/>
      <c r="N373" s="152"/>
      <c r="O373" s="152"/>
      <c r="P373" s="152"/>
      <c r="Q373" s="152"/>
      <c r="R373" s="152"/>
      <c r="S373" s="152"/>
      <c r="T373" s="152"/>
      <c r="U373" s="152"/>
      <c r="V373" s="152"/>
      <c r="W373" s="152"/>
      <c r="X373" s="152"/>
    </row>
    <row r="374" spans="4:24" x14ac:dyDescent="0.35">
      <c r="L374" s="152"/>
      <c r="M374" s="152"/>
      <c r="N374" s="152"/>
      <c r="O374" s="152"/>
      <c r="P374" s="152"/>
      <c r="Q374" s="152"/>
      <c r="R374" s="152"/>
      <c r="S374" s="152"/>
      <c r="T374" s="152"/>
      <c r="U374" s="152"/>
      <c r="V374" s="152"/>
      <c r="W374" s="152"/>
      <c r="X374" s="152"/>
    </row>
    <row r="375" spans="4:24" x14ac:dyDescent="0.35">
      <c r="L375" s="152"/>
      <c r="M375" s="152"/>
      <c r="N375" s="152"/>
      <c r="O375" s="152"/>
      <c r="P375" s="152"/>
      <c r="Q375" s="152"/>
      <c r="R375" s="152"/>
      <c r="S375" s="152"/>
      <c r="T375" s="152"/>
      <c r="U375" s="152"/>
      <c r="V375" s="152"/>
      <c r="W375" s="152"/>
      <c r="X375" s="152"/>
    </row>
    <row r="376" spans="4:24" x14ac:dyDescent="0.35">
      <c r="L376" s="152"/>
      <c r="M376" s="152"/>
      <c r="N376" s="152"/>
      <c r="O376" s="152"/>
      <c r="P376" s="152"/>
      <c r="Q376" s="152"/>
      <c r="R376" s="152"/>
      <c r="S376" s="152"/>
      <c r="T376" s="152"/>
      <c r="U376" s="152"/>
      <c r="V376" s="152"/>
      <c r="W376" s="152"/>
      <c r="X376" s="152"/>
    </row>
    <row r="377" spans="4:24" x14ac:dyDescent="0.35">
      <c r="L377" s="152"/>
      <c r="M377" s="152"/>
      <c r="N377" s="152"/>
      <c r="O377" s="152"/>
      <c r="P377" s="152"/>
      <c r="Q377" s="152"/>
      <c r="R377" s="152"/>
      <c r="S377" s="152"/>
      <c r="T377" s="152"/>
      <c r="U377" s="152"/>
      <c r="V377" s="152"/>
      <c r="W377" s="152"/>
      <c r="X377" s="152"/>
    </row>
    <row r="378" spans="4:24" x14ac:dyDescent="0.35">
      <c r="L378" s="152"/>
      <c r="M378" s="152"/>
      <c r="N378" s="152"/>
      <c r="O378" s="152"/>
      <c r="P378" s="152"/>
      <c r="Q378" s="152"/>
      <c r="R378" s="152"/>
      <c r="S378" s="152"/>
      <c r="T378" s="152"/>
      <c r="U378" s="152"/>
      <c r="V378" s="152"/>
      <c r="W378" s="152"/>
      <c r="X378" s="152"/>
    </row>
    <row r="379" spans="4:24" x14ac:dyDescent="0.35">
      <c r="L379" s="152"/>
      <c r="M379" s="152"/>
      <c r="N379" s="152"/>
      <c r="O379" s="152"/>
      <c r="P379" s="152"/>
      <c r="Q379" s="152"/>
      <c r="R379" s="152"/>
      <c r="S379" s="152"/>
      <c r="T379" s="152"/>
      <c r="U379" s="152"/>
      <c r="V379" s="152"/>
      <c r="W379" s="152"/>
      <c r="X379" s="152"/>
    </row>
    <row r="380" spans="4:24" x14ac:dyDescent="0.35">
      <c r="L380" s="152"/>
      <c r="M380" s="152"/>
      <c r="N380" s="152"/>
      <c r="O380" s="152"/>
      <c r="P380" s="152"/>
      <c r="Q380" s="152"/>
      <c r="R380" s="152"/>
      <c r="S380" s="152"/>
      <c r="T380" s="152"/>
      <c r="U380" s="152"/>
      <c r="V380" s="152"/>
      <c r="W380" s="152"/>
      <c r="X380" s="152"/>
    </row>
    <row r="381" spans="4:24" x14ac:dyDescent="0.35">
      <c r="D381" s="196"/>
      <c r="E381" s="196"/>
      <c r="F381" s="196"/>
      <c r="G381" s="196"/>
      <c r="L381" s="152"/>
      <c r="M381" s="152"/>
      <c r="N381" s="152"/>
      <c r="O381" s="152"/>
      <c r="P381" s="152"/>
      <c r="Q381" s="152"/>
      <c r="R381" s="152"/>
      <c r="S381" s="152"/>
      <c r="T381" s="152"/>
      <c r="U381" s="152"/>
      <c r="V381" s="152"/>
      <c r="W381" s="152"/>
      <c r="X381" s="152"/>
    </row>
    <row r="382" spans="4:24" x14ac:dyDescent="0.35">
      <c r="L382" s="197"/>
      <c r="M382" s="197"/>
      <c r="N382" s="197"/>
      <c r="O382" s="197"/>
      <c r="P382" s="197"/>
      <c r="Q382" s="197"/>
      <c r="R382" s="197"/>
      <c r="S382" s="197"/>
      <c r="T382" s="197"/>
      <c r="U382" s="197"/>
      <c r="V382" s="197"/>
      <c r="W382" s="197"/>
      <c r="X382" s="197"/>
    </row>
    <row r="383" spans="4:24" x14ac:dyDescent="0.35">
      <c r="H383" s="198"/>
      <c r="I383" s="198"/>
      <c r="J383" s="198"/>
      <c r="K383" s="198"/>
      <c r="L383" s="152"/>
      <c r="M383" s="152"/>
      <c r="N383" s="152"/>
      <c r="O383" s="152"/>
      <c r="P383" s="152"/>
      <c r="Q383" s="152"/>
      <c r="R383" s="152"/>
      <c r="S383" s="152"/>
      <c r="T383" s="152"/>
      <c r="U383" s="152"/>
      <c r="V383" s="152"/>
      <c r="W383" s="152"/>
      <c r="X383" s="152"/>
    </row>
    <row r="384" spans="4:24" x14ac:dyDescent="0.35">
      <c r="L384" s="152"/>
      <c r="M384" s="152"/>
      <c r="N384" s="152"/>
      <c r="O384" s="152"/>
      <c r="P384" s="152"/>
      <c r="Q384" s="152"/>
      <c r="R384" s="152"/>
      <c r="S384" s="152"/>
      <c r="T384" s="152"/>
      <c r="U384" s="152"/>
      <c r="V384" s="152"/>
      <c r="W384" s="152"/>
      <c r="X384" s="152"/>
    </row>
    <row r="385" spans="4:24" x14ac:dyDescent="0.35">
      <c r="L385" s="152"/>
      <c r="M385" s="152"/>
      <c r="N385" s="152"/>
      <c r="O385" s="152"/>
      <c r="P385" s="152"/>
      <c r="Q385" s="152"/>
      <c r="R385" s="152"/>
      <c r="S385" s="152"/>
      <c r="T385" s="152"/>
      <c r="U385" s="152"/>
      <c r="V385" s="152"/>
      <c r="W385" s="152"/>
      <c r="X385" s="152"/>
    </row>
    <row r="386" spans="4:24" x14ac:dyDescent="0.35">
      <c r="D386" s="196"/>
      <c r="E386" s="196"/>
      <c r="F386" s="196"/>
      <c r="G386" s="196"/>
      <c r="L386" s="152"/>
      <c r="M386" s="152"/>
      <c r="N386" s="152"/>
      <c r="O386" s="152"/>
      <c r="P386" s="152"/>
      <c r="Q386" s="152"/>
      <c r="R386" s="152"/>
      <c r="S386" s="152"/>
      <c r="T386" s="152"/>
      <c r="U386" s="152"/>
      <c r="V386" s="152"/>
      <c r="W386" s="152"/>
      <c r="X386" s="152"/>
    </row>
    <row r="387" spans="4:24" x14ac:dyDescent="0.35">
      <c r="L387" s="197"/>
      <c r="M387" s="197"/>
      <c r="N387" s="197"/>
      <c r="O387" s="197"/>
      <c r="P387" s="197"/>
      <c r="Q387" s="197"/>
      <c r="R387" s="197"/>
      <c r="S387" s="197"/>
      <c r="T387" s="197"/>
      <c r="U387" s="197"/>
      <c r="V387" s="197"/>
      <c r="W387" s="197"/>
      <c r="X387" s="197"/>
    </row>
    <row r="388" spans="4:24" x14ac:dyDescent="0.35">
      <c r="D388" s="199"/>
      <c r="E388" s="199"/>
      <c r="F388" s="199"/>
      <c r="G388" s="199"/>
      <c r="H388" s="198"/>
      <c r="I388" s="198"/>
      <c r="J388" s="198"/>
      <c r="K388" s="198"/>
    </row>
    <row r="389" spans="4:24" x14ac:dyDescent="0.35">
      <c r="D389" s="199"/>
      <c r="E389" s="199"/>
      <c r="F389" s="199"/>
      <c r="G389" s="199"/>
      <c r="L389" s="200"/>
      <c r="M389" s="200"/>
      <c r="N389" s="200"/>
      <c r="O389" s="200"/>
      <c r="P389" s="200"/>
      <c r="Q389" s="200"/>
      <c r="R389" s="200"/>
      <c r="S389" s="200"/>
      <c r="T389" s="200"/>
      <c r="U389" s="200"/>
      <c r="V389" s="200"/>
      <c r="W389" s="200"/>
      <c r="X389" s="200"/>
    </row>
    <row r="390" spans="4:24" x14ac:dyDescent="0.35">
      <c r="D390" s="199"/>
      <c r="E390" s="199"/>
      <c r="F390" s="199"/>
      <c r="G390" s="199"/>
      <c r="H390" s="201"/>
      <c r="I390" s="201"/>
      <c r="J390" s="201"/>
      <c r="K390" s="201"/>
      <c r="L390" s="200"/>
      <c r="M390" s="200"/>
      <c r="N390" s="200"/>
      <c r="O390" s="200"/>
      <c r="P390" s="200"/>
      <c r="Q390" s="200"/>
      <c r="R390" s="200"/>
      <c r="S390" s="200"/>
      <c r="T390" s="200"/>
      <c r="U390" s="200"/>
      <c r="V390" s="200"/>
      <c r="W390" s="200"/>
      <c r="X390" s="200"/>
    </row>
    <row r="391" spans="4:24" x14ac:dyDescent="0.35">
      <c r="D391" s="199"/>
      <c r="E391" s="199"/>
      <c r="F391" s="199"/>
      <c r="G391" s="199"/>
      <c r="H391" s="201"/>
      <c r="I391" s="201"/>
      <c r="J391" s="201"/>
      <c r="K391" s="201"/>
      <c r="L391" s="200"/>
      <c r="M391" s="200"/>
      <c r="N391" s="200"/>
      <c r="O391" s="200"/>
      <c r="P391" s="200"/>
      <c r="Q391" s="200"/>
      <c r="R391" s="200"/>
      <c r="S391" s="200"/>
      <c r="T391" s="200"/>
      <c r="U391" s="200"/>
      <c r="V391" s="200"/>
      <c r="W391" s="200"/>
      <c r="X391" s="200"/>
    </row>
    <row r="392" spans="4:24" x14ac:dyDescent="0.35">
      <c r="D392" s="199"/>
      <c r="E392" s="199"/>
      <c r="F392" s="199"/>
      <c r="G392" s="199"/>
      <c r="H392" s="201"/>
      <c r="I392" s="201"/>
      <c r="J392" s="201"/>
      <c r="K392" s="201"/>
      <c r="L392" s="200"/>
      <c r="M392" s="200"/>
      <c r="N392" s="200"/>
      <c r="O392" s="200"/>
      <c r="P392" s="200"/>
      <c r="Q392" s="200"/>
      <c r="R392" s="200"/>
      <c r="S392" s="200"/>
      <c r="T392" s="200"/>
      <c r="U392" s="200"/>
      <c r="V392" s="200"/>
      <c r="W392" s="200"/>
      <c r="X392" s="200"/>
    </row>
    <row r="393" spans="4:24" x14ac:dyDescent="0.35">
      <c r="H393" s="201"/>
      <c r="I393" s="201"/>
      <c r="J393" s="201"/>
      <c r="K393" s="201"/>
      <c r="L393" s="200"/>
      <c r="M393" s="200"/>
      <c r="N393" s="200"/>
      <c r="O393" s="200"/>
      <c r="P393" s="200"/>
      <c r="Q393" s="200"/>
      <c r="R393" s="200"/>
      <c r="S393" s="200"/>
      <c r="T393" s="200"/>
      <c r="U393" s="200"/>
      <c r="V393" s="200"/>
      <c r="W393" s="200"/>
      <c r="X393" s="200"/>
    </row>
    <row r="394" spans="4:24" x14ac:dyDescent="0.35">
      <c r="H394" s="201"/>
      <c r="I394" s="201"/>
      <c r="J394" s="201"/>
      <c r="K394" s="201"/>
    </row>
  </sheetData>
  <mergeCells count="4">
    <mergeCell ref="AB4:AD4"/>
    <mergeCell ref="AE4:AG4"/>
    <mergeCell ref="AB39:AD39"/>
    <mergeCell ref="AE39:AG39"/>
  </mergeCells>
  <phoneticPr fontId="51" type="noConversion"/>
  <pageMargins left="0.75" right="0.75" top="1" bottom="1" header="0.5" footer="0.5"/>
  <headerFooter alignWithMargins="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40000"/>
  </sheetPr>
  <dimension ref="A1:W97"/>
  <sheetViews>
    <sheetView showGridLines="0" zoomScale="130" zoomScaleNormal="130" workbookViewId="0">
      <selection activeCell="K38" sqref="K38"/>
    </sheetView>
  </sheetViews>
  <sheetFormatPr defaultColWidth="7" defaultRowHeight="10.5" x14ac:dyDescent="0.4"/>
  <cols>
    <col min="1" max="2" width="3.0625" style="94" customWidth="1"/>
    <col min="3" max="3" width="23.5625" style="94" bestFit="1" customWidth="1"/>
    <col min="4" max="8" width="3.0625" style="94" customWidth="1"/>
    <col min="9" max="9" width="8.5625" style="94" customWidth="1"/>
    <col min="10" max="18" width="9.5625" style="95" customWidth="1"/>
    <col min="19" max="20" width="9.5625" style="94" customWidth="1"/>
    <col min="21" max="23" width="11.0625" style="94" customWidth="1"/>
    <col min="24" max="255" width="7" style="94"/>
    <col min="256" max="258" width="3.0625" style="94" customWidth="1"/>
    <col min="259" max="259" width="23.5625" style="94" bestFit="1" customWidth="1"/>
    <col min="260" max="264" width="3.0625" style="94" customWidth="1"/>
    <col min="265" max="265" width="8.5625" style="94" customWidth="1"/>
    <col min="266" max="276" width="9.5625" style="94" customWidth="1"/>
    <col min="277" max="277" width="3.5625" style="94" customWidth="1"/>
    <col min="278" max="511" width="7" style="94"/>
    <col min="512" max="514" width="3.0625" style="94" customWidth="1"/>
    <col min="515" max="515" width="23.5625" style="94" bestFit="1" customWidth="1"/>
    <col min="516" max="520" width="3.0625" style="94" customWidth="1"/>
    <col min="521" max="521" width="8.5625" style="94" customWidth="1"/>
    <col min="522" max="532" width="9.5625" style="94" customWidth="1"/>
    <col min="533" max="533" width="3.5625" style="94" customWidth="1"/>
    <col min="534" max="767" width="7" style="94"/>
    <col min="768" max="770" width="3.0625" style="94" customWidth="1"/>
    <col min="771" max="771" width="23.5625" style="94" bestFit="1" customWidth="1"/>
    <col min="772" max="776" width="3.0625" style="94" customWidth="1"/>
    <col min="777" max="777" width="8.5625" style="94" customWidth="1"/>
    <col min="778" max="788" width="9.5625" style="94" customWidth="1"/>
    <col min="789" max="789" width="3.5625" style="94" customWidth="1"/>
    <col min="790" max="1023" width="7" style="94"/>
    <col min="1024" max="1026" width="3.0625" style="94" customWidth="1"/>
    <col min="1027" max="1027" width="23.5625" style="94" bestFit="1" customWidth="1"/>
    <col min="1028" max="1032" width="3.0625" style="94" customWidth="1"/>
    <col min="1033" max="1033" width="8.5625" style="94" customWidth="1"/>
    <col min="1034" max="1044" width="9.5625" style="94" customWidth="1"/>
    <col min="1045" max="1045" width="3.5625" style="94" customWidth="1"/>
    <col min="1046" max="1279" width="7" style="94"/>
    <col min="1280" max="1282" width="3.0625" style="94" customWidth="1"/>
    <col min="1283" max="1283" width="23.5625" style="94" bestFit="1" customWidth="1"/>
    <col min="1284" max="1288" width="3.0625" style="94" customWidth="1"/>
    <col min="1289" max="1289" width="8.5625" style="94" customWidth="1"/>
    <col min="1290" max="1300" width="9.5625" style="94" customWidth="1"/>
    <col min="1301" max="1301" width="3.5625" style="94" customWidth="1"/>
    <col min="1302" max="1535" width="7" style="94"/>
    <col min="1536" max="1538" width="3.0625" style="94" customWidth="1"/>
    <col min="1539" max="1539" width="23.5625" style="94" bestFit="1" customWidth="1"/>
    <col min="1540" max="1544" width="3.0625" style="94" customWidth="1"/>
    <col min="1545" max="1545" width="8.5625" style="94" customWidth="1"/>
    <col min="1546" max="1556" width="9.5625" style="94" customWidth="1"/>
    <col min="1557" max="1557" width="3.5625" style="94" customWidth="1"/>
    <col min="1558" max="1791" width="7" style="94"/>
    <col min="1792" max="1794" width="3.0625" style="94" customWidth="1"/>
    <col min="1795" max="1795" width="23.5625" style="94" bestFit="1" customWidth="1"/>
    <col min="1796" max="1800" width="3.0625" style="94" customWidth="1"/>
    <col min="1801" max="1801" width="8.5625" style="94" customWidth="1"/>
    <col min="1802" max="1812" width="9.5625" style="94" customWidth="1"/>
    <col min="1813" max="1813" width="3.5625" style="94" customWidth="1"/>
    <col min="1814" max="2047" width="7" style="94"/>
    <col min="2048" max="2050" width="3.0625" style="94" customWidth="1"/>
    <col min="2051" max="2051" width="23.5625" style="94" bestFit="1" customWidth="1"/>
    <col min="2052" max="2056" width="3.0625" style="94" customWidth="1"/>
    <col min="2057" max="2057" width="8.5625" style="94" customWidth="1"/>
    <col min="2058" max="2068" width="9.5625" style="94" customWidth="1"/>
    <col min="2069" max="2069" width="3.5625" style="94" customWidth="1"/>
    <col min="2070" max="2303" width="7" style="94"/>
    <col min="2304" max="2306" width="3.0625" style="94" customWidth="1"/>
    <col min="2307" max="2307" width="23.5625" style="94" bestFit="1" customWidth="1"/>
    <col min="2308" max="2312" width="3.0625" style="94" customWidth="1"/>
    <col min="2313" max="2313" width="8.5625" style="94" customWidth="1"/>
    <col min="2314" max="2324" width="9.5625" style="94" customWidth="1"/>
    <col min="2325" max="2325" width="3.5625" style="94" customWidth="1"/>
    <col min="2326" max="2559" width="7" style="94"/>
    <col min="2560" max="2562" width="3.0625" style="94" customWidth="1"/>
    <col min="2563" max="2563" width="23.5625" style="94" bestFit="1" customWidth="1"/>
    <col min="2564" max="2568" width="3.0625" style="94" customWidth="1"/>
    <col min="2569" max="2569" width="8.5625" style="94" customWidth="1"/>
    <col min="2570" max="2580" width="9.5625" style="94" customWidth="1"/>
    <col min="2581" max="2581" width="3.5625" style="94" customWidth="1"/>
    <col min="2582" max="2815" width="7" style="94"/>
    <col min="2816" max="2818" width="3.0625" style="94" customWidth="1"/>
    <col min="2819" max="2819" width="23.5625" style="94" bestFit="1" customWidth="1"/>
    <col min="2820" max="2824" width="3.0625" style="94" customWidth="1"/>
    <col min="2825" max="2825" width="8.5625" style="94" customWidth="1"/>
    <col min="2826" max="2836" width="9.5625" style="94" customWidth="1"/>
    <col min="2837" max="2837" width="3.5625" style="94" customWidth="1"/>
    <col min="2838" max="3071" width="7" style="94"/>
    <col min="3072" max="3074" width="3.0625" style="94" customWidth="1"/>
    <col min="3075" max="3075" width="23.5625" style="94" bestFit="1" customWidth="1"/>
    <col min="3076" max="3080" width="3.0625" style="94" customWidth="1"/>
    <col min="3081" max="3081" width="8.5625" style="94" customWidth="1"/>
    <col min="3082" max="3092" width="9.5625" style="94" customWidth="1"/>
    <col min="3093" max="3093" width="3.5625" style="94" customWidth="1"/>
    <col min="3094" max="3327" width="7" style="94"/>
    <col min="3328" max="3330" width="3.0625" style="94" customWidth="1"/>
    <col min="3331" max="3331" width="23.5625" style="94" bestFit="1" customWidth="1"/>
    <col min="3332" max="3336" width="3.0625" style="94" customWidth="1"/>
    <col min="3337" max="3337" width="8.5625" style="94" customWidth="1"/>
    <col min="3338" max="3348" width="9.5625" style="94" customWidth="1"/>
    <col min="3349" max="3349" width="3.5625" style="94" customWidth="1"/>
    <col min="3350" max="3583" width="7" style="94"/>
    <col min="3584" max="3586" width="3.0625" style="94" customWidth="1"/>
    <col min="3587" max="3587" width="23.5625" style="94" bestFit="1" customWidth="1"/>
    <col min="3588" max="3592" width="3.0625" style="94" customWidth="1"/>
    <col min="3593" max="3593" width="8.5625" style="94" customWidth="1"/>
    <col min="3594" max="3604" width="9.5625" style="94" customWidth="1"/>
    <col min="3605" max="3605" width="3.5625" style="94" customWidth="1"/>
    <col min="3606" max="3839" width="7" style="94"/>
    <col min="3840" max="3842" width="3.0625" style="94" customWidth="1"/>
    <col min="3843" max="3843" width="23.5625" style="94" bestFit="1" customWidth="1"/>
    <col min="3844" max="3848" width="3.0625" style="94" customWidth="1"/>
    <col min="3849" max="3849" width="8.5625" style="94" customWidth="1"/>
    <col min="3850" max="3860" width="9.5625" style="94" customWidth="1"/>
    <col min="3861" max="3861" width="3.5625" style="94" customWidth="1"/>
    <col min="3862" max="4095" width="7" style="94"/>
    <col min="4096" max="4098" width="3.0625" style="94" customWidth="1"/>
    <col min="4099" max="4099" width="23.5625" style="94" bestFit="1" customWidth="1"/>
    <col min="4100" max="4104" width="3.0625" style="94" customWidth="1"/>
    <col min="4105" max="4105" width="8.5625" style="94" customWidth="1"/>
    <col min="4106" max="4116" width="9.5625" style="94" customWidth="1"/>
    <col min="4117" max="4117" width="3.5625" style="94" customWidth="1"/>
    <col min="4118" max="4351" width="7" style="94"/>
    <col min="4352" max="4354" width="3.0625" style="94" customWidth="1"/>
    <col min="4355" max="4355" width="23.5625" style="94" bestFit="1" customWidth="1"/>
    <col min="4356" max="4360" width="3.0625" style="94" customWidth="1"/>
    <col min="4361" max="4361" width="8.5625" style="94" customWidth="1"/>
    <col min="4362" max="4372" width="9.5625" style="94" customWidth="1"/>
    <col min="4373" max="4373" width="3.5625" style="94" customWidth="1"/>
    <col min="4374" max="4607" width="7" style="94"/>
    <col min="4608" max="4610" width="3.0625" style="94" customWidth="1"/>
    <col min="4611" max="4611" width="23.5625" style="94" bestFit="1" customWidth="1"/>
    <col min="4612" max="4616" width="3.0625" style="94" customWidth="1"/>
    <col min="4617" max="4617" width="8.5625" style="94" customWidth="1"/>
    <col min="4618" max="4628" width="9.5625" style="94" customWidth="1"/>
    <col min="4629" max="4629" width="3.5625" style="94" customWidth="1"/>
    <col min="4630" max="4863" width="7" style="94"/>
    <col min="4864" max="4866" width="3.0625" style="94" customWidth="1"/>
    <col min="4867" max="4867" width="23.5625" style="94" bestFit="1" customWidth="1"/>
    <col min="4868" max="4872" width="3.0625" style="94" customWidth="1"/>
    <col min="4873" max="4873" width="8.5625" style="94" customWidth="1"/>
    <col min="4874" max="4884" width="9.5625" style="94" customWidth="1"/>
    <col min="4885" max="4885" width="3.5625" style="94" customWidth="1"/>
    <col min="4886" max="5119" width="7" style="94"/>
    <col min="5120" max="5122" width="3.0625" style="94" customWidth="1"/>
    <col min="5123" max="5123" width="23.5625" style="94" bestFit="1" customWidth="1"/>
    <col min="5124" max="5128" width="3.0625" style="94" customWidth="1"/>
    <col min="5129" max="5129" width="8.5625" style="94" customWidth="1"/>
    <col min="5130" max="5140" width="9.5625" style="94" customWidth="1"/>
    <col min="5141" max="5141" width="3.5625" style="94" customWidth="1"/>
    <col min="5142" max="5375" width="7" style="94"/>
    <col min="5376" max="5378" width="3.0625" style="94" customWidth="1"/>
    <col min="5379" max="5379" width="23.5625" style="94" bestFit="1" customWidth="1"/>
    <col min="5380" max="5384" width="3.0625" style="94" customWidth="1"/>
    <col min="5385" max="5385" width="8.5625" style="94" customWidth="1"/>
    <col min="5386" max="5396" width="9.5625" style="94" customWidth="1"/>
    <col min="5397" max="5397" width="3.5625" style="94" customWidth="1"/>
    <col min="5398" max="5631" width="7" style="94"/>
    <col min="5632" max="5634" width="3.0625" style="94" customWidth="1"/>
    <col min="5635" max="5635" width="23.5625" style="94" bestFit="1" customWidth="1"/>
    <col min="5636" max="5640" width="3.0625" style="94" customWidth="1"/>
    <col min="5641" max="5641" width="8.5625" style="94" customWidth="1"/>
    <col min="5642" max="5652" width="9.5625" style="94" customWidth="1"/>
    <col min="5653" max="5653" width="3.5625" style="94" customWidth="1"/>
    <col min="5654" max="5887" width="7" style="94"/>
    <col min="5888" max="5890" width="3.0625" style="94" customWidth="1"/>
    <col min="5891" max="5891" width="23.5625" style="94" bestFit="1" customWidth="1"/>
    <col min="5892" max="5896" width="3.0625" style="94" customWidth="1"/>
    <col min="5897" max="5897" width="8.5625" style="94" customWidth="1"/>
    <col min="5898" max="5908" width="9.5625" style="94" customWidth="1"/>
    <col min="5909" max="5909" width="3.5625" style="94" customWidth="1"/>
    <col min="5910" max="6143" width="7" style="94"/>
    <col min="6144" max="6146" width="3.0625" style="94" customWidth="1"/>
    <col min="6147" max="6147" width="23.5625" style="94" bestFit="1" customWidth="1"/>
    <col min="6148" max="6152" width="3.0625" style="94" customWidth="1"/>
    <col min="6153" max="6153" width="8.5625" style="94" customWidth="1"/>
    <col min="6154" max="6164" width="9.5625" style="94" customWidth="1"/>
    <col min="6165" max="6165" width="3.5625" style="94" customWidth="1"/>
    <col min="6166" max="6399" width="7" style="94"/>
    <col min="6400" max="6402" width="3.0625" style="94" customWidth="1"/>
    <col min="6403" max="6403" width="23.5625" style="94" bestFit="1" customWidth="1"/>
    <col min="6404" max="6408" width="3.0625" style="94" customWidth="1"/>
    <col min="6409" max="6409" width="8.5625" style="94" customWidth="1"/>
    <col min="6410" max="6420" width="9.5625" style="94" customWidth="1"/>
    <col min="6421" max="6421" width="3.5625" style="94" customWidth="1"/>
    <col min="6422" max="6655" width="7" style="94"/>
    <col min="6656" max="6658" width="3.0625" style="94" customWidth="1"/>
    <col min="6659" max="6659" width="23.5625" style="94" bestFit="1" customWidth="1"/>
    <col min="6660" max="6664" width="3.0625" style="94" customWidth="1"/>
    <col min="6665" max="6665" width="8.5625" style="94" customWidth="1"/>
    <col min="6666" max="6676" width="9.5625" style="94" customWidth="1"/>
    <col min="6677" max="6677" width="3.5625" style="94" customWidth="1"/>
    <col min="6678" max="6911" width="7" style="94"/>
    <col min="6912" max="6914" width="3.0625" style="94" customWidth="1"/>
    <col min="6915" max="6915" width="23.5625" style="94" bestFit="1" customWidth="1"/>
    <col min="6916" max="6920" width="3.0625" style="94" customWidth="1"/>
    <col min="6921" max="6921" width="8.5625" style="94" customWidth="1"/>
    <col min="6922" max="6932" width="9.5625" style="94" customWidth="1"/>
    <col min="6933" max="6933" width="3.5625" style="94" customWidth="1"/>
    <col min="6934" max="7167" width="7" style="94"/>
    <col min="7168" max="7170" width="3.0625" style="94" customWidth="1"/>
    <col min="7171" max="7171" width="23.5625" style="94" bestFit="1" customWidth="1"/>
    <col min="7172" max="7176" width="3.0625" style="94" customWidth="1"/>
    <col min="7177" max="7177" width="8.5625" style="94" customWidth="1"/>
    <col min="7178" max="7188" width="9.5625" style="94" customWidth="1"/>
    <col min="7189" max="7189" width="3.5625" style="94" customWidth="1"/>
    <col min="7190" max="7423" width="7" style="94"/>
    <col min="7424" max="7426" width="3.0625" style="94" customWidth="1"/>
    <col min="7427" max="7427" width="23.5625" style="94" bestFit="1" customWidth="1"/>
    <col min="7428" max="7432" width="3.0625" style="94" customWidth="1"/>
    <col min="7433" max="7433" width="8.5625" style="94" customWidth="1"/>
    <col min="7434" max="7444" width="9.5625" style="94" customWidth="1"/>
    <col min="7445" max="7445" width="3.5625" style="94" customWidth="1"/>
    <col min="7446" max="7679" width="7" style="94"/>
    <col min="7680" max="7682" width="3.0625" style="94" customWidth="1"/>
    <col min="7683" max="7683" width="23.5625" style="94" bestFit="1" customWidth="1"/>
    <col min="7684" max="7688" width="3.0625" style="94" customWidth="1"/>
    <col min="7689" max="7689" width="8.5625" style="94" customWidth="1"/>
    <col min="7690" max="7700" width="9.5625" style="94" customWidth="1"/>
    <col min="7701" max="7701" width="3.5625" style="94" customWidth="1"/>
    <col min="7702" max="7935" width="7" style="94"/>
    <col min="7936" max="7938" width="3.0625" style="94" customWidth="1"/>
    <col min="7939" max="7939" width="23.5625" style="94" bestFit="1" customWidth="1"/>
    <col min="7940" max="7944" width="3.0625" style="94" customWidth="1"/>
    <col min="7945" max="7945" width="8.5625" style="94" customWidth="1"/>
    <col min="7946" max="7956" width="9.5625" style="94" customWidth="1"/>
    <col min="7957" max="7957" width="3.5625" style="94" customWidth="1"/>
    <col min="7958" max="8191" width="7" style="94"/>
    <col min="8192" max="8194" width="3.0625" style="94" customWidth="1"/>
    <col min="8195" max="8195" width="23.5625" style="94" bestFit="1" customWidth="1"/>
    <col min="8196" max="8200" width="3.0625" style="94" customWidth="1"/>
    <col min="8201" max="8201" width="8.5625" style="94" customWidth="1"/>
    <col min="8202" max="8212" width="9.5625" style="94" customWidth="1"/>
    <col min="8213" max="8213" width="3.5625" style="94" customWidth="1"/>
    <col min="8214" max="8447" width="7" style="94"/>
    <col min="8448" max="8450" width="3.0625" style="94" customWidth="1"/>
    <col min="8451" max="8451" width="23.5625" style="94" bestFit="1" customWidth="1"/>
    <col min="8452" max="8456" width="3.0625" style="94" customWidth="1"/>
    <col min="8457" max="8457" width="8.5625" style="94" customWidth="1"/>
    <col min="8458" max="8468" width="9.5625" style="94" customWidth="1"/>
    <col min="8469" max="8469" width="3.5625" style="94" customWidth="1"/>
    <col min="8470" max="8703" width="7" style="94"/>
    <col min="8704" max="8706" width="3.0625" style="94" customWidth="1"/>
    <col min="8707" max="8707" width="23.5625" style="94" bestFit="1" customWidth="1"/>
    <col min="8708" max="8712" width="3.0625" style="94" customWidth="1"/>
    <col min="8713" max="8713" width="8.5625" style="94" customWidth="1"/>
    <col min="8714" max="8724" width="9.5625" style="94" customWidth="1"/>
    <col min="8725" max="8725" width="3.5625" style="94" customWidth="1"/>
    <col min="8726" max="8959" width="7" style="94"/>
    <col min="8960" max="8962" width="3.0625" style="94" customWidth="1"/>
    <col min="8963" max="8963" width="23.5625" style="94" bestFit="1" customWidth="1"/>
    <col min="8964" max="8968" width="3.0625" style="94" customWidth="1"/>
    <col min="8969" max="8969" width="8.5625" style="94" customWidth="1"/>
    <col min="8970" max="8980" width="9.5625" style="94" customWidth="1"/>
    <col min="8981" max="8981" width="3.5625" style="94" customWidth="1"/>
    <col min="8982" max="9215" width="7" style="94"/>
    <col min="9216" max="9218" width="3.0625" style="94" customWidth="1"/>
    <col min="9219" max="9219" width="23.5625" style="94" bestFit="1" customWidth="1"/>
    <col min="9220" max="9224" width="3.0625" style="94" customWidth="1"/>
    <col min="9225" max="9225" width="8.5625" style="94" customWidth="1"/>
    <col min="9226" max="9236" width="9.5625" style="94" customWidth="1"/>
    <col min="9237" max="9237" width="3.5625" style="94" customWidth="1"/>
    <col min="9238" max="9471" width="7" style="94"/>
    <col min="9472" max="9474" width="3.0625" style="94" customWidth="1"/>
    <col min="9475" max="9475" width="23.5625" style="94" bestFit="1" customWidth="1"/>
    <col min="9476" max="9480" width="3.0625" style="94" customWidth="1"/>
    <col min="9481" max="9481" width="8.5625" style="94" customWidth="1"/>
    <col min="9482" max="9492" width="9.5625" style="94" customWidth="1"/>
    <col min="9493" max="9493" width="3.5625" style="94" customWidth="1"/>
    <col min="9494" max="9727" width="7" style="94"/>
    <col min="9728" max="9730" width="3.0625" style="94" customWidth="1"/>
    <col min="9731" max="9731" width="23.5625" style="94" bestFit="1" customWidth="1"/>
    <col min="9732" max="9736" width="3.0625" style="94" customWidth="1"/>
    <col min="9737" max="9737" width="8.5625" style="94" customWidth="1"/>
    <col min="9738" max="9748" width="9.5625" style="94" customWidth="1"/>
    <col min="9749" max="9749" width="3.5625" style="94" customWidth="1"/>
    <col min="9750" max="9983" width="7" style="94"/>
    <col min="9984" max="9986" width="3.0625" style="94" customWidth="1"/>
    <col min="9987" max="9987" width="23.5625" style="94" bestFit="1" customWidth="1"/>
    <col min="9988" max="9992" width="3.0625" style="94" customWidth="1"/>
    <col min="9993" max="9993" width="8.5625" style="94" customWidth="1"/>
    <col min="9994" max="10004" width="9.5625" style="94" customWidth="1"/>
    <col min="10005" max="10005" width="3.5625" style="94" customWidth="1"/>
    <col min="10006" max="10239" width="7" style="94"/>
    <col min="10240" max="10242" width="3.0625" style="94" customWidth="1"/>
    <col min="10243" max="10243" width="23.5625" style="94" bestFit="1" customWidth="1"/>
    <col min="10244" max="10248" width="3.0625" style="94" customWidth="1"/>
    <col min="10249" max="10249" width="8.5625" style="94" customWidth="1"/>
    <col min="10250" max="10260" width="9.5625" style="94" customWidth="1"/>
    <col min="10261" max="10261" width="3.5625" style="94" customWidth="1"/>
    <col min="10262" max="10495" width="7" style="94"/>
    <col min="10496" max="10498" width="3.0625" style="94" customWidth="1"/>
    <col min="10499" max="10499" width="23.5625" style="94" bestFit="1" customWidth="1"/>
    <col min="10500" max="10504" width="3.0625" style="94" customWidth="1"/>
    <col min="10505" max="10505" width="8.5625" style="94" customWidth="1"/>
    <col min="10506" max="10516" width="9.5625" style="94" customWidth="1"/>
    <col min="10517" max="10517" width="3.5625" style="94" customWidth="1"/>
    <col min="10518" max="10751" width="7" style="94"/>
    <col min="10752" max="10754" width="3.0625" style="94" customWidth="1"/>
    <col min="10755" max="10755" width="23.5625" style="94" bestFit="1" customWidth="1"/>
    <col min="10756" max="10760" width="3.0625" style="94" customWidth="1"/>
    <col min="10761" max="10761" width="8.5625" style="94" customWidth="1"/>
    <col min="10762" max="10772" width="9.5625" style="94" customWidth="1"/>
    <col min="10773" max="10773" width="3.5625" style="94" customWidth="1"/>
    <col min="10774" max="11007" width="7" style="94"/>
    <col min="11008" max="11010" width="3.0625" style="94" customWidth="1"/>
    <col min="11011" max="11011" width="23.5625" style="94" bestFit="1" customWidth="1"/>
    <col min="11012" max="11016" width="3.0625" style="94" customWidth="1"/>
    <col min="11017" max="11017" width="8.5625" style="94" customWidth="1"/>
    <col min="11018" max="11028" width="9.5625" style="94" customWidth="1"/>
    <col min="11029" max="11029" width="3.5625" style="94" customWidth="1"/>
    <col min="11030" max="11263" width="7" style="94"/>
    <col min="11264" max="11266" width="3.0625" style="94" customWidth="1"/>
    <col min="11267" max="11267" width="23.5625" style="94" bestFit="1" customWidth="1"/>
    <col min="11268" max="11272" width="3.0625" style="94" customWidth="1"/>
    <col min="11273" max="11273" width="8.5625" style="94" customWidth="1"/>
    <col min="11274" max="11284" width="9.5625" style="94" customWidth="1"/>
    <col min="11285" max="11285" width="3.5625" style="94" customWidth="1"/>
    <col min="11286" max="11519" width="7" style="94"/>
    <col min="11520" max="11522" width="3.0625" style="94" customWidth="1"/>
    <col min="11523" max="11523" width="23.5625" style="94" bestFit="1" customWidth="1"/>
    <col min="11524" max="11528" width="3.0625" style="94" customWidth="1"/>
    <col min="11529" max="11529" width="8.5625" style="94" customWidth="1"/>
    <col min="11530" max="11540" width="9.5625" style="94" customWidth="1"/>
    <col min="11541" max="11541" width="3.5625" style="94" customWidth="1"/>
    <col min="11542" max="11775" width="7" style="94"/>
    <col min="11776" max="11778" width="3.0625" style="94" customWidth="1"/>
    <col min="11779" max="11779" width="23.5625" style="94" bestFit="1" customWidth="1"/>
    <col min="11780" max="11784" width="3.0625" style="94" customWidth="1"/>
    <col min="11785" max="11785" width="8.5625" style="94" customWidth="1"/>
    <col min="11786" max="11796" width="9.5625" style="94" customWidth="1"/>
    <col min="11797" max="11797" width="3.5625" style="94" customWidth="1"/>
    <col min="11798" max="12031" width="7" style="94"/>
    <col min="12032" max="12034" width="3.0625" style="94" customWidth="1"/>
    <col min="12035" max="12035" width="23.5625" style="94" bestFit="1" customWidth="1"/>
    <col min="12036" max="12040" width="3.0625" style="94" customWidth="1"/>
    <col min="12041" max="12041" width="8.5625" style="94" customWidth="1"/>
    <col min="12042" max="12052" width="9.5625" style="94" customWidth="1"/>
    <col min="12053" max="12053" width="3.5625" style="94" customWidth="1"/>
    <col min="12054" max="12287" width="7" style="94"/>
    <col min="12288" max="12290" width="3.0625" style="94" customWidth="1"/>
    <col min="12291" max="12291" width="23.5625" style="94" bestFit="1" customWidth="1"/>
    <col min="12292" max="12296" width="3.0625" style="94" customWidth="1"/>
    <col min="12297" max="12297" width="8.5625" style="94" customWidth="1"/>
    <col min="12298" max="12308" width="9.5625" style="94" customWidth="1"/>
    <col min="12309" max="12309" width="3.5625" style="94" customWidth="1"/>
    <col min="12310" max="12543" width="7" style="94"/>
    <col min="12544" max="12546" width="3.0625" style="94" customWidth="1"/>
    <col min="12547" max="12547" width="23.5625" style="94" bestFit="1" customWidth="1"/>
    <col min="12548" max="12552" width="3.0625" style="94" customWidth="1"/>
    <col min="12553" max="12553" width="8.5625" style="94" customWidth="1"/>
    <col min="12554" max="12564" width="9.5625" style="94" customWidth="1"/>
    <col min="12565" max="12565" width="3.5625" style="94" customWidth="1"/>
    <col min="12566" max="12799" width="7" style="94"/>
    <col min="12800" max="12802" width="3.0625" style="94" customWidth="1"/>
    <col min="12803" max="12803" width="23.5625" style="94" bestFit="1" customWidth="1"/>
    <col min="12804" max="12808" width="3.0625" style="94" customWidth="1"/>
    <col min="12809" max="12809" width="8.5625" style="94" customWidth="1"/>
    <col min="12810" max="12820" width="9.5625" style="94" customWidth="1"/>
    <col min="12821" max="12821" width="3.5625" style="94" customWidth="1"/>
    <col min="12822" max="13055" width="7" style="94"/>
    <col min="13056" max="13058" width="3.0625" style="94" customWidth="1"/>
    <col min="13059" max="13059" width="23.5625" style="94" bestFit="1" customWidth="1"/>
    <col min="13060" max="13064" width="3.0625" style="94" customWidth="1"/>
    <col min="13065" max="13065" width="8.5625" style="94" customWidth="1"/>
    <col min="13066" max="13076" width="9.5625" style="94" customWidth="1"/>
    <col min="13077" max="13077" width="3.5625" style="94" customWidth="1"/>
    <col min="13078" max="13311" width="7" style="94"/>
    <col min="13312" max="13314" width="3.0625" style="94" customWidth="1"/>
    <col min="13315" max="13315" width="23.5625" style="94" bestFit="1" customWidth="1"/>
    <col min="13316" max="13320" width="3.0625" style="94" customWidth="1"/>
    <col min="13321" max="13321" width="8.5625" style="94" customWidth="1"/>
    <col min="13322" max="13332" width="9.5625" style="94" customWidth="1"/>
    <col min="13333" max="13333" width="3.5625" style="94" customWidth="1"/>
    <col min="13334" max="13567" width="7" style="94"/>
    <col min="13568" max="13570" width="3.0625" style="94" customWidth="1"/>
    <col min="13571" max="13571" width="23.5625" style="94" bestFit="1" customWidth="1"/>
    <col min="13572" max="13576" width="3.0625" style="94" customWidth="1"/>
    <col min="13577" max="13577" width="8.5625" style="94" customWidth="1"/>
    <col min="13578" max="13588" width="9.5625" style="94" customWidth="1"/>
    <col min="13589" max="13589" width="3.5625" style="94" customWidth="1"/>
    <col min="13590" max="13823" width="7" style="94"/>
    <col min="13824" max="13826" width="3.0625" style="94" customWidth="1"/>
    <col min="13827" max="13827" width="23.5625" style="94" bestFit="1" customWidth="1"/>
    <col min="13828" max="13832" width="3.0625" style="94" customWidth="1"/>
    <col min="13833" max="13833" width="8.5625" style="94" customWidth="1"/>
    <col min="13834" max="13844" width="9.5625" style="94" customWidth="1"/>
    <col min="13845" max="13845" width="3.5625" style="94" customWidth="1"/>
    <col min="13846" max="14079" width="7" style="94"/>
    <col min="14080" max="14082" width="3.0625" style="94" customWidth="1"/>
    <col min="14083" max="14083" width="23.5625" style="94" bestFit="1" customWidth="1"/>
    <col min="14084" max="14088" width="3.0625" style="94" customWidth="1"/>
    <col min="14089" max="14089" width="8.5625" style="94" customWidth="1"/>
    <col min="14090" max="14100" width="9.5625" style="94" customWidth="1"/>
    <col min="14101" max="14101" width="3.5625" style="94" customWidth="1"/>
    <col min="14102" max="14335" width="7" style="94"/>
    <col min="14336" max="14338" width="3.0625" style="94" customWidth="1"/>
    <col min="14339" max="14339" width="23.5625" style="94" bestFit="1" customWidth="1"/>
    <col min="14340" max="14344" width="3.0625" style="94" customWidth="1"/>
    <col min="14345" max="14345" width="8.5625" style="94" customWidth="1"/>
    <col min="14346" max="14356" width="9.5625" style="94" customWidth="1"/>
    <col min="14357" max="14357" width="3.5625" style="94" customWidth="1"/>
    <col min="14358" max="14591" width="7" style="94"/>
    <col min="14592" max="14594" width="3.0625" style="94" customWidth="1"/>
    <col min="14595" max="14595" width="23.5625" style="94" bestFit="1" customWidth="1"/>
    <col min="14596" max="14600" width="3.0625" style="94" customWidth="1"/>
    <col min="14601" max="14601" width="8.5625" style="94" customWidth="1"/>
    <col min="14602" max="14612" width="9.5625" style="94" customWidth="1"/>
    <col min="14613" max="14613" width="3.5625" style="94" customWidth="1"/>
    <col min="14614" max="14847" width="7" style="94"/>
    <col min="14848" max="14850" width="3.0625" style="94" customWidth="1"/>
    <col min="14851" max="14851" width="23.5625" style="94" bestFit="1" customWidth="1"/>
    <col min="14852" max="14856" width="3.0625" style="94" customWidth="1"/>
    <col min="14857" max="14857" width="8.5625" style="94" customWidth="1"/>
    <col min="14858" max="14868" width="9.5625" style="94" customWidth="1"/>
    <col min="14869" max="14869" width="3.5625" style="94" customWidth="1"/>
    <col min="14870" max="15103" width="7" style="94"/>
    <col min="15104" max="15106" width="3.0625" style="94" customWidth="1"/>
    <col min="15107" max="15107" width="23.5625" style="94" bestFit="1" customWidth="1"/>
    <col min="15108" max="15112" width="3.0625" style="94" customWidth="1"/>
    <col min="15113" max="15113" width="8.5625" style="94" customWidth="1"/>
    <col min="15114" max="15124" width="9.5625" style="94" customWidth="1"/>
    <col min="15125" max="15125" width="3.5625" style="94" customWidth="1"/>
    <col min="15126" max="15359" width="7" style="94"/>
    <col min="15360" max="15362" width="3.0625" style="94" customWidth="1"/>
    <col min="15363" max="15363" width="23.5625" style="94" bestFit="1" customWidth="1"/>
    <col min="15364" max="15368" width="3.0625" style="94" customWidth="1"/>
    <col min="15369" max="15369" width="8.5625" style="94" customWidth="1"/>
    <col min="15370" max="15380" width="9.5625" style="94" customWidth="1"/>
    <col min="15381" max="15381" width="3.5625" style="94" customWidth="1"/>
    <col min="15382" max="15615" width="7" style="94"/>
    <col min="15616" max="15618" width="3.0625" style="94" customWidth="1"/>
    <col min="15619" max="15619" width="23.5625" style="94" bestFit="1" customWidth="1"/>
    <col min="15620" max="15624" width="3.0625" style="94" customWidth="1"/>
    <col min="15625" max="15625" width="8.5625" style="94" customWidth="1"/>
    <col min="15626" max="15636" width="9.5625" style="94" customWidth="1"/>
    <col min="15637" max="15637" width="3.5625" style="94" customWidth="1"/>
    <col min="15638" max="15871" width="7" style="94"/>
    <col min="15872" max="15874" width="3.0625" style="94" customWidth="1"/>
    <col min="15875" max="15875" width="23.5625" style="94" bestFit="1" customWidth="1"/>
    <col min="15876" max="15880" width="3.0625" style="94" customWidth="1"/>
    <col min="15881" max="15881" width="8.5625" style="94" customWidth="1"/>
    <col min="15882" max="15892" width="9.5625" style="94" customWidth="1"/>
    <col min="15893" max="15893" width="3.5625" style="94" customWidth="1"/>
    <col min="15894" max="16127" width="7" style="94"/>
    <col min="16128" max="16130" width="3.0625" style="94" customWidth="1"/>
    <col min="16131" max="16131" width="23.5625" style="94" bestFit="1" customWidth="1"/>
    <col min="16132" max="16136" width="3.0625" style="94" customWidth="1"/>
    <col min="16137" max="16137" width="8.5625" style="94" customWidth="1"/>
    <col min="16138" max="16148" width="9.5625" style="94" customWidth="1"/>
    <col min="16149" max="16149" width="3.5625" style="94" customWidth="1"/>
    <col min="16150" max="16384" width="7" style="94"/>
  </cols>
  <sheetData>
    <row r="1" spans="1:23" x14ac:dyDescent="0.4">
      <c r="A1" s="96" t="s">
        <v>2178</v>
      </c>
    </row>
    <row r="2" spans="1:23" x14ac:dyDescent="0.4">
      <c r="A2" s="96" t="s">
        <v>3158</v>
      </c>
    </row>
    <row r="3" spans="1:23" s="97" customFormat="1" x14ac:dyDescent="0.4">
      <c r="A3" s="98" t="s">
        <v>2179</v>
      </c>
      <c r="B3" s="99"/>
      <c r="C3" s="98"/>
      <c r="D3" s="99"/>
      <c r="E3" s="99"/>
      <c r="F3" s="99"/>
      <c r="G3" s="99"/>
      <c r="H3" s="99"/>
      <c r="I3" s="99"/>
      <c r="J3" s="100" t="str">
        <f>PL!T3</f>
        <v>2022A</v>
      </c>
      <c r="K3" s="100" t="str">
        <f>PL!U3</f>
        <v>2023A</v>
      </c>
      <c r="L3" s="100" t="str">
        <f>PL!V3</f>
        <v>2024A</v>
      </c>
      <c r="M3" s="100" t="str">
        <f>PL!W3</f>
        <v>2025A</v>
      </c>
      <c r="N3" s="100" t="str">
        <f>PL!X3</f>
        <v>2026E</v>
      </c>
      <c r="O3" s="100" t="str">
        <f>PL!Y3</f>
        <v>2027E</v>
      </c>
      <c r="P3" s="100" t="str">
        <f>PL!Z3</f>
        <v>2028E</v>
      </c>
      <c r="Q3" s="100" t="str">
        <f>PL!AA3</f>
        <v>2029E</v>
      </c>
      <c r="R3" s="100" t="str">
        <f>PL!AB3</f>
        <v>2030E</v>
      </c>
      <c r="S3" s="100" t="str">
        <f>PL!AC3</f>
        <v>2031E</v>
      </c>
      <c r="T3" s="100" t="str">
        <f>PL!AD3</f>
        <v>2032E</v>
      </c>
      <c r="U3" s="100" t="str">
        <f>PL!AE3</f>
        <v>2033E</v>
      </c>
      <c r="V3" s="100" t="str">
        <f>PL!AF3</f>
        <v>2034E</v>
      </c>
      <c r="W3" s="100" t="str">
        <f>PL!AG3</f>
        <v>2035E</v>
      </c>
    </row>
    <row r="4" spans="1:23" x14ac:dyDescent="0.4">
      <c r="A4" s="101"/>
      <c r="B4" s="101" t="s">
        <v>1723</v>
      </c>
      <c r="C4" s="101"/>
      <c r="D4" s="101"/>
      <c r="E4" s="101"/>
      <c r="F4" s="101"/>
      <c r="G4" s="101"/>
      <c r="H4" s="101"/>
      <c r="I4" s="101"/>
      <c r="J4" s="102">
        <f>PL!T4</f>
        <v>101975.265</v>
      </c>
      <c r="K4" s="102">
        <f>PL!U4</f>
        <v>113734.01300000001</v>
      </c>
      <c r="L4" s="102">
        <f>PL!V4</f>
        <v>105322.671</v>
      </c>
      <c r="M4" s="102">
        <f>PL!W4</f>
        <v>100448.5</v>
      </c>
      <c r="N4" s="102">
        <f>PL!X4</f>
        <v>103560.45987128874</v>
      </c>
      <c r="O4" s="102">
        <f>PL!Y4</f>
        <v>114194.84012038677</v>
      </c>
      <c r="P4" s="102">
        <f>PL!Z4</f>
        <v>122886.6653509207</v>
      </c>
      <c r="Q4" s="102">
        <f>PL!AA4</f>
        <v>134839.15722525609</v>
      </c>
      <c r="R4" s="102">
        <f>PL!AB4</f>
        <v>146102.03773024204</v>
      </c>
      <c r="S4" s="102">
        <f>PL!AC4</f>
        <v>156806.40735293049</v>
      </c>
      <c r="T4" s="102">
        <f>PL!AD4</f>
        <v>167060.11399279188</v>
      </c>
      <c r="U4" s="102">
        <f>PL!AE4</f>
        <v>176951.95428855688</v>
      </c>
      <c r="V4" s="102">
        <f>PL!AF4</f>
        <v>186555.162794465</v>
      </c>
      <c r="W4" s="102">
        <f>PL!AG4</f>
        <v>195930.31745728961</v>
      </c>
    </row>
    <row r="5" spans="1:23" x14ac:dyDescent="0.4">
      <c r="A5" s="101"/>
      <c r="B5" s="101"/>
      <c r="C5" s="101" t="s">
        <v>1724</v>
      </c>
      <c r="D5" s="101"/>
      <c r="E5" s="101"/>
      <c r="F5" s="101"/>
      <c r="G5" s="104"/>
      <c r="H5" s="104"/>
      <c r="I5" s="104"/>
      <c r="J5" s="105">
        <f>PL!T5</f>
        <v>0.31905024128046988</v>
      </c>
      <c r="K5" s="105">
        <f>PL!U5</f>
        <v>0.11530980576515293</v>
      </c>
      <c r="L5" s="105">
        <f>PL!V5</f>
        <v>-7.395625792259708E-2</v>
      </c>
      <c r="M5" s="105">
        <f>PL!W5</f>
        <v>-4.6278459838907882E-2</v>
      </c>
      <c r="N5" s="105">
        <f>PL!X5</f>
        <v>3.098065049541554E-2</v>
      </c>
      <c r="O5" s="105">
        <f>PL!Y5</f>
        <v>0.10268764992271273</v>
      </c>
      <c r="P5" s="105">
        <f>PL!Z5</f>
        <v>7.6113992728312541E-2</v>
      </c>
      <c r="Q5" s="105">
        <f>PL!AA5</f>
        <v>9.7264351996234177E-2</v>
      </c>
      <c r="R5" s="105">
        <f>PL!AB5</f>
        <v>8.3528262388726571E-2</v>
      </c>
      <c r="S5" s="105">
        <f>PL!AC5</f>
        <v>7.3266395109783833E-2</v>
      </c>
      <c r="T5" s="105">
        <f>PL!AD5</f>
        <v>6.5390865162690437E-2</v>
      </c>
      <c r="U5" s="105">
        <f>PL!AE5</f>
        <v>5.9211262696682976E-2</v>
      </c>
      <c r="V5" s="105">
        <f>PL!AF5</f>
        <v>5.4270146631147709E-2</v>
      </c>
      <c r="W5" s="105">
        <f>PL!AG5</f>
        <v>5.0254061706957787E-2</v>
      </c>
    </row>
    <row r="6" spans="1:23" x14ac:dyDescent="0.4">
      <c r="A6" s="101"/>
      <c r="B6" s="101" t="s">
        <v>1089</v>
      </c>
      <c r="C6" s="101"/>
      <c r="D6" s="101"/>
      <c r="E6" s="101"/>
      <c r="F6" s="101"/>
      <c r="G6" s="101"/>
      <c r="H6" s="101"/>
      <c r="I6" s="101"/>
      <c r="J6" s="102">
        <f>PL!T133</f>
        <v>13770.103999999994</v>
      </c>
      <c r="K6" s="102">
        <f>PL!U133</f>
        <v>15307.856000000003</v>
      </c>
      <c r="L6" s="102">
        <f>PL!V133</f>
        <v>14787.550999999999</v>
      </c>
      <c r="M6" s="102">
        <f>PL!W133</f>
        <v>14437.139999999998</v>
      </c>
      <c r="N6" s="102">
        <f ca="1">PL!X133</f>
        <v>16024.37044641974</v>
      </c>
      <c r="O6" s="102">
        <f ca="1">PL!Y133</f>
        <v>17294.995390272961</v>
      </c>
      <c r="P6" s="102">
        <f ca="1">PL!Z133</f>
        <v>18132.900872813694</v>
      </c>
      <c r="Q6" s="102">
        <f ca="1">PL!AA133</f>
        <v>19969.488647844424</v>
      </c>
      <c r="R6" s="102">
        <f ca="1">PL!AB133</f>
        <v>21686.387056707546</v>
      </c>
      <c r="S6" s="102">
        <f ca="1">PL!AC133</f>
        <v>23296.882242883403</v>
      </c>
      <c r="T6" s="102">
        <f ca="1">PL!AD133</f>
        <v>24819.189798244792</v>
      </c>
      <c r="U6" s="102">
        <f ca="1">PL!AE133</f>
        <v>26280.573405696301</v>
      </c>
      <c r="V6" s="102">
        <f ca="1">PL!AF133</f>
        <v>27676.461098790955</v>
      </c>
      <c r="W6" s="102">
        <f ca="1">PL!AG133</f>
        <v>29014.295549149225</v>
      </c>
    </row>
    <row r="7" spans="1:23" x14ac:dyDescent="0.4">
      <c r="A7" s="101"/>
      <c r="B7" s="101"/>
      <c r="C7" s="101" t="s">
        <v>1724</v>
      </c>
      <c r="D7" s="101"/>
      <c r="E7" s="101"/>
      <c r="F7" s="101"/>
      <c r="G7" s="104"/>
      <c r="H7" s="104"/>
      <c r="I7" s="104"/>
      <c r="J7" s="105">
        <f>PL!T133/PL!R133-1</f>
        <v>0.26048452952289658</v>
      </c>
      <c r="K7" s="105">
        <f>PL!U133/PL!S133-1</f>
        <v>0.27000525993538749</v>
      </c>
      <c r="L7" s="105">
        <f>PL!V133/PL!T133-1</f>
        <v>7.3888112972858133E-2</v>
      </c>
      <c r="M7" s="105">
        <f>PL!W133/PL!U133-1</f>
        <v>-5.6880336475598203E-2</v>
      </c>
      <c r="N7" s="105">
        <f ca="1">PL!X133/PL!V133-1</f>
        <v>8.3639234543958052E-2</v>
      </c>
      <c r="O7" s="105">
        <f ca="1">PL!Y133/PL!W133-1</f>
        <v>0.19795162963529922</v>
      </c>
      <c r="P7" s="105">
        <f ca="1">PL!Z133/PL!X133-1</f>
        <v>0.13158273103109996</v>
      </c>
      <c r="Q7" s="105">
        <f ca="1">PL!AA133/PL!Y133-1</f>
        <v>0.15463972075272414</v>
      </c>
      <c r="R7" s="105">
        <f ca="1">PL!AB133/PL!Z133-1</f>
        <v>0.19596898526156536</v>
      </c>
      <c r="S7" s="105">
        <f ca="1">PL!AC133/PL!AA133-1</f>
        <v>0.16662387573945958</v>
      </c>
      <c r="T7" s="105">
        <f ca="1">PL!AD133/PL!AB133-1</f>
        <v>0.14445941287247654</v>
      </c>
      <c r="U7" s="105">
        <f ca="1">PL!AE133/PL!AC133-1</f>
        <v>0.12807255201387902</v>
      </c>
      <c r="V7" s="105">
        <f ca="1">PL!AF133/PL!AD133-1</f>
        <v>0.11512347194944406</v>
      </c>
      <c r="W7" s="105">
        <f ca="1">PL!AG133/PL!AE133-1</f>
        <v>0.10402064297654912</v>
      </c>
    </row>
    <row r="8" spans="1:23" x14ac:dyDescent="0.4">
      <c r="A8" s="101"/>
      <c r="B8" s="101"/>
      <c r="C8" s="101" t="s">
        <v>2180</v>
      </c>
      <c r="D8" s="101"/>
      <c r="E8" s="101"/>
      <c r="F8" s="101"/>
      <c r="G8" s="104"/>
      <c r="H8" s="104"/>
      <c r="I8" s="104"/>
      <c r="J8" s="105">
        <f>PL!T134</f>
        <v>0.13503376529592734</v>
      </c>
      <c r="K8" s="105">
        <f>PL!U134</f>
        <v>0.13459347468905369</v>
      </c>
      <c r="L8" s="105">
        <f>PL!V134</f>
        <v>0.14040235458897543</v>
      </c>
      <c r="M8" s="105">
        <f>PL!W134</f>
        <v>0.14372678536762618</v>
      </c>
      <c r="N8" s="105">
        <f ca="1">PL!X134</f>
        <v>0.15473444658642696</v>
      </c>
      <c r="O8" s="105">
        <f ca="1">PL!Y134</f>
        <v>0.15145163627393488</v>
      </c>
      <c r="P8" s="105">
        <f ca="1">PL!Z134</f>
        <v>0.14755792112213775</v>
      </c>
      <c r="Q8" s="105">
        <f ca="1">PL!AA134</f>
        <v>0.14809858692964326</v>
      </c>
      <c r="R8" s="105">
        <f ca="1">PL!AB134</f>
        <v>0.14843315941115465</v>
      </c>
      <c r="S8" s="105">
        <f ca="1">PL!AC134</f>
        <v>0.14857098403159108</v>
      </c>
      <c r="T8" s="105">
        <f ca="1">PL!AD134</f>
        <v>0.14856442513450974</v>
      </c>
      <c r="U8" s="105">
        <f ca="1">PL!AE134</f>
        <v>0.14851813031033481</v>
      </c>
      <c r="V8" s="105">
        <f ca="1">PL!AF134</f>
        <v>0.14835537480827146</v>
      </c>
      <c r="W8" s="105">
        <f ca="1">PL!AG134</f>
        <v>0.14808476771581808</v>
      </c>
    </row>
    <row r="9" spans="1:23" x14ac:dyDescent="0.4">
      <c r="A9" s="101"/>
      <c r="B9" s="101" t="s">
        <v>2181</v>
      </c>
      <c r="C9" s="101"/>
      <c r="D9" s="101"/>
      <c r="E9" s="101"/>
      <c r="F9" s="101"/>
      <c r="G9" s="104"/>
      <c r="H9" s="104"/>
      <c r="I9" s="104"/>
      <c r="J9" s="102">
        <f>J6*(1-PL!T106)</f>
        <v>10820.002635224604</v>
      </c>
      <c r="K9" s="102">
        <f>K6*(1-PL!U106)</f>
        <v>12284.366667018192</v>
      </c>
      <c r="L9" s="102">
        <f>L6*(1-PL!V106)</f>
        <v>11516.398166248862</v>
      </c>
      <c r="M9" s="102">
        <f>M6*(1-PL!W106)</f>
        <v>10863.768487643838</v>
      </c>
      <c r="N9" s="102">
        <f ca="1">N6*(1-PL!X106)</f>
        <v>12058.139679337182</v>
      </c>
      <c r="O9" s="102">
        <f ca="1">O6*(1-PL!Y106)</f>
        <v>13014.269163753546</v>
      </c>
      <c r="P9" s="102">
        <f ca="1">P6*(1-PL!Z106)</f>
        <v>13644.782629498839</v>
      </c>
      <c r="Q9" s="102">
        <f ca="1">Q6*(1-PL!AA106)</f>
        <v>15026.792113037183</v>
      </c>
      <c r="R9" s="102">
        <f ca="1">R6*(1-PL!AB106)</f>
        <v>16318.736835516362</v>
      </c>
      <c r="S9" s="102">
        <f ca="1">S6*(1-PL!AC106)</f>
        <v>17530.614454842584</v>
      </c>
      <c r="T9" s="102">
        <f ca="1">T6*(1-PL!AD106)</f>
        <v>18676.131977595509</v>
      </c>
      <c r="U9" s="102">
        <f ca="1">U6*(1-PL!AE106)</f>
        <v>19775.804986445666</v>
      </c>
      <c r="V9" s="102">
        <f ca="1">V6*(1-PL!AF106)</f>
        <v>20826.193133442343</v>
      </c>
      <c r="W9" s="102">
        <f ca="1">W6*(1-PL!AG106)</f>
        <v>21832.896936514589</v>
      </c>
    </row>
    <row r="10" spans="1:23" x14ac:dyDescent="0.4">
      <c r="A10" s="101"/>
      <c r="B10" s="106" t="s">
        <v>1725</v>
      </c>
      <c r="C10" s="107" t="s">
        <v>2182</v>
      </c>
      <c r="D10" s="106"/>
      <c r="E10" s="106"/>
      <c r="F10" s="106"/>
      <c r="G10" s="101"/>
      <c r="H10" s="101"/>
      <c r="I10" s="101"/>
      <c r="J10" s="102">
        <f>CAPEX!T43</f>
        <v>587.96199999999999</v>
      </c>
      <c r="K10" s="102">
        <f>CAPEX!U43</f>
        <v>731.64100000000008</v>
      </c>
      <c r="L10" s="102">
        <f>CAPEX!V43</f>
        <v>765.48</v>
      </c>
      <c r="M10" s="102">
        <f>CAPEX!W43</f>
        <v>1002.475</v>
      </c>
      <c r="N10" s="102">
        <f>CAPEX!X43</f>
        <v>949.41469433955456</v>
      </c>
      <c r="O10" s="102">
        <f>CAPEX!Y43</f>
        <v>1004.5908757293512</v>
      </c>
      <c r="P10" s="102">
        <f>CAPEX!Z43</f>
        <v>1059.8072660803921</v>
      </c>
      <c r="Q10" s="102">
        <f>CAPEX!AA43</f>
        <v>1120.0331118373456</v>
      </c>
      <c r="R10" s="102">
        <f>CAPEX!AB43</f>
        <v>1183.3011709037319</v>
      </c>
      <c r="S10" s="102">
        <f>CAPEX!AC43</f>
        <v>1250.1949875892976</v>
      </c>
      <c r="T10" s="102">
        <f>CAPEX!AD43</f>
        <v>1319.624158345403</v>
      </c>
      <c r="U10" s="102">
        <f>CAPEX!AE43</f>
        <v>1391.4086301710847</v>
      </c>
      <c r="V10" s="102">
        <f>CAPEX!AF43</f>
        <v>1465.0028482353607</v>
      </c>
      <c r="W10" s="102">
        <f>CAPEX!AG43</f>
        <v>1540.1001296391535</v>
      </c>
    </row>
    <row r="11" spans="1:23" x14ac:dyDescent="0.4">
      <c r="A11" s="101"/>
      <c r="B11" s="106" t="s">
        <v>1726</v>
      </c>
      <c r="C11" s="106" t="s">
        <v>1727</v>
      </c>
      <c r="D11" s="106"/>
      <c r="E11" s="106"/>
      <c r="F11" s="106"/>
      <c r="G11" s="101"/>
      <c r="H11" s="101"/>
      <c r="I11" s="101"/>
      <c r="J11" s="102">
        <f>-WC!T7</f>
        <v>-6972.4829999999783</v>
      </c>
      <c r="K11" s="102">
        <f>-WC!U7</f>
        <v>-5342.6650000000081</v>
      </c>
      <c r="L11" s="102">
        <f>-WC!V7</f>
        <v>-8369.4349999999831</v>
      </c>
      <c r="M11" s="102">
        <f>-WC!W7</f>
        <v>-7275.4600000000064</v>
      </c>
      <c r="N11" s="102">
        <f>-WC!X7</f>
        <v>-6226.5489732083806</v>
      </c>
      <c r="O11" s="102">
        <f>-WC!Y7</f>
        <v>-6563.0179538722732</v>
      </c>
      <c r="P11" s="102">
        <f>-WC!Z7</f>
        <v>-5918.9920523541805</v>
      </c>
      <c r="Q11" s="102">
        <f>-WC!AA7</f>
        <v>-8408.1447621812986</v>
      </c>
      <c r="R11" s="102">
        <f>-WC!AB7</f>
        <v>-8710.5001450695272</v>
      </c>
      <c r="S11" s="102">
        <f>-WC!AC7</f>
        <v>-9019.4945852906967</v>
      </c>
      <c r="T11" s="102">
        <f>-WC!AD7</f>
        <v>-9795.5431411925529</v>
      </c>
      <c r="U11" s="102">
        <f>-WC!AE7</f>
        <v>-8724.7688986985595</v>
      </c>
      <c r="V11" s="102">
        <f>-WC!AF7</f>
        <v>-8960.2697464278026</v>
      </c>
      <c r="W11" s="102">
        <f>-WC!AG7</f>
        <v>-9212.3905272268457</v>
      </c>
    </row>
    <row r="12" spans="1:23" x14ac:dyDescent="0.4">
      <c r="A12" s="101"/>
      <c r="B12" s="106" t="s">
        <v>1726</v>
      </c>
      <c r="C12" s="106" t="s">
        <v>1728</v>
      </c>
      <c r="D12" s="106"/>
      <c r="E12" s="106"/>
      <c r="F12" s="106"/>
      <c r="G12" s="101"/>
      <c r="H12" s="101"/>
      <c r="I12" s="101"/>
      <c r="J12" s="102">
        <f>-CAPEX!T3</f>
        <v>-875.53730119514466</v>
      </c>
      <c r="K12" s="102">
        <f>-CAPEX!U3</f>
        <v>-1015.6575297704101</v>
      </c>
      <c r="L12" s="102">
        <f>-CAPEX!V3</f>
        <v>-968.17593592756725</v>
      </c>
      <c r="M12" s="102">
        <f>-CAPEX!W3</f>
        <v>-838.78107426266342</v>
      </c>
      <c r="N12" s="102">
        <f>-CAPEX!X3</f>
        <v>-847.74685512593589</v>
      </c>
      <c r="O12" s="102">
        <f>-CAPEX!Y3</f>
        <v>-911.68156921235334</v>
      </c>
      <c r="P12" s="102">
        <f>-CAPEX!Z3</f>
        <v>-952.20501570161855</v>
      </c>
      <c r="Q12" s="102">
        <f>-CAPEX!AA3</f>
        <v>-1016.4417801762285</v>
      </c>
      <c r="R12" s="102">
        <f>-CAPEX!AB3</f>
        <v>-1070.8624448317119</v>
      </c>
      <c r="S12" s="102">
        <f>-CAPEX!AC3</f>
        <v>-1116.7501920356717</v>
      </c>
      <c r="T12" s="102">
        <f>-CAPEX!AD3</f>
        <v>-1155.1340252632394</v>
      </c>
      <c r="U12" s="102">
        <f>-CAPEX!AE3</f>
        <v>-1186.8373448327682</v>
      </c>
      <c r="V12" s="102">
        <f>-CAPEX!AF3</f>
        <v>-1212.517539957073</v>
      </c>
      <c r="W12" s="102">
        <f>-CAPEX!AG3</f>
        <v>-1232.6982474243575</v>
      </c>
    </row>
    <row r="13" spans="1:23" x14ac:dyDescent="0.4">
      <c r="A13" s="108"/>
      <c r="B13" s="109" t="s">
        <v>1729</v>
      </c>
      <c r="C13" s="109"/>
      <c r="D13" s="109"/>
      <c r="E13" s="109"/>
      <c r="F13" s="109"/>
      <c r="G13" s="109"/>
      <c r="H13" s="109"/>
      <c r="I13" s="109"/>
      <c r="J13" s="110">
        <f t="shared" ref="J13:S13" si="0">SUM(J9:J12)</f>
        <v>3559.9443340294806</v>
      </c>
      <c r="K13" s="110">
        <f t="shared" si="0"/>
        <v>6657.6851372477731</v>
      </c>
      <c r="L13" s="110">
        <f t="shared" si="0"/>
        <v>2944.2672303213112</v>
      </c>
      <c r="M13" s="110">
        <f t="shared" si="0"/>
        <v>3752.0024133811685</v>
      </c>
      <c r="N13" s="110">
        <f t="shared" ca="1" si="0"/>
        <v>5933.2585453424208</v>
      </c>
      <c r="O13" s="110">
        <f t="shared" ca="1" si="0"/>
        <v>6544.1605163982704</v>
      </c>
      <c r="P13" s="110">
        <f t="shared" ca="1" si="0"/>
        <v>7833.3928275234321</v>
      </c>
      <c r="Q13" s="110">
        <f t="shared" ca="1" si="0"/>
        <v>6722.2386825170015</v>
      </c>
      <c r="R13" s="110">
        <f t="shared" ca="1" si="0"/>
        <v>7720.6754165188559</v>
      </c>
      <c r="S13" s="110">
        <f t="shared" ca="1" si="0"/>
        <v>8644.5646651055122</v>
      </c>
      <c r="T13" s="110">
        <f t="shared" ref="T13:V13" ca="1" si="1">SUM(T9:T12)</f>
        <v>9045.0789694851192</v>
      </c>
      <c r="U13" s="110">
        <f t="shared" ca="1" si="1"/>
        <v>11255.607373085424</v>
      </c>
      <c r="V13" s="110">
        <f t="shared" ca="1" si="1"/>
        <v>12118.408695292826</v>
      </c>
      <c r="W13" s="110">
        <f t="shared" ref="W13" ca="1" si="2">SUM(W9:W12)</f>
        <v>12927.908291502541</v>
      </c>
    </row>
    <row r="14" spans="1:23" x14ac:dyDescent="0.4">
      <c r="A14" s="101"/>
      <c r="B14" s="111"/>
      <c r="C14" s="111" t="s">
        <v>1724</v>
      </c>
      <c r="D14" s="111"/>
      <c r="E14" s="111"/>
      <c r="F14" s="111"/>
      <c r="G14" s="112"/>
      <c r="H14" s="112"/>
      <c r="I14" s="112"/>
      <c r="J14" s="105"/>
      <c r="K14" s="105">
        <f t="shared" ref="K14:S14" si="3">K13/J13-1</f>
        <v>0.87016551736694647</v>
      </c>
      <c r="L14" s="105">
        <f t="shared" si="3"/>
        <v>-0.5577641222699149</v>
      </c>
      <c r="M14" s="105">
        <f t="shared" si="3"/>
        <v>0.27434166801894144</v>
      </c>
      <c r="N14" s="105">
        <f t="shared" ca="1" si="3"/>
        <v>0.58135787018206719</v>
      </c>
      <c r="O14" s="105">
        <f t="shared" ca="1" si="3"/>
        <v>0.10296230416849173</v>
      </c>
      <c r="P14" s="105">
        <f t="shared" ca="1" si="3"/>
        <v>0.1970049952006252</v>
      </c>
      <c r="Q14" s="105">
        <f t="shared" ca="1" si="3"/>
        <v>-0.14184838798103883</v>
      </c>
      <c r="R14" s="105">
        <f t="shared" ca="1" si="3"/>
        <v>0.14852741492184118</v>
      </c>
      <c r="S14" s="105">
        <f t="shared" ca="1" si="3"/>
        <v>0.11966430380040838</v>
      </c>
      <c r="T14" s="105">
        <f t="shared" ref="T14" ca="1" si="4">T13/S13-1</f>
        <v>4.6331344595791579E-2</v>
      </c>
      <c r="U14" s="105">
        <f t="shared" ref="U14" ca="1" si="5">U13/T13-1</f>
        <v>0.24439017183352862</v>
      </c>
      <c r="V14" s="105">
        <f t="shared" ref="V14:W14" ca="1" si="6">V13/U13-1</f>
        <v>7.665524334746654E-2</v>
      </c>
      <c r="W14" s="105">
        <f t="shared" ca="1" si="6"/>
        <v>6.6799166174693392E-2</v>
      </c>
    </row>
    <row r="15" spans="1:23" s="97" customFormat="1" x14ac:dyDescent="0.4">
      <c r="A15" s="98" t="s">
        <v>2183</v>
      </c>
      <c r="B15" s="99"/>
      <c r="C15" s="99"/>
      <c r="D15" s="99"/>
      <c r="E15" s="99"/>
      <c r="F15" s="99"/>
      <c r="G15" s="99"/>
      <c r="H15" s="99"/>
      <c r="I15" s="99"/>
      <c r="J15" s="113"/>
      <c r="K15" s="113"/>
      <c r="L15" s="113"/>
      <c r="M15" s="113"/>
      <c r="N15" s="113"/>
      <c r="O15" s="113"/>
      <c r="P15" s="113"/>
      <c r="Q15" s="113"/>
      <c r="R15" s="113"/>
      <c r="S15" s="113"/>
      <c r="T15" s="113"/>
    </row>
    <row r="16" spans="1:23" x14ac:dyDescent="0.4">
      <c r="A16" s="101"/>
      <c r="B16" s="101" t="s">
        <v>1730</v>
      </c>
      <c r="C16" s="101"/>
      <c r="D16" s="101"/>
      <c r="E16" s="101"/>
      <c r="F16" s="101"/>
      <c r="G16" s="101"/>
      <c r="H16" s="101"/>
      <c r="I16" s="101"/>
      <c r="J16" s="102">
        <f ca="1">NPV(T24,O13:W13)+N13</f>
        <v>57513.924791245227</v>
      </c>
      <c r="K16" s="114"/>
      <c r="L16" s="115"/>
      <c r="M16" s="115"/>
      <c r="N16" s="115"/>
      <c r="O16" s="115"/>
      <c r="P16" s="115"/>
      <c r="Q16" s="115"/>
      <c r="R16" s="116" t="s">
        <v>189</v>
      </c>
      <c r="S16" s="115"/>
      <c r="T16" s="117">
        <v>0.15</v>
      </c>
    </row>
    <row r="17" spans="1:21" x14ac:dyDescent="0.4">
      <c r="A17" s="101"/>
      <c r="B17" s="101" t="s">
        <v>2184</v>
      </c>
      <c r="C17" s="101"/>
      <c r="D17" s="101"/>
      <c r="E17" s="101"/>
      <c r="F17" s="101"/>
      <c r="G17" s="101"/>
      <c r="H17" s="101"/>
      <c r="I17" s="101"/>
      <c r="J17" s="102">
        <f ca="1">W13*(1+T25)/(T24-T25)</f>
        <v>146477.42765456659</v>
      </c>
      <c r="K17" s="115"/>
      <c r="L17" s="115"/>
      <c r="M17" s="115"/>
      <c r="N17" s="115"/>
      <c r="O17" s="115"/>
      <c r="P17" s="115"/>
      <c r="Q17" s="115"/>
      <c r="R17" s="116" t="s">
        <v>1731</v>
      </c>
      <c r="S17" s="115"/>
      <c r="T17" s="117">
        <v>0.3</v>
      </c>
      <c r="U17" s="118"/>
    </row>
    <row r="18" spans="1:21" x14ac:dyDescent="0.4">
      <c r="A18" s="101"/>
      <c r="B18" s="101" t="s">
        <v>2185</v>
      </c>
      <c r="C18" s="101"/>
      <c r="D18" s="101"/>
      <c r="E18" s="101"/>
      <c r="F18" s="101"/>
      <c r="G18" s="101"/>
      <c r="H18" s="101"/>
      <c r="I18" s="101"/>
      <c r="J18" s="102">
        <f ca="1">J17/(1+T24)^9</f>
        <v>65416.423377102721</v>
      </c>
      <c r="K18" s="115"/>
      <c r="L18" s="115"/>
      <c r="M18" s="115"/>
      <c r="N18" s="115"/>
      <c r="O18" s="115"/>
      <c r="P18" s="115"/>
      <c r="Q18" s="115"/>
      <c r="R18" s="116" t="s">
        <v>1732</v>
      </c>
      <c r="S18" s="115"/>
      <c r="T18" s="119">
        <v>1.4</v>
      </c>
      <c r="U18" s="120"/>
    </row>
    <row r="19" spans="1:21" x14ac:dyDescent="0.4">
      <c r="A19" s="101"/>
      <c r="B19" s="101" t="s">
        <v>2186</v>
      </c>
      <c r="C19" s="101"/>
      <c r="D19" s="101"/>
      <c r="E19" s="101"/>
      <c r="F19" s="101"/>
      <c r="G19" s="101"/>
      <c r="H19" s="101"/>
      <c r="I19" s="101"/>
      <c r="J19" s="102">
        <f ca="1">J16+J18</f>
        <v>122930.34816834795</v>
      </c>
      <c r="K19" s="115"/>
      <c r="L19" s="115"/>
      <c r="M19" s="115"/>
      <c r="N19" s="115"/>
      <c r="O19" s="115"/>
      <c r="P19" s="115"/>
      <c r="Q19" s="115"/>
      <c r="R19" s="116" t="s">
        <v>1733</v>
      </c>
      <c r="S19" s="115"/>
      <c r="T19" s="117">
        <v>4.2000000000000003E-2</v>
      </c>
    </row>
    <row r="20" spans="1:21" x14ac:dyDescent="0.4">
      <c r="A20" s="101"/>
      <c r="B20" s="101" t="s">
        <v>2187</v>
      </c>
      <c r="C20" s="101"/>
      <c r="D20" s="101"/>
      <c r="E20" s="101"/>
      <c r="F20" s="101"/>
      <c r="G20" s="101"/>
      <c r="H20" s="101"/>
      <c r="I20" s="101"/>
      <c r="J20" s="102">
        <f ca="1">-BS!X80-BS!X100</f>
        <v>-60750.495012612097</v>
      </c>
      <c r="K20" s="102"/>
      <c r="L20" s="102"/>
      <c r="M20" s="115"/>
      <c r="N20" s="115"/>
      <c r="O20" s="115"/>
      <c r="P20" s="115"/>
      <c r="Q20" s="115"/>
      <c r="R20" s="116" t="s">
        <v>2188</v>
      </c>
      <c r="S20" s="115"/>
      <c r="T20" s="117">
        <v>0.05</v>
      </c>
    </row>
    <row r="21" spans="1:21" x14ac:dyDescent="0.4">
      <c r="A21" s="101"/>
      <c r="B21" s="101" t="s">
        <v>2189</v>
      </c>
      <c r="C21" s="111"/>
      <c r="D21" s="101"/>
      <c r="E21" s="101"/>
      <c r="F21" s="101"/>
      <c r="G21" s="101"/>
      <c r="H21" s="101"/>
      <c r="I21" s="101"/>
      <c r="J21" s="102">
        <f ca="1">J19+J20</f>
        <v>62179.853155735851</v>
      </c>
      <c r="K21" s="115"/>
      <c r="L21" s="115"/>
      <c r="M21" s="115"/>
      <c r="N21" s="115"/>
      <c r="O21" s="115"/>
      <c r="P21" s="115"/>
      <c r="Q21" s="115"/>
      <c r="R21" s="116" t="s">
        <v>1734</v>
      </c>
      <c r="S21" s="115"/>
      <c r="T21" s="121">
        <f>T19+T20*T18</f>
        <v>0.11199999999999999</v>
      </c>
      <c r="U21" s="118"/>
    </row>
    <row r="22" spans="1:21" x14ac:dyDescent="0.4">
      <c r="A22" s="101"/>
      <c r="B22" s="122" t="s">
        <v>2190</v>
      </c>
      <c r="C22" s="122"/>
      <c r="D22" s="123"/>
      <c r="E22" s="123"/>
      <c r="F22" s="123"/>
      <c r="G22" s="123"/>
      <c r="H22" s="123"/>
      <c r="I22" s="123"/>
      <c r="J22" s="124">
        <f ca="1">J21/BS!$X$89</f>
        <v>11.771545297589903</v>
      </c>
      <c r="K22" s="115"/>
      <c r="L22" s="115"/>
      <c r="M22" s="115"/>
      <c r="N22" s="115"/>
      <c r="O22" s="115"/>
      <c r="P22" s="115"/>
      <c r="Q22" s="115"/>
      <c r="R22" s="116" t="s">
        <v>1735</v>
      </c>
      <c r="S22" s="115"/>
      <c r="T22" s="117">
        <v>0.06</v>
      </c>
      <c r="U22" s="118"/>
    </row>
    <row r="23" spans="1:21" x14ac:dyDescent="0.4">
      <c r="A23" s="101"/>
      <c r="B23" s="123"/>
      <c r="C23" s="123"/>
      <c r="D23" s="123"/>
      <c r="E23" s="123"/>
      <c r="F23" s="123"/>
      <c r="G23" s="123"/>
      <c r="H23" s="123"/>
      <c r="I23" s="123"/>
      <c r="J23" s="125"/>
      <c r="K23" s="115"/>
      <c r="L23" s="115"/>
      <c r="M23" s="115"/>
      <c r="N23" s="115"/>
      <c r="O23" s="115"/>
      <c r="P23" s="115"/>
      <c r="Q23" s="115"/>
      <c r="R23" s="116" t="s">
        <v>1736</v>
      </c>
      <c r="S23" s="115"/>
      <c r="T23" s="121">
        <f>T22*(1-T16)</f>
        <v>5.0999999999999997E-2</v>
      </c>
      <c r="U23" s="118"/>
    </row>
    <row r="24" spans="1:21" x14ac:dyDescent="0.4">
      <c r="A24" s="101"/>
      <c r="B24" s="101"/>
      <c r="C24" s="101"/>
      <c r="D24" s="101"/>
      <c r="E24" s="101"/>
      <c r="F24" s="101"/>
      <c r="G24" s="101"/>
      <c r="H24" s="101"/>
      <c r="I24" s="101"/>
      <c r="J24" s="115"/>
      <c r="K24" s="115"/>
      <c r="L24" s="115"/>
      <c r="M24" s="115"/>
      <c r="N24" s="115"/>
      <c r="O24" s="115"/>
      <c r="P24" s="115"/>
      <c r="Q24" s="115"/>
      <c r="R24" s="116" t="s">
        <v>1142</v>
      </c>
      <c r="S24" s="115"/>
      <c r="T24" s="121">
        <f>T23*T17+T21*(1-T17)</f>
        <v>9.3699999999999978E-2</v>
      </c>
      <c r="U24" s="126"/>
    </row>
    <row r="25" spans="1:21" x14ac:dyDescent="0.4">
      <c r="A25" s="101"/>
      <c r="B25" s="101"/>
      <c r="C25" s="101"/>
      <c r="D25" s="101"/>
      <c r="E25" s="101"/>
      <c r="F25" s="101"/>
      <c r="G25" s="101"/>
      <c r="H25" s="101"/>
      <c r="I25" s="101"/>
      <c r="J25" s="115"/>
      <c r="K25" s="115"/>
      <c r="L25" s="115"/>
      <c r="M25" s="115"/>
      <c r="N25" s="115"/>
      <c r="O25" s="115"/>
      <c r="P25" s="115"/>
      <c r="Q25" s="115"/>
      <c r="R25" s="116" t="s">
        <v>2191</v>
      </c>
      <c r="S25" s="115"/>
      <c r="T25" s="117">
        <v>5.0000000000000001E-3</v>
      </c>
    </row>
    <row r="26" spans="1:21" x14ac:dyDescent="0.4">
      <c r="A26" s="101"/>
      <c r="B26" s="101"/>
      <c r="C26" s="101"/>
      <c r="D26" s="101"/>
      <c r="E26" s="101"/>
      <c r="F26" s="101"/>
      <c r="G26" s="101"/>
      <c r="H26" s="101"/>
      <c r="I26" s="101"/>
      <c r="J26" s="115"/>
      <c r="K26" s="115"/>
      <c r="L26" s="115"/>
      <c r="M26" s="115"/>
      <c r="N26" s="115"/>
      <c r="O26" s="116"/>
      <c r="P26" s="115"/>
      <c r="Q26" s="106"/>
      <c r="R26" s="115"/>
      <c r="S26" s="101"/>
      <c r="T26" s="101"/>
    </row>
    <row r="27" spans="1:21" x14ac:dyDescent="0.4">
      <c r="A27" s="101"/>
      <c r="B27" s="101"/>
      <c r="C27" s="101"/>
      <c r="D27" s="101"/>
      <c r="E27" s="101"/>
      <c r="F27" s="101"/>
      <c r="G27" s="101"/>
      <c r="H27" s="101"/>
      <c r="I27" s="101"/>
      <c r="J27" s="115"/>
      <c r="K27" s="115"/>
      <c r="L27" s="115"/>
      <c r="M27" s="115"/>
      <c r="N27" s="115"/>
      <c r="O27" s="115"/>
      <c r="P27" s="115"/>
      <c r="Q27" s="115"/>
      <c r="R27" s="115"/>
      <c r="S27" s="101"/>
      <c r="T27" s="101"/>
    </row>
    <row r="28" spans="1:21" s="97" customFormat="1" x14ac:dyDescent="0.4">
      <c r="G28" s="98" t="s">
        <v>2192</v>
      </c>
      <c r="H28" s="99"/>
      <c r="I28" s="99"/>
      <c r="J28" s="113"/>
      <c r="K28" s="113"/>
      <c r="L28" s="113"/>
      <c r="M28" s="113"/>
      <c r="N28" s="113"/>
      <c r="O28" s="113"/>
      <c r="P28" s="113"/>
      <c r="Q28" s="113"/>
      <c r="R28" s="113"/>
      <c r="S28" s="127"/>
      <c r="T28" s="127"/>
    </row>
    <row r="29" spans="1:21" s="101" customFormat="1" x14ac:dyDescent="0.4">
      <c r="G29" s="1743" t="s">
        <v>2193</v>
      </c>
      <c r="H29" s="1743"/>
      <c r="I29" s="1744"/>
      <c r="J29" s="128">
        <f>K29-0.5%</f>
        <v>-1.4999999999999999E-2</v>
      </c>
      <c r="K29" s="128">
        <f>L29-0.5%</f>
        <v>-0.01</v>
      </c>
      <c r="L29" s="128">
        <f>M29-0.5%</f>
        <v>-5.0000000000000001E-3</v>
      </c>
      <c r="M29" s="128">
        <f>N29-0.5%</f>
        <v>0</v>
      </c>
      <c r="N29" s="129">
        <f>T25</f>
        <v>5.0000000000000001E-3</v>
      </c>
      <c r="O29" s="128">
        <f>N29+0.5%</f>
        <v>0.01</v>
      </c>
      <c r="P29" s="128">
        <f>O29+0.5%</f>
        <v>1.4999999999999999E-2</v>
      </c>
      <c r="Q29" s="128">
        <f>P29+0.5%</f>
        <v>0.02</v>
      </c>
      <c r="R29" s="128">
        <f>Q29+0.5%</f>
        <v>2.5000000000000001E-2</v>
      </c>
    </row>
    <row r="30" spans="1:21" s="101" customFormat="1" x14ac:dyDescent="0.4">
      <c r="G30" s="1745" t="s">
        <v>2194</v>
      </c>
      <c r="H30" s="1746"/>
      <c r="I30" s="130">
        <f>I31-0.5%</f>
        <v>7.8699999999999964E-2</v>
      </c>
      <c r="J30" s="1609">
        <f ca="1">(NPV($I30,$O$13:$W$13)+$N$13+($W$13*(1+J$29)/($I30-J$29))/(1+$I30)^9+$J$20)/BS!$X$88</f>
        <v>13.099937668628964</v>
      </c>
      <c r="K30" s="1609">
        <f ca="1">(NPV($I30,$O$13:$W$13)+$N$13+($W$13*(1+K$29)/($I30-K$29))/(1+$I30)^9+$J$20)/BS!$X$88</f>
        <v>13.903118643064156</v>
      </c>
      <c r="L30" s="1609">
        <f ca="1">(NPV($I30,$O$13:$W$13)+$N$13+($W$13*(1+L$29)/($I30-L$29))/(1+$I30)^9+$J$20)/BS!$X$88</f>
        <v>14.802259112652891</v>
      </c>
      <c r="M30" s="1609">
        <f ca="1">(NPV($I30,$O$13:$W$13)+$N$13+($W$13*(1+M$29)/($I30-M$29))/(1+$I30)^9+$J$20)/BS!$X$88</f>
        <v>15.815648688923808</v>
      </c>
      <c r="N30" s="1609">
        <f ca="1">(NPV($I30,$O$13:$W$13)+$N$13+($W$13*(1+N$29)/($I30-N$29))/(1+$I30)^9+$J$20)/BS!$X$88</f>
        <v>16.966540242979107</v>
      </c>
      <c r="O30" s="1609">
        <f ca="1">(NPV($I30,$O$13:$W$13)+$N$13+($W$13*(1+O$29)/($I30-O$29))/(1+$I30)^9+$J$20)/BS!$X$88</f>
        <v>18.284956040710579</v>
      </c>
      <c r="P30" s="1609">
        <f ca="1">(NPV($I30,$O$13:$W$13)+$N$13+($W$13*(1+P$29)/($I30-P$29))/(1+$I30)^9+$J$20)/BS!$X$88</f>
        <v>19.810344491147148</v>
      </c>
      <c r="Q30" s="1609">
        <f ca="1">(NPV($I30,$O$13:$W$13)+$N$13+($W$13*(1+Q$29)/($I30-Q$29))/(1+$I30)^9+$J$20)/BS!$X$88</f>
        <v>21.595594687825045</v>
      </c>
      <c r="R30" s="1609">
        <f ca="1">(NPV($I30,$O$13:$W$13)+$N$13+($W$13*(1+R$29)/($I30-R$29))/(1+$I30)^9+$J$20)/BS!$X$88</f>
        <v>23.713293710699933</v>
      </c>
    </row>
    <row r="31" spans="1:21" x14ac:dyDescent="0.4">
      <c r="C31" s="96"/>
      <c r="G31" s="1747"/>
      <c r="H31" s="1748"/>
      <c r="I31" s="132">
        <f>I32-0.5%</f>
        <v>8.3699999999999969E-2</v>
      </c>
      <c r="J31" s="1609">
        <f ca="1">(NPV($I31,$O$13:$W$13)+$N$13+($W$13*(1+J$29)/($I31-J$29))/(1+$I31)^9+$J$20)/BS!$X$88</f>
        <v>11.695309227995509</v>
      </c>
      <c r="K31" s="1609">
        <f ca="1">(NPV($I31,$O$13:$W$13)+$N$13+($W$13*(1+K$29)/($I31-K$29))/(1+$I31)^9+$J$20)/BS!$X$88</f>
        <v>12.390898255315632</v>
      </c>
      <c r="L31" s="1615">
        <f ca="1">(NPV($I31,$O$13:$W$13)+$N$13+($W$13*(1+L$29)/($I31-L$29))/(1+$I31)^9+$J$20)/BS!$X$88</f>
        <v>13.164907691578268</v>
      </c>
      <c r="M31" s="1615">
        <f ca="1">(NPV($I31,$O$13:$W$13)+$N$13+($W$13*(1+M$29)/($I31-M$29))/(1+$I31)^9+$J$20)/BS!$X$88</f>
        <v>14.031391373511472</v>
      </c>
      <c r="N31" s="1615">
        <f ca="1">(NPV($I31,$O$13:$W$13)+$N$13+($W$13*(1+N$29)/($I31-N$29))/(1+$I31)^9+$J$20)/BS!$X$88</f>
        <v>15.007974633835174</v>
      </c>
      <c r="O31" s="1615">
        <f ca="1">(NPV($I31,$O$13:$W$13)+$N$13+($W$13*(1+O$29)/($I31-O$29))/(1+$I31)^9+$J$20)/BS!$X$88</f>
        <v>16.117065799223148</v>
      </c>
      <c r="P31" s="1615">
        <f ca="1">(NPV($I31,$O$13:$W$13)+$N$13+($W$13*(1+P$29)/($I31-P$29))/(1+$I31)^9+$J$20)/BS!$X$88</f>
        <v>17.387596726676325</v>
      </c>
      <c r="Q31" s="1609">
        <f ca="1">(NPV($I31,$O$13:$W$13)+$N$13+($W$13*(1+Q$29)/($I31-Q$29))/(1+$I31)^9+$J$20)/BS!$X$88</f>
        <v>18.857583058753242</v>
      </c>
      <c r="R31" s="1609">
        <f ca="1">(NPV($I31,$O$13:$W$13)+$N$13+($W$13*(1+R$29)/($I31-R$29))/(1+$I31)^9+$J$20)/BS!$X$88</f>
        <v>20.577992956771702</v>
      </c>
      <c r="S31" s="101"/>
      <c r="T31" s="101"/>
    </row>
    <row r="32" spans="1:21" x14ac:dyDescent="0.4">
      <c r="G32" s="1747"/>
      <c r="H32" s="1748"/>
      <c r="I32" s="132">
        <f>I33-0.5%</f>
        <v>8.8699999999999973E-2</v>
      </c>
      <c r="J32" s="1609">
        <f ca="1">(NPV($I32,$O$13:$W$13)+$N$13+($W$13*(1+J$29)/($I32-J$29))/(1+$I32)^9+$J$20)/BS!$X$88</f>
        <v>10.432538623612341</v>
      </c>
      <c r="K32" s="1609">
        <f ca="1">(NPV($I32,$O$13:$W$13)+$N$13+($W$13*(1+K$29)/($I32-K$29))/(1+$I32)^9+$J$20)/BS!$X$88</f>
        <v>11.038326197385771</v>
      </c>
      <c r="L32" s="1615">
        <f ca="1">(NPV($I32,$O$13:$W$13)+$N$13+($W$13*(1+L$29)/($I32-L$29))/(1+$I32)^9+$J$20)/BS!$X$88</f>
        <v>11.708765593333524</v>
      </c>
      <c r="M32" s="1615">
        <f ca="1">(NPV($I32,$O$13:$W$13)+$N$13+($W$13*(1+M$29)/($I32-M$29))/(1+$I32)^9+$J$20)/BS!$X$88</f>
        <v>12.454790039557238</v>
      </c>
      <c r="N32" s="1615">
        <f ca="1">(NPV($I32,$O$13:$W$13)+$N$13+($W$13*(1+N$29)/($I32-N$29))/(1+$I32)^9+$J$20)/BS!$X$88</f>
        <v>13.289945243991669</v>
      </c>
      <c r="O32" s="1615">
        <f ca="1">(NPV($I32,$O$13:$W$13)+$N$13+($W$13*(1+O$29)/($I32-O$29))/(1+$I32)^9+$J$20)/BS!$X$88</f>
        <v>14.231219279993379</v>
      </c>
      <c r="P32" s="1615">
        <f ca="1">(NPV($I32,$O$13:$W$13)+$N$13+($W$13*(1+P$29)/($I32-P$29))/(1+$I32)^9+$J$20)/BS!$X$88</f>
        <v>15.300210281531264</v>
      </c>
      <c r="Q32" s="1609">
        <f ca="1">(NPV($I32,$O$13:$W$13)+$N$13+($W$13*(1+Q$29)/($I32-Q$29))/(1+$I32)^9+$J$20)/BS!$X$88</f>
        <v>16.524804048940766</v>
      </c>
      <c r="R32" s="1609">
        <f ca="1">(NPV($I32,$O$13:$W$13)+$N$13+($W$13*(1+R$29)/($I32-R$29))/(1+$I32)^9+$J$20)/BS!$X$88</f>
        <v>17.941641735880779</v>
      </c>
      <c r="S32" s="101"/>
      <c r="T32" s="101"/>
    </row>
    <row r="33" spans="3:20" x14ac:dyDescent="0.4">
      <c r="G33" s="1747"/>
      <c r="H33" s="1748"/>
      <c r="I33" s="133">
        <f>T24</f>
        <v>9.3699999999999978E-2</v>
      </c>
      <c r="J33" s="1609">
        <f ca="1">(NPV($I33,$O$13:$W$13)+$N$13+($W$13*(1+J$29)/($I33-J$29))/(1+$I33)^9+$J$20)/BS!$X$88</f>
        <v>9.2918222216210733</v>
      </c>
      <c r="K33" s="1609">
        <f ca="1">(NPV($I33,$O$13:$W$13)+$N$13+($W$13*(1+K$29)/($I33-K$29))/(1+$I33)^9+$J$20)/BS!$X$88</f>
        <v>9.8220812303926159</v>
      </c>
      <c r="L33" s="1615">
        <f ca="1">(NPV($I33,$O$13:$W$13)+$N$13+($W$13*(1+L$29)/($I33-L$29))/(1+$I33)^9+$J$20)/BS!$X$88</f>
        <v>10.406064556162283</v>
      </c>
      <c r="M33" s="1615">
        <f ca="1">(NPV($I33,$O$13:$W$13)+$N$13+($W$13*(1+M$29)/($I33-M$29))/(1+$I33)^9+$J$20)/BS!$X$88</f>
        <v>11.052372676571197</v>
      </c>
      <c r="N33" s="1615">
        <f ca="1">(NPV($I33,$O$13:$W$13)+$N$13+($W$13*(1+N$29)/($I33-N$29))/(1+$I33)^9+$J$20)/BS!$X$88</f>
        <v>11.771545297589903</v>
      </c>
      <c r="O33" s="1615">
        <f ca="1">(NPV($I33,$O$13:$W$13)+$N$13+($W$13*(1+O$29)/($I33-O$29))/(1+$I33)^9+$J$20)/BS!$X$88</f>
        <v>12.576640573449554</v>
      </c>
      <c r="P33" s="1615">
        <f ca="1">(NPV($I33,$O$13:$W$13)+$N$13+($W$13*(1+P$29)/($I33-P$29))/(1+$I33)^9+$J$20)/BS!$X$88</f>
        <v>13.484035121972436</v>
      </c>
      <c r="Q33" s="1609">
        <f ca="1">(NPV($I33,$O$13:$W$13)+$N$13+($W$13*(1+Q$29)/($I33-Q$29))/(1+$I33)^9+$J$20)/BS!$X$88</f>
        <v>14.514549690647685</v>
      </c>
      <c r="R33" s="1609">
        <f ca="1">(NPV($I33,$O$13:$W$13)+$N$13+($W$13*(1+R$29)/($I33-R$29))/(1+$I33)^9+$J$20)/BS!$X$88</f>
        <v>15.695066379945231</v>
      </c>
      <c r="S33" s="101"/>
      <c r="T33" s="101"/>
    </row>
    <row r="34" spans="3:20" x14ac:dyDescent="0.4">
      <c r="G34" s="1747"/>
      <c r="H34" s="1748"/>
      <c r="I34" s="132">
        <f>I33+0.5%</f>
        <v>9.8699999999999982E-2</v>
      </c>
      <c r="J34" s="1609">
        <f ca="1">(NPV($I34,$O$13:$W$13)+$N$13+($W$13*(1+J$29)/($I34-J$29))/(1+$I34)^9+$J$20)/BS!$X$88</f>
        <v>8.2568491756824134</v>
      </c>
      <c r="K34" s="1609">
        <f ca="1">(NPV($I34,$O$13:$W$13)+$N$13+($W$13*(1+K$29)/($I34-K$29))/(1+$I34)^9+$J$20)/BS!$X$88</f>
        <v>8.7231423391721208</v>
      </c>
      <c r="L34" s="1615">
        <f ca="1">(NPV($I34,$O$13:$W$13)+$N$13+($W$13*(1+L$29)/($I34-L$29))/(1+$I34)^9+$J$20)/BS!$X$88</f>
        <v>9.234401092197956</v>
      </c>
      <c r="M34" s="1615">
        <f ca="1">(NPV($I34,$O$13:$W$13)+$N$13+($W$13*(1+M$29)/($I34-M$29))/(1+$I34)^9+$J$20)/BS!$X$88</f>
        <v>9.7974591109812188</v>
      </c>
      <c r="N34" s="1615">
        <f ca="1">(NPV($I34,$O$13:$W$13)+$N$13+($W$13*(1+N$29)/($I34-N$29))/(1+$I34)^9+$J$20)/BS!$X$88</f>
        <v>10.420608700605817</v>
      </c>
      <c r="O34" s="1615">
        <f ca="1">(NPV($I34,$O$13:$W$13)+$N$13+($W$13*(1+O$29)/($I34-O$29))/(1+$I34)^9+$J$20)/BS!$X$88</f>
        <v>11.114011908000945</v>
      </c>
      <c r="P34" s="1615">
        <f ca="1">(NPV($I34,$O$13:$W$13)+$N$13+($W$13*(1+P$29)/($I34-P$29))/(1+$I34)^9+$J$20)/BS!$X$88</f>
        <v>11.890258987247341</v>
      </c>
      <c r="Q34" s="1609">
        <f ca="1">(NPV($I34,$O$13:$W$13)+$N$13+($W$13*(1+Q$29)/($I34-Q$29))/(1+$I34)^9+$J$20)/BS!$X$88</f>
        <v>12.765139748735976</v>
      </c>
      <c r="R34" s="1609">
        <f ca="1">(NPV($I34,$O$13:$W$13)+$N$13+($W$13*(1+R$29)/($I34-R$29))/(1+$I34)^9+$J$20)/BS!$X$88</f>
        <v>13.758728890345177</v>
      </c>
      <c r="S34" s="101"/>
      <c r="T34" s="101"/>
    </row>
    <row r="35" spans="3:20" x14ac:dyDescent="0.4">
      <c r="G35" s="1747"/>
      <c r="H35" s="1748"/>
      <c r="I35" s="132">
        <f>I34+0.5%</f>
        <v>0.10369999999999999</v>
      </c>
      <c r="J35" s="1609">
        <f ca="1">(NPV($I35,$O$13:$W$13)+$N$13+($W$13*(1+J$29)/($I35-J$29))/(1+$I35)^9+$J$20)/BS!$X$88</f>
        <v>7.3140653688830959</v>
      </c>
      <c r="K35" s="1609">
        <f ca="1">(NPV($I35,$O$13:$W$13)+$N$13+($W$13*(1+K$29)/($I35-K$29))/(1+$I35)^9+$J$20)/BS!$X$88</f>
        <v>7.725842789628615</v>
      </c>
      <c r="L35" s="1615">
        <f ca="1">(NPV($I35,$O$13:$W$13)+$N$13+($W$13*(1+L$29)/($I35-L$29))/(1+$I35)^9+$J$20)/BS!$X$88</f>
        <v>8.1755022178024266</v>
      </c>
      <c r="M35" s="1615">
        <f ca="1">(NPV($I35,$O$13:$W$13)+$N$13+($W$13*(1+M$29)/($I35-M$29))/(1+$I35)^9+$J$20)/BS!$X$88</f>
        <v>8.6685232108917418</v>
      </c>
      <c r="N35" s="1615">
        <f ca="1">(NPV($I35,$O$13:$W$13)+$N$13+($W$13*(1+N$29)/($I35-N$29))/(1+$I35)^9+$J$20)/BS!$X$88</f>
        <v>9.211495672379165</v>
      </c>
      <c r="O35" s="1615">
        <f ca="1">(NPV($I35,$O$13:$W$13)+$N$13+($W$13*(1+O$29)/($I35-O$29))/(1+$I35)^9+$J$20)/BS!$X$88</f>
        <v>9.8124161020082568</v>
      </c>
      <c r="P35" s="1615">
        <f ca="1">(NPV($I35,$O$13:$W$13)+$N$13+($W$13*(1+P$29)/($I35-P$29))/(1+$I35)^9+$J$20)/BS!$X$88</f>
        <v>10.481084043433183</v>
      </c>
      <c r="Q35" s="1609">
        <f ca="1">(NPV($I35,$O$13:$W$13)+$N$13+($W$13*(1+Q$29)/($I35-Q$29))/(1+$I35)^9+$J$20)/BS!$X$88</f>
        <v>11.229640627800164</v>
      </c>
      <c r="R35" s="1609">
        <f ca="1">(NPV($I35,$O$13:$W$13)+$N$13+($W$13*(1+R$29)/($I35-R$29))/(1+$I35)^9+$J$20)/BS!$X$88</f>
        <v>12.073312407131175</v>
      </c>
      <c r="S35" s="101"/>
      <c r="T35" s="101"/>
    </row>
    <row r="36" spans="3:20" s="101" customFormat="1" x14ac:dyDescent="0.4">
      <c r="G36" s="1747"/>
      <c r="H36" s="1748"/>
      <c r="I36" s="132">
        <f>I35+0.5%</f>
        <v>0.10869999999999999</v>
      </c>
      <c r="J36" s="1609">
        <f ca="1">(NPV($I36,$O$13:$W$13)+$N$13+($W$13*(1+J$29)/($I36-J$29))/(1+$I36)^9+$J$20)/BS!$X$88</f>
        <v>6.452115887485613</v>
      </c>
      <c r="K36" s="1609">
        <f ca="1">(NPV($I36,$O$13:$W$13)+$N$13+($W$13*(1+K$29)/($I36-K$29))/(1+$I36)^9+$J$20)/BS!$X$88</f>
        <v>6.8171632829792816</v>
      </c>
      <c r="L36" s="1609">
        <f ca="1">(NPV($I36,$O$13:$W$13)+$N$13+($W$13*(1+L$29)/($I36-L$29))/(1+$I36)^9+$J$20)/BS!$X$88</f>
        <v>7.2143168698092373</v>
      </c>
      <c r="M36" s="1609">
        <f ca="1">(NPV($I36,$O$13:$W$13)+$N$13+($W$13*(1+M$29)/($I36-M$29))/(1+$I36)^9+$J$20)/BS!$X$88</f>
        <v>7.648007125160813</v>
      </c>
      <c r="N36" s="1609">
        <f ca="1">(NPV($I36,$O$13:$W$13)+$N$13+($W$13*(1+N$29)/($I36-N$29))/(1+$I36)^9+$J$20)/BS!$X$88</f>
        <v>8.1235190059079123</v>
      </c>
      <c r="O36" s="1609">
        <f ca="1">(NPV($I36,$O$13:$W$13)+$N$13+($W$13*(1+O$29)/($I36-O$29))/(1+$I36)^9+$J$20)/BS!$X$88</f>
        <v>8.6472083821714332</v>
      </c>
      <c r="P36" s="1609">
        <f ca="1">(NPV($I36,$O$13:$W$13)+$N$13+($W$13*(1+P$29)/($I36-P$29))/(1+$I36)^9+$J$20)/BS!$X$88</f>
        <v>9.2267877665740698</v>
      </c>
      <c r="Q36" s="1609">
        <f ca="1">(NPV($I36,$O$13:$W$13)+$N$13+($W$13*(1+Q$29)/($I36-Q$29))/(1+$I36)^9+$J$20)/BS!$X$88</f>
        <v>9.8717086824764415</v>
      </c>
      <c r="R36" s="1609">
        <f ca="1">(NPV($I36,$O$13:$W$13)+$N$13+($W$13*(1+R$29)/($I36-R$29))/(1+$I36)^9+$J$20)/BS!$X$88</f>
        <v>10.593681081760217</v>
      </c>
    </row>
    <row r="38" spans="3:20" x14ac:dyDescent="0.4">
      <c r="C38" s="96"/>
    </row>
    <row r="39" spans="3:20" x14ac:dyDescent="0.4">
      <c r="G39" s="98" t="s">
        <v>2195</v>
      </c>
      <c r="H39" s="99"/>
      <c r="I39" s="99"/>
      <c r="J39" s="113"/>
      <c r="K39" s="113"/>
      <c r="L39" s="113"/>
      <c r="M39" s="113"/>
      <c r="N39" s="113"/>
      <c r="O39" s="113"/>
      <c r="P39" s="113"/>
      <c r="Q39" s="113"/>
      <c r="R39" s="113"/>
    </row>
    <row r="40" spans="3:20" x14ac:dyDescent="0.4">
      <c r="G40" s="1743" t="s">
        <v>2193</v>
      </c>
      <c r="H40" s="1743"/>
      <c r="I40" s="1744"/>
      <c r="J40" s="128">
        <f t="shared" ref="J40:Q40" si="7">J29</f>
        <v>-1.4999999999999999E-2</v>
      </c>
      <c r="K40" s="128">
        <f t="shared" si="7"/>
        <v>-0.01</v>
      </c>
      <c r="L40" s="128">
        <f t="shared" si="7"/>
        <v>-5.0000000000000001E-3</v>
      </c>
      <c r="M40" s="128">
        <f t="shared" si="7"/>
        <v>0</v>
      </c>
      <c r="N40" s="128">
        <f t="shared" si="7"/>
        <v>5.0000000000000001E-3</v>
      </c>
      <c r="O40" s="128">
        <f t="shared" si="7"/>
        <v>0.01</v>
      </c>
      <c r="P40" s="128">
        <f t="shared" si="7"/>
        <v>1.4999999999999999E-2</v>
      </c>
      <c r="Q40" s="128">
        <f t="shared" si="7"/>
        <v>0.02</v>
      </c>
      <c r="R40" s="128">
        <f t="shared" ref="R40" si="8">R29</f>
        <v>2.5000000000000001E-2</v>
      </c>
    </row>
    <row r="41" spans="3:20" x14ac:dyDescent="0.4">
      <c r="G41" s="1745" t="s">
        <v>2194</v>
      </c>
      <c r="H41" s="1746"/>
      <c r="I41" s="130">
        <f t="shared" ref="I41:I47" si="9">I30</f>
        <v>7.8699999999999964E-2</v>
      </c>
      <c r="J41" s="134">
        <f t="shared" ref="J41:Q47" ca="1" si="10">J30/$N$33-1</f>
        <v>0.1128477474670242</v>
      </c>
      <c r="K41" s="134">
        <f t="shared" ca="1" si="10"/>
        <v>0.18107846434661989</v>
      </c>
      <c r="L41" s="134">
        <f t="shared" ca="1" si="10"/>
        <v>0.25746099925245103</v>
      </c>
      <c r="M41" s="134">
        <f t="shared" ca="1" si="10"/>
        <v>0.34354906591251799</v>
      </c>
      <c r="N41" s="134">
        <f t="shared" ca="1" si="10"/>
        <v>0.44131801000271587</v>
      </c>
      <c r="O41" s="134">
        <f t="shared" ca="1" si="10"/>
        <v>0.55331824144228769</v>
      </c>
      <c r="P41" s="134">
        <f t="shared" ca="1" si="10"/>
        <v>0.68290092679701986</v>
      </c>
      <c r="Q41" s="134">
        <f t="shared" ca="1" si="10"/>
        <v>0.83455902703330809</v>
      </c>
      <c r="R41" s="134">
        <f t="shared" ref="R41" ca="1" si="11">R30/$N$33-1</f>
        <v>1.0144588591571724</v>
      </c>
    </row>
    <row r="42" spans="3:20" x14ac:dyDescent="0.4">
      <c r="G42" s="1747"/>
      <c r="H42" s="1748"/>
      <c r="I42" s="132">
        <f t="shared" si="9"/>
        <v>8.3699999999999969E-2</v>
      </c>
      <c r="J42" s="134">
        <f t="shared" ca="1" si="10"/>
        <v>-6.4763009160745399E-3</v>
      </c>
      <c r="K42" s="134">
        <f t="shared" ca="1" si="10"/>
        <v>5.2614414001578513E-2</v>
      </c>
      <c r="L42" s="134">
        <f t="shared" ca="1" si="10"/>
        <v>0.11836699080397217</v>
      </c>
      <c r="M42" s="134">
        <f t="shared" ca="1" si="10"/>
        <v>0.19197531154930436</v>
      </c>
      <c r="N42" s="134">
        <f t="shared" ca="1" si="10"/>
        <v>0.27493665907295073</v>
      </c>
      <c r="O42" s="134">
        <f t="shared" ca="1" si="10"/>
        <v>0.36915463448311625</v>
      </c>
      <c r="P42" s="134">
        <f t="shared" ca="1" si="10"/>
        <v>0.47708701679432419</v>
      </c>
      <c r="Q42" s="134">
        <f t="shared" ca="1" si="10"/>
        <v>0.60196325818107588</v>
      </c>
      <c r="R42" s="134">
        <f t="shared" ref="R42" ca="1" si="12">R31/$N$33-1</f>
        <v>0.74811313523848266</v>
      </c>
    </row>
    <row r="43" spans="3:20" x14ac:dyDescent="0.4">
      <c r="G43" s="1747"/>
      <c r="H43" s="1748"/>
      <c r="I43" s="132">
        <f t="shared" si="9"/>
        <v>8.8699999999999973E-2</v>
      </c>
      <c r="J43" s="134">
        <f t="shared" ca="1" si="10"/>
        <v>-0.11374943901814727</v>
      </c>
      <c r="K43" s="134">
        <f t="shared" ca="1" si="10"/>
        <v>-6.2287412711587664E-2</v>
      </c>
      <c r="L43" s="134">
        <f t="shared" ca="1" si="10"/>
        <v>-5.3331744192695041E-3</v>
      </c>
      <c r="M43" s="134">
        <f t="shared" ca="1" si="10"/>
        <v>5.8042060298338471E-2</v>
      </c>
      <c r="N43" s="134">
        <f t="shared" ca="1" si="10"/>
        <v>0.1289890076464848</v>
      </c>
      <c r="O43" s="134">
        <f t="shared" ca="1" si="10"/>
        <v>0.20895081488639122</v>
      </c>
      <c r="P43" s="134">
        <f t="shared" ca="1" si="10"/>
        <v>0.29976225675857671</v>
      </c>
      <c r="Q43" s="134">
        <f t="shared" ca="1" si="10"/>
        <v>0.40379224912162059</v>
      </c>
      <c r="R43" s="134">
        <f t="shared" ref="R43" ca="1" si="13">R32/$N$33-1</f>
        <v>0.52415348047415122</v>
      </c>
    </row>
    <row r="44" spans="3:20" x14ac:dyDescent="0.4">
      <c r="G44" s="1747"/>
      <c r="H44" s="1748"/>
      <c r="I44" s="132">
        <f t="shared" si="9"/>
        <v>9.3699999999999978E-2</v>
      </c>
      <c r="J44" s="134">
        <f t="shared" ca="1" si="10"/>
        <v>-0.21065399769361848</v>
      </c>
      <c r="K44" s="134">
        <f t="shared" ca="1" si="10"/>
        <v>-0.16560816935363776</v>
      </c>
      <c r="L44" s="134">
        <f t="shared" ca="1" si="10"/>
        <v>-0.11599842730139998</v>
      </c>
      <c r="M44" s="134">
        <f t="shared" ca="1" si="10"/>
        <v>-6.1094155681153284E-2</v>
      </c>
      <c r="N44" s="134">
        <f t="shared" ca="1" si="10"/>
        <v>0</v>
      </c>
      <c r="O44" s="134">
        <f t="shared" ca="1" si="10"/>
        <v>6.8393337960861E-2</v>
      </c>
      <c r="P44" s="134">
        <f t="shared" ca="1" si="10"/>
        <v>0.1454770619396204</v>
      </c>
      <c r="Q44" s="134">
        <f t="shared" ca="1" si="10"/>
        <v>0.23301990721807631</v>
      </c>
      <c r="R44" s="134">
        <f t="shared" ref="R44" ca="1" si="14">R33/$N$33-1</f>
        <v>0.33330552473502584</v>
      </c>
    </row>
    <row r="45" spans="3:20" x14ac:dyDescent="0.4">
      <c r="C45" s="96"/>
      <c r="G45" s="1747"/>
      <c r="H45" s="1748"/>
      <c r="I45" s="132">
        <f t="shared" si="9"/>
        <v>9.8699999999999982E-2</v>
      </c>
      <c r="J45" s="134">
        <f t="shared" ca="1" si="10"/>
        <v>-0.2985755933528188</v>
      </c>
      <c r="K45" s="134">
        <f t="shared" ca="1" si="10"/>
        <v>-0.25896370284043413</v>
      </c>
      <c r="L45" s="134">
        <f t="shared" ca="1" si="10"/>
        <v>-0.21553195789098312</v>
      </c>
      <c r="M45" s="134">
        <f t="shared" ca="1" si="10"/>
        <v>-0.16769983351402951</v>
      </c>
      <c r="N45" s="134">
        <f t="shared" ca="1" si="10"/>
        <v>-0.11476289330175504</v>
      </c>
      <c r="O45" s="134">
        <f t="shared" ca="1" si="10"/>
        <v>-5.5857865128682849E-2</v>
      </c>
      <c r="P45" s="134">
        <f t="shared" ca="1" si="10"/>
        <v>1.0084800818949802E-2</v>
      </c>
      <c r="Q45" s="134">
        <f t="shared" ca="1" si="10"/>
        <v>8.4406458627781067E-2</v>
      </c>
      <c r="R45" s="134">
        <f t="shared" ref="R45" ca="1" si="15">R34/$N$33-1</f>
        <v>0.16881246620714507</v>
      </c>
    </row>
    <row r="46" spans="3:20" x14ac:dyDescent="0.4">
      <c r="G46" s="1747"/>
      <c r="H46" s="1748"/>
      <c r="I46" s="132">
        <f t="shared" si="9"/>
        <v>0.10369999999999999</v>
      </c>
      <c r="J46" s="134">
        <f t="shared" ca="1" si="10"/>
        <v>-0.37866565654888384</v>
      </c>
      <c r="K46" s="134">
        <f t="shared" ca="1" si="10"/>
        <v>-0.34368491185176864</v>
      </c>
      <c r="L46" s="134">
        <f t="shared" ca="1" si="10"/>
        <v>-0.30548606736651029</v>
      </c>
      <c r="M46" s="134">
        <f t="shared" ca="1" si="10"/>
        <v>-0.26360363132047504</v>
      </c>
      <c r="N46" s="134">
        <f t="shared" ca="1" si="10"/>
        <v>-0.21747778736704015</v>
      </c>
      <c r="O46" s="134">
        <f t="shared" ca="1" si="10"/>
        <v>-0.16642922794365467</v>
      </c>
      <c r="P46" s="134">
        <f t="shared" ca="1" si="10"/>
        <v>-0.10962547580060944</v>
      </c>
      <c r="Q46" s="134">
        <f t="shared" ca="1" si="10"/>
        <v>-4.6035134393161425E-2</v>
      </c>
      <c r="R46" s="134">
        <f t="shared" ref="R46" ca="1" si="16">R35/$N$33-1</f>
        <v>2.5635301221077267E-2</v>
      </c>
    </row>
    <row r="47" spans="3:20" x14ac:dyDescent="0.4">
      <c r="G47" s="1747"/>
      <c r="H47" s="1748"/>
      <c r="I47" s="132">
        <f t="shared" si="9"/>
        <v>0.10869999999999999</v>
      </c>
      <c r="J47" s="134">
        <f t="shared" ca="1" si="10"/>
        <v>-0.45188879417499972</v>
      </c>
      <c r="K47" s="134">
        <f t="shared" ca="1" si="10"/>
        <v>-0.42087779381225143</v>
      </c>
      <c r="L47" s="134">
        <f t="shared" ca="1" si="10"/>
        <v>-0.38713935278435441</v>
      </c>
      <c r="M47" s="134">
        <f t="shared" ca="1" si="10"/>
        <v>-0.35029709933438724</v>
      </c>
      <c r="N47" s="134">
        <f t="shared" ca="1" si="10"/>
        <v>-0.30990207313128926</v>
      </c>
      <c r="O47" s="134">
        <f t="shared" ca="1" si="10"/>
        <v>-0.26541433910619572</v>
      </c>
      <c r="P47" s="134">
        <f t="shared" ca="1" si="10"/>
        <v>-0.21617871457682314</v>
      </c>
      <c r="Q47" s="134">
        <f t="shared" ca="1" si="10"/>
        <v>-0.16139228683106133</v>
      </c>
      <c r="R47" s="134">
        <f t="shared" ref="R47" ca="1" si="17">R36/$N$33-1</f>
        <v>-0.10006028826740709</v>
      </c>
    </row>
    <row r="51" spans="1:23" x14ac:dyDescent="0.4">
      <c r="A51" s="96" t="s">
        <v>2196</v>
      </c>
    </row>
    <row r="52" spans="1:23" x14ac:dyDescent="0.4">
      <c r="A52" s="96" t="s">
        <v>2197</v>
      </c>
    </row>
    <row r="53" spans="1:23" s="97" customFormat="1" x14ac:dyDescent="0.4">
      <c r="A53" s="98" t="s">
        <v>2198</v>
      </c>
      <c r="B53" s="99"/>
      <c r="C53" s="99"/>
      <c r="D53" s="99"/>
      <c r="E53" s="99"/>
      <c r="F53" s="99"/>
      <c r="G53" s="99"/>
      <c r="H53" s="99"/>
      <c r="I53" s="99"/>
      <c r="J53" s="113" t="str">
        <f t="shared" ref="J53:S53" si="18">J3</f>
        <v>2022A</v>
      </c>
      <c r="K53" s="113" t="str">
        <f t="shared" si="18"/>
        <v>2023A</v>
      </c>
      <c r="L53" s="113" t="str">
        <f t="shared" si="18"/>
        <v>2024A</v>
      </c>
      <c r="M53" s="113" t="str">
        <f t="shared" si="18"/>
        <v>2025A</v>
      </c>
      <c r="N53" s="113" t="str">
        <f t="shared" si="18"/>
        <v>2026E</v>
      </c>
      <c r="O53" s="113" t="str">
        <f t="shared" si="18"/>
        <v>2027E</v>
      </c>
      <c r="P53" s="113" t="str">
        <f t="shared" si="18"/>
        <v>2028E</v>
      </c>
      <c r="Q53" s="113" t="str">
        <f t="shared" si="18"/>
        <v>2029E</v>
      </c>
      <c r="R53" s="113" t="str">
        <f t="shared" si="18"/>
        <v>2030E</v>
      </c>
      <c r="S53" s="113" t="str">
        <f t="shared" si="18"/>
        <v>2031E</v>
      </c>
      <c r="T53" s="113" t="str">
        <f t="shared" ref="T53:W53" si="19">T3</f>
        <v>2032E</v>
      </c>
      <c r="U53" s="113" t="str">
        <f t="shared" si="19"/>
        <v>2033E</v>
      </c>
      <c r="V53" s="113" t="str">
        <f t="shared" si="19"/>
        <v>2034E</v>
      </c>
      <c r="W53" s="113" t="str">
        <f t="shared" si="19"/>
        <v>2035E</v>
      </c>
    </row>
    <row r="54" spans="1:23" x14ac:dyDescent="0.4">
      <c r="A54" s="101"/>
      <c r="B54" s="101" t="s">
        <v>1750</v>
      </c>
      <c r="C54" s="101"/>
      <c r="D54" s="101"/>
      <c r="E54" s="101"/>
      <c r="F54" s="101"/>
      <c r="G54" s="101"/>
      <c r="H54" s="101"/>
      <c r="I54" s="101"/>
      <c r="J54" s="135">
        <f t="shared" ref="J54:S54" si="20">J4</f>
        <v>101975.265</v>
      </c>
      <c r="K54" s="135">
        <f t="shared" si="20"/>
        <v>113734.01300000001</v>
      </c>
      <c r="L54" s="135">
        <f t="shared" si="20"/>
        <v>105322.671</v>
      </c>
      <c r="M54" s="135">
        <f t="shared" si="20"/>
        <v>100448.5</v>
      </c>
      <c r="N54" s="135">
        <f t="shared" si="20"/>
        <v>103560.45987128874</v>
      </c>
      <c r="O54" s="135">
        <f t="shared" si="20"/>
        <v>114194.84012038677</v>
      </c>
      <c r="P54" s="135">
        <f t="shared" si="20"/>
        <v>122886.6653509207</v>
      </c>
      <c r="Q54" s="135">
        <f t="shared" si="20"/>
        <v>134839.15722525609</v>
      </c>
      <c r="R54" s="135">
        <f t="shared" si="20"/>
        <v>146102.03773024204</v>
      </c>
      <c r="S54" s="135">
        <f t="shared" si="20"/>
        <v>156806.40735293049</v>
      </c>
      <c r="T54" s="135">
        <f t="shared" ref="T54:W54" si="21">T4</f>
        <v>167060.11399279188</v>
      </c>
      <c r="U54" s="135">
        <f t="shared" si="21"/>
        <v>176951.95428855688</v>
      </c>
      <c r="V54" s="135">
        <f t="shared" si="21"/>
        <v>186555.162794465</v>
      </c>
      <c r="W54" s="135">
        <f t="shared" si="21"/>
        <v>195930.31745728961</v>
      </c>
    </row>
    <row r="55" spans="1:23" x14ac:dyDescent="0.4">
      <c r="A55" s="101"/>
      <c r="B55" s="101"/>
      <c r="C55" s="101" t="s">
        <v>1724</v>
      </c>
      <c r="D55" s="101"/>
      <c r="E55" s="101"/>
      <c r="F55" s="101"/>
      <c r="G55" s="104"/>
      <c r="H55" s="104"/>
      <c r="I55" s="104"/>
      <c r="J55" s="136">
        <f t="shared" ref="J55:S55" si="22">J5</f>
        <v>0.31905024128046988</v>
      </c>
      <c r="K55" s="136">
        <f t="shared" si="22"/>
        <v>0.11530980576515293</v>
      </c>
      <c r="L55" s="136">
        <f t="shared" si="22"/>
        <v>-7.395625792259708E-2</v>
      </c>
      <c r="M55" s="136">
        <f t="shared" si="22"/>
        <v>-4.6278459838907882E-2</v>
      </c>
      <c r="N55" s="136">
        <f t="shared" si="22"/>
        <v>3.098065049541554E-2</v>
      </c>
      <c r="O55" s="136">
        <f t="shared" si="22"/>
        <v>0.10268764992271273</v>
      </c>
      <c r="P55" s="136">
        <f t="shared" si="22"/>
        <v>7.6113992728312541E-2</v>
      </c>
      <c r="Q55" s="136">
        <f t="shared" si="22"/>
        <v>9.7264351996234177E-2</v>
      </c>
      <c r="R55" s="136">
        <f t="shared" si="22"/>
        <v>8.3528262388726571E-2</v>
      </c>
      <c r="S55" s="136">
        <f t="shared" si="22"/>
        <v>7.3266395109783833E-2</v>
      </c>
      <c r="T55" s="136">
        <f t="shared" ref="T55:W55" si="23">T5</f>
        <v>6.5390865162690437E-2</v>
      </c>
      <c r="U55" s="136">
        <f t="shared" si="23"/>
        <v>5.9211262696682976E-2</v>
      </c>
      <c r="V55" s="136">
        <f t="shared" si="23"/>
        <v>5.4270146631147709E-2</v>
      </c>
      <c r="W55" s="136">
        <f t="shared" si="23"/>
        <v>5.0254061706957787E-2</v>
      </c>
    </row>
    <row r="56" spans="1:23" x14ac:dyDescent="0.4">
      <c r="A56" s="101"/>
      <c r="B56" s="101" t="s">
        <v>1089</v>
      </c>
      <c r="C56" s="101"/>
      <c r="D56" s="101"/>
      <c r="E56" s="101"/>
      <c r="F56" s="101"/>
      <c r="G56" s="101"/>
      <c r="H56" s="101"/>
      <c r="I56" s="101"/>
      <c r="J56" s="135">
        <f t="shared" ref="J56:S56" si="24">J6</f>
        <v>13770.103999999994</v>
      </c>
      <c r="K56" s="135">
        <f t="shared" si="24"/>
        <v>15307.856000000003</v>
      </c>
      <c r="L56" s="135">
        <f t="shared" si="24"/>
        <v>14787.550999999999</v>
      </c>
      <c r="M56" s="135">
        <f t="shared" si="24"/>
        <v>14437.139999999998</v>
      </c>
      <c r="N56" s="135">
        <f t="shared" ca="1" si="24"/>
        <v>16024.37044641974</v>
      </c>
      <c r="O56" s="135">
        <f t="shared" ca="1" si="24"/>
        <v>17294.995390272961</v>
      </c>
      <c r="P56" s="135">
        <f t="shared" ca="1" si="24"/>
        <v>18132.900872813694</v>
      </c>
      <c r="Q56" s="135">
        <f t="shared" ca="1" si="24"/>
        <v>19969.488647844424</v>
      </c>
      <c r="R56" s="135">
        <f t="shared" ca="1" si="24"/>
        <v>21686.387056707546</v>
      </c>
      <c r="S56" s="135">
        <f t="shared" ca="1" si="24"/>
        <v>23296.882242883403</v>
      </c>
      <c r="T56" s="135">
        <f t="shared" ref="T56:W56" ca="1" si="25">T6</f>
        <v>24819.189798244792</v>
      </c>
      <c r="U56" s="135">
        <f t="shared" ca="1" si="25"/>
        <v>26280.573405696301</v>
      </c>
      <c r="V56" s="135">
        <f t="shared" ca="1" si="25"/>
        <v>27676.461098790955</v>
      </c>
      <c r="W56" s="135">
        <f t="shared" ca="1" si="25"/>
        <v>29014.295549149225</v>
      </c>
    </row>
    <row r="57" spans="1:23" x14ac:dyDescent="0.4">
      <c r="A57" s="101"/>
      <c r="B57" s="101"/>
      <c r="C57" s="101" t="s">
        <v>1724</v>
      </c>
      <c r="D57" s="101"/>
      <c r="E57" s="101"/>
      <c r="F57" s="101"/>
      <c r="G57" s="104"/>
      <c r="H57" s="104"/>
      <c r="I57" s="104"/>
      <c r="J57" s="136">
        <f t="shared" ref="J57:S57" si="26">J7</f>
        <v>0.26048452952289658</v>
      </c>
      <c r="K57" s="136">
        <f t="shared" si="26"/>
        <v>0.27000525993538749</v>
      </c>
      <c r="L57" s="136">
        <f t="shared" si="26"/>
        <v>7.3888112972858133E-2</v>
      </c>
      <c r="M57" s="136">
        <f t="shared" si="26"/>
        <v>-5.6880336475598203E-2</v>
      </c>
      <c r="N57" s="136">
        <f t="shared" ca="1" si="26"/>
        <v>8.3639234543958052E-2</v>
      </c>
      <c r="O57" s="136">
        <f t="shared" ca="1" si="26"/>
        <v>0.19795162963529922</v>
      </c>
      <c r="P57" s="136">
        <f t="shared" ca="1" si="26"/>
        <v>0.13158273103109996</v>
      </c>
      <c r="Q57" s="136">
        <f t="shared" ca="1" si="26"/>
        <v>0.15463972075272414</v>
      </c>
      <c r="R57" s="136">
        <f t="shared" ca="1" si="26"/>
        <v>0.19596898526156536</v>
      </c>
      <c r="S57" s="136">
        <f t="shared" ca="1" si="26"/>
        <v>0.16662387573945958</v>
      </c>
      <c r="T57" s="136">
        <f t="shared" ref="T57:W57" ca="1" si="27">T7</f>
        <v>0.14445941287247654</v>
      </c>
      <c r="U57" s="136">
        <f t="shared" ca="1" si="27"/>
        <v>0.12807255201387902</v>
      </c>
      <c r="V57" s="136">
        <f t="shared" ca="1" si="27"/>
        <v>0.11512347194944406</v>
      </c>
      <c r="W57" s="136">
        <f t="shared" ca="1" si="27"/>
        <v>0.10402064297654912</v>
      </c>
    </row>
    <row r="58" spans="1:23" x14ac:dyDescent="0.4">
      <c r="A58" s="101"/>
      <c r="B58" s="101"/>
      <c r="C58" s="101" t="s">
        <v>1751</v>
      </c>
      <c r="D58" s="101"/>
      <c r="E58" s="101"/>
      <c r="F58" s="101"/>
      <c r="G58" s="104"/>
      <c r="H58" s="104"/>
      <c r="I58" s="104"/>
      <c r="J58" s="136">
        <f t="shared" ref="J58:S58" si="28">J8</f>
        <v>0.13503376529592734</v>
      </c>
      <c r="K58" s="136">
        <f t="shared" si="28"/>
        <v>0.13459347468905369</v>
      </c>
      <c r="L58" s="136">
        <f t="shared" si="28"/>
        <v>0.14040235458897543</v>
      </c>
      <c r="M58" s="136">
        <f t="shared" si="28"/>
        <v>0.14372678536762618</v>
      </c>
      <c r="N58" s="136">
        <f t="shared" ca="1" si="28"/>
        <v>0.15473444658642696</v>
      </c>
      <c r="O58" s="136">
        <f t="shared" ca="1" si="28"/>
        <v>0.15145163627393488</v>
      </c>
      <c r="P58" s="136">
        <f t="shared" ca="1" si="28"/>
        <v>0.14755792112213775</v>
      </c>
      <c r="Q58" s="136">
        <f t="shared" ca="1" si="28"/>
        <v>0.14809858692964326</v>
      </c>
      <c r="R58" s="136">
        <f t="shared" ca="1" si="28"/>
        <v>0.14843315941115465</v>
      </c>
      <c r="S58" s="136">
        <f t="shared" ca="1" si="28"/>
        <v>0.14857098403159108</v>
      </c>
      <c r="T58" s="136">
        <f t="shared" ref="T58:W58" ca="1" si="29">T8</f>
        <v>0.14856442513450974</v>
      </c>
      <c r="U58" s="136">
        <f t="shared" ca="1" si="29"/>
        <v>0.14851813031033481</v>
      </c>
      <c r="V58" s="136">
        <f t="shared" ca="1" si="29"/>
        <v>0.14835537480827146</v>
      </c>
      <c r="W58" s="136">
        <f t="shared" ca="1" si="29"/>
        <v>0.14808476771581808</v>
      </c>
    </row>
    <row r="59" spans="1:23" x14ac:dyDescent="0.4">
      <c r="A59" s="101"/>
      <c r="B59" s="101" t="s">
        <v>2199</v>
      </c>
      <c r="C59" s="101"/>
      <c r="D59" s="101"/>
      <c r="E59" s="101"/>
      <c r="F59" s="101"/>
      <c r="G59" s="104"/>
      <c r="H59" s="104"/>
      <c r="I59" s="104"/>
      <c r="J59" s="135">
        <f t="shared" ref="J59:S59" si="30">J9</f>
        <v>10820.002635224604</v>
      </c>
      <c r="K59" s="135">
        <f t="shared" si="30"/>
        <v>12284.366667018192</v>
      </c>
      <c r="L59" s="135">
        <f t="shared" si="30"/>
        <v>11516.398166248862</v>
      </c>
      <c r="M59" s="135">
        <f t="shared" si="30"/>
        <v>10863.768487643838</v>
      </c>
      <c r="N59" s="135">
        <f t="shared" ca="1" si="30"/>
        <v>12058.139679337182</v>
      </c>
      <c r="O59" s="135">
        <f t="shared" ca="1" si="30"/>
        <v>13014.269163753546</v>
      </c>
      <c r="P59" s="135">
        <f t="shared" ca="1" si="30"/>
        <v>13644.782629498839</v>
      </c>
      <c r="Q59" s="135">
        <f t="shared" ca="1" si="30"/>
        <v>15026.792113037183</v>
      </c>
      <c r="R59" s="135">
        <f t="shared" ca="1" si="30"/>
        <v>16318.736835516362</v>
      </c>
      <c r="S59" s="135">
        <f t="shared" ca="1" si="30"/>
        <v>17530.614454842584</v>
      </c>
      <c r="T59" s="135">
        <f t="shared" ref="T59:W59" ca="1" si="31">T9</f>
        <v>18676.131977595509</v>
      </c>
      <c r="U59" s="135">
        <f t="shared" ca="1" si="31"/>
        <v>19775.804986445666</v>
      </c>
      <c r="V59" s="135">
        <f t="shared" ca="1" si="31"/>
        <v>20826.193133442343</v>
      </c>
      <c r="W59" s="135">
        <f t="shared" ca="1" si="31"/>
        <v>21832.896936514589</v>
      </c>
    </row>
    <row r="60" spans="1:23" x14ac:dyDescent="0.4">
      <c r="A60" s="101"/>
      <c r="B60" s="106" t="s">
        <v>1725</v>
      </c>
      <c r="C60" s="106" t="s">
        <v>1752</v>
      </c>
      <c r="D60" s="106"/>
      <c r="E60" s="106"/>
      <c r="F60" s="106"/>
      <c r="G60" s="101"/>
      <c r="H60" s="101"/>
      <c r="I60" s="101"/>
      <c r="J60" s="135">
        <f t="shared" ref="J60:S60" si="32">J10</f>
        <v>587.96199999999999</v>
      </c>
      <c r="K60" s="135">
        <f t="shared" si="32"/>
        <v>731.64100000000008</v>
      </c>
      <c r="L60" s="135">
        <f t="shared" si="32"/>
        <v>765.48</v>
      </c>
      <c r="M60" s="135">
        <f t="shared" si="32"/>
        <v>1002.475</v>
      </c>
      <c r="N60" s="135">
        <f t="shared" si="32"/>
        <v>949.41469433955456</v>
      </c>
      <c r="O60" s="135">
        <f t="shared" si="32"/>
        <v>1004.5908757293512</v>
      </c>
      <c r="P60" s="135">
        <f t="shared" si="32"/>
        <v>1059.8072660803921</v>
      </c>
      <c r="Q60" s="135">
        <f t="shared" si="32"/>
        <v>1120.0331118373456</v>
      </c>
      <c r="R60" s="135">
        <f t="shared" si="32"/>
        <v>1183.3011709037319</v>
      </c>
      <c r="S60" s="135">
        <f t="shared" si="32"/>
        <v>1250.1949875892976</v>
      </c>
      <c r="T60" s="135">
        <f t="shared" ref="T60:W60" si="33">T10</f>
        <v>1319.624158345403</v>
      </c>
      <c r="U60" s="135">
        <f t="shared" si="33"/>
        <v>1391.4086301710847</v>
      </c>
      <c r="V60" s="135">
        <f t="shared" si="33"/>
        <v>1465.0028482353607</v>
      </c>
      <c r="W60" s="135">
        <f t="shared" si="33"/>
        <v>1540.1001296391535</v>
      </c>
    </row>
    <row r="61" spans="1:23" x14ac:dyDescent="0.4">
      <c r="A61" s="101"/>
      <c r="B61" s="106" t="s">
        <v>1726</v>
      </c>
      <c r="C61" s="106" t="s">
        <v>1753</v>
      </c>
      <c r="D61" s="106"/>
      <c r="E61" s="106"/>
      <c r="F61" s="106"/>
      <c r="G61" s="101"/>
      <c r="H61" s="101"/>
      <c r="I61" s="101"/>
      <c r="J61" s="135">
        <f t="shared" ref="J61:S61" si="34">J11</f>
        <v>-6972.4829999999783</v>
      </c>
      <c r="K61" s="135">
        <f t="shared" si="34"/>
        <v>-5342.6650000000081</v>
      </c>
      <c r="L61" s="135">
        <f t="shared" si="34"/>
        <v>-8369.4349999999831</v>
      </c>
      <c r="M61" s="135">
        <f t="shared" si="34"/>
        <v>-7275.4600000000064</v>
      </c>
      <c r="N61" s="135">
        <f t="shared" si="34"/>
        <v>-6226.5489732083806</v>
      </c>
      <c r="O61" s="135">
        <f t="shared" si="34"/>
        <v>-6563.0179538722732</v>
      </c>
      <c r="P61" s="135">
        <f t="shared" si="34"/>
        <v>-5918.9920523541805</v>
      </c>
      <c r="Q61" s="135">
        <f t="shared" si="34"/>
        <v>-8408.1447621812986</v>
      </c>
      <c r="R61" s="135">
        <f t="shared" si="34"/>
        <v>-8710.5001450695272</v>
      </c>
      <c r="S61" s="135">
        <f t="shared" si="34"/>
        <v>-9019.4945852906967</v>
      </c>
      <c r="T61" s="135">
        <f t="shared" ref="T61:W61" si="35">T11</f>
        <v>-9795.5431411925529</v>
      </c>
      <c r="U61" s="135">
        <f t="shared" si="35"/>
        <v>-8724.7688986985595</v>
      </c>
      <c r="V61" s="135">
        <f t="shared" si="35"/>
        <v>-8960.2697464278026</v>
      </c>
      <c r="W61" s="135">
        <f t="shared" si="35"/>
        <v>-9212.3905272268457</v>
      </c>
    </row>
    <row r="62" spans="1:23" x14ac:dyDescent="0.4">
      <c r="A62" s="101"/>
      <c r="B62" s="106" t="s">
        <v>1726</v>
      </c>
      <c r="C62" s="106" t="s">
        <v>1754</v>
      </c>
      <c r="D62" s="106"/>
      <c r="E62" s="106"/>
      <c r="F62" s="106"/>
      <c r="G62" s="101"/>
      <c r="H62" s="101"/>
      <c r="I62" s="101"/>
      <c r="J62" s="135">
        <f t="shared" ref="J62:S62" si="36">J12</f>
        <v>-875.53730119514466</v>
      </c>
      <c r="K62" s="135">
        <f t="shared" si="36"/>
        <v>-1015.6575297704101</v>
      </c>
      <c r="L62" s="135">
        <f t="shared" si="36"/>
        <v>-968.17593592756725</v>
      </c>
      <c r="M62" s="135">
        <f t="shared" si="36"/>
        <v>-838.78107426266342</v>
      </c>
      <c r="N62" s="135">
        <f t="shared" si="36"/>
        <v>-847.74685512593589</v>
      </c>
      <c r="O62" s="135">
        <f t="shared" si="36"/>
        <v>-911.68156921235334</v>
      </c>
      <c r="P62" s="135">
        <f t="shared" si="36"/>
        <v>-952.20501570161855</v>
      </c>
      <c r="Q62" s="135">
        <f t="shared" si="36"/>
        <v>-1016.4417801762285</v>
      </c>
      <c r="R62" s="135">
        <f t="shared" si="36"/>
        <v>-1070.8624448317119</v>
      </c>
      <c r="S62" s="135">
        <f t="shared" si="36"/>
        <v>-1116.7501920356717</v>
      </c>
      <c r="T62" s="135">
        <f t="shared" ref="T62:W62" si="37">T12</f>
        <v>-1155.1340252632394</v>
      </c>
      <c r="U62" s="135">
        <f t="shared" si="37"/>
        <v>-1186.8373448327682</v>
      </c>
      <c r="V62" s="135">
        <f t="shared" si="37"/>
        <v>-1212.517539957073</v>
      </c>
      <c r="W62" s="135">
        <f t="shared" si="37"/>
        <v>-1232.6982474243575</v>
      </c>
    </row>
    <row r="63" spans="1:23" x14ac:dyDescent="0.4">
      <c r="A63" s="108"/>
      <c r="B63" s="1610" t="s">
        <v>2901</v>
      </c>
      <c r="C63" s="109"/>
      <c r="D63" s="109"/>
      <c r="E63" s="109"/>
      <c r="F63" s="109"/>
      <c r="G63" s="109"/>
      <c r="H63" s="109"/>
      <c r="I63" s="109"/>
      <c r="J63" s="137">
        <f t="shared" ref="J63:S63" si="38">J13</f>
        <v>3559.9443340294806</v>
      </c>
      <c r="K63" s="137">
        <f t="shared" si="38"/>
        <v>6657.6851372477731</v>
      </c>
      <c r="L63" s="137">
        <f t="shared" si="38"/>
        <v>2944.2672303213112</v>
      </c>
      <c r="M63" s="137">
        <f t="shared" si="38"/>
        <v>3752.0024133811685</v>
      </c>
      <c r="N63" s="137">
        <f t="shared" ca="1" si="38"/>
        <v>5933.2585453424208</v>
      </c>
      <c r="O63" s="137">
        <f t="shared" ca="1" si="38"/>
        <v>6544.1605163982704</v>
      </c>
      <c r="P63" s="137">
        <f t="shared" ca="1" si="38"/>
        <v>7833.3928275234321</v>
      </c>
      <c r="Q63" s="137">
        <f t="shared" ca="1" si="38"/>
        <v>6722.2386825170015</v>
      </c>
      <c r="R63" s="137">
        <f t="shared" ca="1" si="38"/>
        <v>7720.6754165188559</v>
      </c>
      <c r="S63" s="137">
        <f t="shared" ca="1" si="38"/>
        <v>8644.5646651055122</v>
      </c>
      <c r="T63" s="137">
        <f t="shared" ref="T63:W63" ca="1" si="39">T13</f>
        <v>9045.0789694851192</v>
      </c>
      <c r="U63" s="137">
        <f t="shared" ca="1" si="39"/>
        <v>11255.607373085424</v>
      </c>
      <c r="V63" s="137">
        <f t="shared" ca="1" si="39"/>
        <v>12118.408695292826</v>
      </c>
      <c r="W63" s="137">
        <f t="shared" ca="1" si="39"/>
        <v>12927.908291502541</v>
      </c>
    </row>
    <row r="64" spans="1:23" x14ac:dyDescent="0.4">
      <c r="A64" s="101"/>
      <c r="B64" s="111"/>
      <c r="C64" s="111" t="s">
        <v>1724</v>
      </c>
      <c r="D64" s="111"/>
      <c r="E64" s="111"/>
      <c r="F64" s="111"/>
      <c r="G64" s="112"/>
      <c r="H64" s="112"/>
      <c r="I64" s="112"/>
      <c r="J64" s="136">
        <f t="shared" ref="J64:S64" si="40">J14</f>
        <v>0</v>
      </c>
      <c r="K64" s="136">
        <f t="shared" si="40"/>
        <v>0.87016551736694647</v>
      </c>
      <c r="L64" s="136">
        <f t="shared" si="40"/>
        <v>-0.5577641222699149</v>
      </c>
      <c r="M64" s="136">
        <f t="shared" si="40"/>
        <v>0.27434166801894144</v>
      </c>
      <c r="N64" s="136">
        <f t="shared" ca="1" si="40"/>
        <v>0.58135787018206719</v>
      </c>
      <c r="O64" s="136">
        <f t="shared" ca="1" si="40"/>
        <v>0.10296230416849173</v>
      </c>
      <c r="P64" s="136">
        <f t="shared" ca="1" si="40"/>
        <v>0.1970049952006252</v>
      </c>
      <c r="Q64" s="136">
        <f t="shared" ca="1" si="40"/>
        <v>-0.14184838798103883</v>
      </c>
      <c r="R64" s="136">
        <f t="shared" ca="1" si="40"/>
        <v>0.14852741492184118</v>
      </c>
      <c r="S64" s="136">
        <f t="shared" ca="1" si="40"/>
        <v>0.11966430380040838</v>
      </c>
      <c r="T64" s="136">
        <f t="shared" ref="T64:W64" ca="1" si="41">T14</f>
        <v>4.6331344595791579E-2</v>
      </c>
      <c r="U64" s="136">
        <f t="shared" ca="1" si="41"/>
        <v>0.24439017183352862</v>
      </c>
      <c r="V64" s="136">
        <f t="shared" ca="1" si="41"/>
        <v>7.665524334746654E-2</v>
      </c>
      <c r="W64" s="136">
        <f t="shared" ca="1" si="41"/>
        <v>6.6799166174693392E-2</v>
      </c>
    </row>
    <row r="65" spans="1:21" s="97" customFormat="1" x14ac:dyDescent="0.4">
      <c r="A65" s="98" t="s">
        <v>2200</v>
      </c>
      <c r="B65" s="99"/>
      <c r="C65" s="99"/>
      <c r="D65" s="99"/>
      <c r="E65" s="99"/>
      <c r="F65" s="99"/>
      <c r="G65" s="99"/>
      <c r="H65" s="99"/>
      <c r="I65" s="99"/>
      <c r="J65" s="113"/>
      <c r="K65" s="113"/>
      <c r="L65" s="113"/>
      <c r="M65" s="113"/>
      <c r="N65" s="113"/>
      <c r="O65" s="113"/>
      <c r="P65" s="113"/>
      <c r="Q65" s="113"/>
      <c r="R65" s="113"/>
      <c r="S65" s="113"/>
      <c r="T65" s="113"/>
    </row>
    <row r="66" spans="1:21" x14ac:dyDescent="0.4">
      <c r="A66" s="101"/>
      <c r="B66" s="101" t="s">
        <v>2201</v>
      </c>
      <c r="C66" s="101"/>
      <c r="D66" s="101"/>
      <c r="E66" s="101"/>
      <c r="F66" s="101"/>
      <c r="G66" s="101"/>
      <c r="H66" s="101"/>
      <c r="I66" s="101"/>
      <c r="J66" s="138">
        <f t="shared" ref="J66:J72" ca="1" si="42">J16</f>
        <v>57513.924791245227</v>
      </c>
      <c r="K66" s="114"/>
      <c r="L66" s="115"/>
      <c r="M66" s="115"/>
      <c r="N66" s="115"/>
      <c r="O66" s="115"/>
      <c r="P66" s="115"/>
      <c r="Q66" s="115"/>
      <c r="R66" s="116" t="s">
        <v>1755</v>
      </c>
      <c r="S66" s="115"/>
      <c r="T66" s="121">
        <f t="shared" ref="T66:T75" si="43">T16</f>
        <v>0.15</v>
      </c>
    </row>
    <row r="67" spans="1:21" x14ac:dyDescent="0.4">
      <c r="A67" s="101"/>
      <c r="B67" s="101" t="s">
        <v>2202</v>
      </c>
      <c r="C67" s="101"/>
      <c r="D67" s="101"/>
      <c r="E67" s="101"/>
      <c r="F67" s="101"/>
      <c r="G67" s="101"/>
      <c r="H67" s="101"/>
      <c r="I67" s="101"/>
      <c r="J67" s="138">
        <f t="shared" ca="1" si="42"/>
        <v>146477.42765456659</v>
      </c>
      <c r="K67" s="115"/>
      <c r="L67" s="115"/>
      <c r="M67" s="115"/>
      <c r="N67" s="115"/>
      <c r="O67" s="115"/>
      <c r="P67" s="115"/>
      <c r="Q67" s="115"/>
      <c r="R67" s="1611" t="s">
        <v>2902</v>
      </c>
      <c r="S67" s="115"/>
      <c r="T67" s="121">
        <f t="shared" si="43"/>
        <v>0.3</v>
      </c>
      <c r="U67" s="118"/>
    </row>
    <row r="68" spans="1:21" x14ac:dyDescent="0.4">
      <c r="A68" s="101"/>
      <c r="B68" s="101" t="s">
        <v>2203</v>
      </c>
      <c r="C68" s="101"/>
      <c r="D68" s="101"/>
      <c r="E68" s="101"/>
      <c r="F68" s="101"/>
      <c r="G68" s="101"/>
      <c r="H68" s="101"/>
      <c r="I68" s="101"/>
      <c r="J68" s="138">
        <f t="shared" ca="1" si="42"/>
        <v>65416.423377102721</v>
      </c>
      <c r="K68" s="115"/>
      <c r="L68" s="115"/>
      <c r="M68" s="115"/>
      <c r="N68" s="115"/>
      <c r="O68" s="115"/>
      <c r="P68" s="115"/>
      <c r="Q68" s="115"/>
      <c r="R68" s="116" t="s">
        <v>1756</v>
      </c>
      <c r="S68" s="115"/>
      <c r="T68" s="139">
        <f t="shared" si="43"/>
        <v>1.4</v>
      </c>
      <c r="U68" s="120"/>
    </row>
    <row r="69" spans="1:21" x14ac:dyDescent="0.4">
      <c r="A69" s="101"/>
      <c r="B69" s="101" t="s">
        <v>1757</v>
      </c>
      <c r="C69" s="101"/>
      <c r="D69" s="101"/>
      <c r="E69" s="101"/>
      <c r="F69" s="101"/>
      <c r="G69" s="101"/>
      <c r="H69" s="101"/>
      <c r="I69" s="101"/>
      <c r="J69" s="138">
        <f t="shared" ca="1" si="42"/>
        <v>122930.34816834795</v>
      </c>
      <c r="K69" s="115"/>
      <c r="L69" s="115"/>
      <c r="M69" s="115"/>
      <c r="N69" s="115"/>
      <c r="O69" s="115"/>
      <c r="P69" s="115"/>
      <c r="Q69" s="115"/>
      <c r="R69" s="116" t="s">
        <v>1758</v>
      </c>
      <c r="S69" s="115"/>
      <c r="T69" s="121">
        <f t="shared" si="43"/>
        <v>4.2000000000000003E-2</v>
      </c>
    </row>
    <row r="70" spans="1:21" x14ac:dyDescent="0.4">
      <c r="A70" s="101"/>
      <c r="B70" s="101" t="s">
        <v>2204</v>
      </c>
      <c r="C70" s="101"/>
      <c r="D70" s="101"/>
      <c r="E70" s="101"/>
      <c r="F70" s="101"/>
      <c r="G70" s="101"/>
      <c r="H70" s="101"/>
      <c r="I70" s="101"/>
      <c r="J70" s="138">
        <f t="shared" ca="1" si="42"/>
        <v>-60750.495012612097</v>
      </c>
      <c r="K70" s="115"/>
      <c r="L70" s="115"/>
      <c r="M70" s="115"/>
      <c r="N70" s="115"/>
      <c r="O70" s="115"/>
      <c r="P70" s="115"/>
      <c r="Q70" s="115"/>
      <c r="R70" s="116" t="s">
        <v>1759</v>
      </c>
      <c r="S70" s="115"/>
      <c r="T70" s="121">
        <f t="shared" si="43"/>
        <v>0.05</v>
      </c>
    </row>
    <row r="71" spans="1:21" x14ac:dyDescent="0.4">
      <c r="A71" s="101"/>
      <c r="B71" s="101" t="s">
        <v>1760</v>
      </c>
      <c r="C71" s="101"/>
      <c r="D71" s="101"/>
      <c r="E71" s="101"/>
      <c r="F71" s="101"/>
      <c r="G71" s="101"/>
      <c r="H71" s="101"/>
      <c r="I71" s="101"/>
      <c r="J71" s="138">
        <f t="shared" ca="1" si="42"/>
        <v>62179.853155735851</v>
      </c>
      <c r="K71" s="115"/>
      <c r="L71" s="115"/>
      <c r="M71" s="115"/>
      <c r="N71" s="115"/>
      <c r="O71" s="115"/>
      <c r="P71" s="115"/>
      <c r="Q71" s="115"/>
      <c r="R71" s="116" t="s">
        <v>1761</v>
      </c>
      <c r="S71" s="115"/>
      <c r="T71" s="121">
        <f t="shared" si="43"/>
        <v>0.11199999999999999</v>
      </c>
      <c r="U71" s="118"/>
    </row>
    <row r="72" spans="1:21" x14ac:dyDescent="0.4">
      <c r="A72" s="101"/>
      <c r="B72" s="140" t="s">
        <v>2205</v>
      </c>
      <c r="C72" s="140"/>
      <c r="D72" s="141"/>
      <c r="E72" s="141"/>
      <c r="F72" s="141"/>
      <c r="G72" s="141"/>
      <c r="H72" s="141"/>
      <c r="I72" s="141"/>
      <c r="J72" s="142">
        <f t="shared" ca="1" si="42"/>
        <v>11.771545297589903</v>
      </c>
      <c r="K72" s="115"/>
      <c r="L72" s="115"/>
      <c r="M72" s="115"/>
      <c r="N72" s="115"/>
      <c r="O72" s="115"/>
      <c r="P72" s="115"/>
      <c r="Q72" s="115"/>
      <c r="R72" s="116" t="s">
        <v>2206</v>
      </c>
      <c r="S72" s="115"/>
      <c r="T72" s="121">
        <f t="shared" si="43"/>
        <v>0.06</v>
      </c>
      <c r="U72" s="118"/>
    </row>
    <row r="73" spans="1:21" x14ac:dyDescent="0.4">
      <c r="A73" s="101"/>
      <c r="B73" s="101"/>
      <c r="C73" s="101"/>
      <c r="D73" s="101"/>
      <c r="E73" s="101"/>
      <c r="F73" s="101"/>
      <c r="G73" s="101"/>
      <c r="H73" s="101"/>
      <c r="I73" s="101"/>
      <c r="J73" s="115"/>
      <c r="K73" s="115"/>
      <c r="L73" s="115"/>
      <c r="M73" s="115"/>
      <c r="N73" s="115"/>
      <c r="O73" s="115"/>
      <c r="P73" s="115"/>
      <c r="Q73" s="115"/>
      <c r="R73" s="116" t="s">
        <v>2207</v>
      </c>
      <c r="S73" s="115"/>
      <c r="T73" s="121">
        <f t="shared" si="43"/>
        <v>5.0999999999999997E-2</v>
      </c>
      <c r="U73" s="118"/>
    </row>
    <row r="74" spans="1:21" x14ac:dyDescent="0.4">
      <c r="A74" s="101"/>
      <c r="B74" s="101"/>
      <c r="C74" s="101"/>
      <c r="D74" s="101"/>
      <c r="E74" s="101"/>
      <c r="F74" s="101"/>
      <c r="G74" s="101"/>
      <c r="H74" s="101"/>
      <c r="I74" s="101"/>
      <c r="J74" s="115"/>
      <c r="K74" s="115"/>
      <c r="L74" s="115"/>
      <c r="M74" s="115"/>
      <c r="N74" s="115"/>
      <c r="O74" s="115"/>
      <c r="P74" s="115"/>
      <c r="Q74" s="115"/>
      <c r="R74" s="116" t="s">
        <v>1142</v>
      </c>
      <c r="S74" s="115"/>
      <c r="T74" s="121">
        <f t="shared" si="43"/>
        <v>9.3699999999999978E-2</v>
      </c>
      <c r="U74" s="126"/>
    </row>
    <row r="75" spans="1:21" x14ac:dyDescent="0.4">
      <c r="A75" s="101"/>
      <c r="B75" s="101"/>
      <c r="C75" s="101"/>
      <c r="D75" s="101"/>
      <c r="E75" s="101"/>
      <c r="F75" s="101"/>
      <c r="G75" s="101"/>
      <c r="H75" s="101"/>
      <c r="I75" s="101"/>
      <c r="J75" s="115"/>
      <c r="K75" s="115"/>
      <c r="L75" s="115"/>
      <c r="M75" s="115"/>
      <c r="N75" s="115"/>
      <c r="O75" s="115"/>
      <c r="P75" s="115"/>
      <c r="Q75" s="115"/>
      <c r="R75" s="116" t="s">
        <v>1762</v>
      </c>
      <c r="S75" s="115"/>
      <c r="T75" s="121">
        <f t="shared" si="43"/>
        <v>5.0000000000000001E-3</v>
      </c>
    </row>
    <row r="76" spans="1:21" x14ac:dyDescent="0.4">
      <c r="A76" s="101"/>
      <c r="B76" s="101"/>
      <c r="C76" s="101"/>
      <c r="D76" s="101"/>
      <c r="E76" s="101"/>
      <c r="F76" s="101"/>
      <c r="G76" s="101"/>
      <c r="H76" s="101"/>
      <c r="I76" s="101"/>
      <c r="J76" s="115"/>
      <c r="K76" s="115"/>
      <c r="L76" s="115"/>
      <c r="M76" s="115"/>
      <c r="N76" s="115"/>
      <c r="O76" s="116"/>
      <c r="P76" s="115"/>
      <c r="Q76" s="106"/>
      <c r="R76" s="115"/>
      <c r="S76" s="101"/>
      <c r="T76" s="101"/>
    </row>
    <row r="77" spans="1:21" x14ac:dyDescent="0.4">
      <c r="A77" s="101"/>
      <c r="B77" s="101"/>
      <c r="C77" s="101"/>
      <c r="D77" s="101"/>
      <c r="E77" s="101"/>
      <c r="F77" s="101"/>
      <c r="G77" s="101"/>
      <c r="H77" s="101"/>
      <c r="I77" s="101"/>
      <c r="J77" s="115"/>
      <c r="K77" s="115"/>
      <c r="L77" s="115"/>
      <c r="M77" s="115"/>
      <c r="N77" s="115"/>
      <c r="O77" s="115"/>
      <c r="P77" s="115"/>
      <c r="Q77" s="115"/>
      <c r="R77" s="115"/>
      <c r="S77" s="101"/>
      <c r="T77" s="101"/>
    </row>
    <row r="78" spans="1:21" s="97" customFormat="1" x14ac:dyDescent="0.4">
      <c r="G78" s="143" t="s">
        <v>2208</v>
      </c>
      <c r="H78" s="99"/>
      <c r="I78" s="99"/>
      <c r="J78" s="113"/>
      <c r="K78" s="113"/>
      <c r="L78" s="113"/>
      <c r="M78" s="113"/>
      <c r="N78" s="113"/>
      <c r="O78" s="113"/>
      <c r="P78" s="113"/>
      <c r="Q78" s="113"/>
      <c r="R78" s="113"/>
      <c r="S78" s="127"/>
      <c r="T78" s="127"/>
    </row>
    <row r="79" spans="1:21" s="101" customFormat="1" x14ac:dyDescent="0.4">
      <c r="G79" s="1743" t="s">
        <v>2209</v>
      </c>
      <c r="H79" s="1743"/>
      <c r="I79" s="1744"/>
      <c r="J79" s="128">
        <f t="shared" ref="J79:Q86" si="44">J29</f>
        <v>-1.4999999999999999E-2</v>
      </c>
      <c r="K79" s="128">
        <f t="shared" si="44"/>
        <v>-0.01</v>
      </c>
      <c r="L79" s="128">
        <f t="shared" si="44"/>
        <v>-5.0000000000000001E-3</v>
      </c>
      <c r="M79" s="128">
        <f t="shared" si="44"/>
        <v>0</v>
      </c>
      <c r="N79" s="129">
        <f t="shared" si="44"/>
        <v>5.0000000000000001E-3</v>
      </c>
      <c r="O79" s="128">
        <f t="shared" si="44"/>
        <v>0.01</v>
      </c>
      <c r="P79" s="128">
        <f t="shared" si="44"/>
        <v>1.4999999999999999E-2</v>
      </c>
      <c r="Q79" s="128">
        <f t="shared" si="44"/>
        <v>0.02</v>
      </c>
      <c r="R79" s="128">
        <f t="shared" ref="R79" si="45">R29</f>
        <v>2.5000000000000001E-2</v>
      </c>
    </row>
    <row r="80" spans="1:21" s="101" customFormat="1" x14ac:dyDescent="0.4">
      <c r="G80" s="1745" t="s">
        <v>1142</v>
      </c>
      <c r="H80" s="1746"/>
      <c r="I80" s="130">
        <f t="shared" ref="I80:I86" si="46">I30</f>
        <v>7.8699999999999964E-2</v>
      </c>
      <c r="J80" s="131">
        <f t="shared" ca="1" si="44"/>
        <v>13.099937668628964</v>
      </c>
      <c r="K80" s="131">
        <f t="shared" ca="1" si="44"/>
        <v>13.903118643064156</v>
      </c>
      <c r="L80" s="131">
        <f t="shared" ca="1" si="44"/>
        <v>14.802259112652891</v>
      </c>
      <c r="M80" s="131">
        <f t="shared" ca="1" si="44"/>
        <v>15.815648688923808</v>
      </c>
      <c r="N80" s="131">
        <f t="shared" ca="1" si="44"/>
        <v>16.966540242979107</v>
      </c>
      <c r="O80" s="131">
        <f t="shared" ca="1" si="44"/>
        <v>18.284956040710579</v>
      </c>
      <c r="P80" s="131">
        <f t="shared" ca="1" si="44"/>
        <v>19.810344491147148</v>
      </c>
      <c r="Q80" s="131">
        <f t="shared" ca="1" si="44"/>
        <v>21.595594687825045</v>
      </c>
      <c r="R80" s="131">
        <f t="shared" ref="R80" ca="1" si="47">R30</f>
        <v>23.713293710699933</v>
      </c>
    </row>
    <row r="81" spans="7:20" x14ac:dyDescent="0.4">
      <c r="G81" s="1747"/>
      <c r="H81" s="1748"/>
      <c r="I81" s="132">
        <f t="shared" si="46"/>
        <v>8.3699999999999969E-2</v>
      </c>
      <c r="J81" s="131">
        <f t="shared" ca="1" si="44"/>
        <v>11.695309227995509</v>
      </c>
      <c r="K81" s="131">
        <f t="shared" ca="1" si="44"/>
        <v>12.390898255315632</v>
      </c>
      <c r="L81" s="144">
        <f t="shared" ca="1" si="44"/>
        <v>13.164907691578268</v>
      </c>
      <c r="M81" s="144">
        <f t="shared" ca="1" si="44"/>
        <v>14.031391373511472</v>
      </c>
      <c r="N81" s="144">
        <f t="shared" ca="1" si="44"/>
        <v>15.007974633835174</v>
      </c>
      <c r="O81" s="144">
        <f t="shared" ca="1" si="44"/>
        <v>16.117065799223148</v>
      </c>
      <c r="P81" s="144">
        <f t="shared" ca="1" si="44"/>
        <v>17.387596726676325</v>
      </c>
      <c r="Q81" s="131">
        <f t="shared" ca="1" si="44"/>
        <v>18.857583058753242</v>
      </c>
      <c r="R81" s="131">
        <f t="shared" ref="R81" ca="1" si="48">R31</f>
        <v>20.577992956771702</v>
      </c>
      <c r="S81" s="101"/>
      <c r="T81" s="101"/>
    </row>
    <row r="82" spans="7:20" x14ac:dyDescent="0.4">
      <c r="G82" s="1747"/>
      <c r="H82" s="1748"/>
      <c r="I82" s="132">
        <f t="shared" si="46"/>
        <v>8.8699999999999973E-2</v>
      </c>
      <c r="J82" s="131">
        <f t="shared" ca="1" si="44"/>
        <v>10.432538623612341</v>
      </c>
      <c r="K82" s="131">
        <f t="shared" ca="1" si="44"/>
        <v>11.038326197385771</v>
      </c>
      <c r="L82" s="144">
        <f t="shared" ca="1" si="44"/>
        <v>11.708765593333524</v>
      </c>
      <c r="M82" s="144">
        <f t="shared" ca="1" si="44"/>
        <v>12.454790039557238</v>
      </c>
      <c r="N82" s="144">
        <f t="shared" ca="1" si="44"/>
        <v>13.289945243991669</v>
      </c>
      <c r="O82" s="144">
        <f t="shared" ca="1" si="44"/>
        <v>14.231219279993379</v>
      </c>
      <c r="P82" s="144">
        <f t="shared" ca="1" si="44"/>
        <v>15.300210281531264</v>
      </c>
      <c r="Q82" s="131">
        <f t="shared" ca="1" si="44"/>
        <v>16.524804048940766</v>
      </c>
      <c r="R82" s="131">
        <f t="shared" ref="R82" ca="1" si="49">R32</f>
        <v>17.941641735880779</v>
      </c>
      <c r="S82" s="101"/>
      <c r="T82" s="101"/>
    </row>
    <row r="83" spans="7:20" x14ac:dyDescent="0.4">
      <c r="G83" s="1747"/>
      <c r="H83" s="1748"/>
      <c r="I83" s="133">
        <f t="shared" si="46"/>
        <v>9.3699999999999978E-2</v>
      </c>
      <c r="J83" s="131">
        <f t="shared" ca="1" si="44"/>
        <v>9.2918222216210733</v>
      </c>
      <c r="K83" s="131">
        <f t="shared" ca="1" si="44"/>
        <v>9.8220812303926159</v>
      </c>
      <c r="L83" s="144">
        <f t="shared" ca="1" si="44"/>
        <v>10.406064556162283</v>
      </c>
      <c r="M83" s="144">
        <f t="shared" ca="1" si="44"/>
        <v>11.052372676571197</v>
      </c>
      <c r="N83" s="144">
        <f t="shared" ca="1" si="44"/>
        <v>11.771545297589903</v>
      </c>
      <c r="O83" s="144">
        <f t="shared" ca="1" si="44"/>
        <v>12.576640573449554</v>
      </c>
      <c r="P83" s="144">
        <f t="shared" ca="1" si="44"/>
        <v>13.484035121972436</v>
      </c>
      <c r="Q83" s="131">
        <f t="shared" ca="1" si="44"/>
        <v>14.514549690647685</v>
      </c>
      <c r="R83" s="131">
        <f t="shared" ref="R83" ca="1" si="50">R33</f>
        <v>15.695066379945231</v>
      </c>
      <c r="S83" s="101"/>
      <c r="T83" s="101"/>
    </row>
    <row r="84" spans="7:20" x14ac:dyDescent="0.4">
      <c r="G84" s="1747"/>
      <c r="H84" s="1748"/>
      <c r="I84" s="132">
        <f t="shared" si="46"/>
        <v>9.8699999999999982E-2</v>
      </c>
      <c r="J84" s="131">
        <f t="shared" ca="1" si="44"/>
        <v>8.2568491756824134</v>
      </c>
      <c r="K84" s="131">
        <f t="shared" ca="1" si="44"/>
        <v>8.7231423391721208</v>
      </c>
      <c r="L84" s="144">
        <f t="shared" ca="1" si="44"/>
        <v>9.234401092197956</v>
      </c>
      <c r="M84" s="144">
        <f t="shared" ca="1" si="44"/>
        <v>9.7974591109812188</v>
      </c>
      <c r="N84" s="144">
        <f t="shared" ca="1" si="44"/>
        <v>10.420608700605817</v>
      </c>
      <c r="O84" s="144">
        <f t="shared" ca="1" si="44"/>
        <v>11.114011908000945</v>
      </c>
      <c r="P84" s="144">
        <f t="shared" ca="1" si="44"/>
        <v>11.890258987247341</v>
      </c>
      <c r="Q84" s="131">
        <f t="shared" ca="1" si="44"/>
        <v>12.765139748735976</v>
      </c>
      <c r="R84" s="131">
        <f t="shared" ref="R84" ca="1" si="51">R34</f>
        <v>13.758728890345177</v>
      </c>
      <c r="S84" s="101"/>
      <c r="T84" s="101"/>
    </row>
    <row r="85" spans="7:20" x14ac:dyDescent="0.4">
      <c r="G85" s="1747"/>
      <c r="H85" s="1748"/>
      <c r="I85" s="132">
        <f t="shared" si="46"/>
        <v>0.10369999999999999</v>
      </c>
      <c r="J85" s="131">
        <f t="shared" ca="1" si="44"/>
        <v>7.3140653688830959</v>
      </c>
      <c r="K85" s="131">
        <f t="shared" ca="1" si="44"/>
        <v>7.725842789628615</v>
      </c>
      <c r="L85" s="144">
        <f t="shared" ca="1" si="44"/>
        <v>8.1755022178024266</v>
      </c>
      <c r="M85" s="144">
        <f t="shared" ca="1" si="44"/>
        <v>8.6685232108917418</v>
      </c>
      <c r="N85" s="144">
        <f t="shared" ca="1" si="44"/>
        <v>9.211495672379165</v>
      </c>
      <c r="O85" s="144">
        <f t="shared" ca="1" si="44"/>
        <v>9.8124161020082568</v>
      </c>
      <c r="P85" s="144">
        <f t="shared" ca="1" si="44"/>
        <v>10.481084043433183</v>
      </c>
      <c r="Q85" s="131">
        <f t="shared" ca="1" si="44"/>
        <v>11.229640627800164</v>
      </c>
      <c r="R85" s="131">
        <f t="shared" ref="R85" ca="1" si="52">R35</f>
        <v>12.073312407131175</v>
      </c>
      <c r="S85" s="101"/>
      <c r="T85" s="101"/>
    </row>
    <row r="86" spans="7:20" s="101" customFormat="1" x14ac:dyDescent="0.4">
      <c r="G86" s="1747"/>
      <c r="H86" s="1748"/>
      <c r="I86" s="132">
        <f t="shared" si="46"/>
        <v>0.10869999999999999</v>
      </c>
      <c r="J86" s="131">
        <f t="shared" ca="1" si="44"/>
        <v>6.452115887485613</v>
      </c>
      <c r="K86" s="131">
        <f t="shared" ca="1" si="44"/>
        <v>6.8171632829792816</v>
      </c>
      <c r="L86" s="131">
        <f t="shared" ca="1" si="44"/>
        <v>7.2143168698092373</v>
      </c>
      <c r="M86" s="131">
        <f t="shared" ca="1" si="44"/>
        <v>7.648007125160813</v>
      </c>
      <c r="N86" s="131">
        <f t="shared" ca="1" si="44"/>
        <v>8.1235190059079123</v>
      </c>
      <c r="O86" s="131">
        <f t="shared" ca="1" si="44"/>
        <v>8.6472083821714332</v>
      </c>
      <c r="P86" s="131">
        <f t="shared" ca="1" si="44"/>
        <v>9.2267877665740698</v>
      </c>
      <c r="Q86" s="131">
        <f t="shared" ca="1" si="44"/>
        <v>9.8717086824764415</v>
      </c>
      <c r="R86" s="131">
        <f t="shared" ref="R86" ca="1" si="53">R36</f>
        <v>10.593681081760217</v>
      </c>
    </row>
    <row r="89" spans="7:20" x14ac:dyDescent="0.4">
      <c r="G89" s="98" t="s">
        <v>2210</v>
      </c>
      <c r="H89" s="99"/>
      <c r="I89" s="99"/>
      <c r="J89" s="113"/>
      <c r="K89" s="113"/>
      <c r="L89" s="113"/>
      <c r="M89" s="113"/>
      <c r="N89" s="113"/>
      <c r="O89" s="113"/>
      <c r="P89" s="113"/>
      <c r="Q89" s="113"/>
      <c r="R89" s="113"/>
    </row>
    <row r="90" spans="7:20" x14ac:dyDescent="0.4">
      <c r="G90" s="1743" t="s">
        <v>2211</v>
      </c>
      <c r="H90" s="1743"/>
      <c r="I90" s="1744"/>
      <c r="J90" s="128">
        <f t="shared" ref="J90:Q97" si="54">J40</f>
        <v>-1.4999999999999999E-2</v>
      </c>
      <c r="K90" s="128">
        <f t="shared" si="54"/>
        <v>-0.01</v>
      </c>
      <c r="L90" s="128">
        <f t="shared" si="54"/>
        <v>-5.0000000000000001E-3</v>
      </c>
      <c r="M90" s="128">
        <f t="shared" si="54"/>
        <v>0</v>
      </c>
      <c r="N90" s="128">
        <f t="shared" si="54"/>
        <v>5.0000000000000001E-3</v>
      </c>
      <c r="O90" s="128">
        <f t="shared" si="54"/>
        <v>0.01</v>
      </c>
      <c r="P90" s="128">
        <f t="shared" si="54"/>
        <v>1.4999999999999999E-2</v>
      </c>
      <c r="Q90" s="128">
        <f t="shared" si="54"/>
        <v>0.02</v>
      </c>
      <c r="R90" s="128">
        <f t="shared" ref="R90" si="55">R40</f>
        <v>2.5000000000000001E-2</v>
      </c>
    </row>
    <row r="91" spans="7:20" x14ac:dyDescent="0.4">
      <c r="G91" s="1745" t="s">
        <v>2194</v>
      </c>
      <c r="H91" s="1746"/>
      <c r="I91" s="130">
        <f t="shared" ref="I91:I97" si="56">I41</f>
        <v>7.8699999999999964E-2</v>
      </c>
      <c r="J91" s="134">
        <f t="shared" ca="1" si="54"/>
        <v>0.1128477474670242</v>
      </c>
      <c r="K91" s="134">
        <f t="shared" ca="1" si="54"/>
        <v>0.18107846434661989</v>
      </c>
      <c r="L91" s="134">
        <f t="shared" ca="1" si="54"/>
        <v>0.25746099925245103</v>
      </c>
      <c r="M91" s="134">
        <f t="shared" ca="1" si="54"/>
        <v>0.34354906591251799</v>
      </c>
      <c r="N91" s="134">
        <f t="shared" ca="1" si="54"/>
        <v>0.44131801000271587</v>
      </c>
      <c r="O91" s="134">
        <f t="shared" ca="1" si="54"/>
        <v>0.55331824144228769</v>
      </c>
      <c r="P91" s="134">
        <f t="shared" ca="1" si="54"/>
        <v>0.68290092679701986</v>
      </c>
      <c r="Q91" s="134">
        <f t="shared" ca="1" si="54"/>
        <v>0.83455902703330809</v>
      </c>
      <c r="R91" s="134">
        <f t="shared" ref="R91" ca="1" si="57">R41</f>
        <v>1.0144588591571724</v>
      </c>
    </row>
    <row r="92" spans="7:20" x14ac:dyDescent="0.4">
      <c r="G92" s="1747"/>
      <c r="H92" s="1748"/>
      <c r="I92" s="132">
        <f t="shared" si="56"/>
        <v>8.3699999999999969E-2</v>
      </c>
      <c r="J92" s="134">
        <f t="shared" ca="1" si="54"/>
        <v>-6.4763009160745399E-3</v>
      </c>
      <c r="K92" s="134">
        <f t="shared" ca="1" si="54"/>
        <v>5.2614414001578513E-2</v>
      </c>
      <c r="L92" s="134">
        <f t="shared" ca="1" si="54"/>
        <v>0.11836699080397217</v>
      </c>
      <c r="M92" s="134">
        <f t="shared" ca="1" si="54"/>
        <v>0.19197531154930436</v>
      </c>
      <c r="N92" s="134">
        <f t="shared" ca="1" si="54"/>
        <v>0.27493665907295073</v>
      </c>
      <c r="O92" s="134">
        <f t="shared" ca="1" si="54"/>
        <v>0.36915463448311625</v>
      </c>
      <c r="P92" s="134">
        <f t="shared" ca="1" si="54"/>
        <v>0.47708701679432419</v>
      </c>
      <c r="Q92" s="134">
        <f t="shared" ca="1" si="54"/>
        <v>0.60196325818107588</v>
      </c>
      <c r="R92" s="134">
        <f t="shared" ref="R92" ca="1" si="58">R42</f>
        <v>0.74811313523848266</v>
      </c>
    </row>
    <row r="93" spans="7:20" x14ac:dyDescent="0.4">
      <c r="G93" s="1747"/>
      <c r="H93" s="1748"/>
      <c r="I93" s="132">
        <f t="shared" si="56"/>
        <v>8.8699999999999973E-2</v>
      </c>
      <c r="J93" s="134">
        <f t="shared" ca="1" si="54"/>
        <v>-0.11374943901814727</v>
      </c>
      <c r="K93" s="134">
        <f t="shared" ca="1" si="54"/>
        <v>-6.2287412711587664E-2</v>
      </c>
      <c r="L93" s="134">
        <f t="shared" ca="1" si="54"/>
        <v>-5.3331744192695041E-3</v>
      </c>
      <c r="M93" s="134">
        <f t="shared" ca="1" si="54"/>
        <v>5.8042060298338471E-2</v>
      </c>
      <c r="N93" s="134">
        <f t="shared" ca="1" si="54"/>
        <v>0.1289890076464848</v>
      </c>
      <c r="O93" s="134">
        <f t="shared" ca="1" si="54"/>
        <v>0.20895081488639122</v>
      </c>
      <c r="P93" s="134">
        <f t="shared" ca="1" si="54"/>
        <v>0.29976225675857671</v>
      </c>
      <c r="Q93" s="134">
        <f t="shared" ca="1" si="54"/>
        <v>0.40379224912162059</v>
      </c>
      <c r="R93" s="134">
        <f t="shared" ref="R93" ca="1" si="59">R43</f>
        <v>0.52415348047415122</v>
      </c>
    </row>
    <row r="94" spans="7:20" x14ac:dyDescent="0.4">
      <c r="G94" s="1747"/>
      <c r="H94" s="1748"/>
      <c r="I94" s="132">
        <f t="shared" si="56"/>
        <v>9.3699999999999978E-2</v>
      </c>
      <c r="J94" s="134">
        <f t="shared" ca="1" si="54"/>
        <v>-0.21065399769361848</v>
      </c>
      <c r="K94" s="134">
        <f t="shared" ca="1" si="54"/>
        <v>-0.16560816935363776</v>
      </c>
      <c r="L94" s="134">
        <f t="shared" ca="1" si="54"/>
        <v>-0.11599842730139998</v>
      </c>
      <c r="M94" s="134">
        <f t="shared" ca="1" si="54"/>
        <v>-6.1094155681153284E-2</v>
      </c>
      <c r="N94" s="134">
        <f t="shared" ca="1" si="54"/>
        <v>0</v>
      </c>
      <c r="O94" s="134">
        <f t="shared" ca="1" si="54"/>
        <v>6.8393337960861E-2</v>
      </c>
      <c r="P94" s="134">
        <f t="shared" ca="1" si="54"/>
        <v>0.1454770619396204</v>
      </c>
      <c r="Q94" s="134">
        <f t="shared" ca="1" si="54"/>
        <v>0.23301990721807631</v>
      </c>
      <c r="R94" s="134">
        <f t="shared" ref="R94" ca="1" si="60">R44</f>
        <v>0.33330552473502584</v>
      </c>
    </row>
    <row r="95" spans="7:20" x14ac:dyDescent="0.4">
      <c r="G95" s="1747"/>
      <c r="H95" s="1748"/>
      <c r="I95" s="132">
        <f t="shared" si="56"/>
        <v>9.8699999999999982E-2</v>
      </c>
      <c r="J95" s="134">
        <f t="shared" ca="1" si="54"/>
        <v>-0.2985755933528188</v>
      </c>
      <c r="K95" s="134">
        <f t="shared" ca="1" si="54"/>
        <v>-0.25896370284043413</v>
      </c>
      <c r="L95" s="134">
        <f t="shared" ca="1" si="54"/>
        <v>-0.21553195789098312</v>
      </c>
      <c r="M95" s="134">
        <f t="shared" ca="1" si="54"/>
        <v>-0.16769983351402951</v>
      </c>
      <c r="N95" s="134">
        <f t="shared" ca="1" si="54"/>
        <v>-0.11476289330175504</v>
      </c>
      <c r="O95" s="134">
        <f t="shared" ca="1" si="54"/>
        <v>-5.5857865128682849E-2</v>
      </c>
      <c r="P95" s="134">
        <f t="shared" ca="1" si="54"/>
        <v>1.0084800818949802E-2</v>
      </c>
      <c r="Q95" s="134">
        <f t="shared" ca="1" si="54"/>
        <v>8.4406458627781067E-2</v>
      </c>
      <c r="R95" s="134">
        <f t="shared" ref="R95" ca="1" si="61">R45</f>
        <v>0.16881246620714507</v>
      </c>
    </row>
    <row r="96" spans="7:20" s="95" customFormat="1" x14ac:dyDescent="0.4">
      <c r="G96" s="1747"/>
      <c r="H96" s="1748"/>
      <c r="I96" s="132">
        <f t="shared" si="56"/>
        <v>0.10369999999999999</v>
      </c>
      <c r="J96" s="134">
        <f t="shared" ca="1" si="54"/>
        <v>-0.37866565654888384</v>
      </c>
      <c r="K96" s="134">
        <f t="shared" ca="1" si="54"/>
        <v>-0.34368491185176864</v>
      </c>
      <c r="L96" s="134">
        <f t="shared" ca="1" si="54"/>
        <v>-0.30548606736651029</v>
      </c>
      <c r="M96" s="134">
        <f t="shared" ca="1" si="54"/>
        <v>-0.26360363132047504</v>
      </c>
      <c r="N96" s="134">
        <f t="shared" ca="1" si="54"/>
        <v>-0.21747778736704015</v>
      </c>
      <c r="O96" s="134">
        <f t="shared" ca="1" si="54"/>
        <v>-0.16642922794365467</v>
      </c>
      <c r="P96" s="134">
        <f t="shared" ca="1" si="54"/>
        <v>-0.10962547580060944</v>
      </c>
      <c r="Q96" s="134">
        <f t="shared" ca="1" si="54"/>
        <v>-4.6035134393161425E-2</v>
      </c>
      <c r="R96" s="134">
        <f t="shared" ref="R96" ca="1" si="62">R46</f>
        <v>2.5635301221077267E-2</v>
      </c>
    </row>
    <row r="97" spans="7:18" s="95" customFormat="1" x14ac:dyDescent="0.4">
      <c r="G97" s="1747"/>
      <c r="H97" s="1748"/>
      <c r="I97" s="132">
        <f t="shared" si="56"/>
        <v>0.10869999999999999</v>
      </c>
      <c r="J97" s="134">
        <f t="shared" ca="1" si="54"/>
        <v>-0.45188879417499972</v>
      </c>
      <c r="K97" s="134">
        <f t="shared" ca="1" si="54"/>
        <v>-0.42087779381225143</v>
      </c>
      <c r="L97" s="134">
        <f t="shared" ca="1" si="54"/>
        <v>-0.38713935278435441</v>
      </c>
      <c r="M97" s="134">
        <f t="shared" ca="1" si="54"/>
        <v>-0.35029709933438724</v>
      </c>
      <c r="N97" s="134">
        <f t="shared" ca="1" si="54"/>
        <v>-0.30990207313128926</v>
      </c>
      <c r="O97" s="134">
        <f t="shared" ca="1" si="54"/>
        <v>-0.26541433910619572</v>
      </c>
      <c r="P97" s="134">
        <f t="shared" ca="1" si="54"/>
        <v>-0.21617871457682314</v>
      </c>
      <c r="Q97" s="134">
        <f t="shared" ca="1" si="54"/>
        <v>-0.16139228683106133</v>
      </c>
      <c r="R97" s="134">
        <f t="shared" ref="R97" ca="1" si="63">R47</f>
        <v>-0.10006028826740709</v>
      </c>
    </row>
  </sheetData>
  <mergeCells count="8">
    <mergeCell ref="G90:I90"/>
    <mergeCell ref="G91:H97"/>
    <mergeCell ref="G29:I29"/>
    <mergeCell ref="G30:H36"/>
    <mergeCell ref="G40:I40"/>
    <mergeCell ref="G41:H47"/>
    <mergeCell ref="G79:I79"/>
    <mergeCell ref="G80:H86"/>
  </mergeCells>
  <phoneticPr fontId="51" type="noConversion"/>
  <pageMargins left="0.7" right="0.7" top="0.75" bottom="0.75" header="0.3" footer="0.3"/>
  <pageSetup paperSize="9" scale="67"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40000"/>
  </sheetPr>
  <dimension ref="A1:BI64"/>
  <sheetViews>
    <sheetView showGridLines="0" zoomScale="175" zoomScaleNormal="175" workbookViewId="0">
      <pane xSplit="2" ySplit="1" topLeftCell="AX2" activePane="bottomRight" state="frozen"/>
      <selection pane="topRight"/>
      <selection pane="bottomLeft"/>
      <selection pane="bottomRight" activeCell="BC9" sqref="BC9"/>
    </sheetView>
  </sheetViews>
  <sheetFormatPr defaultColWidth="8.0625" defaultRowHeight="10.15" outlineLevelRow="1" outlineLevelCol="1" x14ac:dyDescent="0.3"/>
  <cols>
    <col min="1" max="1" width="23.5625" style="202" customWidth="1"/>
    <col min="2" max="2" width="34.0625" style="203" hidden="1" customWidth="1" outlineLevel="1"/>
    <col min="3" max="3" width="1.0625" style="202" customWidth="1" collapsed="1"/>
    <col min="4" max="8" width="8.0625" style="202" hidden="1" customWidth="1" outlineLevel="1"/>
    <col min="9" max="9" width="6.25E-2" style="202" hidden="1" customWidth="1" outlineLevel="1"/>
    <col min="10" max="37" width="8.0625" style="202" hidden="1" customWidth="1" outlineLevel="1"/>
    <col min="38" max="38" width="8.0625" style="202" hidden="1" customWidth="1" collapsed="1"/>
    <col min="39" max="41" width="8.0625" style="202" hidden="1" customWidth="1"/>
    <col min="42" max="47" width="8.25" style="202" hidden="1" customWidth="1"/>
    <col min="48" max="54" width="8.5" style="202" customWidth="1"/>
    <col min="55" max="55" width="8.25" style="202" customWidth="1"/>
    <col min="56" max="16384" width="8.0625" style="202"/>
  </cols>
  <sheetData>
    <row r="1" spans="1:55" s="204" customFormat="1" ht="10.5" x14ac:dyDescent="0.3">
      <c r="A1" s="1727" t="s">
        <v>3156</v>
      </c>
      <c r="B1" s="205" t="s">
        <v>3157</v>
      </c>
      <c r="C1" s="206"/>
      <c r="D1" s="206" t="s">
        <v>1930</v>
      </c>
      <c r="E1" s="206" t="s">
        <v>1950</v>
      </c>
      <c r="F1" s="206" t="s">
        <v>1949</v>
      </c>
      <c r="G1" s="206" t="s">
        <v>1948</v>
      </c>
      <c r="H1" s="206" t="s">
        <v>1926</v>
      </c>
      <c r="I1" s="206" t="s">
        <v>1947</v>
      </c>
      <c r="J1" s="206" t="s">
        <v>1946</v>
      </c>
      <c r="K1" s="206" t="s">
        <v>1945</v>
      </c>
      <c r="L1" s="206" t="s">
        <v>1922</v>
      </c>
      <c r="M1" s="206" t="s">
        <v>1944</v>
      </c>
      <c r="N1" s="206" t="s">
        <v>1943</v>
      </c>
      <c r="O1" s="206" t="s">
        <v>1942</v>
      </c>
      <c r="P1" s="206" t="s">
        <v>1918</v>
      </c>
      <c r="Q1" s="206" t="s">
        <v>1941</v>
      </c>
      <c r="R1" s="206" t="s">
        <v>1940</v>
      </c>
      <c r="S1" s="206" t="s">
        <v>1939</v>
      </c>
      <c r="T1" s="206" t="s">
        <v>1914</v>
      </c>
      <c r="U1" s="206" t="s">
        <v>1938</v>
      </c>
      <c r="V1" s="206" t="s">
        <v>1937</v>
      </c>
      <c r="W1" s="206" t="s">
        <v>1936</v>
      </c>
      <c r="X1" s="206" t="s">
        <v>1910</v>
      </c>
      <c r="Y1" s="206" t="s">
        <v>1935</v>
      </c>
      <c r="Z1" s="206" t="s">
        <v>1934</v>
      </c>
      <c r="AA1" s="206" t="s">
        <v>1933</v>
      </c>
      <c r="AB1" s="206" t="s">
        <v>1906</v>
      </c>
      <c r="AC1" s="206" t="s">
        <v>1932</v>
      </c>
      <c r="AD1" s="206" t="s">
        <v>1931</v>
      </c>
      <c r="AE1" s="207">
        <v>2019</v>
      </c>
      <c r="AF1" s="206" t="s">
        <v>1990</v>
      </c>
      <c r="AG1" s="206" t="s">
        <v>2124</v>
      </c>
      <c r="AH1" s="206" t="s">
        <v>2174</v>
      </c>
      <c r="AI1" s="207">
        <v>2020</v>
      </c>
      <c r="AJ1" s="206" t="s">
        <v>2603</v>
      </c>
      <c r="AK1" s="206" t="s">
        <v>2615</v>
      </c>
      <c r="AL1" s="206" t="s">
        <v>2643</v>
      </c>
      <c r="AM1" s="207">
        <v>2021</v>
      </c>
      <c r="AN1" s="206" t="s">
        <v>2790</v>
      </c>
      <c r="AO1" s="206" t="s">
        <v>2793</v>
      </c>
      <c r="AP1" s="206" t="s">
        <v>2829</v>
      </c>
      <c r="AQ1" s="206" t="s">
        <v>2832</v>
      </c>
      <c r="AR1" s="206" t="s">
        <v>2842</v>
      </c>
      <c r="AS1" s="206" t="s">
        <v>2851</v>
      </c>
      <c r="AT1" s="206" t="s">
        <v>2863</v>
      </c>
      <c r="AU1" s="206" t="s">
        <v>2873</v>
      </c>
      <c r="AV1" s="1730" t="s">
        <v>2888</v>
      </c>
      <c r="AW1" s="1730" t="s">
        <v>2907</v>
      </c>
      <c r="AX1" s="1730" t="s">
        <v>2889</v>
      </c>
      <c r="AY1" s="1730">
        <v>2024</v>
      </c>
      <c r="AZ1" s="1730" t="s">
        <v>3151</v>
      </c>
      <c r="BA1" s="1730" t="s">
        <v>2906</v>
      </c>
      <c r="BB1" s="1730" t="s">
        <v>2903</v>
      </c>
      <c r="BC1" s="1730">
        <v>2025</v>
      </c>
    </row>
    <row r="2" spans="1:55" s="204" customFormat="1" ht="10.5" x14ac:dyDescent="0.3">
      <c r="A2" s="208" t="s">
        <v>2641</v>
      </c>
      <c r="B2" s="208" t="s">
        <v>1903</v>
      </c>
      <c r="C2" s="209"/>
      <c r="D2" s="209"/>
      <c r="E2" s="209"/>
      <c r="F2" s="209"/>
      <c r="G2" s="209"/>
      <c r="H2" s="209"/>
      <c r="I2" s="209"/>
      <c r="J2" s="209"/>
      <c r="K2" s="209"/>
      <c r="L2" s="209"/>
      <c r="M2" s="209"/>
      <c r="N2" s="209"/>
      <c r="O2" s="209"/>
      <c r="P2" s="209"/>
      <c r="Q2" s="209"/>
      <c r="R2" s="209"/>
      <c r="S2" s="209"/>
      <c r="T2" s="209"/>
      <c r="U2" s="209"/>
      <c r="V2" s="209"/>
      <c r="W2" s="209"/>
      <c r="X2" s="209"/>
      <c r="Y2" s="209"/>
      <c r="Z2" s="209"/>
      <c r="AA2" s="209"/>
      <c r="AB2" s="209"/>
      <c r="AC2" s="209"/>
      <c r="AD2" s="209"/>
      <c r="AE2" s="209"/>
      <c r="AF2" s="209"/>
      <c r="AG2" s="209"/>
      <c r="AH2" s="209"/>
      <c r="AI2" s="209"/>
      <c r="AJ2" s="209"/>
      <c r="AK2" s="209"/>
      <c r="AL2" s="209"/>
      <c r="AM2" s="209"/>
      <c r="AN2" s="209"/>
      <c r="AO2" s="209"/>
      <c r="AP2" s="209"/>
      <c r="AQ2" s="209"/>
      <c r="AR2" s="209"/>
      <c r="AS2" s="209"/>
      <c r="AT2" s="209"/>
      <c r="AU2" s="209"/>
      <c r="AV2" s="209"/>
      <c r="AW2" s="209"/>
      <c r="AX2" s="209"/>
      <c r="AY2" s="209"/>
      <c r="AZ2" s="209"/>
      <c r="BA2" s="209"/>
      <c r="BB2" s="209"/>
      <c r="BC2" s="209"/>
    </row>
    <row r="3" spans="1:55" s="210" customFormat="1" ht="10.5" x14ac:dyDescent="0.3">
      <c r="A3" s="202" t="s">
        <v>2638</v>
      </c>
      <c r="B3" s="203" t="s">
        <v>1902</v>
      </c>
      <c r="H3" s="210">
        <f>6292599000/1000000</f>
        <v>6292.5990000000002</v>
      </c>
      <c r="I3" s="210">
        <v>14283.425999999999</v>
      </c>
      <c r="J3" s="210">
        <f>22553807000/1000000</f>
        <v>22553.807000000001</v>
      </c>
      <c r="K3" s="210">
        <f>34439575/1000</f>
        <v>34439.574999999997</v>
      </c>
      <c r="L3" s="210">
        <f>7382647000/1000000</f>
        <v>7382.6469999999999</v>
      </c>
      <c r="M3" s="210">
        <v>17017.498</v>
      </c>
      <c r="N3" s="210">
        <f>25727859000/1000000</f>
        <v>25727.859</v>
      </c>
      <c r="O3" s="210">
        <f>38001876/1000</f>
        <v>38001.875999999997</v>
      </c>
      <c r="P3" s="210">
        <f>8747118000/1000000</f>
        <v>8747.1180000000004</v>
      </c>
      <c r="Q3" s="210">
        <v>18845.053</v>
      </c>
      <c r="R3" s="210">
        <f>30237074000/1000000</f>
        <v>30237.074000000001</v>
      </c>
      <c r="S3" s="210">
        <f>46207508/1000</f>
        <v>46207.508000000002</v>
      </c>
      <c r="T3" s="210">
        <f>10610028000/1000000</f>
        <v>10610.028</v>
      </c>
      <c r="U3" s="210">
        <f>22966135/1000</f>
        <v>22966.134999999998</v>
      </c>
      <c r="V3" s="210">
        <f>33688348000/1000000</f>
        <v>33688.347999999998</v>
      </c>
      <c r="W3" s="210">
        <v>50152.523999999998</v>
      </c>
      <c r="X3" s="210">
        <f>11617901000/1000000</f>
        <v>11617.901</v>
      </c>
      <c r="Y3" s="210">
        <f>27105613/1000</f>
        <v>27105.613000000001</v>
      </c>
      <c r="Z3" s="210">
        <f>38199455000/1000000</f>
        <v>38199.455000000002</v>
      </c>
      <c r="AA3" s="210">
        <f>55626304*(10^(-3))</f>
        <v>55626.304000000004</v>
      </c>
      <c r="AB3" s="210">
        <f>11555483000*(10^(-6))</f>
        <v>11555.483</v>
      </c>
      <c r="AC3" s="210">
        <v>27542.5</v>
      </c>
      <c r="AD3" s="210">
        <v>40561.896000000001</v>
      </c>
      <c r="AE3" s="210">
        <v>61669.678</v>
      </c>
      <c r="AF3" s="210">
        <v>9949.1550000000007</v>
      </c>
      <c r="AG3" s="210">
        <v>28002.100999999999</v>
      </c>
      <c r="AH3" s="210">
        <v>42249.91</v>
      </c>
      <c r="AI3" s="210">
        <v>62458.008999999998</v>
      </c>
      <c r="AJ3" s="210">
        <v>13959.135</v>
      </c>
      <c r="AK3" s="210">
        <v>36370.987999999998</v>
      </c>
      <c r="AL3" s="210">
        <v>52835.892999999996</v>
      </c>
      <c r="AM3" s="210">
        <v>77309.614000000001</v>
      </c>
      <c r="AN3" s="210">
        <v>17325.929</v>
      </c>
      <c r="AO3" s="210">
        <v>53810.559000000001</v>
      </c>
      <c r="AP3" s="210">
        <f>73411573000*(10^(-6))</f>
        <v>73411.572999999989</v>
      </c>
      <c r="AQ3" s="210">
        <v>101975.265</v>
      </c>
      <c r="AR3" s="210">
        <f>21639304000/1000000</f>
        <v>21639.304</v>
      </c>
      <c r="AS3" s="210">
        <v>55111</v>
      </c>
      <c r="AT3" s="210">
        <v>79488.135999999999</v>
      </c>
      <c r="AU3" s="210">
        <v>113734.01300000001</v>
      </c>
      <c r="AV3" s="210">
        <v>22087.637999999999</v>
      </c>
      <c r="AW3" s="210">
        <v>56567.777000000002</v>
      </c>
      <c r="AX3" s="210">
        <v>81522.805999999997</v>
      </c>
      <c r="AY3" s="210">
        <v>105322.67</v>
      </c>
      <c r="AZ3" s="210">
        <v>22887.286</v>
      </c>
      <c r="BA3" s="210">
        <v>56643.42</v>
      </c>
      <c r="BB3" s="210">
        <v>77702.517999999996</v>
      </c>
      <c r="BC3" s="210">
        <v>100448.5</v>
      </c>
    </row>
    <row r="4" spans="1:55" s="210" customFormat="1" ht="10.5" x14ac:dyDescent="0.3">
      <c r="A4" s="212" t="s">
        <v>2651</v>
      </c>
      <c r="B4" s="203" t="s">
        <v>1901</v>
      </c>
      <c r="M4" s="210">
        <v>588.86500000000001</v>
      </c>
      <c r="N4" s="210">
        <f>898825000/1000000</f>
        <v>898.82500000000005</v>
      </c>
      <c r="O4" s="210">
        <f>1169129/1000</f>
        <v>1169.1289999999999</v>
      </c>
      <c r="Q4" s="210">
        <v>1423.9280000000001</v>
      </c>
      <c r="R4" s="210">
        <f>1856275000/1000000</f>
        <v>1856.2750000000001</v>
      </c>
      <c r="S4" s="210">
        <f>2878125/1000</f>
        <v>2878.125</v>
      </c>
      <c r="T4" s="210">
        <f>288898000/1000000</f>
        <v>288.89800000000002</v>
      </c>
      <c r="U4" s="210">
        <f>2461251/1000</f>
        <v>2461.2510000000002</v>
      </c>
      <c r="V4" s="210">
        <f>4463208000/1000000</f>
        <v>4463.2079999999996</v>
      </c>
      <c r="W4" s="210">
        <v>4674.9399999999996</v>
      </c>
      <c r="X4" s="210">
        <f>370039000/1000000</f>
        <v>370.03899999999999</v>
      </c>
      <c r="Y4" s="210">
        <f>1236101/1000</f>
        <v>1236.1010000000001</v>
      </c>
      <c r="Z4" s="210">
        <f>1776247000/1000000</f>
        <v>1776.2470000000001</v>
      </c>
      <c r="AA4" s="210">
        <f>4519203*(10^(-3))</f>
        <v>4519.2030000000004</v>
      </c>
      <c r="AB4" s="210">
        <f>476546000*(10^(-6))</f>
        <v>476.54599999999999</v>
      </c>
      <c r="AC4" s="210">
        <v>968.904</v>
      </c>
      <c r="AD4" s="210">
        <v>1266.26</v>
      </c>
      <c r="AE4" s="210">
        <v>1721.8110000000001</v>
      </c>
      <c r="AF4" s="210">
        <v>246.81100000000001</v>
      </c>
      <c r="AG4" s="210">
        <v>542.71400000000006</v>
      </c>
      <c r="AH4" s="210">
        <v>980.11099999999999</v>
      </c>
      <c r="AI4" s="210">
        <v>1552.509</v>
      </c>
      <c r="AJ4" s="210">
        <v>348.02499999999998</v>
      </c>
      <c r="AK4" s="210">
        <v>516.63499999999999</v>
      </c>
      <c r="AL4" s="210">
        <v>934.79600000000005</v>
      </c>
      <c r="AM4" s="210">
        <v>2563.5590000000002</v>
      </c>
      <c r="AN4" s="210">
        <v>717.14599999999996</v>
      </c>
      <c r="AO4" s="210">
        <v>2014.2919999999999</v>
      </c>
      <c r="AP4" s="210">
        <f>2638729000*(10^(-6))</f>
        <v>2638.7289999999998</v>
      </c>
      <c r="AQ4" s="210">
        <v>4400.665</v>
      </c>
      <c r="AR4" s="210">
        <f>671303000/1000000</f>
        <v>671.303</v>
      </c>
      <c r="AS4" s="210">
        <v>1770.8969999999999</v>
      </c>
      <c r="AT4" s="210">
        <v>2440.2600000000002</v>
      </c>
      <c r="AU4" s="210">
        <v>3717.8679999999999</v>
      </c>
      <c r="AV4" s="210">
        <v>555.44399999999996</v>
      </c>
      <c r="AW4" s="210">
        <v>1758.34</v>
      </c>
      <c r="AX4" s="210">
        <v>2285.0390000000002</v>
      </c>
      <c r="AY4" s="210">
        <v>3207.7</v>
      </c>
      <c r="AZ4" s="210">
        <v>994.66700000000003</v>
      </c>
      <c r="BA4" s="210">
        <v>1914.9349999999999</v>
      </c>
      <c r="BB4" s="210">
        <v>2684.0810000000001</v>
      </c>
      <c r="BC4" s="210">
        <v>3636.25</v>
      </c>
    </row>
    <row r="5" spans="1:55" s="213" customFormat="1" ht="10.5" x14ac:dyDescent="0.3">
      <c r="A5" s="214" t="s">
        <v>2844</v>
      </c>
      <c r="B5" s="215" t="s">
        <v>1900</v>
      </c>
      <c r="N5" s="213">
        <f>SUM(N3:N4)</f>
        <v>26626.684000000001</v>
      </c>
      <c r="O5" s="213">
        <f>SUM(O3:O4)</f>
        <v>39171.004999999997</v>
      </c>
      <c r="Q5" s="213">
        <f t="shared" ref="Q5:AQ5" si="0">SUM(Q3:Q4)</f>
        <v>20268.981</v>
      </c>
      <c r="R5" s="213">
        <f t="shared" si="0"/>
        <v>32093.349000000002</v>
      </c>
      <c r="S5" s="213">
        <f t="shared" si="0"/>
        <v>49085.633000000002</v>
      </c>
      <c r="T5" s="213">
        <f t="shared" si="0"/>
        <v>10898.925999999999</v>
      </c>
      <c r="U5" s="213">
        <f t="shared" si="0"/>
        <v>25427.385999999999</v>
      </c>
      <c r="V5" s="213">
        <f t="shared" si="0"/>
        <v>38151.555999999997</v>
      </c>
      <c r="W5" s="213">
        <f t="shared" si="0"/>
        <v>54827.464</v>
      </c>
      <c r="X5" s="213">
        <f t="shared" si="0"/>
        <v>11987.94</v>
      </c>
      <c r="Y5" s="213">
        <f t="shared" si="0"/>
        <v>28341.714</v>
      </c>
      <c r="Z5" s="213">
        <f t="shared" si="0"/>
        <v>39975.702000000005</v>
      </c>
      <c r="AA5" s="213">
        <f t="shared" si="0"/>
        <v>60145.507000000005</v>
      </c>
      <c r="AB5" s="213">
        <f t="shared" si="0"/>
        <v>12032.029</v>
      </c>
      <c r="AC5" s="213">
        <f t="shared" si="0"/>
        <v>28511.403999999999</v>
      </c>
      <c r="AD5" s="213">
        <f t="shared" si="0"/>
        <v>41828.156000000003</v>
      </c>
      <c r="AE5" s="213">
        <f t="shared" si="0"/>
        <v>63391.489000000001</v>
      </c>
      <c r="AF5" s="213">
        <f t="shared" si="0"/>
        <v>10195.966</v>
      </c>
      <c r="AG5" s="213">
        <f t="shared" si="0"/>
        <v>28544.814999999999</v>
      </c>
      <c r="AH5" s="213">
        <f t="shared" si="0"/>
        <v>43230.021000000001</v>
      </c>
      <c r="AI5" s="213">
        <f t="shared" si="0"/>
        <v>64010.517999999996</v>
      </c>
      <c r="AJ5" s="213">
        <f t="shared" si="0"/>
        <v>14307.16</v>
      </c>
      <c r="AK5" s="213">
        <f t="shared" si="0"/>
        <v>36887.623</v>
      </c>
      <c r="AL5" s="213">
        <f t="shared" si="0"/>
        <v>53770.688999999998</v>
      </c>
      <c r="AM5" s="213">
        <f t="shared" si="0"/>
        <v>79873.172999999995</v>
      </c>
      <c r="AN5" s="213">
        <f t="shared" si="0"/>
        <v>18043.075000000001</v>
      </c>
      <c r="AO5" s="213">
        <f t="shared" si="0"/>
        <v>55824.851000000002</v>
      </c>
      <c r="AP5" s="213">
        <f t="shared" si="0"/>
        <v>76050.301999999996</v>
      </c>
      <c r="AQ5" s="213">
        <f t="shared" si="0"/>
        <v>106375.93</v>
      </c>
      <c r="AR5" s="213">
        <f t="shared" ref="AR5:AS5" si="1">SUM(AR3:AR4)</f>
        <v>22310.607</v>
      </c>
      <c r="AS5" s="213">
        <f t="shared" si="1"/>
        <v>56881.896999999997</v>
      </c>
      <c r="AT5" s="213">
        <f t="shared" ref="AT5:AX5" si="2">SUM(AT3:AT4)</f>
        <v>81928.395999999993</v>
      </c>
      <c r="AU5" s="213">
        <f t="shared" si="2"/>
        <v>117451.88100000001</v>
      </c>
      <c r="AV5" s="213">
        <f t="shared" si="2"/>
        <v>22643.081999999999</v>
      </c>
      <c r="AW5" s="213">
        <f t="shared" si="2"/>
        <v>58326.116999999998</v>
      </c>
      <c r="AX5" s="213">
        <f t="shared" si="2"/>
        <v>83807.845000000001</v>
      </c>
      <c r="AY5" s="213">
        <f>SUM(AY3:AY4)</f>
        <v>108530.37</v>
      </c>
      <c r="AZ5" s="213">
        <f t="shared" ref="AZ5:BC5" si="3">SUM(AZ3:AZ4)</f>
        <v>23881.953000000001</v>
      </c>
      <c r="BA5" s="213">
        <f t="shared" si="3"/>
        <v>58558.354999999996</v>
      </c>
      <c r="BB5" s="213">
        <f t="shared" si="3"/>
        <v>80386.599000000002</v>
      </c>
      <c r="BC5" s="213">
        <f t="shared" si="3"/>
        <v>104084.75</v>
      </c>
    </row>
    <row r="6" spans="1:55" s="210" customFormat="1" x14ac:dyDescent="0.3">
      <c r="A6" s="202"/>
      <c r="B6" s="203"/>
    </row>
    <row r="7" spans="1:55" s="210" customFormat="1" ht="10.5" customHeight="1" outlineLevel="1" x14ac:dyDescent="0.3">
      <c r="A7" s="202" t="s">
        <v>2635</v>
      </c>
      <c r="B7" s="203" t="s">
        <v>1899</v>
      </c>
      <c r="I7" s="210">
        <v>1901.0440000000001</v>
      </c>
      <c r="K7" s="210">
        <f>4364261/1000</f>
        <v>4364.2610000000004</v>
      </c>
      <c r="M7" s="210">
        <v>2341.6959999999999</v>
      </c>
      <c r="O7" s="210">
        <f>5154724/1000</f>
        <v>5154.7240000000002</v>
      </c>
      <c r="P7" s="210">
        <f>1196743000/1000000</f>
        <v>1196.7429999999999</v>
      </c>
      <c r="Q7" s="210">
        <v>1922.575</v>
      </c>
      <c r="S7" s="210">
        <f>5436591/1000</f>
        <v>5436.5910000000003</v>
      </c>
      <c r="T7" s="210">
        <f>1377619000/1000000</f>
        <v>1377.6189999999999</v>
      </c>
      <c r="U7" s="210">
        <f>2900752/1000</f>
        <v>2900.752</v>
      </c>
      <c r="W7" s="210">
        <f>6815392/1000</f>
        <v>6815.3919999999998</v>
      </c>
      <c r="X7" s="210" t="s">
        <v>1809</v>
      </c>
      <c r="Y7" s="210">
        <f>3867695/1000</f>
        <v>3867.6950000000002</v>
      </c>
      <c r="AA7" s="210">
        <f>8064949*(10^(-3))</f>
        <v>8064.9490000000005</v>
      </c>
      <c r="AC7" s="210">
        <v>4046.6729999999998</v>
      </c>
      <c r="AE7" s="210">
        <v>8502.7829999999994</v>
      </c>
      <c r="AG7" s="210">
        <v>4800.3720000000003</v>
      </c>
      <c r="AI7" s="210">
        <v>8313.1820000000007</v>
      </c>
      <c r="AK7" s="210">
        <v>5530.0950000000003</v>
      </c>
      <c r="AM7" s="210">
        <v>10873.171</v>
      </c>
      <c r="AO7" s="210">
        <v>6606.34</v>
      </c>
      <c r="AQ7" s="210">
        <v>12570.522000000001</v>
      </c>
      <c r="AS7" s="210">
        <v>7768.3919999999998</v>
      </c>
      <c r="AU7" s="210">
        <v>14536.335999999999</v>
      </c>
      <c r="AW7" s="210">
        <v>7850.5280000000002</v>
      </c>
      <c r="AY7" s="210">
        <v>14562.39</v>
      </c>
      <c r="BA7" s="210">
        <v>7811.0280000000002</v>
      </c>
      <c r="BC7" s="210">
        <v>14172.14</v>
      </c>
    </row>
    <row r="8" spans="1:55" s="210" customFormat="1" ht="10.5" customHeight="1" outlineLevel="1" x14ac:dyDescent="0.3">
      <c r="A8" s="202" t="s">
        <v>2634</v>
      </c>
      <c r="B8" s="203" t="s">
        <v>1898</v>
      </c>
      <c r="I8" s="210">
        <v>171.63900000000001</v>
      </c>
      <c r="K8" s="210">
        <f>294345/1000</f>
        <v>294.34500000000003</v>
      </c>
      <c r="M8" s="210">
        <v>167.90600000000001</v>
      </c>
      <c r="O8" s="210">
        <f>423728/1000</f>
        <v>423.72800000000001</v>
      </c>
      <c r="Q8" s="210">
        <v>239.96299999999999</v>
      </c>
      <c r="S8" s="210">
        <f>420295/1000</f>
        <v>420.29500000000002</v>
      </c>
      <c r="T8" s="210">
        <f>T9-T7</f>
        <v>71.396000000000186</v>
      </c>
      <c r="U8" s="210">
        <f>416360/1000</f>
        <v>416.36</v>
      </c>
      <c r="W8" s="210">
        <v>731.38</v>
      </c>
      <c r="Y8" s="210">
        <f>384923/1000</f>
        <v>384.923</v>
      </c>
      <c r="AA8" s="210">
        <f>705024*(10^(-3))</f>
        <v>705.024</v>
      </c>
      <c r="AC8" s="210">
        <v>320.19499999999999</v>
      </c>
      <c r="AE8" s="210">
        <v>452.654</v>
      </c>
      <c r="AG8" s="210">
        <v>112.16200000000001</v>
      </c>
      <c r="AI8" s="210">
        <v>701.94399999999996</v>
      </c>
      <c r="AK8" s="210">
        <v>219.81700000000001</v>
      </c>
      <c r="AM8" s="210">
        <v>369.24599999999998</v>
      </c>
      <c r="AO8" s="210">
        <v>89.600999999999999</v>
      </c>
      <c r="AQ8" s="210">
        <v>275.19600000000003</v>
      </c>
      <c r="AS8" s="210">
        <v>345.238</v>
      </c>
      <c r="AU8" s="210">
        <v>629.96900000000005</v>
      </c>
      <c r="AW8" s="210">
        <v>605.70899999999995</v>
      </c>
      <c r="AY8" s="210">
        <v>583.49900000000002</v>
      </c>
      <c r="BA8" s="210">
        <v>798.78</v>
      </c>
      <c r="BC8" s="210">
        <v>846.40899999999999</v>
      </c>
    </row>
    <row r="9" spans="1:55" s="213" customFormat="1" ht="10.5" x14ac:dyDescent="0.3">
      <c r="A9" s="214" t="s">
        <v>2843</v>
      </c>
      <c r="B9" s="215" t="s">
        <v>1897</v>
      </c>
      <c r="H9" s="213">
        <f>855331000/1000000</f>
        <v>855.33100000000002</v>
      </c>
      <c r="I9" s="213">
        <f>SUM(I7:I8)</f>
        <v>2072.683</v>
      </c>
      <c r="J9" s="213">
        <f>2833067000/1000000</f>
        <v>2833.067</v>
      </c>
      <c r="K9" s="213">
        <f>SUM(K7:K8)</f>
        <v>4658.6060000000007</v>
      </c>
      <c r="L9" s="213">
        <f>1070076000/1000000</f>
        <v>1070.076</v>
      </c>
      <c r="M9" s="213">
        <f>SUM(M7:M8)</f>
        <v>2509.6019999999999</v>
      </c>
      <c r="N9" s="213">
        <f>3543966000/1000000</f>
        <v>3543.9659999999999</v>
      </c>
      <c r="O9" s="213">
        <f>SUM(O7:O8)</f>
        <v>5578.4520000000002</v>
      </c>
      <c r="P9" s="213">
        <f>1286763000/1000000</f>
        <v>1286.7629999999999</v>
      </c>
      <c r="Q9" s="213">
        <f>SUM(Q7:Q8)</f>
        <v>2162.538</v>
      </c>
      <c r="R9" s="213">
        <f>3736250000/1000000</f>
        <v>3736.25</v>
      </c>
      <c r="S9" s="213">
        <f>SUM(S7:S8)</f>
        <v>5856.8860000000004</v>
      </c>
      <c r="T9" s="213">
        <f>1449015000/1000000</f>
        <v>1449.0150000000001</v>
      </c>
      <c r="U9" s="213">
        <f>SUM(U7:U8)</f>
        <v>3317.1120000000001</v>
      </c>
      <c r="V9" s="213">
        <f>5024756000/1000000</f>
        <v>5024.7560000000003</v>
      </c>
      <c r="W9" s="213">
        <f>SUM(W7:W8)</f>
        <v>7546.7719999999999</v>
      </c>
      <c r="X9" s="213">
        <f>1684902000/1000000</f>
        <v>1684.902</v>
      </c>
      <c r="Y9" s="213">
        <f>SUM(Y7:Y8)</f>
        <v>4252.6180000000004</v>
      </c>
      <c r="Z9" s="213">
        <f>5812992000/1000000</f>
        <v>5812.9920000000002</v>
      </c>
      <c r="AA9" s="213">
        <f>SUM(AA7:AA8)</f>
        <v>8769.973</v>
      </c>
      <c r="AB9" s="213">
        <f>2164569000*(10^(-6))</f>
        <v>2164.569</v>
      </c>
      <c r="AC9" s="213">
        <f>SUM(AC7:AC8)</f>
        <v>4366.8679999999995</v>
      </c>
      <c r="AD9" s="213">
        <v>6248.1369999999997</v>
      </c>
      <c r="AE9" s="213">
        <f>SUM(AE7:AE8)</f>
        <v>8955.4369999999999</v>
      </c>
      <c r="AF9" s="213">
        <v>1716.8430000000001</v>
      </c>
      <c r="AG9" s="213">
        <f>SUM(AG7:AG8)</f>
        <v>4912.5340000000006</v>
      </c>
      <c r="AH9" s="213">
        <v>7081.7759999999998</v>
      </c>
      <c r="AI9" s="213">
        <f>SUM(AI7:AI8)</f>
        <v>9015.1260000000002</v>
      </c>
      <c r="AJ9" s="213">
        <v>2406.654</v>
      </c>
      <c r="AK9" s="213">
        <f>SUM(AK7:AK8)</f>
        <v>5749.9120000000003</v>
      </c>
      <c r="AL9" s="213">
        <v>8371.57</v>
      </c>
      <c r="AM9" s="213">
        <f>SUM(AM7:AM8)</f>
        <v>11242.416999999999</v>
      </c>
      <c r="AN9" s="213">
        <v>2904.7040000000002</v>
      </c>
      <c r="AO9" s="213">
        <f>SUM(AO7:AO8)</f>
        <v>6695.9409999999998</v>
      </c>
      <c r="AP9" s="213">
        <f>9828671000*(10^(-6))</f>
        <v>9828.6710000000003</v>
      </c>
      <c r="AQ9" s="213">
        <f>SUM(AQ7:AQ8)</f>
        <v>12845.718000000001</v>
      </c>
      <c r="AR9" s="213">
        <f>3398564000/1000000</f>
        <v>3398.5639999999999</v>
      </c>
      <c r="AS9" s="213">
        <f>SUM(AS7:AS8)</f>
        <v>8113.63</v>
      </c>
      <c r="AT9" s="213">
        <v>11560.019</v>
      </c>
      <c r="AU9" s="213">
        <f>SUM(AU7:AU8)</f>
        <v>15166.305</v>
      </c>
      <c r="AV9" s="213">
        <v>3575.5140000000001</v>
      </c>
      <c r="AW9" s="213">
        <f>SUM(AW7:AW8)</f>
        <v>8456.237000000001</v>
      </c>
      <c r="AX9" s="213">
        <v>11901.606</v>
      </c>
      <c r="AY9" s="213">
        <f>SUM(AY7:AY8)</f>
        <v>15145.888999999999</v>
      </c>
      <c r="AZ9" s="213">
        <v>3963.0140000000001</v>
      </c>
      <c r="BA9" s="213">
        <f>SUM(BA7:BA8)</f>
        <v>8609.8080000000009</v>
      </c>
      <c r="BB9" s="213">
        <v>11923.338</v>
      </c>
      <c r="BC9" s="213">
        <f>SUM(BC7:BC8)</f>
        <v>15018.548999999999</v>
      </c>
    </row>
    <row r="10" spans="1:55" s="216" customFormat="1" ht="10.5" x14ac:dyDescent="0.3">
      <c r="A10" s="208" t="s">
        <v>2639</v>
      </c>
      <c r="B10" s="217" t="s">
        <v>293</v>
      </c>
      <c r="C10" s="218"/>
      <c r="D10" s="218"/>
      <c r="E10" s="218"/>
      <c r="F10" s="218"/>
      <c r="G10" s="218"/>
      <c r="H10" s="218"/>
      <c r="I10" s="218"/>
      <c r="J10" s="218"/>
      <c r="K10" s="218"/>
      <c r="L10" s="218"/>
      <c r="M10" s="218"/>
      <c r="N10" s="218"/>
      <c r="O10" s="218"/>
      <c r="P10" s="218"/>
      <c r="Q10" s="218"/>
      <c r="R10" s="218"/>
      <c r="S10" s="218"/>
      <c r="T10" s="218"/>
      <c r="U10" s="218"/>
      <c r="V10" s="218"/>
      <c r="W10" s="218"/>
      <c r="X10" s="218"/>
      <c r="Y10" s="218"/>
      <c r="Z10" s="218"/>
      <c r="AA10" s="218"/>
      <c r="AB10" s="218"/>
      <c r="AC10" s="218"/>
      <c r="AD10" s="218"/>
      <c r="AE10" s="218"/>
      <c r="AF10" s="218"/>
      <c r="AG10" s="218"/>
      <c r="AH10" s="218"/>
      <c r="AI10" s="218"/>
      <c r="AJ10" s="218"/>
      <c r="AK10" s="218"/>
      <c r="AL10" s="218"/>
      <c r="AM10" s="218"/>
      <c r="AN10" s="218"/>
      <c r="AO10" s="218"/>
      <c r="AP10" s="218"/>
      <c r="AQ10" s="218"/>
      <c r="AR10" s="218"/>
      <c r="AS10" s="218"/>
      <c r="AT10" s="218"/>
      <c r="AU10" s="218"/>
      <c r="AV10" s="218"/>
      <c r="AW10" s="218"/>
      <c r="AX10" s="218"/>
      <c r="AY10" s="218"/>
      <c r="AZ10" s="218"/>
      <c r="BA10" s="218"/>
      <c r="BB10" s="218"/>
      <c r="BC10" s="218"/>
    </row>
    <row r="11" spans="1:55" s="211" customFormat="1" ht="10.5" x14ac:dyDescent="0.3">
      <c r="A11" s="202" t="s">
        <v>2638</v>
      </c>
      <c r="B11" s="203" t="s">
        <v>1902</v>
      </c>
      <c r="L11" s="211">
        <f t="shared" ref="L11:AZ11" si="4">L3/H3-1</f>
        <v>0.1732269925351988</v>
      </c>
      <c r="M11" s="211">
        <f t="shared" si="4"/>
        <v>0.19141570096698102</v>
      </c>
      <c r="N11" s="211">
        <f t="shared" si="4"/>
        <v>0.14073242712416567</v>
      </c>
      <c r="O11" s="211">
        <f t="shared" si="4"/>
        <v>0.10343626482034107</v>
      </c>
      <c r="P11" s="211">
        <f t="shared" si="4"/>
        <v>0.18482137910697882</v>
      </c>
      <c r="Q11" s="211">
        <f t="shared" si="4"/>
        <v>0.10739269662320505</v>
      </c>
      <c r="R11" s="211">
        <f t="shared" si="4"/>
        <v>0.17526584703375425</v>
      </c>
      <c r="S11" s="211">
        <f t="shared" si="4"/>
        <v>0.21592702423427745</v>
      </c>
      <c r="T11" s="211">
        <f t="shared" si="4"/>
        <v>0.21297414759924349</v>
      </c>
      <c r="U11" s="211">
        <f t="shared" si="4"/>
        <v>0.21868243087456429</v>
      </c>
      <c r="V11" s="211">
        <f t="shared" si="4"/>
        <v>0.114140475364779</v>
      </c>
      <c r="W11" s="211">
        <f t="shared" si="4"/>
        <v>8.5376082172619938E-2</v>
      </c>
      <c r="X11" s="211">
        <f t="shared" si="4"/>
        <v>9.4992492008503682E-2</v>
      </c>
      <c r="Y11" s="211">
        <f t="shared" si="4"/>
        <v>0.18024269212037658</v>
      </c>
      <c r="Z11" s="211">
        <f t="shared" si="4"/>
        <v>0.13390704109325879</v>
      </c>
      <c r="AA11" s="211">
        <f t="shared" si="4"/>
        <v>0.10914266249092486</v>
      </c>
      <c r="AB11" s="211">
        <f t="shared" si="4"/>
        <v>-5.3725711727100611E-3</v>
      </c>
      <c r="AC11" s="211">
        <f t="shared" si="4"/>
        <v>1.611795313391351E-2</v>
      </c>
      <c r="AD11" s="211">
        <f t="shared" si="4"/>
        <v>6.1844887577584551E-2</v>
      </c>
      <c r="AE11" s="211">
        <f t="shared" si="4"/>
        <v>0.10864237897236517</v>
      </c>
      <c r="AF11" s="211">
        <f t="shared" si="4"/>
        <v>-0.13901002666872508</v>
      </c>
      <c r="AG11" s="211">
        <f t="shared" si="4"/>
        <v>1.6686974675501398E-2</v>
      </c>
      <c r="AH11" s="211">
        <f t="shared" si="4"/>
        <v>4.1615756817679372E-2</v>
      </c>
      <c r="AI11" s="211">
        <f t="shared" si="4"/>
        <v>1.2783121715018497E-2</v>
      </c>
      <c r="AJ11" s="211">
        <f t="shared" si="4"/>
        <v>0.40304729396617089</v>
      </c>
      <c r="AK11" s="211">
        <f t="shared" si="4"/>
        <v>0.29886639577508833</v>
      </c>
      <c r="AL11" s="211">
        <f t="shared" si="4"/>
        <v>0.25055634438037844</v>
      </c>
      <c r="AM11" s="211">
        <f t="shared" si="4"/>
        <v>0.23778543757294601</v>
      </c>
      <c r="AN11" s="211">
        <f t="shared" si="4"/>
        <v>0.24118930005333428</v>
      </c>
      <c r="AO11" s="211">
        <f t="shared" si="4"/>
        <v>0.47949126375120765</v>
      </c>
      <c r="AP11" s="211">
        <f t="shared" si="4"/>
        <v>0.38942618041867849</v>
      </c>
      <c r="AQ11" s="211">
        <f t="shared" si="4"/>
        <v>0.31905024128046988</v>
      </c>
      <c r="AR11" s="211">
        <f t="shared" si="4"/>
        <v>0.24895490452488866</v>
      </c>
      <c r="AS11" s="211">
        <f t="shared" si="4"/>
        <v>2.4167022684153938E-2</v>
      </c>
      <c r="AT11" s="211">
        <f t="shared" si="4"/>
        <v>8.2773910865525435E-2</v>
      </c>
      <c r="AU11" s="211">
        <f t="shared" si="4"/>
        <v>0.11530980576515293</v>
      </c>
      <c r="AV11" s="211">
        <f>AV3/AR3-1</f>
        <v>2.0718503700488666E-2</v>
      </c>
      <c r="AW11" s="211">
        <f t="shared" si="4"/>
        <v>2.6433506922393102E-2</v>
      </c>
      <c r="AX11" s="211">
        <f t="shared" si="4"/>
        <v>2.5597153265740191E-2</v>
      </c>
      <c r="AY11" s="211">
        <f t="shared" si="4"/>
        <v>-7.395626671504163E-2</v>
      </c>
      <c r="AZ11" s="211">
        <f t="shared" si="4"/>
        <v>3.6203418400826859E-2</v>
      </c>
      <c r="BA11" s="211">
        <f t="shared" ref="BA11:BA13" si="5">BA3/AW3-1</f>
        <v>1.3372100515811614E-3</v>
      </c>
      <c r="BB11" s="211">
        <f t="shared" ref="BB11:BB13" si="6">BB3/AX3-1</f>
        <v>-4.6861586192212257E-2</v>
      </c>
      <c r="BC11" s="211">
        <f>BC3/AY3-1</f>
        <v>-4.6278450783672653E-2</v>
      </c>
    </row>
    <row r="12" spans="1:55" s="211" customFormat="1" ht="10.5" x14ac:dyDescent="0.3">
      <c r="A12" s="202" t="s">
        <v>2637</v>
      </c>
      <c r="B12" s="203" t="s">
        <v>1901</v>
      </c>
      <c r="Q12" s="211">
        <f>Q4/M4-1</f>
        <v>1.4180890356872968</v>
      </c>
      <c r="R12" s="211">
        <f>R4/N4-1</f>
        <v>1.0652240424999304</v>
      </c>
      <c r="S12" s="211">
        <f>S4/O4-1</f>
        <v>1.4617685473544837</v>
      </c>
      <c r="U12" s="211">
        <f t="shared" ref="U12:AD13" si="7">U4/Q4-1</f>
        <v>0.72849399688748306</v>
      </c>
      <c r="V12" s="211">
        <f t="shared" si="7"/>
        <v>1.4043894358325137</v>
      </c>
      <c r="W12" s="211">
        <f t="shared" si="7"/>
        <v>0.62430054288816494</v>
      </c>
      <c r="X12" s="211">
        <f t="shared" si="7"/>
        <v>0.28086383429445672</v>
      </c>
      <c r="Y12" s="211">
        <f t="shared" si="7"/>
        <v>-0.49777531832389299</v>
      </c>
      <c r="Z12" s="211">
        <f t="shared" si="7"/>
        <v>-0.60202459755404636</v>
      </c>
      <c r="AA12" s="211">
        <f t="shared" si="7"/>
        <v>-3.33131548212382E-2</v>
      </c>
      <c r="AB12" s="211">
        <f t="shared" si="7"/>
        <v>0.28782641829644984</v>
      </c>
      <c r="AC12" s="211">
        <f t="shared" si="7"/>
        <v>-0.21616113893605793</v>
      </c>
      <c r="AD12" s="211">
        <f t="shared" si="7"/>
        <v>-0.28711491138338308</v>
      </c>
      <c r="AE12" s="211">
        <f t="shared" ref="AE12:AN13" si="8">AE4/AA4-1</f>
        <v>-0.61900118228811585</v>
      </c>
      <c r="AF12" s="211">
        <f t="shared" si="8"/>
        <v>-0.48208357640185839</v>
      </c>
      <c r="AG12" s="211">
        <f t="shared" si="8"/>
        <v>-0.43986813967121607</v>
      </c>
      <c r="AH12" s="211">
        <f t="shared" si="8"/>
        <v>-0.22597965662660113</v>
      </c>
      <c r="AI12" s="211">
        <f t="shared" si="8"/>
        <v>-9.8327865253503455E-2</v>
      </c>
      <c r="AJ12" s="211">
        <f t="shared" si="8"/>
        <v>0.41008707067351113</v>
      </c>
      <c r="AK12" s="211">
        <f t="shared" si="8"/>
        <v>-4.8052933957849042E-2</v>
      </c>
      <c r="AL12" s="211">
        <f t="shared" si="8"/>
        <v>-4.6234559146872134E-2</v>
      </c>
      <c r="AM12" s="211">
        <f t="shared" si="8"/>
        <v>0.65123616030567311</v>
      </c>
      <c r="AN12" s="211">
        <f t="shared" si="8"/>
        <v>1.0606163350334028</v>
      </c>
      <c r="AO12" s="211">
        <f t="shared" ref="AO12:AZ13" si="9">AO4/AK4-1</f>
        <v>2.8988686403360204</v>
      </c>
      <c r="AP12" s="211">
        <f t="shared" si="9"/>
        <v>1.8227859340433632</v>
      </c>
      <c r="AQ12" s="211">
        <f t="shared" si="9"/>
        <v>0.71662325696424367</v>
      </c>
      <c r="AR12" s="211">
        <f t="shared" si="9"/>
        <v>-6.3924221846039631E-2</v>
      </c>
      <c r="AS12" s="211">
        <f t="shared" si="9"/>
        <v>-0.12083402009241961</v>
      </c>
      <c r="AT12" s="211">
        <f t="shared" si="9"/>
        <v>-7.5213862431496192E-2</v>
      </c>
      <c r="AU12" s="211">
        <f t="shared" si="9"/>
        <v>-0.15515768639512439</v>
      </c>
      <c r="AV12" s="211">
        <f t="shared" si="9"/>
        <v>-0.1725882351188659</v>
      </c>
      <c r="AW12" s="211">
        <f t="shared" si="9"/>
        <v>-7.0907568311426861E-3</v>
      </c>
      <c r="AX12" s="211">
        <f t="shared" si="9"/>
        <v>-6.3608385991656635E-2</v>
      </c>
      <c r="AY12" s="211">
        <f t="shared" si="9"/>
        <v>-0.13722057910608987</v>
      </c>
      <c r="AZ12" s="211">
        <f t="shared" si="9"/>
        <v>0.79076018464507691</v>
      </c>
      <c r="BA12" s="211">
        <f t="shared" si="5"/>
        <v>8.9058430110217524E-2</v>
      </c>
      <c r="BB12" s="211">
        <f t="shared" si="6"/>
        <v>0.17463246797975862</v>
      </c>
      <c r="BC12" s="211">
        <f>BC4/AY4-1</f>
        <v>0.13360039903981047</v>
      </c>
    </row>
    <row r="13" spans="1:55" s="219" customFormat="1" ht="10.5" x14ac:dyDescent="0.3">
      <c r="A13" s="220" t="s">
        <v>2636</v>
      </c>
      <c r="B13" s="215" t="s">
        <v>1900</v>
      </c>
      <c r="R13" s="219">
        <f>R5/N5-1</f>
        <v>0.20530776569850007</v>
      </c>
      <c r="S13" s="219">
        <f>S5/O5-1</f>
        <v>0.25311140217107031</v>
      </c>
      <c r="U13" s="219">
        <f t="shared" si="7"/>
        <v>0.2544975003923482</v>
      </c>
      <c r="V13" s="219">
        <f t="shared" si="7"/>
        <v>0.18876830211767537</v>
      </c>
      <c r="W13" s="219">
        <f t="shared" si="7"/>
        <v>0.11697579615607689</v>
      </c>
      <c r="X13" s="219">
        <f t="shared" si="7"/>
        <v>9.9919386552399958E-2</v>
      </c>
      <c r="Y13" s="219">
        <f t="shared" si="7"/>
        <v>0.11461374755549003</v>
      </c>
      <c r="Z13" s="219">
        <f t="shared" si="7"/>
        <v>4.7813148171466757E-2</v>
      </c>
      <c r="AA13" s="219">
        <f t="shared" si="7"/>
        <v>9.6995969027493301E-2</v>
      </c>
      <c r="AB13" s="219">
        <f t="shared" si="7"/>
        <v>3.6777795017326476E-3</v>
      </c>
      <c r="AC13" s="219">
        <f t="shared" si="7"/>
        <v>5.9872878542208685E-3</v>
      </c>
      <c r="AD13" s="219">
        <f t="shared" si="7"/>
        <v>4.6339498928624101E-2</v>
      </c>
      <c r="AE13" s="219">
        <f t="shared" si="8"/>
        <v>5.3968819316794425E-2</v>
      </c>
      <c r="AF13" s="219">
        <f t="shared" si="8"/>
        <v>-0.15259795334602333</v>
      </c>
      <c r="AG13" s="219">
        <f t="shared" si="8"/>
        <v>1.1718468862493836E-3</v>
      </c>
      <c r="AH13" s="219">
        <f t="shared" si="8"/>
        <v>3.3514864963207991E-2</v>
      </c>
      <c r="AI13" s="219">
        <f t="shared" si="8"/>
        <v>9.7651752587795126E-3</v>
      </c>
      <c r="AJ13" s="219">
        <f t="shared" si="8"/>
        <v>0.40321770394291234</v>
      </c>
      <c r="AK13" s="219">
        <f t="shared" si="8"/>
        <v>0.29227052268511811</v>
      </c>
      <c r="AL13" s="219">
        <f t="shared" si="8"/>
        <v>0.24382750126353159</v>
      </c>
      <c r="AM13" s="219">
        <f t="shared" si="8"/>
        <v>0.24781325781491104</v>
      </c>
      <c r="AN13" s="219">
        <f t="shared" si="8"/>
        <v>0.26112205357317597</v>
      </c>
      <c r="AO13" s="219">
        <f t="shared" si="9"/>
        <v>0.51337620751545865</v>
      </c>
      <c r="AP13" s="219">
        <f t="shared" si="9"/>
        <v>0.41434494172094394</v>
      </c>
      <c r="AQ13" s="219">
        <f t="shared" si="9"/>
        <v>0.33181049411922081</v>
      </c>
      <c r="AR13" s="219">
        <f t="shared" ref="AR13:AZ13" si="10">AR5/AN5-1</f>
        <v>0.23651910774632379</v>
      </c>
      <c r="AS13" s="219">
        <f t="shared" si="10"/>
        <v>1.8935043821254327E-2</v>
      </c>
      <c r="AT13" s="219">
        <f t="shared" si="10"/>
        <v>7.7292184848917422E-2</v>
      </c>
      <c r="AU13" s="219">
        <f t="shared" si="10"/>
        <v>0.10412083823850016</v>
      </c>
      <c r="AV13" s="219">
        <f t="shared" si="10"/>
        <v>1.4902104635700741E-2</v>
      </c>
      <c r="AW13" s="219">
        <f t="shared" si="10"/>
        <v>2.5389800203041712E-2</v>
      </c>
      <c r="AX13" s="219">
        <f t="shared" si="10"/>
        <v>2.2940141535298775E-2</v>
      </c>
      <c r="AY13" s="219">
        <f t="shared" si="10"/>
        <v>-7.5958860122470218E-2</v>
      </c>
      <c r="AZ13" s="219">
        <f t="shared" si="10"/>
        <v>5.4713002408417921E-2</v>
      </c>
      <c r="BA13" s="219">
        <f t="shared" si="5"/>
        <v>3.981715429470345E-3</v>
      </c>
      <c r="BB13" s="219">
        <f t="shared" si="6"/>
        <v>-4.0822502953035023E-2</v>
      </c>
      <c r="BC13" s="219">
        <f>BC5/AY5-1</f>
        <v>-4.0961990639117873E-2</v>
      </c>
    </row>
    <row r="14" spans="1:55" s="211" customFormat="1" x14ac:dyDescent="0.3">
      <c r="A14" s="202"/>
      <c r="B14" s="203"/>
    </row>
    <row r="15" spans="1:55" s="211" customFormat="1" ht="10.5" hidden="1" customHeight="1" outlineLevel="1" x14ac:dyDescent="0.3">
      <c r="A15" s="202" t="s">
        <v>2635</v>
      </c>
      <c r="B15" s="203" t="s">
        <v>1899</v>
      </c>
      <c r="O15" s="211">
        <f>O7/K7-1</f>
        <v>0.18112184399603959</v>
      </c>
      <c r="Q15" s="211">
        <f>Q7/M7-1</f>
        <v>-0.17898181488972087</v>
      </c>
      <c r="S15" s="211">
        <f>S7/O7-1</f>
        <v>5.4681298164557468E-2</v>
      </c>
      <c r="T15" s="211">
        <f>T7/P7-1</f>
        <v>0.15114021974642844</v>
      </c>
      <c r="U15" s="211">
        <f>U7/Q7-1</f>
        <v>0.50878483284137155</v>
      </c>
      <c r="W15" s="211">
        <f>W7/S7-1</f>
        <v>0.25361499513205965</v>
      </c>
      <c r="X15" s="211" t="s">
        <v>1809</v>
      </c>
      <c r="Y15" s="211">
        <f>Y7/U7-1</f>
        <v>0.33334218161359552</v>
      </c>
      <c r="AA15" s="211">
        <f>AA7/W7-1</f>
        <v>0.18334337922162081</v>
      </c>
      <c r="AB15" s="211" t="s">
        <v>1809</v>
      </c>
      <c r="AC15" s="211">
        <f>AC7/Y7-1</f>
        <v>4.6275107008179273E-2</v>
      </c>
      <c r="AE15" s="211">
        <f>AE7/AA7-1</f>
        <v>5.4288502010366058E-2</v>
      </c>
      <c r="AF15" s="211" t="s">
        <v>1809</v>
      </c>
      <c r="AG15" s="211">
        <f>AG7/AC7-1</f>
        <v>0.18625152069366635</v>
      </c>
      <c r="AI15" s="211">
        <f>AI7/AE7-1</f>
        <v>-2.2298699143562639E-2</v>
      </c>
      <c r="AK15" s="211">
        <f>AK7/AG7-1</f>
        <v>0.15201384392709572</v>
      </c>
      <c r="AM15" s="211">
        <f>AM7/AI7-1</f>
        <v>0.30794333625800552</v>
      </c>
      <c r="AO15" s="211">
        <f>AO7/AK7-1</f>
        <v>0.19461600569248816</v>
      </c>
    </row>
    <row r="16" spans="1:55" s="211" customFormat="1" ht="10.5" hidden="1" customHeight="1" outlineLevel="1" x14ac:dyDescent="0.3">
      <c r="A16" s="202" t="s">
        <v>2634</v>
      </c>
      <c r="B16" s="203" t="s">
        <v>1898</v>
      </c>
      <c r="O16" s="211">
        <f>O8/K8-1</f>
        <v>0.43956241825069209</v>
      </c>
      <c r="Q16" s="211">
        <f>Q8/M8-1</f>
        <v>0.42915083439543555</v>
      </c>
      <c r="S16" s="211">
        <f>S8/O8-1</f>
        <v>-8.101895555639449E-3</v>
      </c>
      <c r="U16" s="211">
        <f>U8/Q8-1</f>
        <v>0.73510082804432364</v>
      </c>
      <c r="W16" s="211">
        <f>W8/S8-1</f>
        <v>0.74015869805731671</v>
      </c>
      <c r="Y16" s="211">
        <f>Y8/U8-1</f>
        <v>-7.5504371217215871E-2</v>
      </c>
      <c r="AA16" s="211">
        <f>AA8/W8-1</f>
        <v>-3.6035986764746064E-2</v>
      </c>
      <c r="AC16" s="211">
        <f>AC8/Y8-1</f>
        <v>-0.16815830698607259</v>
      </c>
      <c r="AE16" s="211">
        <f>AE8/AA8-1</f>
        <v>-0.35795944535221491</v>
      </c>
      <c r="AG16" s="211">
        <f>AG8/AC8-1</f>
        <v>-0.64970720966910789</v>
      </c>
      <c r="AI16" s="211">
        <f>AI8/AE8-1</f>
        <v>0.55072969641271241</v>
      </c>
      <c r="AK16" s="211">
        <f>AK8/AG8-1</f>
        <v>0.95981705033790399</v>
      </c>
      <c r="AM16" s="211">
        <f>AM8/AI8-1</f>
        <v>-0.47396658422894133</v>
      </c>
      <c r="AO16" s="211">
        <f>AO8/AK8-1</f>
        <v>-0.59238366459373026</v>
      </c>
    </row>
    <row r="17" spans="1:55" s="219" customFormat="1" ht="10.5" collapsed="1" x14ac:dyDescent="0.3">
      <c r="A17" s="220" t="s">
        <v>2633</v>
      </c>
      <c r="B17" s="215" t="s">
        <v>1897</v>
      </c>
      <c r="L17" s="219">
        <f>L9/H9-1</f>
        <v>0.25106654616750701</v>
      </c>
      <c r="M17" s="219">
        <f>M9/I9-1</f>
        <v>0.2107987569734493</v>
      </c>
      <c r="N17" s="219">
        <f>N9/J9-1</f>
        <v>0.25092911674873908</v>
      </c>
      <c r="O17" s="219">
        <f>O9/K9-1</f>
        <v>0.19745091128118575</v>
      </c>
      <c r="P17" s="219">
        <f>P9/L9-1</f>
        <v>0.20249683200071766</v>
      </c>
      <c r="Q17" s="219">
        <f>Q9/M9-1</f>
        <v>-0.1382944387197651</v>
      </c>
      <c r="R17" s="219">
        <f>R9/N9-1</f>
        <v>5.4256728196602433E-2</v>
      </c>
      <c r="S17" s="219">
        <f>S9/O9-1</f>
        <v>4.9912412977650478E-2</v>
      </c>
      <c r="T17" s="219">
        <f>T9/P9-1</f>
        <v>0.12609315002063326</v>
      </c>
      <c r="U17" s="219">
        <f>U9/Q9-1</f>
        <v>0.53389767023747092</v>
      </c>
      <c r="V17" s="219">
        <f>V9/R9-1</f>
        <v>0.34486610906657744</v>
      </c>
      <c r="W17" s="219">
        <f>W9/S9-1</f>
        <v>0.28852977503745159</v>
      </c>
      <c r="X17" s="219">
        <f>X9/T9-1</f>
        <v>0.16279127545263505</v>
      </c>
      <c r="Y17" s="219">
        <f>Y9/U9-1</f>
        <v>0.28202424277504057</v>
      </c>
      <c r="Z17" s="219">
        <f>Z9/V9-1</f>
        <v>0.15687050276670145</v>
      </c>
      <c r="AA17" s="219">
        <f>AA9/W9-1</f>
        <v>0.16208267587784553</v>
      </c>
      <c r="AB17" s="219">
        <f>AB9/X9-1</f>
        <v>0.28468540010042132</v>
      </c>
      <c r="AC17" s="219">
        <f>AC9/Y9-1</f>
        <v>2.686580360615487E-2</v>
      </c>
      <c r="AD17" s="219">
        <f>AD9/Z9-1</f>
        <v>7.4857319604086703E-2</v>
      </c>
      <c r="AE17" s="219">
        <f>AE9/AA9-1</f>
        <v>2.1147613567339407E-2</v>
      </c>
      <c r="AF17" s="219">
        <f>AF9/AB9-1</f>
        <v>-0.20684302510107089</v>
      </c>
      <c r="AG17" s="219">
        <f>AG9/AC9-1</f>
        <v>0.12495591806301487</v>
      </c>
      <c r="AH17" s="219">
        <f>AH9/AD9-1</f>
        <v>0.13342201043286983</v>
      </c>
      <c r="AI17" s="219">
        <f>AI9/AE9-1</f>
        <v>6.6651130480845922E-3</v>
      </c>
      <c r="AJ17" s="219">
        <f>AJ9/AF9-1</f>
        <v>0.40179037920182559</v>
      </c>
      <c r="AK17" s="219">
        <f>AK9/AG9-1</f>
        <v>0.17045744619782766</v>
      </c>
      <c r="AL17" s="219">
        <f>AL9/AH9-1</f>
        <v>0.18212860728721147</v>
      </c>
      <c r="AM17" s="219">
        <f>AM9/AI9-1</f>
        <v>0.24706154966663796</v>
      </c>
      <c r="AN17" s="219">
        <f>AN9/AJ9-1</f>
        <v>0.20694707257462031</v>
      </c>
      <c r="AO17" s="219">
        <f>AO9/AK9-1</f>
        <v>0.16452930062233984</v>
      </c>
      <c r="AP17" s="219">
        <f t="shared" ref="AP17:AZ17" si="11">AP9/AL9-1</f>
        <v>0.17405349295293493</v>
      </c>
      <c r="AQ17" s="219">
        <f t="shared" si="11"/>
        <v>0.14261177111647805</v>
      </c>
      <c r="AR17" s="219">
        <f t="shared" si="11"/>
        <v>0.1700207663156037</v>
      </c>
      <c r="AS17" s="219">
        <f t="shared" si="11"/>
        <v>0.21172363973935848</v>
      </c>
      <c r="AT17" s="219">
        <f t="shared" si="11"/>
        <v>0.17615280845192594</v>
      </c>
      <c r="AU17" s="219">
        <f t="shared" si="11"/>
        <v>0.1806506261463936</v>
      </c>
      <c r="AV17" s="219">
        <f t="shared" si="11"/>
        <v>5.2066107920874849E-2</v>
      </c>
      <c r="AW17" s="219">
        <f t="shared" si="11"/>
        <v>4.2226105947646309E-2</v>
      </c>
      <c r="AX17" s="219">
        <f t="shared" si="11"/>
        <v>2.954899987621129E-2</v>
      </c>
      <c r="AY17" s="219">
        <f t="shared" si="11"/>
        <v>-1.3461419904189365E-3</v>
      </c>
      <c r="AZ17" s="219">
        <f t="shared" si="11"/>
        <v>0.10837602649577094</v>
      </c>
      <c r="BA17" s="219">
        <f t="shared" ref="BA17" si="12">BA9/AW9-1</f>
        <v>1.816067832535917E-2</v>
      </c>
      <c r="BB17" s="219">
        <f t="shared" ref="BB17" si="13">BB9/AX9-1</f>
        <v>1.8259720578885918E-3</v>
      </c>
      <c r="BC17" s="219">
        <f>BC9/AY9-1</f>
        <v>-8.4075619463472862E-3</v>
      </c>
    </row>
    <row r="18" spans="1:55" s="219" customFormat="1" ht="10.5" x14ac:dyDescent="0.3">
      <c r="A18" s="214" t="s">
        <v>2644</v>
      </c>
      <c r="B18" s="215" t="s">
        <v>2645</v>
      </c>
      <c r="N18" s="219">
        <f>N9/N5</f>
        <v>0.13309828591498662</v>
      </c>
      <c r="O18" s="219">
        <f>O9/O5</f>
        <v>0.14241278721339931</v>
      </c>
      <c r="Q18" s="219">
        <f t="shared" ref="Q18:AQ18" si="14">Q9/Q5</f>
        <v>0.10669199403758876</v>
      </c>
      <c r="R18" s="219">
        <f t="shared" si="14"/>
        <v>0.11641820241321651</v>
      </c>
      <c r="S18" s="219">
        <f t="shared" si="14"/>
        <v>0.11931976103883594</v>
      </c>
      <c r="T18" s="219">
        <f t="shared" si="14"/>
        <v>0.13295025583254719</v>
      </c>
      <c r="U18" s="219">
        <f t="shared" si="14"/>
        <v>0.13045430623501764</v>
      </c>
      <c r="V18" s="219">
        <f t="shared" si="14"/>
        <v>0.13170513936574438</v>
      </c>
      <c r="W18" s="219">
        <f t="shared" si="14"/>
        <v>0.13764583384706613</v>
      </c>
      <c r="X18" s="219">
        <f t="shared" si="14"/>
        <v>0.14054975250126378</v>
      </c>
      <c r="Y18" s="219">
        <f t="shared" si="14"/>
        <v>0.15004801756167607</v>
      </c>
      <c r="Z18" s="219">
        <f t="shared" si="14"/>
        <v>0.14541313120655142</v>
      </c>
      <c r="AA18" s="219">
        <f t="shared" si="14"/>
        <v>0.14581260409027724</v>
      </c>
      <c r="AB18" s="219">
        <f t="shared" si="14"/>
        <v>0.17990058035930598</v>
      </c>
      <c r="AC18" s="219">
        <f t="shared" si="14"/>
        <v>0.15316215223915314</v>
      </c>
      <c r="AD18" s="219">
        <f t="shared" si="14"/>
        <v>0.14937634353281076</v>
      </c>
      <c r="AE18" s="219">
        <f t="shared" si="14"/>
        <v>0.14127191427858715</v>
      </c>
      <c r="AF18" s="219">
        <f t="shared" si="14"/>
        <v>0.16838453560947536</v>
      </c>
      <c r="AG18" s="219">
        <f t="shared" si="14"/>
        <v>0.17209899591221736</v>
      </c>
      <c r="AH18" s="219">
        <f t="shared" si="14"/>
        <v>0.16381615914551603</v>
      </c>
      <c r="AI18" s="219">
        <f t="shared" si="14"/>
        <v>0.14083819787241841</v>
      </c>
      <c r="AJ18" s="219">
        <f t="shared" si="14"/>
        <v>0.16821325825670502</v>
      </c>
      <c r="AK18" s="219">
        <f t="shared" si="14"/>
        <v>0.15587645753156826</v>
      </c>
      <c r="AL18" s="219">
        <f t="shared" si="14"/>
        <v>0.15569021256171742</v>
      </c>
      <c r="AM18" s="219">
        <f t="shared" si="14"/>
        <v>0.14075335407045866</v>
      </c>
      <c r="AN18" s="219">
        <f t="shared" si="14"/>
        <v>0.16098719314750951</v>
      </c>
      <c r="AO18" s="219">
        <f t="shared" si="14"/>
        <v>0.11994552390296571</v>
      </c>
      <c r="AP18" s="219">
        <f t="shared" si="14"/>
        <v>0.1292390791557935</v>
      </c>
      <c r="AQ18" s="219">
        <f t="shared" si="14"/>
        <v>0.12075775036702384</v>
      </c>
      <c r="AR18" s="219">
        <f t="shared" ref="AR18:AW18" si="15">AR9/AR5</f>
        <v>0.15232951752500504</v>
      </c>
      <c r="AS18" s="219">
        <f t="shared" si="15"/>
        <v>0.14263993340447137</v>
      </c>
      <c r="AT18" s="219">
        <f t="shared" si="15"/>
        <v>0.14109905190869354</v>
      </c>
      <c r="AU18" s="219">
        <f t="shared" si="15"/>
        <v>0.12912781703342835</v>
      </c>
      <c r="AV18" s="219">
        <f t="shared" si="15"/>
        <v>0.15790756752989724</v>
      </c>
      <c r="AW18" s="219">
        <f t="shared" si="15"/>
        <v>0.14498199837304446</v>
      </c>
      <c r="AX18" s="219">
        <f t="shared" ref="AX18:BA18" si="16">AX9/AX5</f>
        <v>0.14201064351433926</v>
      </c>
      <c r="AY18" s="219">
        <f t="shared" si="16"/>
        <v>0.13955438463906461</v>
      </c>
      <c r="AZ18" s="219">
        <f t="shared" si="16"/>
        <v>0.16594178876409313</v>
      </c>
      <c r="BA18" s="219">
        <f t="shared" si="16"/>
        <v>0.14702954002037799</v>
      </c>
      <c r="BB18" s="219">
        <f t="shared" ref="BB18" si="17">BB9/BB5</f>
        <v>0.14832494654985962</v>
      </c>
      <c r="BC18" s="219">
        <f>BC9/BC5</f>
        <v>0.14429154126805319</v>
      </c>
    </row>
    <row r="20" spans="1:55" ht="10.5" x14ac:dyDescent="0.3">
      <c r="A20" s="1727" t="s">
        <v>3156</v>
      </c>
      <c r="B20" s="205" t="s">
        <v>3157</v>
      </c>
      <c r="C20" s="206"/>
      <c r="D20" s="206" t="s">
        <v>1930</v>
      </c>
      <c r="E20" s="206" t="s">
        <v>1929</v>
      </c>
      <c r="F20" s="206" t="s">
        <v>1928</v>
      </c>
      <c r="G20" s="206" t="s">
        <v>1927</v>
      </c>
      <c r="H20" s="206" t="s">
        <v>1926</v>
      </c>
      <c r="I20" s="206" t="s">
        <v>1925</v>
      </c>
      <c r="J20" s="206" t="s">
        <v>1924</v>
      </c>
      <c r="K20" s="206" t="s">
        <v>1923</v>
      </c>
      <c r="L20" s="206" t="s">
        <v>1922</v>
      </c>
      <c r="M20" s="206" t="s">
        <v>1921</v>
      </c>
      <c r="N20" s="206" t="s">
        <v>1920</v>
      </c>
      <c r="O20" s="206" t="s">
        <v>1919</v>
      </c>
      <c r="P20" s="206" t="s">
        <v>1918</v>
      </c>
      <c r="Q20" s="206" t="s">
        <v>1917</v>
      </c>
      <c r="R20" s="206" t="s">
        <v>1916</v>
      </c>
      <c r="S20" s="206" t="s">
        <v>1915</v>
      </c>
      <c r="T20" s="206" t="s">
        <v>1914</v>
      </c>
      <c r="U20" s="206" t="s">
        <v>1913</v>
      </c>
      <c r="V20" s="206" t="s">
        <v>1912</v>
      </c>
      <c r="W20" s="206" t="s">
        <v>1911</v>
      </c>
      <c r="X20" s="206" t="s">
        <v>1910</v>
      </c>
      <c r="Y20" s="206" t="s">
        <v>1909</v>
      </c>
      <c r="Z20" s="206" t="s">
        <v>1908</v>
      </c>
      <c r="AA20" s="206" t="s">
        <v>1907</v>
      </c>
      <c r="AB20" s="206" t="s">
        <v>1906</v>
      </c>
      <c r="AC20" s="206" t="s">
        <v>1905</v>
      </c>
      <c r="AD20" s="206" t="s">
        <v>1904</v>
      </c>
      <c r="AE20" s="206" t="s">
        <v>1991</v>
      </c>
      <c r="AF20" s="206" t="s">
        <v>1990</v>
      </c>
      <c r="AG20" s="206" t="s">
        <v>2125</v>
      </c>
      <c r="AH20" s="206" t="s">
        <v>2175</v>
      </c>
      <c r="AI20" s="206" t="s">
        <v>2604</v>
      </c>
      <c r="AJ20" s="206" t="s">
        <v>2603</v>
      </c>
      <c r="AK20" s="206" t="s">
        <v>2614</v>
      </c>
      <c r="AL20" s="206" t="s">
        <v>2642</v>
      </c>
      <c r="AM20" s="206" t="s">
        <v>2652</v>
      </c>
      <c r="AN20" s="206" t="s">
        <v>2790</v>
      </c>
      <c r="AO20" s="206" t="s">
        <v>2794</v>
      </c>
      <c r="AP20" s="206" t="s">
        <v>2830</v>
      </c>
      <c r="AQ20" s="206" t="s">
        <v>2831</v>
      </c>
      <c r="AR20" s="206" t="s">
        <v>2842</v>
      </c>
      <c r="AS20" s="206" t="s">
        <v>2852</v>
      </c>
      <c r="AT20" s="206" t="s">
        <v>2864</v>
      </c>
      <c r="AU20" s="206" t="s">
        <v>2890</v>
      </c>
      <c r="AV20" s="1608" t="str">
        <f>AV1</f>
        <v>1Q24</v>
      </c>
      <c r="AW20" s="1608" t="s">
        <v>3152</v>
      </c>
      <c r="AX20" s="1608" t="s">
        <v>3153</v>
      </c>
      <c r="AY20" s="1608" t="s">
        <v>3154</v>
      </c>
      <c r="AZ20" s="1608" t="str">
        <f>AZ1</f>
        <v>1Q25</v>
      </c>
      <c r="BA20" s="1608" t="s">
        <v>2904</v>
      </c>
      <c r="BB20" s="1608" t="s">
        <v>2905</v>
      </c>
      <c r="BC20" s="1608" t="s">
        <v>3155</v>
      </c>
    </row>
    <row r="21" spans="1:55" ht="10.5" x14ac:dyDescent="0.3">
      <c r="A21" s="208" t="s">
        <v>2641</v>
      </c>
      <c r="B21" s="208" t="s">
        <v>1903</v>
      </c>
      <c r="C21" s="209"/>
      <c r="D21" s="209"/>
      <c r="E21" s="209"/>
      <c r="F21" s="209"/>
      <c r="G21" s="209"/>
      <c r="H21" s="209"/>
      <c r="I21" s="209"/>
      <c r="J21" s="209"/>
      <c r="K21" s="209"/>
      <c r="L21" s="209"/>
      <c r="M21" s="209"/>
      <c r="N21" s="209"/>
      <c r="O21" s="209"/>
      <c r="P21" s="209"/>
      <c r="Q21" s="209"/>
      <c r="R21" s="209"/>
      <c r="S21" s="209"/>
      <c r="T21" s="209"/>
      <c r="U21" s="209"/>
      <c r="V21" s="209"/>
      <c r="W21" s="209"/>
      <c r="X21" s="209"/>
      <c r="Y21" s="209"/>
      <c r="Z21" s="209"/>
      <c r="AA21" s="209"/>
      <c r="AB21" s="209"/>
      <c r="AC21" s="209"/>
      <c r="AD21" s="209"/>
      <c r="AE21" s="209"/>
      <c r="AF21" s="209"/>
      <c r="AG21" s="209"/>
      <c r="AH21" s="209"/>
      <c r="AI21" s="209"/>
      <c r="AJ21" s="209"/>
      <c r="AK21" s="209"/>
      <c r="AL21" s="209"/>
      <c r="AM21" s="209"/>
      <c r="AN21" s="209"/>
      <c r="AO21" s="209"/>
      <c r="AP21" s="209"/>
      <c r="AQ21" s="209"/>
      <c r="AR21" s="209"/>
      <c r="AS21" s="209"/>
      <c r="AT21" s="209"/>
      <c r="AU21" s="209"/>
      <c r="AV21" s="209"/>
      <c r="AW21" s="209"/>
      <c r="AX21" s="209"/>
      <c r="AY21" s="209"/>
      <c r="AZ21" s="209"/>
      <c r="BA21" s="209"/>
      <c r="BB21" s="209"/>
      <c r="BC21" s="209"/>
    </row>
    <row r="22" spans="1:55" ht="10.5" x14ac:dyDescent="0.3">
      <c r="A22" s="202" t="s">
        <v>2638</v>
      </c>
      <c r="B22" s="203" t="s">
        <v>1902</v>
      </c>
      <c r="C22" s="210"/>
      <c r="D22" s="221"/>
      <c r="E22" s="221"/>
      <c r="F22" s="221"/>
      <c r="G22" s="221"/>
      <c r="H22" s="210">
        <f>H3</f>
        <v>6292.5990000000002</v>
      </c>
      <c r="I22" s="210">
        <f>I3-H3</f>
        <v>7990.8269999999993</v>
      </c>
      <c r="J22" s="210">
        <f>J3-I3</f>
        <v>8270.3810000000012</v>
      </c>
      <c r="K22" s="210">
        <f>K3-J3</f>
        <v>11885.767999999996</v>
      </c>
      <c r="L22" s="210">
        <f>L3</f>
        <v>7382.6469999999999</v>
      </c>
      <c r="M22" s="210">
        <f>M3-L3</f>
        <v>9634.8509999999987</v>
      </c>
      <c r="N22" s="210">
        <f>N3-M3</f>
        <v>8710.3610000000008</v>
      </c>
      <c r="O22" s="210">
        <f>O3-N3</f>
        <v>12274.016999999996</v>
      </c>
      <c r="P22" s="210">
        <f>P3</f>
        <v>8747.1180000000004</v>
      </c>
      <c r="Q22" s="210">
        <f>Q3-P3</f>
        <v>10097.934999999999</v>
      </c>
      <c r="R22" s="210">
        <f>R3-Q3</f>
        <v>11392.021000000001</v>
      </c>
      <c r="S22" s="210">
        <f>S3-R3</f>
        <v>15970.434000000001</v>
      </c>
      <c r="T22" s="210">
        <f>T3</f>
        <v>10610.028</v>
      </c>
      <c r="U22" s="210">
        <f t="shared" ref="U22:W23" si="18">U3-T3</f>
        <v>12356.106999999998</v>
      </c>
      <c r="V22" s="210">
        <f t="shared" si="18"/>
        <v>10722.213</v>
      </c>
      <c r="W22" s="210">
        <f t="shared" si="18"/>
        <v>16464.175999999999</v>
      </c>
      <c r="X22" s="210">
        <f>X3</f>
        <v>11617.901</v>
      </c>
      <c r="Y22" s="210">
        <f t="shared" ref="Y22:AA23" si="19">Y3-X3</f>
        <v>15487.712000000001</v>
      </c>
      <c r="Z22" s="210">
        <f t="shared" si="19"/>
        <v>11093.842000000001</v>
      </c>
      <c r="AA22" s="210">
        <f t="shared" si="19"/>
        <v>17426.849000000002</v>
      </c>
      <c r="AB22" s="210">
        <f>AB3</f>
        <v>11555.483</v>
      </c>
      <c r="AC22" s="210">
        <f t="shared" ref="AC22:AE23" si="20">AC3-AB3</f>
        <v>15987.017</v>
      </c>
      <c r="AD22" s="210">
        <f t="shared" si="20"/>
        <v>13019.396000000001</v>
      </c>
      <c r="AE22" s="210">
        <f t="shared" si="20"/>
        <v>21107.781999999999</v>
      </c>
      <c r="AF22" s="210">
        <f>AF3</f>
        <v>9949.1550000000007</v>
      </c>
      <c r="AG22" s="210">
        <f t="shared" ref="AG22:AI23" si="21">AG3-AF3</f>
        <v>18052.945999999996</v>
      </c>
      <c r="AH22" s="210">
        <f t="shared" si="21"/>
        <v>14247.809000000005</v>
      </c>
      <c r="AI22" s="210">
        <f t="shared" si="21"/>
        <v>20208.098999999995</v>
      </c>
      <c r="AJ22" s="210">
        <f>AJ3</f>
        <v>13959.135</v>
      </c>
      <c r="AK22" s="210">
        <f t="shared" ref="AK22:AM23" si="22">AK3-AJ3</f>
        <v>22411.852999999996</v>
      </c>
      <c r="AL22" s="210">
        <f t="shared" si="22"/>
        <v>16464.904999999999</v>
      </c>
      <c r="AM22" s="210">
        <f t="shared" si="22"/>
        <v>24473.721000000005</v>
      </c>
      <c r="AN22" s="210">
        <f>AN3</f>
        <v>17325.929</v>
      </c>
      <c r="AO22" s="210">
        <f t="shared" ref="AO22:AU23" si="23">AO3-AN3</f>
        <v>36484.630000000005</v>
      </c>
      <c r="AP22" s="210">
        <f t="shared" si="23"/>
        <v>19601.013999999988</v>
      </c>
      <c r="AQ22" s="210">
        <f t="shared" si="23"/>
        <v>28563.69200000001</v>
      </c>
      <c r="AR22" s="210">
        <f>AR3</f>
        <v>21639.304</v>
      </c>
      <c r="AS22" s="210">
        <f>AS3-AR3</f>
        <v>33471.695999999996</v>
      </c>
      <c r="AT22" s="210">
        <f>AT3-AS3</f>
        <v>24377.135999999999</v>
      </c>
      <c r="AU22" s="210">
        <f>AU3-AT3</f>
        <v>34245.877000000008</v>
      </c>
      <c r="AV22" s="210">
        <f>AV3</f>
        <v>22087.637999999999</v>
      </c>
      <c r="AW22" s="210">
        <f t="shared" ref="AW22:AY23" si="24">AW3-AV3</f>
        <v>34480.139000000003</v>
      </c>
      <c r="AX22" s="210">
        <f t="shared" si="24"/>
        <v>24955.028999999995</v>
      </c>
      <c r="AY22" s="210">
        <f t="shared" si="24"/>
        <v>23799.864000000001</v>
      </c>
      <c r="AZ22" s="210">
        <f>AZ3</f>
        <v>22887.286</v>
      </c>
      <c r="BA22" s="210">
        <f t="shared" ref="BA22:BA23" si="25">BA3-AZ3</f>
        <v>33756.133999999998</v>
      </c>
      <c r="BB22" s="210">
        <f>BB3-BA3</f>
        <v>21059.097999999998</v>
      </c>
      <c r="BC22" s="210">
        <f>BC3-BB3</f>
        <v>22745.982000000004</v>
      </c>
    </row>
    <row r="23" spans="1:55" ht="10.5" x14ac:dyDescent="0.3">
      <c r="A23" s="202" t="s">
        <v>2637</v>
      </c>
      <c r="B23" s="203" t="s">
        <v>1901</v>
      </c>
      <c r="C23" s="210"/>
      <c r="D23" s="221"/>
      <c r="E23" s="221"/>
      <c r="F23" s="221"/>
      <c r="G23" s="221"/>
      <c r="H23" s="221"/>
      <c r="I23" s="221"/>
      <c r="J23" s="221"/>
      <c r="K23" s="221"/>
      <c r="L23" s="221"/>
      <c r="M23" s="221"/>
      <c r="N23" s="210">
        <f>N4-M4</f>
        <v>309.96000000000004</v>
      </c>
      <c r="O23" s="210">
        <f>O4-N4</f>
        <v>270.30399999999986</v>
      </c>
      <c r="P23" s="221"/>
      <c r="Q23" s="210"/>
      <c r="R23" s="210">
        <f>R4-Q4</f>
        <v>432.34699999999998</v>
      </c>
      <c r="S23" s="210">
        <f>S4-R4</f>
        <v>1021.8499999999999</v>
      </c>
      <c r="T23" s="210">
        <f>T4</f>
        <v>288.89800000000002</v>
      </c>
      <c r="U23" s="210">
        <f t="shared" si="18"/>
        <v>2172.3530000000001</v>
      </c>
      <c r="V23" s="210">
        <f t="shared" si="18"/>
        <v>2001.9569999999994</v>
      </c>
      <c r="W23" s="210">
        <f t="shared" si="18"/>
        <v>211.73199999999997</v>
      </c>
      <c r="X23" s="210">
        <f>X4</f>
        <v>370.03899999999999</v>
      </c>
      <c r="Y23" s="210">
        <f t="shared" si="19"/>
        <v>866.06200000000013</v>
      </c>
      <c r="Z23" s="210">
        <f t="shared" si="19"/>
        <v>540.14599999999996</v>
      </c>
      <c r="AA23" s="210">
        <f t="shared" si="19"/>
        <v>2742.9560000000001</v>
      </c>
      <c r="AB23" s="210">
        <f>AB4</f>
        <v>476.54599999999999</v>
      </c>
      <c r="AC23" s="210">
        <f t="shared" si="20"/>
        <v>492.358</v>
      </c>
      <c r="AD23" s="210">
        <f t="shared" si="20"/>
        <v>297.35599999999999</v>
      </c>
      <c r="AE23" s="210">
        <f t="shared" si="20"/>
        <v>455.55100000000016</v>
      </c>
      <c r="AF23" s="210">
        <f>AF4</f>
        <v>246.81100000000001</v>
      </c>
      <c r="AG23" s="210">
        <f t="shared" si="21"/>
        <v>295.90300000000002</v>
      </c>
      <c r="AH23" s="210">
        <f t="shared" si="21"/>
        <v>437.39699999999993</v>
      </c>
      <c r="AI23" s="210">
        <f t="shared" si="21"/>
        <v>572.39800000000002</v>
      </c>
      <c r="AJ23" s="210">
        <f>AJ4</f>
        <v>348.02499999999998</v>
      </c>
      <c r="AK23" s="210">
        <f t="shared" si="22"/>
        <v>168.61</v>
      </c>
      <c r="AL23" s="210">
        <f t="shared" si="22"/>
        <v>418.16100000000006</v>
      </c>
      <c r="AM23" s="210">
        <f t="shared" si="22"/>
        <v>1628.7630000000001</v>
      </c>
      <c r="AN23" s="210">
        <f>AN4</f>
        <v>717.14599999999996</v>
      </c>
      <c r="AO23" s="210">
        <f t="shared" si="23"/>
        <v>1297.146</v>
      </c>
      <c r="AP23" s="210">
        <f t="shared" si="23"/>
        <v>624.4369999999999</v>
      </c>
      <c r="AQ23" s="210">
        <f t="shared" si="23"/>
        <v>1761.9360000000001</v>
      </c>
      <c r="AR23" s="210">
        <f>AR4</f>
        <v>671.303</v>
      </c>
      <c r="AS23" s="210">
        <f t="shared" si="23"/>
        <v>1099.5940000000001</v>
      </c>
      <c r="AT23" s="210">
        <f t="shared" si="23"/>
        <v>669.36300000000028</v>
      </c>
      <c r="AU23" s="210">
        <f t="shared" si="23"/>
        <v>1277.6079999999997</v>
      </c>
      <c r="AV23" s="210">
        <f>AV4</f>
        <v>555.44399999999996</v>
      </c>
      <c r="AW23" s="210">
        <f t="shared" si="24"/>
        <v>1202.896</v>
      </c>
      <c r="AX23" s="210">
        <f t="shared" si="24"/>
        <v>526.6990000000003</v>
      </c>
      <c r="AY23" s="210">
        <f t="shared" si="24"/>
        <v>922.6609999999996</v>
      </c>
      <c r="AZ23" s="210">
        <f>AZ4</f>
        <v>994.66700000000003</v>
      </c>
      <c r="BA23" s="210">
        <f t="shared" si="25"/>
        <v>920.26799999999992</v>
      </c>
      <c r="BB23" s="210">
        <f t="shared" ref="BB23" si="26">BB4-BA4</f>
        <v>769.14600000000019</v>
      </c>
      <c r="BC23" s="210">
        <f>BC4-BB4</f>
        <v>952.16899999999987</v>
      </c>
    </row>
    <row r="24" spans="1:55" ht="10.5" x14ac:dyDescent="0.3">
      <c r="A24" s="220" t="s">
        <v>2640</v>
      </c>
      <c r="B24" s="215" t="s">
        <v>1900</v>
      </c>
      <c r="C24" s="213"/>
      <c r="D24" s="222"/>
      <c r="E24" s="222"/>
      <c r="F24" s="222"/>
      <c r="G24" s="222"/>
      <c r="H24" s="222"/>
      <c r="I24" s="222"/>
      <c r="J24" s="222"/>
      <c r="K24" s="222"/>
      <c r="L24" s="222"/>
      <c r="M24" s="222"/>
      <c r="N24" s="213">
        <f>SUM(N22:N23)</f>
        <v>9020.3209999999999</v>
      </c>
      <c r="O24" s="213">
        <f>O5-N5</f>
        <v>12544.320999999996</v>
      </c>
      <c r="P24" s="213"/>
      <c r="Q24" s="213"/>
      <c r="R24" s="213">
        <f>SUM(R22:R23)</f>
        <v>11824.368</v>
      </c>
      <c r="S24" s="213">
        <f>SUM(S22:S23)</f>
        <v>16992.284</v>
      </c>
      <c r="T24" s="213">
        <f>SUM(T22:T23)</f>
        <v>10898.925999999999</v>
      </c>
      <c r="U24" s="213">
        <f>SUM(U22:U23)</f>
        <v>14528.46</v>
      </c>
      <c r="V24" s="213">
        <f>V5-U5</f>
        <v>12724.169999999998</v>
      </c>
      <c r="W24" s="213">
        <f>W5-V5</f>
        <v>16675.908000000003</v>
      </c>
      <c r="X24" s="213">
        <f>SUM(X22:X23)</f>
        <v>11987.94</v>
      </c>
      <c r="Y24" s="213">
        <f>SUM(Y22:Y23)</f>
        <v>16353.774000000001</v>
      </c>
      <c r="Z24" s="213">
        <f>SUM(Z22:Z23)</f>
        <v>11633.988000000001</v>
      </c>
      <c r="AA24" s="213">
        <f>AA5-Z5</f>
        <v>20169.805</v>
      </c>
      <c r="AB24" s="213">
        <f t="shared" ref="AB24:AQ24" si="27">SUM(AB22:AB23)</f>
        <v>12032.029</v>
      </c>
      <c r="AC24" s="213">
        <f t="shared" si="27"/>
        <v>16479.375</v>
      </c>
      <c r="AD24" s="213">
        <f t="shared" si="27"/>
        <v>13316.752</v>
      </c>
      <c r="AE24" s="213">
        <f t="shared" si="27"/>
        <v>21563.332999999999</v>
      </c>
      <c r="AF24" s="213">
        <f t="shared" si="27"/>
        <v>10195.966</v>
      </c>
      <c r="AG24" s="213">
        <f t="shared" si="27"/>
        <v>18348.848999999995</v>
      </c>
      <c r="AH24" s="213">
        <f t="shared" si="27"/>
        <v>14685.206000000006</v>
      </c>
      <c r="AI24" s="213">
        <f t="shared" si="27"/>
        <v>20780.496999999996</v>
      </c>
      <c r="AJ24" s="213">
        <f t="shared" si="27"/>
        <v>14307.16</v>
      </c>
      <c r="AK24" s="213">
        <f t="shared" si="27"/>
        <v>22580.462999999996</v>
      </c>
      <c r="AL24" s="213">
        <f t="shared" si="27"/>
        <v>16883.065999999999</v>
      </c>
      <c r="AM24" s="213">
        <f t="shared" si="27"/>
        <v>26102.484000000004</v>
      </c>
      <c r="AN24" s="213">
        <f t="shared" si="27"/>
        <v>18043.075000000001</v>
      </c>
      <c r="AO24" s="213">
        <f t="shared" si="27"/>
        <v>37781.776000000005</v>
      </c>
      <c r="AP24" s="213">
        <f t="shared" si="27"/>
        <v>20225.450999999986</v>
      </c>
      <c r="AQ24" s="213">
        <f t="shared" si="27"/>
        <v>30325.628000000012</v>
      </c>
      <c r="AR24" s="213">
        <f>SUM(AR22:AR23)</f>
        <v>22310.607</v>
      </c>
      <c r="AS24" s="213">
        <f t="shared" ref="AS24:AT24" si="28">SUM(AS22:AS23)</f>
        <v>34571.289999999994</v>
      </c>
      <c r="AT24" s="213">
        <f t="shared" si="28"/>
        <v>25046.499</v>
      </c>
      <c r="AU24" s="213">
        <f t="shared" ref="AU24" si="29">SUM(AU22:AU23)</f>
        <v>35523.485000000008</v>
      </c>
      <c r="AV24" s="213">
        <f t="shared" ref="AV24:BB24" si="30">SUM(AV22:AV23)</f>
        <v>22643.081999999999</v>
      </c>
      <c r="AW24" s="213">
        <f t="shared" si="30"/>
        <v>35683.035000000003</v>
      </c>
      <c r="AX24" s="213">
        <f t="shared" si="30"/>
        <v>25481.727999999996</v>
      </c>
      <c r="AY24" s="213">
        <f t="shared" si="30"/>
        <v>24722.525000000001</v>
      </c>
      <c r="AZ24" s="213">
        <f t="shared" si="30"/>
        <v>23881.953000000001</v>
      </c>
      <c r="BA24" s="213">
        <f t="shared" si="30"/>
        <v>34676.401999999995</v>
      </c>
      <c r="BB24" s="213">
        <f t="shared" si="30"/>
        <v>21828.243999999999</v>
      </c>
      <c r="BC24" s="213">
        <f>SUM(BC22:BC23)</f>
        <v>23698.151000000005</v>
      </c>
    </row>
    <row r="25" spans="1:55" collapsed="1" x14ac:dyDescent="0.3">
      <c r="C25" s="221"/>
      <c r="D25" s="221"/>
      <c r="E25" s="221"/>
      <c r="F25" s="221"/>
      <c r="G25" s="221"/>
      <c r="H25" s="221"/>
      <c r="I25" s="221"/>
      <c r="J25" s="221"/>
      <c r="K25" s="221"/>
      <c r="L25" s="221"/>
      <c r="M25" s="221"/>
      <c r="N25" s="221"/>
      <c r="O25" s="221"/>
      <c r="P25" s="221"/>
      <c r="Q25" s="221"/>
      <c r="R25" s="221"/>
      <c r="S25" s="221"/>
      <c r="T25" s="223"/>
      <c r="U25" s="223"/>
      <c r="V25" s="221"/>
      <c r="X25" s="223"/>
      <c r="Y25" s="223"/>
      <c r="Z25" s="223"/>
      <c r="AB25" s="223"/>
      <c r="AC25" s="223"/>
      <c r="AD25" s="223"/>
      <c r="AE25" s="223"/>
      <c r="AF25" s="223"/>
      <c r="AG25" s="223"/>
      <c r="AH25" s="223"/>
      <c r="AI25" s="223"/>
      <c r="AJ25" s="223"/>
      <c r="AK25" s="223"/>
      <c r="AL25" s="223"/>
      <c r="AM25" s="223"/>
      <c r="AN25" s="223"/>
      <c r="AO25" s="223"/>
      <c r="AP25" s="223"/>
      <c r="AQ25" s="223"/>
      <c r="AR25" s="223"/>
      <c r="AS25" s="223"/>
      <c r="AT25" s="223"/>
      <c r="AU25" s="223"/>
      <c r="AV25" s="210"/>
      <c r="AW25" s="210"/>
      <c r="AX25" s="210"/>
      <c r="AY25" s="210"/>
      <c r="AZ25" s="210"/>
      <c r="BA25" s="210"/>
      <c r="BB25" s="210"/>
      <c r="BC25" s="210"/>
    </row>
    <row r="26" spans="1:55" ht="10.5" hidden="1" customHeight="1" outlineLevel="1" x14ac:dyDescent="0.3">
      <c r="A26" s="202" t="s">
        <v>2635</v>
      </c>
      <c r="B26" s="203" t="s">
        <v>1899</v>
      </c>
      <c r="C26" s="221"/>
      <c r="D26" s="221"/>
      <c r="E26" s="221"/>
      <c r="F26" s="221"/>
      <c r="G26" s="221"/>
      <c r="H26" s="221"/>
      <c r="I26" s="221"/>
      <c r="J26" s="221"/>
      <c r="K26" s="221"/>
      <c r="L26" s="221"/>
      <c r="M26" s="221"/>
      <c r="N26" s="221"/>
      <c r="O26" s="221"/>
      <c r="P26" s="210">
        <f>P7</f>
        <v>1196.7429999999999</v>
      </c>
      <c r="Q26" s="210">
        <f>Q7-P7</f>
        <v>725.83200000000011</v>
      </c>
      <c r="R26" s="221"/>
      <c r="S26" s="221"/>
      <c r="T26" s="210">
        <f>T7</f>
        <v>1377.6189999999999</v>
      </c>
      <c r="U26" s="210">
        <f>U7-T7</f>
        <v>1523.133</v>
      </c>
      <c r="V26" s="221"/>
      <c r="X26" s="210" t="str">
        <f>X7</f>
        <v xml:space="preserve"> </v>
      </c>
      <c r="Y26" s="210"/>
      <c r="Z26" s="210"/>
      <c r="AB26" s="210"/>
      <c r="AC26" s="210"/>
      <c r="AD26" s="210"/>
      <c r="AE26" s="210"/>
      <c r="AF26" s="210"/>
      <c r="AG26" s="210"/>
      <c r="AH26" s="210"/>
      <c r="AI26" s="210"/>
      <c r="AJ26" s="210"/>
      <c r="AK26" s="210"/>
      <c r="AL26" s="210"/>
      <c r="AM26" s="210"/>
      <c r="AN26" s="210"/>
      <c r="AO26" s="210"/>
      <c r="AP26" s="210"/>
      <c r="AQ26" s="210"/>
      <c r="AR26" s="210"/>
      <c r="AS26" s="210"/>
      <c r="AT26" s="210"/>
      <c r="AU26" s="210"/>
      <c r="AV26" s="210"/>
      <c r="AW26" s="210"/>
      <c r="AX26" s="210"/>
      <c r="AY26" s="210"/>
      <c r="AZ26" s="210"/>
      <c r="BA26" s="210"/>
      <c r="BB26" s="210"/>
      <c r="BC26" s="210"/>
    </row>
    <row r="27" spans="1:55" ht="10.5" hidden="1" customHeight="1" outlineLevel="1" x14ac:dyDescent="0.3">
      <c r="A27" s="202" t="s">
        <v>2634</v>
      </c>
      <c r="B27" s="203" t="s">
        <v>1898</v>
      </c>
      <c r="C27" s="221"/>
      <c r="D27" s="221"/>
      <c r="E27" s="221"/>
      <c r="F27" s="221"/>
      <c r="G27" s="221"/>
      <c r="H27" s="221"/>
      <c r="I27" s="221"/>
      <c r="J27" s="221"/>
      <c r="K27" s="221"/>
      <c r="L27" s="221"/>
      <c r="M27" s="221"/>
      <c r="N27" s="221"/>
      <c r="O27" s="221"/>
      <c r="P27" s="221"/>
      <c r="Q27" s="221"/>
      <c r="R27" s="221"/>
      <c r="S27" s="221"/>
      <c r="T27" s="210">
        <f>T8</f>
        <v>71.396000000000186</v>
      </c>
      <c r="U27" s="210">
        <f>U8-T8</f>
        <v>344.96399999999983</v>
      </c>
      <c r="V27" s="221"/>
      <c r="X27" s="221"/>
      <c r="Y27" s="221"/>
      <c r="Z27" s="221"/>
      <c r="AB27" s="221"/>
      <c r="AC27" s="221"/>
      <c r="AD27" s="221"/>
      <c r="AE27" s="221"/>
      <c r="AF27" s="221"/>
      <c r="AG27" s="221"/>
      <c r="AH27" s="221"/>
      <c r="AI27" s="221"/>
      <c r="AJ27" s="221"/>
      <c r="AK27" s="221"/>
      <c r="AL27" s="221"/>
      <c r="AM27" s="221"/>
      <c r="AN27" s="221"/>
      <c r="AO27" s="221"/>
      <c r="AP27" s="221"/>
      <c r="AQ27" s="221"/>
      <c r="AR27" s="221"/>
      <c r="AS27" s="221"/>
      <c r="AT27" s="221"/>
      <c r="AU27" s="221"/>
      <c r="AV27" s="210"/>
      <c r="AW27" s="210"/>
      <c r="AX27" s="210"/>
      <c r="AY27" s="210"/>
      <c r="AZ27" s="210"/>
      <c r="BA27" s="210"/>
      <c r="BB27" s="210"/>
      <c r="BC27" s="210"/>
    </row>
    <row r="28" spans="1:55" s="220" customFormat="1" ht="10.5" collapsed="1" x14ac:dyDescent="0.3">
      <c r="A28" s="220" t="s">
        <v>2633</v>
      </c>
      <c r="B28" s="215" t="s">
        <v>1897</v>
      </c>
      <c r="C28" s="213"/>
      <c r="D28" s="222"/>
      <c r="E28" s="222"/>
      <c r="F28" s="222"/>
      <c r="G28" s="222"/>
      <c r="H28" s="213">
        <f>H9</f>
        <v>855.33100000000002</v>
      </c>
      <c r="I28" s="213">
        <f>I9-H9</f>
        <v>1217.3519999999999</v>
      </c>
      <c r="J28" s="213">
        <f>J9-I9</f>
        <v>760.38400000000001</v>
      </c>
      <c r="K28" s="213">
        <f>K9-J9</f>
        <v>1825.5390000000007</v>
      </c>
      <c r="L28" s="213">
        <f>L9</f>
        <v>1070.076</v>
      </c>
      <c r="M28" s="213">
        <f>M9-L9</f>
        <v>1439.5259999999998</v>
      </c>
      <c r="N28" s="213">
        <f>N9-M9</f>
        <v>1034.364</v>
      </c>
      <c r="O28" s="213">
        <f>O9-N9</f>
        <v>2034.4860000000003</v>
      </c>
      <c r="P28" s="213">
        <f>P9</f>
        <v>1286.7629999999999</v>
      </c>
      <c r="Q28" s="213">
        <f>Q9-P9</f>
        <v>875.77500000000009</v>
      </c>
      <c r="R28" s="213">
        <f>R9-Q9</f>
        <v>1573.712</v>
      </c>
      <c r="S28" s="213">
        <f>S9-R9</f>
        <v>2120.6360000000004</v>
      </c>
      <c r="T28" s="213">
        <f>T9</f>
        <v>1449.0150000000001</v>
      </c>
      <c r="U28" s="213">
        <f>U9-T9</f>
        <v>1868.097</v>
      </c>
      <c r="V28" s="213">
        <f>V9-U9</f>
        <v>1707.6440000000002</v>
      </c>
      <c r="W28" s="213">
        <f>W9-V9</f>
        <v>2522.0159999999996</v>
      </c>
      <c r="X28" s="213">
        <f>X9</f>
        <v>1684.902</v>
      </c>
      <c r="Y28" s="213">
        <f>Y9-X9</f>
        <v>2567.7160000000003</v>
      </c>
      <c r="Z28" s="213">
        <f>Z9-Y9</f>
        <v>1560.3739999999998</v>
      </c>
      <c r="AA28" s="213">
        <f>AA9-Z9</f>
        <v>2956.9809999999998</v>
      </c>
      <c r="AB28" s="213">
        <f>AB9</f>
        <v>2164.569</v>
      </c>
      <c r="AC28" s="213">
        <f>AC9-AB9</f>
        <v>2202.2989999999995</v>
      </c>
      <c r="AD28" s="213">
        <f>AD9-AC9</f>
        <v>1881.2690000000002</v>
      </c>
      <c r="AE28" s="213">
        <f>AE9-AD9</f>
        <v>2707.3</v>
      </c>
      <c r="AF28" s="213">
        <f>AF9</f>
        <v>1716.8430000000001</v>
      </c>
      <c r="AG28" s="213">
        <f>AG9-AF9</f>
        <v>3195.6910000000007</v>
      </c>
      <c r="AH28" s="213">
        <f>AH9-AG9</f>
        <v>2169.2419999999993</v>
      </c>
      <c r="AI28" s="213">
        <f>AI9-AH9</f>
        <v>1933.3500000000004</v>
      </c>
      <c r="AJ28" s="213">
        <f>AJ9</f>
        <v>2406.654</v>
      </c>
      <c r="AK28" s="213">
        <f>AK9-AJ9</f>
        <v>3343.2580000000003</v>
      </c>
      <c r="AL28" s="213">
        <f>AL9-AK9</f>
        <v>2621.6579999999994</v>
      </c>
      <c r="AM28" s="213">
        <f>AM9-AL9</f>
        <v>2870.8469999999998</v>
      </c>
      <c r="AN28" s="213">
        <f>AN9</f>
        <v>2904.7040000000002</v>
      </c>
      <c r="AO28" s="213">
        <f>AO9-AN9</f>
        <v>3791.2369999999996</v>
      </c>
      <c r="AP28" s="213">
        <f>AP9-AO9</f>
        <v>3132.7300000000005</v>
      </c>
      <c r="AQ28" s="213">
        <f>AQ9-AP9</f>
        <v>3017.0470000000005</v>
      </c>
      <c r="AR28" s="213">
        <f>AR9</f>
        <v>3398.5639999999999</v>
      </c>
      <c r="AS28" s="213">
        <f>AS9-AR9</f>
        <v>4715.0660000000007</v>
      </c>
      <c r="AT28" s="213">
        <f>AT9-AS9</f>
        <v>3446.3890000000001</v>
      </c>
      <c r="AU28" s="213">
        <f>AU9-AT9</f>
        <v>3606.2860000000001</v>
      </c>
      <c r="AV28" s="213">
        <f>AV9</f>
        <v>3575.5140000000001</v>
      </c>
      <c r="AW28" s="213">
        <f>AW9-AV9</f>
        <v>4880.7230000000009</v>
      </c>
      <c r="AX28" s="213">
        <f>AX9-AW9</f>
        <v>3445.3689999999988</v>
      </c>
      <c r="AY28" s="213">
        <f>AY9-AX9</f>
        <v>3244.2829999999994</v>
      </c>
      <c r="AZ28" s="213">
        <f>AZ9</f>
        <v>3963.0140000000001</v>
      </c>
      <c r="BA28" s="213">
        <f>BA9-AZ9</f>
        <v>4646.7940000000008</v>
      </c>
      <c r="BB28" s="213">
        <f>BB9-BA9</f>
        <v>3313.5299999999988</v>
      </c>
      <c r="BC28" s="213">
        <f>BC9-BB9</f>
        <v>3095.2109999999993</v>
      </c>
    </row>
    <row r="29" spans="1:55" ht="10.5" x14ac:dyDescent="0.3">
      <c r="A29" s="208" t="s">
        <v>2639</v>
      </c>
      <c r="B29" s="217" t="s">
        <v>293</v>
      </c>
      <c r="C29" s="218"/>
      <c r="D29" s="218"/>
      <c r="E29" s="218"/>
      <c r="F29" s="218"/>
      <c r="G29" s="218"/>
      <c r="H29" s="218"/>
      <c r="I29" s="218"/>
      <c r="J29" s="218"/>
      <c r="K29" s="218"/>
      <c r="L29" s="218"/>
      <c r="M29" s="218"/>
      <c r="N29" s="218"/>
      <c r="O29" s="218"/>
      <c r="P29" s="218"/>
      <c r="Q29" s="218"/>
      <c r="R29" s="218"/>
      <c r="S29" s="218"/>
      <c r="T29" s="218"/>
      <c r="U29" s="218"/>
      <c r="V29" s="218"/>
      <c r="W29" s="209"/>
      <c r="X29" s="218"/>
      <c r="Y29" s="218"/>
      <c r="Z29" s="218"/>
      <c r="AA29" s="209"/>
      <c r="AB29" s="218"/>
      <c r="AC29" s="218"/>
      <c r="AD29" s="218"/>
      <c r="AE29" s="218"/>
      <c r="AF29" s="218"/>
      <c r="AG29" s="218"/>
      <c r="AH29" s="218"/>
      <c r="AI29" s="218"/>
      <c r="AJ29" s="218"/>
      <c r="AK29" s="218"/>
      <c r="AL29" s="218"/>
      <c r="AM29" s="218"/>
      <c r="AN29" s="218"/>
      <c r="AO29" s="218"/>
      <c r="AP29" s="218"/>
      <c r="AQ29" s="218"/>
      <c r="AR29" s="218"/>
      <c r="AS29" s="218"/>
      <c r="AT29" s="218"/>
      <c r="AU29" s="218"/>
      <c r="AV29" s="218"/>
      <c r="AW29" s="218"/>
      <c r="AX29" s="218"/>
      <c r="AY29" s="218"/>
      <c r="AZ29" s="218"/>
      <c r="BA29" s="218"/>
      <c r="BB29" s="218"/>
      <c r="BC29" s="218"/>
    </row>
    <row r="30" spans="1:55" ht="10.5" x14ac:dyDescent="0.3">
      <c r="A30" s="202" t="s">
        <v>2638</v>
      </c>
      <c r="B30" s="203" t="s">
        <v>1902</v>
      </c>
      <c r="C30" s="211"/>
      <c r="D30" s="211"/>
      <c r="E30" s="211"/>
      <c r="F30" s="211"/>
      <c r="G30" s="211"/>
      <c r="H30" s="211"/>
      <c r="I30" s="211"/>
      <c r="J30" s="211"/>
      <c r="K30" s="211"/>
      <c r="L30" s="211">
        <f t="shared" ref="L30:AQ30" si="31">L22/H22-1</f>
        <v>0.1732269925351988</v>
      </c>
      <c r="M30" s="211">
        <f t="shared" si="31"/>
        <v>0.2057389053723726</v>
      </c>
      <c r="N30" s="211">
        <f t="shared" si="31"/>
        <v>5.3199483796453784E-2</v>
      </c>
      <c r="O30" s="211">
        <f t="shared" si="31"/>
        <v>3.2665032667640759E-2</v>
      </c>
      <c r="P30" s="211">
        <f t="shared" si="31"/>
        <v>0.18482137910697882</v>
      </c>
      <c r="Q30" s="211">
        <f t="shared" si="31"/>
        <v>4.8063431390895417E-2</v>
      </c>
      <c r="R30" s="211">
        <f t="shared" si="31"/>
        <v>0.3078701330518907</v>
      </c>
      <c r="S30" s="211">
        <f t="shared" si="31"/>
        <v>0.30115788498582052</v>
      </c>
      <c r="T30" s="211">
        <f t="shared" si="31"/>
        <v>0.21297414759924349</v>
      </c>
      <c r="U30" s="211">
        <f t="shared" si="31"/>
        <v>0.22362710791859919</v>
      </c>
      <c r="V30" s="211">
        <f t="shared" si="31"/>
        <v>-5.8796239929684191E-2</v>
      </c>
      <c r="W30" s="211">
        <f t="shared" si="31"/>
        <v>3.0916003910726353E-2</v>
      </c>
      <c r="X30" s="211">
        <f t="shared" si="31"/>
        <v>9.4992492008503682E-2</v>
      </c>
      <c r="Y30" s="211">
        <f t="shared" si="31"/>
        <v>0.25344592758868179</v>
      </c>
      <c r="Z30" s="211">
        <f t="shared" si="31"/>
        <v>3.4659729292824126E-2</v>
      </c>
      <c r="AA30" s="211">
        <f t="shared" si="31"/>
        <v>5.847076707634824E-2</v>
      </c>
      <c r="AB30" s="211">
        <f t="shared" si="31"/>
        <v>-5.3725711727100611E-3</v>
      </c>
      <c r="AC30" s="211">
        <f t="shared" si="31"/>
        <v>3.2238783882344801E-2</v>
      </c>
      <c r="AD30" s="211">
        <f t="shared" si="31"/>
        <v>0.17356962538316312</v>
      </c>
      <c r="AE30" s="211">
        <f t="shared" si="31"/>
        <v>0.21122194838550534</v>
      </c>
      <c r="AF30" s="211">
        <f t="shared" si="31"/>
        <v>-0.13901002666872508</v>
      </c>
      <c r="AG30" s="211">
        <f t="shared" si="31"/>
        <v>0.12922542085243283</v>
      </c>
      <c r="AH30" s="211">
        <f t="shared" si="31"/>
        <v>9.435253371200969E-2</v>
      </c>
      <c r="AI30" s="211">
        <f t="shared" si="31"/>
        <v>-4.262328462554732E-2</v>
      </c>
      <c r="AJ30" s="211">
        <f t="shared" si="31"/>
        <v>0.40304729396617089</v>
      </c>
      <c r="AK30" s="211">
        <f t="shared" si="31"/>
        <v>0.24145128446071906</v>
      </c>
      <c r="AL30" s="211">
        <f t="shared" si="31"/>
        <v>0.15560960987054173</v>
      </c>
      <c r="AM30" s="211">
        <f t="shared" si="31"/>
        <v>0.21108477348611632</v>
      </c>
      <c r="AN30" s="211">
        <f t="shared" si="31"/>
        <v>0.24118930005333428</v>
      </c>
      <c r="AO30" s="211">
        <f t="shared" si="31"/>
        <v>0.62791670996592797</v>
      </c>
      <c r="AP30" s="211">
        <f t="shared" si="31"/>
        <v>0.19047234101866906</v>
      </c>
      <c r="AQ30" s="211">
        <f t="shared" si="31"/>
        <v>0.16711684340930444</v>
      </c>
      <c r="AR30" s="211">
        <f t="shared" ref="AR30:AZ32" si="32">AR22/AN22-1</f>
        <v>0.24895490452488866</v>
      </c>
      <c r="AS30" s="211">
        <f t="shared" si="32"/>
        <v>-8.2580911468747464E-2</v>
      </c>
      <c r="AT30" s="211">
        <f t="shared" si="32"/>
        <v>0.2436670878353544</v>
      </c>
      <c r="AU30" s="211">
        <f t="shared" si="32"/>
        <v>0.19893034135783272</v>
      </c>
      <c r="AV30" s="211">
        <f t="shared" si="32"/>
        <v>2.0718503700488666E-2</v>
      </c>
      <c r="AW30" s="211">
        <f t="shared" si="32"/>
        <v>3.0128231327148924E-2</v>
      </c>
      <c r="AX30" s="211">
        <f t="shared" si="32"/>
        <v>2.3706353363249777E-2</v>
      </c>
      <c r="AY30" s="211">
        <f t="shared" si="32"/>
        <v>-0.30502979964566257</v>
      </c>
      <c r="AZ30" s="211">
        <f t="shared" si="32"/>
        <v>3.6203418400826859E-2</v>
      </c>
      <c r="BA30" s="211">
        <f t="shared" ref="BA30:BA32" si="33">BA22/AW22-1</f>
        <v>-2.0997740177323698E-2</v>
      </c>
      <c r="BB30" s="211">
        <f t="shared" ref="BB30:BB32" si="34">BB22/AX22-1</f>
        <v>-0.15611807143161394</v>
      </c>
      <c r="BC30" s="211">
        <f>BC22/AY22-1</f>
        <v>-4.4281009336859967E-2</v>
      </c>
    </row>
    <row r="31" spans="1:55" ht="10.5" x14ac:dyDescent="0.3">
      <c r="A31" s="202" t="s">
        <v>2637</v>
      </c>
      <c r="B31" s="203" t="s">
        <v>1901</v>
      </c>
      <c r="C31" s="211"/>
      <c r="D31" s="211"/>
      <c r="E31" s="211"/>
      <c r="F31" s="211"/>
      <c r="G31" s="211"/>
      <c r="H31" s="211"/>
      <c r="I31" s="211"/>
      <c r="J31" s="211"/>
      <c r="K31" s="211"/>
      <c r="L31" s="211"/>
      <c r="M31" s="211"/>
      <c r="N31" s="211"/>
      <c r="O31" s="211"/>
      <c r="P31" s="211"/>
      <c r="Q31" s="211"/>
      <c r="R31" s="211">
        <f>R23/N23-1</f>
        <v>0.39484772228674636</v>
      </c>
      <c r="S31" s="211">
        <f>S23/O23-1</f>
        <v>2.7803732094234657</v>
      </c>
      <c r="T31" s="211"/>
      <c r="U31" s="211"/>
      <c r="V31" s="211">
        <f t="shared" ref="V31:AE32" si="35">V23/R23-1</f>
        <v>3.6304403638743867</v>
      </c>
      <c r="W31" s="211">
        <f t="shared" si="35"/>
        <v>-0.79279542007143911</v>
      </c>
      <c r="X31" s="211">
        <f t="shared" si="35"/>
        <v>0.28086383429445672</v>
      </c>
      <c r="Y31" s="211">
        <f t="shared" si="35"/>
        <v>-0.60132538312143557</v>
      </c>
      <c r="Z31" s="211">
        <f t="shared" si="35"/>
        <v>-0.73019100809857551</v>
      </c>
      <c r="AA31" s="211">
        <f t="shared" si="35"/>
        <v>11.954848582169916</v>
      </c>
      <c r="AB31" s="211">
        <f t="shared" si="35"/>
        <v>0.28782641829644984</v>
      </c>
      <c r="AC31" s="211">
        <f t="shared" si="35"/>
        <v>-0.43149797589549022</v>
      </c>
      <c r="AD31" s="211">
        <f t="shared" si="35"/>
        <v>-0.4494895824462275</v>
      </c>
      <c r="AE31" s="211">
        <f t="shared" si="35"/>
        <v>-0.83391968372806557</v>
      </c>
      <c r="AF31" s="211">
        <f t="shared" ref="AF31:AO32" si="36">AF23/AB23-1</f>
        <v>-0.48208357640185839</v>
      </c>
      <c r="AG31" s="211">
        <f t="shared" si="36"/>
        <v>-0.39900844507451894</v>
      </c>
      <c r="AH31" s="211">
        <f t="shared" si="36"/>
        <v>0.47095400799042197</v>
      </c>
      <c r="AI31" s="211">
        <f t="shared" si="36"/>
        <v>0.25649597959394188</v>
      </c>
      <c r="AJ31" s="211">
        <f t="shared" si="36"/>
        <v>0.41008707067351113</v>
      </c>
      <c r="AK31" s="211">
        <f t="shared" si="36"/>
        <v>-0.43018489167058127</v>
      </c>
      <c r="AL31" s="211">
        <f t="shared" si="36"/>
        <v>-4.3978353760999456E-2</v>
      </c>
      <c r="AM31" s="211">
        <f t="shared" si="36"/>
        <v>1.8455078459393639</v>
      </c>
      <c r="AN31" s="211">
        <f t="shared" si="36"/>
        <v>1.0606163350334028</v>
      </c>
      <c r="AO31" s="211">
        <f t="shared" si="36"/>
        <v>6.6931735958721301</v>
      </c>
      <c r="AP31" s="211">
        <f t="shared" ref="AP31:AQ32" si="37">AP23/AL23-1</f>
        <v>0.49329325307716365</v>
      </c>
      <c r="AQ31" s="211">
        <f t="shared" si="37"/>
        <v>8.1763276793493045E-2</v>
      </c>
      <c r="AR31" s="211">
        <f t="shared" si="32"/>
        <v>-6.3924221846039631E-2</v>
      </c>
      <c r="AS31" s="211">
        <f t="shared" si="32"/>
        <v>-0.15229742835424842</v>
      </c>
      <c r="AT31" s="211">
        <f t="shared" si="32"/>
        <v>7.1946409325521099E-2</v>
      </c>
      <c r="AU31" s="211">
        <f t="shared" si="32"/>
        <v>-0.27488399124599328</v>
      </c>
      <c r="AV31" s="211">
        <f t="shared" si="32"/>
        <v>-0.1725882351188659</v>
      </c>
      <c r="AW31" s="211">
        <f t="shared" si="32"/>
        <v>9.3945583551747092E-2</v>
      </c>
      <c r="AX31" s="211">
        <f>AX23/AT23-1</f>
        <v>-0.21313397961942915</v>
      </c>
      <c r="AY31" s="211">
        <f t="shared" si="32"/>
        <v>-0.27782152272058425</v>
      </c>
      <c r="AZ31" s="211">
        <f t="shared" si="32"/>
        <v>0.79076018464507691</v>
      </c>
      <c r="BA31" s="211">
        <f t="shared" si="33"/>
        <v>-0.23495630544951518</v>
      </c>
      <c r="BB31" s="211">
        <f t="shared" si="34"/>
        <v>0.46031414527082792</v>
      </c>
      <c r="BC31" s="211">
        <f>BC23/AY23-1</f>
        <v>3.1981410290453649E-2</v>
      </c>
    </row>
    <row r="32" spans="1:55" s="220" customFormat="1" ht="10.5" x14ac:dyDescent="0.3">
      <c r="A32" s="220" t="s">
        <v>2636</v>
      </c>
      <c r="B32" s="215" t="s">
        <v>1900</v>
      </c>
      <c r="C32" s="219"/>
      <c r="D32" s="219"/>
      <c r="E32" s="219"/>
      <c r="F32" s="219"/>
      <c r="G32" s="219"/>
      <c r="H32" s="219"/>
      <c r="I32" s="219"/>
      <c r="J32" s="219"/>
      <c r="K32" s="219"/>
      <c r="L32" s="219"/>
      <c r="M32" s="219"/>
      <c r="N32" s="219"/>
      <c r="O32" s="219"/>
      <c r="P32" s="219"/>
      <c r="Q32" s="219"/>
      <c r="R32" s="219">
        <f>R24/N24-1</f>
        <v>0.3108588929374021</v>
      </c>
      <c r="S32" s="219">
        <f>S24/O24-1</f>
        <v>0.35457981344705747</v>
      </c>
      <c r="T32" s="219"/>
      <c r="U32" s="219"/>
      <c r="V32" s="219">
        <f t="shared" si="35"/>
        <v>7.6097259489893876E-2</v>
      </c>
      <c r="W32" s="219">
        <f t="shared" si="35"/>
        <v>-1.8618803687602936E-2</v>
      </c>
      <c r="X32" s="219">
        <f t="shared" si="35"/>
        <v>9.9919386552399958E-2</v>
      </c>
      <c r="Y32" s="219">
        <f t="shared" si="35"/>
        <v>0.12563712878033884</v>
      </c>
      <c r="Z32" s="219">
        <f t="shared" si="35"/>
        <v>-8.5678044226067174E-2</v>
      </c>
      <c r="AA32" s="219">
        <f t="shared" si="35"/>
        <v>0.20951764665528239</v>
      </c>
      <c r="AB32" s="219">
        <f t="shared" si="35"/>
        <v>3.6777795017326476E-3</v>
      </c>
      <c r="AC32" s="219">
        <f t="shared" si="35"/>
        <v>7.6802455506599365E-3</v>
      </c>
      <c r="AD32" s="219">
        <f t="shared" si="35"/>
        <v>0.1446420608307315</v>
      </c>
      <c r="AE32" s="219">
        <f t="shared" si="35"/>
        <v>6.9089810238621485E-2</v>
      </c>
      <c r="AF32" s="219">
        <f t="shared" si="36"/>
        <v>-0.15259795334602333</v>
      </c>
      <c r="AG32" s="219">
        <f t="shared" si="36"/>
        <v>0.11344325861872773</v>
      </c>
      <c r="AH32" s="219">
        <f t="shared" si="36"/>
        <v>0.10276184462998228</v>
      </c>
      <c r="AI32" s="219">
        <f t="shared" si="36"/>
        <v>-3.6304035187881389E-2</v>
      </c>
      <c r="AJ32" s="219">
        <f t="shared" si="36"/>
        <v>0.40321770394291234</v>
      </c>
      <c r="AK32" s="219">
        <f t="shared" si="36"/>
        <v>0.23062013317565611</v>
      </c>
      <c r="AL32" s="219">
        <f t="shared" si="36"/>
        <v>0.14966490766285423</v>
      </c>
      <c r="AM32" s="219">
        <f t="shared" si="36"/>
        <v>0.25610489489255284</v>
      </c>
      <c r="AN32" s="219">
        <f t="shared" si="36"/>
        <v>0.26112205357317597</v>
      </c>
      <c r="AO32" s="219">
        <f t="shared" si="36"/>
        <v>0.67320643513819944</v>
      </c>
      <c r="AP32" s="219">
        <f t="shared" si="37"/>
        <v>0.19797263127443721</v>
      </c>
      <c r="AQ32" s="219">
        <f t="shared" si="37"/>
        <v>0.16179088549580212</v>
      </c>
      <c r="AR32" s="219">
        <f t="shared" si="32"/>
        <v>0.23651910774632379</v>
      </c>
      <c r="AS32" s="219">
        <f t="shared" si="32"/>
        <v>-8.4974459644247879E-2</v>
      </c>
      <c r="AT32" s="219">
        <f t="shared" si="32"/>
        <v>0.23836541395294564</v>
      </c>
      <c r="AU32" s="219">
        <f t="shared" si="32"/>
        <v>0.17140146281554314</v>
      </c>
      <c r="AV32" s="219">
        <f t="shared" si="32"/>
        <v>1.4902104635700741E-2</v>
      </c>
      <c r="AW32" s="219">
        <f t="shared" si="32"/>
        <v>3.2158042121078312E-2</v>
      </c>
      <c r="AX32" s="219">
        <f t="shared" si="32"/>
        <v>1.7376839773095565E-2</v>
      </c>
      <c r="AY32" s="219">
        <f t="shared" si="32"/>
        <v>-0.30405124947622686</v>
      </c>
      <c r="AZ32" s="219">
        <f t="shared" si="32"/>
        <v>5.4713002408417921E-2</v>
      </c>
      <c r="BA32" s="219">
        <f t="shared" si="33"/>
        <v>-2.821040867179625E-2</v>
      </c>
      <c r="BB32" s="219">
        <f t="shared" si="34"/>
        <v>-0.1433766187285257</v>
      </c>
      <c r="BC32" s="219">
        <f>BC24/AY24-1</f>
        <v>-4.1434845348523153E-2</v>
      </c>
    </row>
    <row r="33" spans="1:61" x14ac:dyDescent="0.3">
      <c r="C33" s="211"/>
      <c r="D33" s="211"/>
      <c r="E33" s="211"/>
      <c r="F33" s="211"/>
      <c r="G33" s="211"/>
      <c r="H33" s="211"/>
      <c r="I33" s="211"/>
      <c r="J33" s="211"/>
      <c r="K33" s="211"/>
      <c r="L33" s="211"/>
      <c r="M33" s="211"/>
      <c r="N33" s="211"/>
      <c r="O33" s="211"/>
      <c r="P33" s="211"/>
      <c r="Q33" s="211"/>
      <c r="R33" s="211"/>
      <c r="S33" s="211"/>
      <c r="T33" s="211"/>
      <c r="U33" s="211"/>
      <c r="V33" s="211"/>
      <c r="X33" s="211"/>
      <c r="Y33" s="211"/>
      <c r="Z33" s="211"/>
      <c r="AB33" s="211"/>
      <c r="AC33" s="211"/>
      <c r="AD33" s="211"/>
      <c r="AE33" s="211"/>
      <c r="AF33" s="211"/>
      <c r="AG33" s="211"/>
      <c r="AH33" s="211"/>
      <c r="AI33" s="211"/>
      <c r="AJ33" s="211"/>
      <c r="AK33" s="211"/>
      <c r="AL33" s="211"/>
      <c r="AM33" s="211"/>
      <c r="AN33" s="211"/>
      <c r="AO33" s="211"/>
      <c r="AP33" s="211"/>
      <c r="AQ33" s="211"/>
      <c r="AR33" s="211"/>
      <c r="AS33" s="211"/>
      <c r="AT33" s="211"/>
      <c r="AU33" s="211"/>
      <c r="AV33" s="211"/>
      <c r="AW33" s="211"/>
      <c r="AX33" s="211"/>
      <c r="AY33" s="211"/>
      <c r="AZ33" s="211"/>
      <c r="BA33" s="211"/>
      <c r="BB33" s="211"/>
      <c r="BC33" s="211"/>
    </row>
    <row r="34" spans="1:61" ht="10.5" hidden="1" outlineLevel="1" x14ac:dyDescent="0.3">
      <c r="A34" s="202" t="s">
        <v>2635</v>
      </c>
      <c r="B34" s="203" t="s">
        <v>1899</v>
      </c>
      <c r="C34" s="211"/>
      <c r="D34" s="211"/>
      <c r="E34" s="211"/>
      <c r="F34" s="211"/>
      <c r="G34" s="211"/>
      <c r="H34" s="211"/>
      <c r="I34" s="211"/>
      <c r="J34" s="211"/>
      <c r="K34" s="211"/>
      <c r="L34" s="211"/>
      <c r="M34" s="211"/>
      <c r="N34" s="211"/>
      <c r="O34" s="211"/>
      <c r="P34" s="211"/>
      <c r="Q34" s="211"/>
      <c r="R34" s="211"/>
      <c r="S34" s="211"/>
      <c r="T34" s="211">
        <f>T26/P26-1</f>
        <v>0.15114021974642844</v>
      </c>
      <c r="U34" s="211">
        <f>U26/Q26-1</f>
        <v>1.0984649340343218</v>
      </c>
      <c r="V34" s="211"/>
      <c r="X34" s="211" t="s">
        <v>1809</v>
      </c>
      <c r="Y34" s="211"/>
      <c r="Z34" s="211"/>
      <c r="AB34" s="211" t="s">
        <v>1809</v>
      </c>
      <c r="AC34" s="211"/>
      <c r="AD34" s="211"/>
      <c r="AE34" s="211"/>
      <c r="AF34" s="211" t="s">
        <v>1809</v>
      </c>
      <c r="AG34" s="211"/>
      <c r="AH34" s="211"/>
      <c r="AI34" s="211"/>
      <c r="AJ34" s="211"/>
      <c r="AK34" s="211"/>
      <c r="AL34" s="211"/>
      <c r="AM34" s="211"/>
      <c r="AN34" s="211"/>
      <c r="AO34" s="211"/>
      <c r="AP34" s="211"/>
      <c r="AQ34" s="211"/>
      <c r="AR34" s="211"/>
      <c r="AS34" s="211"/>
      <c r="AT34" s="211"/>
      <c r="AU34" s="211"/>
      <c r="AV34" s="211"/>
      <c r="AW34" s="211"/>
      <c r="AX34" s="211"/>
      <c r="AY34" s="211"/>
      <c r="AZ34" s="211"/>
      <c r="BA34" s="211"/>
      <c r="BB34" s="211"/>
      <c r="BC34" s="211"/>
    </row>
    <row r="35" spans="1:61" ht="10.5" hidden="1" outlineLevel="1" x14ac:dyDescent="0.3">
      <c r="A35" s="202" t="s">
        <v>2634</v>
      </c>
      <c r="B35" s="203" t="s">
        <v>1898</v>
      </c>
      <c r="C35" s="211"/>
      <c r="D35" s="211"/>
      <c r="E35" s="211"/>
      <c r="F35" s="211"/>
      <c r="G35" s="211"/>
      <c r="H35" s="211"/>
      <c r="I35" s="211"/>
      <c r="J35" s="211"/>
      <c r="K35" s="211"/>
      <c r="L35" s="211"/>
      <c r="M35" s="211"/>
      <c r="N35" s="211"/>
      <c r="O35" s="211"/>
      <c r="P35" s="211"/>
      <c r="Q35" s="211"/>
      <c r="R35" s="211"/>
      <c r="S35" s="211"/>
      <c r="T35" s="211"/>
      <c r="U35" s="211"/>
      <c r="V35" s="211"/>
      <c r="X35" s="211"/>
      <c r="Y35" s="211"/>
      <c r="Z35" s="211"/>
      <c r="AB35" s="211"/>
      <c r="AC35" s="211"/>
      <c r="AD35" s="211"/>
      <c r="AE35" s="211"/>
      <c r="AF35" s="211"/>
      <c r="AG35" s="211"/>
      <c r="AH35" s="211"/>
      <c r="AI35" s="211"/>
      <c r="AJ35" s="211"/>
      <c r="AK35" s="211"/>
      <c r="AL35" s="211"/>
      <c r="AM35" s="211"/>
      <c r="AN35" s="211"/>
      <c r="AO35" s="211"/>
      <c r="AP35" s="211"/>
      <c r="AQ35" s="211"/>
      <c r="AR35" s="211"/>
      <c r="AS35" s="211"/>
      <c r="AT35" s="211"/>
      <c r="AU35" s="211"/>
      <c r="AV35" s="211"/>
      <c r="AW35" s="211"/>
      <c r="AX35" s="211"/>
      <c r="AY35" s="211"/>
      <c r="AZ35" s="211"/>
      <c r="BA35" s="211"/>
      <c r="BB35" s="211"/>
      <c r="BC35" s="211"/>
    </row>
    <row r="36" spans="1:61" s="220" customFormat="1" ht="10.5" collapsed="1" x14ac:dyDescent="0.3">
      <c r="A36" s="220" t="s">
        <v>2633</v>
      </c>
      <c r="B36" s="215" t="s">
        <v>1897</v>
      </c>
      <c r="C36" s="219"/>
      <c r="D36" s="219"/>
      <c r="E36" s="219"/>
      <c r="F36" s="219"/>
      <c r="G36" s="219"/>
      <c r="H36" s="219"/>
      <c r="I36" s="219"/>
      <c r="J36" s="219"/>
      <c r="K36" s="219"/>
      <c r="L36" s="219">
        <f t="shared" ref="L36:AQ36" si="38">L28/H28-1</f>
        <v>0.25106654616750701</v>
      </c>
      <c r="M36" s="219">
        <f t="shared" si="38"/>
        <v>0.18250596376397299</v>
      </c>
      <c r="N36" s="219">
        <f t="shared" si="38"/>
        <v>0.36031794461745648</v>
      </c>
      <c r="O36" s="219">
        <f t="shared" si="38"/>
        <v>0.11445770262919597</v>
      </c>
      <c r="P36" s="219">
        <f t="shared" si="38"/>
        <v>0.20249683200071766</v>
      </c>
      <c r="Q36" s="219">
        <f t="shared" si="38"/>
        <v>-0.39162265912529526</v>
      </c>
      <c r="R36" s="219">
        <f t="shared" si="38"/>
        <v>0.52142959345066142</v>
      </c>
      <c r="S36" s="219">
        <f t="shared" si="38"/>
        <v>4.2344847789564488E-2</v>
      </c>
      <c r="T36" s="219">
        <f t="shared" si="38"/>
        <v>0.12609315002063326</v>
      </c>
      <c r="U36" s="219">
        <f t="shared" si="38"/>
        <v>1.1330787017213324</v>
      </c>
      <c r="V36" s="219">
        <f t="shared" si="38"/>
        <v>8.5105788098457813E-2</v>
      </c>
      <c r="W36" s="219">
        <f t="shared" si="38"/>
        <v>0.18927340665724768</v>
      </c>
      <c r="X36" s="219">
        <f t="shared" si="38"/>
        <v>0.16279127545263505</v>
      </c>
      <c r="Y36" s="219">
        <f t="shared" si="38"/>
        <v>0.37450892539306069</v>
      </c>
      <c r="Z36" s="219">
        <f t="shared" si="38"/>
        <v>-8.624162881724784E-2</v>
      </c>
      <c r="AA36" s="219">
        <f t="shared" si="38"/>
        <v>0.17246718498217306</v>
      </c>
      <c r="AB36" s="219">
        <f t="shared" si="38"/>
        <v>0.28468540010042132</v>
      </c>
      <c r="AC36" s="219">
        <f t="shared" si="38"/>
        <v>-0.14231207812702062</v>
      </c>
      <c r="AD36" s="219">
        <f t="shared" si="38"/>
        <v>0.20565261917976096</v>
      </c>
      <c r="AE36" s="219">
        <f t="shared" si="38"/>
        <v>-8.4437810050182804E-2</v>
      </c>
      <c r="AF36" s="219">
        <f t="shared" si="38"/>
        <v>-0.20684302510107089</v>
      </c>
      <c r="AG36" s="219">
        <f t="shared" si="38"/>
        <v>0.45107044956202658</v>
      </c>
      <c r="AH36" s="219">
        <f t="shared" si="38"/>
        <v>0.15307380284265526</v>
      </c>
      <c r="AI36" s="219">
        <f t="shared" si="38"/>
        <v>-0.28587522624016537</v>
      </c>
      <c r="AJ36" s="219">
        <f t="shared" si="38"/>
        <v>0.40179037920182559</v>
      </c>
      <c r="AK36" s="219">
        <f t="shared" si="38"/>
        <v>4.6176867538194166E-2</v>
      </c>
      <c r="AL36" s="219">
        <f t="shared" si="38"/>
        <v>0.20855948759981602</v>
      </c>
      <c r="AM36" s="219">
        <f t="shared" si="38"/>
        <v>0.48490806113740348</v>
      </c>
      <c r="AN36" s="219">
        <f t="shared" si="38"/>
        <v>0.20694707257462031</v>
      </c>
      <c r="AO36" s="219">
        <f t="shared" si="38"/>
        <v>0.13399474404906808</v>
      </c>
      <c r="AP36" s="219">
        <f t="shared" si="38"/>
        <v>0.19494228461530883</v>
      </c>
      <c r="AQ36" s="219">
        <f t="shared" si="38"/>
        <v>5.0925737247579095E-2</v>
      </c>
      <c r="AR36" s="219">
        <f t="shared" ref="AR36:AZ36" si="39">AR28/AN28-1</f>
        <v>0.1700207663156037</v>
      </c>
      <c r="AS36" s="219">
        <f t="shared" si="39"/>
        <v>0.24367482170067478</v>
      </c>
      <c r="AT36" s="219">
        <f t="shared" si="39"/>
        <v>0.10012321521484435</v>
      </c>
      <c r="AU36" s="219">
        <f t="shared" si="39"/>
        <v>0.1953032219915698</v>
      </c>
      <c r="AV36" s="219">
        <f t="shared" si="39"/>
        <v>5.2066107920874849E-2</v>
      </c>
      <c r="AW36" s="219">
        <f t="shared" si="39"/>
        <v>3.5133548501760092E-2</v>
      </c>
      <c r="AX36" s="219">
        <f t="shared" si="39"/>
        <v>-2.9596194741843274E-4</v>
      </c>
      <c r="AY36" s="219">
        <f t="shared" si="39"/>
        <v>-0.10038111231333302</v>
      </c>
      <c r="AZ36" s="219">
        <f t="shared" si="39"/>
        <v>0.10837602649577094</v>
      </c>
      <c r="BA36" s="219">
        <f t="shared" ref="BA36" si="40">BA28/AW28-1</f>
        <v>-4.7929169510336878E-2</v>
      </c>
      <c r="BB36" s="219">
        <f t="shared" ref="BB36" si="41">BB28/AX28-1</f>
        <v>-3.8265567490739061E-2</v>
      </c>
      <c r="BC36" s="219">
        <f>BC28/AY28-1</f>
        <v>-4.5949135756652604E-2</v>
      </c>
    </row>
    <row r="37" spans="1:61" s="220" customFormat="1" ht="10.5" x14ac:dyDescent="0.3">
      <c r="A37" s="214" t="s">
        <v>2644</v>
      </c>
      <c r="B37" s="215" t="s">
        <v>2645</v>
      </c>
      <c r="C37" s="219"/>
      <c r="N37" s="219">
        <f>N28/N24</f>
        <v>0.11467042026553158</v>
      </c>
      <c r="O37" s="219">
        <f>O28/O24</f>
        <v>0.16218382804457898</v>
      </c>
      <c r="R37" s="219">
        <f t="shared" ref="R37:AQ37" si="42">R28/R24</f>
        <v>0.13309058040142188</v>
      </c>
      <c r="S37" s="219">
        <f t="shared" si="42"/>
        <v>0.12479993860742913</v>
      </c>
      <c r="T37" s="219">
        <f t="shared" si="42"/>
        <v>0.13295025583254719</v>
      </c>
      <c r="U37" s="219">
        <f t="shared" si="42"/>
        <v>0.12858190062814642</v>
      </c>
      <c r="V37" s="219">
        <f t="shared" si="42"/>
        <v>0.13420474577123698</v>
      </c>
      <c r="W37" s="219">
        <f t="shared" si="42"/>
        <v>0.15123710205165436</v>
      </c>
      <c r="X37" s="219">
        <f t="shared" si="42"/>
        <v>0.14054975250126378</v>
      </c>
      <c r="Y37" s="219">
        <f t="shared" si="42"/>
        <v>0.15701060807126233</v>
      </c>
      <c r="Z37" s="219">
        <f t="shared" si="42"/>
        <v>0.1341220224741507</v>
      </c>
      <c r="AA37" s="219">
        <f t="shared" si="42"/>
        <v>0.14660434248124857</v>
      </c>
      <c r="AB37" s="219">
        <f t="shared" si="42"/>
        <v>0.17990058035930598</v>
      </c>
      <c r="AC37" s="219">
        <f t="shared" si="42"/>
        <v>0.13363971631205671</v>
      </c>
      <c r="AD37" s="219">
        <f t="shared" si="42"/>
        <v>0.14127085944080059</v>
      </c>
      <c r="AE37" s="219">
        <f t="shared" si="42"/>
        <v>0.12555109175376555</v>
      </c>
      <c r="AF37" s="219">
        <f t="shared" si="42"/>
        <v>0.16838453560947536</v>
      </c>
      <c r="AG37" s="219">
        <f t="shared" si="42"/>
        <v>0.17416302243263332</v>
      </c>
      <c r="AH37" s="219">
        <f t="shared" si="42"/>
        <v>0.1477161437163359</v>
      </c>
      <c r="AI37" s="219">
        <f t="shared" si="42"/>
        <v>9.3036754606975997E-2</v>
      </c>
      <c r="AJ37" s="219">
        <f t="shared" si="42"/>
        <v>0.16821325825670502</v>
      </c>
      <c r="AK37" s="219">
        <f t="shared" si="42"/>
        <v>0.14805976299068804</v>
      </c>
      <c r="AL37" s="219">
        <f t="shared" si="42"/>
        <v>0.15528328799994026</v>
      </c>
      <c r="AM37" s="219">
        <f t="shared" si="42"/>
        <v>0.10998367051963327</v>
      </c>
      <c r="AN37" s="219">
        <f t="shared" si="42"/>
        <v>0.16098719314750951</v>
      </c>
      <c r="AO37" s="219">
        <f t="shared" si="42"/>
        <v>0.10034565341766885</v>
      </c>
      <c r="AP37" s="219">
        <f t="shared" si="42"/>
        <v>0.15489048921579066</v>
      </c>
      <c r="AQ37" s="219">
        <f t="shared" si="42"/>
        <v>9.9488360142121354E-2</v>
      </c>
      <c r="AR37" s="219">
        <f t="shared" ref="AR37:AW37" si="43">AR28/AR24</f>
        <v>0.15232951752500504</v>
      </c>
      <c r="AS37" s="219">
        <f t="shared" si="43"/>
        <v>0.13638675328574668</v>
      </c>
      <c r="AT37" s="219">
        <f t="shared" si="43"/>
        <v>0.13759963019182841</v>
      </c>
      <c r="AU37" s="219">
        <f t="shared" si="43"/>
        <v>0.10151836172605248</v>
      </c>
      <c r="AV37" s="219">
        <f t="shared" si="43"/>
        <v>0.15790756752989724</v>
      </c>
      <c r="AW37" s="219">
        <f t="shared" si="43"/>
        <v>0.13677992917362553</v>
      </c>
      <c r="AX37" s="219">
        <f t="shared" ref="AX37:BA37" si="44">AX28/AX24</f>
        <v>0.13520939396260723</v>
      </c>
      <c r="AY37" s="219">
        <f t="shared" si="44"/>
        <v>0.13122781754695362</v>
      </c>
      <c r="AZ37" s="219">
        <f t="shared" si="44"/>
        <v>0.16594178876409313</v>
      </c>
      <c r="BA37" s="219">
        <f t="shared" si="44"/>
        <v>0.13400450254325699</v>
      </c>
      <c r="BB37" s="219">
        <f t="shared" ref="BB37:BC37" si="45">BB28/BB24</f>
        <v>0.15180011731589582</v>
      </c>
      <c r="BC37" s="219">
        <f t="shared" si="45"/>
        <v>0.13060981002273125</v>
      </c>
    </row>
    <row r="38" spans="1:61" x14ac:dyDescent="0.3">
      <c r="C38" s="211"/>
      <c r="L38" s="211"/>
      <c r="M38" s="211"/>
      <c r="N38" s="211"/>
      <c r="O38" s="211"/>
      <c r="P38" s="211"/>
      <c r="Q38" s="211"/>
      <c r="R38" s="211"/>
      <c r="S38" s="211"/>
      <c r="T38" s="211"/>
      <c r="U38" s="211"/>
      <c r="V38" s="211"/>
      <c r="X38" s="211"/>
      <c r="Y38" s="211"/>
      <c r="Z38" s="211"/>
      <c r="AA38" s="211"/>
      <c r="AB38" s="211"/>
      <c r="AC38" s="211"/>
      <c r="AD38" s="211">
        <f>AD37-Z37</f>
        <v>7.1488369666498908E-3</v>
      </c>
      <c r="AE38" s="211"/>
      <c r="AF38" s="211"/>
      <c r="AG38" s="211"/>
      <c r="AH38" s="211"/>
      <c r="AI38" s="211"/>
      <c r="AJ38" s="211"/>
      <c r="AK38" s="211"/>
      <c r="AL38" s="211"/>
      <c r="AM38" s="211"/>
      <c r="AN38" s="224" t="str">
        <f t="shared" ref="AN38:AY38" si="46">TEXT(100*(AN37-AM37),"0.0ppt")</f>
        <v>5.1ppt</v>
      </c>
      <c r="AO38" s="224" t="str">
        <f t="shared" si="46"/>
        <v>-6.1ppt</v>
      </c>
      <c r="AP38" s="224" t="str">
        <f t="shared" si="46"/>
        <v>5.5ppt</v>
      </c>
      <c r="AQ38" s="224" t="str">
        <f t="shared" si="46"/>
        <v>-5.5ppt</v>
      </c>
      <c r="AR38" s="224" t="str">
        <f t="shared" si="46"/>
        <v>5.3ppt</v>
      </c>
      <c r="AS38" s="224" t="str">
        <f t="shared" si="46"/>
        <v>-1.6ppt</v>
      </c>
      <c r="AT38" s="224" t="str">
        <f t="shared" si="46"/>
        <v>0.1ppt</v>
      </c>
      <c r="AU38" s="224" t="str">
        <f t="shared" si="46"/>
        <v>-3.6ppt</v>
      </c>
      <c r="AV38" s="224" t="str">
        <f>TEXT(100*(AV37-AU37),"0.0ppt")</f>
        <v>5.6ppt</v>
      </c>
      <c r="AW38" s="224" t="str">
        <f t="shared" si="46"/>
        <v>-2.1ppt</v>
      </c>
      <c r="AX38" s="224" t="str">
        <f t="shared" si="46"/>
        <v>-0.2ppt</v>
      </c>
      <c r="AY38" s="224" t="str">
        <f t="shared" si="46"/>
        <v>-0.4ppt</v>
      </c>
      <c r="AZ38" s="224" t="str">
        <f>TEXT(100*(AZ37-AY37),"0.0ppt")</f>
        <v>3.5ppt</v>
      </c>
      <c r="BA38" s="224" t="str">
        <f t="shared" ref="BA38" si="47">TEXT(100*(BA37-AZ37),"0.0ppt")</f>
        <v>-3.2ppt</v>
      </c>
      <c r="BB38" s="224" t="str">
        <f t="shared" ref="BB38" si="48">TEXT(100*(BB37-BA37),"0.0ppt")</f>
        <v>1.8ppt</v>
      </c>
      <c r="BC38" s="224" t="str">
        <f>TEXT(100*(BC37-BB37),"0.0ppt")</f>
        <v>-2.1ppt</v>
      </c>
    </row>
    <row r="39" spans="1:61" x14ac:dyDescent="0.3">
      <c r="C39" s="211"/>
      <c r="L39" s="211"/>
      <c r="M39" s="211"/>
      <c r="N39" s="211"/>
      <c r="O39" s="211"/>
      <c r="P39" s="211"/>
      <c r="Q39" s="211"/>
      <c r="R39" s="211"/>
      <c r="S39" s="211"/>
      <c r="T39" s="211"/>
      <c r="U39" s="211"/>
      <c r="V39" s="211"/>
      <c r="X39" s="211"/>
      <c r="Y39" s="211"/>
      <c r="Z39" s="211"/>
      <c r="AA39" s="211"/>
      <c r="AB39" s="211"/>
      <c r="AC39" s="211"/>
      <c r="AD39" s="211"/>
      <c r="AE39" s="211"/>
      <c r="AF39" s="211"/>
      <c r="AG39" s="211"/>
      <c r="AH39" s="211"/>
      <c r="AI39" s="211"/>
      <c r="AJ39" s="211"/>
      <c r="AK39" s="211"/>
      <c r="AL39" s="211"/>
      <c r="AM39" s="211"/>
    </row>
    <row r="43" spans="1:61" x14ac:dyDescent="0.3">
      <c r="AG43" s="210"/>
      <c r="AH43" s="210"/>
      <c r="AI43" s="210"/>
      <c r="AJ43" s="210"/>
      <c r="AK43" s="210"/>
      <c r="AL43" s="210"/>
      <c r="AM43" s="210"/>
    </row>
    <row r="44" spans="1:61" x14ac:dyDescent="0.3">
      <c r="AA44" s="210"/>
      <c r="AB44" s="225"/>
      <c r="AC44" s="225"/>
      <c r="AD44" s="225"/>
      <c r="AE44" s="225"/>
      <c r="AF44" s="225"/>
      <c r="AG44" s="225"/>
      <c r="AH44" s="225"/>
      <c r="AI44" s="225"/>
      <c r="AJ44" s="225"/>
      <c r="AK44" s="225"/>
      <c r="AL44" s="225"/>
      <c r="AM44" s="225"/>
      <c r="AN44" s="225"/>
      <c r="AO44" s="225"/>
      <c r="AP44" s="225"/>
      <c r="AQ44" s="225"/>
      <c r="AR44" s="225"/>
      <c r="AS44" s="225"/>
      <c r="AT44" s="225"/>
      <c r="AU44" s="225"/>
      <c r="AV44" s="225"/>
      <c r="AW44" s="225"/>
      <c r="AX44" s="225"/>
      <c r="AY44" s="225"/>
      <c r="AZ44" s="225"/>
      <c r="BA44" s="225"/>
      <c r="BB44" s="225"/>
      <c r="BC44" s="225"/>
    </row>
    <row r="45" spans="1:61" x14ac:dyDescent="0.3">
      <c r="AB45" s="226" t="s">
        <v>2632</v>
      </c>
      <c r="AC45" s="226" t="s">
        <v>2631</v>
      </c>
      <c r="AD45" s="226" t="s">
        <v>2630</v>
      </c>
      <c r="AE45" s="226" t="s">
        <v>2629</v>
      </c>
      <c r="AF45" s="226" t="s">
        <v>1749</v>
      </c>
      <c r="AG45" s="226" t="s">
        <v>2628</v>
      </c>
      <c r="AH45" s="226" t="s">
        <v>2627</v>
      </c>
      <c r="AI45" s="226" t="s">
        <v>2626</v>
      </c>
      <c r="AJ45" s="226" t="s">
        <v>2625</v>
      </c>
      <c r="AK45" s="226" t="s">
        <v>2624</v>
      </c>
      <c r="AL45" s="226" t="s">
        <v>2623</v>
      </c>
      <c r="AM45" s="226" t="s">
        <v>2622</v>
      </c>
      <c r="AN45" s="226" t="s">
        <v>2621</v>
      </c>
      <c r="AO45" s="226" t="s">
        <v>2795</v>
      </c>
      <c r="AP45" s="226"/>
      <c r="AQ45" s="226"/>
      <c r="AR45" s="226"/>
      <c r="AS45" s="226"/>
      <c r="AT45" s="226"/>
      <c r="AU45" s="226"/>
      <c r="AV45" s="226"/>
      <c r="AW45" s="226"/>
      <c r="AX45" s="226"/>
      <c r="AY45" s="226"/>
      <c r="AZ45" s="226"/>
      <c r="BA45" s="226"/>
      <c r="BB45" s="226"/>
      <c r="BC45" s="226"/>
      <c r="BE45" s="226"/>
      <c r="BF45" s="226"/>
      <c r="BG45" s="226"/>
      <c r="BH45" s="226"/>
      <c r="BI45" s="226"/>
    </row>
    <row r="46" spans="1:61" ht="10.5" x14ac:dyDescent="0.3">
      <c r="A46" s="202" t="s">
        <v>2619</v>
      </c>
      <c r="AB46" s="227">
        <f>M9</f>
        <v>2509.6019999999999</v>
      </c>
      <c r="AC46" s="227">
        <f>O9-M9</f>
        <v>3068.8500000000004</v>
      </c>
      <c r="AD46" s="227">
        <f>Q9</f>
        <v>2162.538</v>
      </c>
      <c r="AE46" s="227">
        <f>S9-Q9</f>
        <v>3694.3480000000004</v>
      </c>
      <c r="AF46" s="227">
        <f>U9</f>
        <v>3317.1120000000001</v>
      </c>
      <c r="AG46" s="227">
        <f>W9-U9</f>
        <v>4229.66</v>
      </c>
      <c r="AH46" s="227">
        <f>Y9</f>
        <v>4252.6180000000004</v>
      </c>
      <c r="AI46" s="227">
        <f>AA9-Y9</f>
        <v>4517.3549999999996</v>
      </c>
      <c r="AJ46" s="227">
        <f>AC9</f>
        <v>4366.8679999999995</v>
      </c>
      <c r="AK46" s="227">
        <f>AE9-AC9</f>
        <v>4588.5690000000004</v>
      </c>
      <c r="AL46" s="227">
        <f>AG9</f>
        <v>4912.5340000000006</v>
      </c>
      <c r="AM46" s="227">
        <f>AI9-AG9</f>
        <v>4102.5919999999996</v>
      </c>
      <c r="AN46" s="227">
        <f>AK9</f>
        <v>5749.9120000000003</v>
      </c>
      <c r="AO46" s="227">
        <f>AM9-AK9</f>
        <v>5492.5049999999992</v>
      </c>
      <c r="AP46" s="227"/>
      <c r="AQ46" s="227"/>
      <c r="AR46" s="227"/>
      <c r="AS46" s="227"/>
      <c r="AT46" s="227"/>
      <c r="AU46" s="227"/>
      <c r="AV46" s="227"/>
      <c r="AW46" s="227"/>
      <c r="AX46" s="227"/>
      <c r="AY46" s="227"/>
      <c r="AZ46" s="227"/>
      <c r="BA46" s="227"/>
      <c r="BB46" s="227"/>
      <c r="BC46" s="227"/>
      <c r="BE46" s="227"/>
      <c r="BF46" s="227"/>
      <c r="BG46" s="227"/>
      <c r="BH46" s="227"/>
      <c r="BI46" s="227"/>
    </row>
    <row r="47" spans="1:61" x14ac:dyDescent="0.3">
      <c r="A47" s="228" t="s">
        <v>293</v>
      </c>
      <c r="B47" s="229"/>
      <c r="Z47" s="210"/>
      <c r="AA47" s="230"/>
      <c r="AD47" s="231">
        <f t="shared" ref="AD47:AO47" si="49">AD46/AB46-1</f>
        <v>-0.1382944387197651</v>
      </c>
      <c r="AE47" s="231">
        <f t="shared" si="49"/>
        <v>0.20382162699382511</v>
      </c>
      <c r="AF47" s="231">
        <f t="shared" si="49"/>
        <v>0.53389767023747092</v>
      </c>
      <c r="AG47" s="231">
        <f t="shared" si="49"/>
        <v>0.14490026386252719</v>
      </c>
      <c r="AH47" s="231">
        <f t="shared" si="49"/>
        <v>0.28202424277504057</v>
      </c>
      <c r="AI47" s="231">
        <f t="shared" si="49"/>
        <v>6.8018469569657958E-2</v>
      </c>
      <c r="AJ47" s="231">
        <f t="shared" si="49"/>
        <v>2.686580360615487E-2</v>
      </c>
      <c r="AK47" s="231">
        <f t="shared" si="49"/>
        <v>1.5764534777541472E-2</v>
      </c>
      <c r="AL47" s="231">
        <f t="shared" si="49"/>
        <v>0.12495591806301487</v>
      </c>
      <c r="AM47" s="231">
        <f t="shared" si="49"/>
        <v>-0.10591036116052754</v>
      </c>
      <c r="AN47" s="231">
        <f t="shared" si="49"/>
        <v>0.17045744619782766</v>
      </c>
      <c r="AO47" s="231">
        <f t="shared" si="49"/>
        <v>0.33878898998486795</v>
      </c>
      <c r="AP47" s="231"/>
      <c r="AQ47" s="231"/>
      <c r="AR47" s="231"/>
      <c r="AS47" s="231"/>
      <c r="AT47" s="231"/>
      <c r="AU47" s="231"/>
      <c r="AV47" s="231"/>
      <c r="AW47" s="231"/>
      <c r="AX47" s="231"/>
      <c r="AY47" s="231"/>
      <c r="AZ47" s="231"/>
      <c r="BA47" s="231"/>
      <c r="BB47" s="231"/>
      <c r="BC47" s="231"/>
    </row>
    <row r="48" spans="1:61" ht="10.5" x14ac:dyDescent="0.3">
      <c r="A48" s="202" t="s">
        <v>2618</v>
      </c>
      <c r="B48" s="229"/>
      <c r="Z48" s="210"/>
      <c r="AA48" s="230"/>
      <c r="AB48" s="210">
        <f>HoH!AM21</f>
        <v>2226.5149999999999</v>
      </c>
      <c r="AC48" s="210">
        <f>HoH!AN21</f>
        <v>2905.7299999999982</v>
      </c>
      <c r="AD48" s="210">
        <f>HoH!AO21</f>
        <v>2676.5230000000001</v>
      </c>
      <c r="AE48" s="210">
        <f>HoH!AP21</f>
        <v>3335.1970000000047</v>
      </c>
      <c r="AF48" s="210">
        <f>HoH!AQ21</f>
        <v>3175.9349999999999</v>
      </c>
      <c r="AG48" s="210">
        <f>HoH!AR21</f>
        <v>3614.0309999999995</v>
      </c>
      <c r="AH48" s="210">
        <f>HoH!AS21</f>
        <v>3296.4690000000001</v>
      </c>
      <c r="AI48" s="210">
        <f>HoH!AT21</f>
        <v>2909.0360000000019</v>
      </c>
      <c r="AJ48" s="210">
        <f>HoH!AU21</f>
        <v>3721.692</v>
      </c>
      <c r="AK48" s="210">
        <f>HoH!AV21</f>
        <v>3562.7790000000014</v>
      </c>
      <c r="AL48" s="210">
        <f>HoH!AW21</f>
        <v>3948.7700000000004</v>
      </c>
      <c r="AM48" s="210">
        <f>HoH!AX21</f>
        <v>4295.7059999999992</v>
      </c>
      <c r="AN48" s="210">
        <f>HoH!AY21</f>
        <v>4802.799</v>
      </c>
      <c r="AO48" s="210">
        <f>HoH!AZ21</f>
        <v>4582.3790000000026</v>
      </c>
      <c r="AP48" s="210"/>
      <c r="AQ48" s="210"/>
      <c r="AR48" s="210"/>
      <c r="AS48" s="210"/>
      <c r="AT48" s="210"/>
      <c r="AU48" s="210"/>
      <c r="AV48" s="210"/>
      <c r="AW48" s="210"/>
      <c r="AX48" s="210"/>
      <c r="AY48" s="210"/>
      <c r="AZ48" s="210"/>
      <c r="BA48" s="210"/>
      <c r="BB48" s="210"/>
      <c r="BC48" s="210"/>
    </row>
    <row r="49" spans="1:55" x14ac:dyDescent="0.3">
      <c r="A49" s="228" t="s">
        <v>293</v>
      </c>
      <c r="B49" s="229"/>
      <c r="Z49" s="210"/>
      <c r="AA49" s="230"/>
      <c r="AD49" s="231">
        <f t="shared" ref="AD49:AO49" si="50">AD48/AB48-1</f>
        <v>0.20211316788793265</v>
      </c>
      <c r="AE49" s="231">
        <f t="shared" si="50"/>
        <v>0.14780003647964768</v>
      </c>
      <c r="AF49" s="231">
        <f t="shared" si="50"/>
        <v>0.18658984062531858</v>
      </c>
      <c r="AG49" s="231">
        <f t="shared" si="50"/>
        <v>8.3603457307017903E-2</v>
      </c>
      <c r="AH49" s="231">
        <f t="shared" si="50"/>
        <v>3.7952288066348983E-2</v>
      </c>
      <c r="AI49" s="231">
        <f t="shared" si="50"/>
        <v>-0.19507165267813076</v>
      </c>
      <c r="AJ49" s="231">
        <f t="shared" si="50"/>
        <v>0.12899347756645074</v>
      </c>
      <c r="AK49" s="231">
        <f t="shared" si="50"/>
        <v>0.22472839799851196</v>
      </c>
      <c r="AL49" s="231">
        <f t="shared" si="50"/>
        <v>6.1014721261190008E-2</v>
      </c>
      <c r="AM49" s="231">
        <f t="shared" si="50"/>
        <v>0.20571778378619543</v>
      </c>
      <c r="AN49" s="231">
        <f t="shared" si="50"/>
        <v>0.21627722050157372</v>
      </c>
      <c r="AO49" s="231">
        <f t="shared" si="50"/>
        <v>6.6734781197782977E-2</v>
      </c>
      <c r="AP49" s="231"/>
      <c r="AQ49" s="231"/>
      <c r="AR49" s="231"/>
      <c r="AS49" s="231"/>
      <c r="AT49" s="231"/>
      <c r="AU49" s="231"/>
      <c r="AV49" s="231"/>
      <c r="AW49" s="231"/>
      <c r="AX49" s="231"/>
      <c r="AY49" s="231"/>
      <c r="AZ49" s="231"/>
      <c r="BA49" s="231"/>
      <c r="BB49" s="231"/>
      <c r="BC49" s="231"/>
    </row>
    <row r="50" spans="1:55" ht="10.5" x14ac:dyDescent="0.3">
      <c r="A50" s="202" t="s">
        <v>2617</v>
      </c>
      <c r="B50" s="232"/>
      <c r="AB50" s="210">
        <f>HoH!AM25</f>
        <v>1871.3589999999999</v>
      </c>
      <c r="AC50" s="210">
        <f>HoH!AN25</f>
        <v>2652.7669999999985</v>
      </c>
      <c r="AD50" s="210">
        <f>HoH!AO25</f>
        <v>2253.3089999999997</v>
      </c>
      <c r="AE50" s="210">
        <f>HoH!AP25</f>
        <v>2876.7570000000055</v>
      </c>
      <c r="AF50" s="210">
        <f>HoH!AQ25</f>
        <v>2493.4009999999998</v>
      </c>
      <c r="AG50" s="210">
        <f>HoH!AR25</f>
        <v>2996.6899999999996</v>
      </c>
      <c r="AH50" s="210">
        <f>HoH!AS25</f>
        <v>2522.3200000000002</v>
      </c>
      <c r="AI50" s="210">
        <f>HoH!AT25</f>
        <v>1977.8280000000018</v>
      </c>
      <c r="AJ50" s="210">
        <f>HoH!AU25</f>
        <v>2861.645</v>
      </c>
      <c r="AK50" s="210">
        <f>HoH!AV25</f>
        <v>2551.563000000001</v>
      </c>
      <c r="AL50" s="210">
        <f>HoH!AW25</f>
        <v>2897.5000000000005</v>
      </c>
      <c r="AM50" s="210">
        <f>HoH!AX25</f>
        <v>3117.8679999999995</v>
      </c>
      <c r="AN50" s="210">
        <f>HoH!AY25</f>
        <v>3500.201</v>
      </c>
      <c r="AO50" s="210">
        <f>HoH!AZ25</f>
        <v>3300.6780000000026</v>
      </c>
      <c r="AP50" s="210"/>
      <c r="AQ50" s="210"/>
      <c r="AR50" s="210"/>
      <c r="AS50" s="210"/>
      <c r="AT50" s="210"/>
      <c r="AU50" s="210"/>
      <c r="AV50" s="210"/>
      <c r="AW50" s="210"/>
      <c r="AX50" s="210"/>
      <c r="AY50" s="210"/>
      <c r="AZ50" s="210"/>
      <c r="BA50" s="210"/>
      <c r="BB50" s="210"/>
      <c r="BC50" s="210"/>
    </row>
    <row r="51" spans="1:55" x14ac:dyDescent="0.3">
      <c r="A51" s="228" t="s">
        <v>293</v>
      </c>
      <c r="B51" s="232"/>
      <c r="AD51" s="231">
        <f t="shared" ref="AD51:AO51" si="51">AD50/AB50-1</f>
        <v>0.20410300749348464</v>
      </c>
      <c r="AE51" s="231">
        <f t="shared" si="51"/>
        <v>8.4436363992769436E-2</v>
      </c>
      <c r="AF51" s="231">
        <f t="shared" si="51"/>
        <v>0.1065508547651477</v>
      </c>
      <c r="AG51" s="231">
        <f t="shared" si="51"/>
        <v>4.1690347846548681E-2</v>
      </c>
      <c r="AH51" s="231">
        <f t="shared" si="51"/>
        <v>1.159821464738342E-2</v>
      </c>
      <c r="AI51" s="231">
        <f t="shared" si="51"/>
        <v>-0.33999579536088087</v>
      </c>
      <c r="AJ51" s="231">
        <f t="shared" si="51"/>
        <v>0.13452892575089592</v>
      </c>
      <c r="AK51" s="231">
        <f t="shared" si="51"/>
        <v>0.29008336417524605</v>
      </c>
      <c r="AL51" s="231">
        <f t="shared" si="51"/>
        <v>1.2529506629928022E-2</v>
      </c>
      <c r="AM51" s="231">
        <f t="shared" si="51"/>
        <v>0.22194435332382478</v>
      </c>
      <c r="AN51" s="231">
        <f t="shared" si="51"/>
        <v>0.20800724762726475</v>
      </c>
      <c r="AO51" s="231">
        <f t="shared" si="51"/>
        <v>5.8633014611267464E-2</v>
      </c>
      <c r="AP51" s="231"/>
      <c r="AQ51" s="231"/>
      <c r="AR51" s="231"/>
      <c r="AS51" s="231"/>
      <c r="AT51" s="231"/>
      <c r="AU51" s="231"/>
      <c r="AV51" s="231"/>
      <c r="AW51" s="231"/>
      <c r="AX51" s="231"/>
      <c r="AY51" s="231"/>
      <c r="AZ51" s="231"/>
      <c r="BA51" s="231"/>
      <c r="BB51" s="231"/>
      <c r="BC51" s="231"/>
    </row>
    <row r="52" spans="1:55" x14ac:dyDescent="0.3">
      <c r="B52" s="229"/>
    </row>
    <row r="53" spans="1:55" x14ac:dyDescent="0.3">
      <c r="B53" s="232"/>
    </row>
    <row r="54" spans="1:55" x14ac:dyDescent="0.3">
      <c r="B54" s="232"/>
    </row>
    <row r="55" spans="1:55" x14ac:dyDescent="0.3">
      <c r="B55" s="232"/>
    </row>
    <row r="56" spans="1:55" x14ac:dyDescent="0.3">
      <c r="B56" s="232"/>
    </row>
    <row r="57" spans="1:55" x14ac:dyDescent="0.3">
      <c r="B57" s="229"/>
    </row>
    <row r="58" spans="1:55" x14ac:dyDescent="0.3">
      <c r="B58" s="232"/>
    </row>
    <row r="59" spans="1:55" x14ac:dyDescent="0.3">
      <c r="B59" s="232"/>
    </row>
    <row r="60" spans="1:55" x14ac:dyDescent="0.3">
      <c r="B60" s="229"/>
    </row>
    <row r="61" spans="1:55" x14ac:dyDescent="0.3">
      <c r="B61" s="232"/>
    </row>
    <row r="62" spans="1:55" x14ac:dyDescent="0.3">
      <c r="B62" s="232"/>
    </row>
    <row r="63" spans="1:55" x14ac:dyDescent="0.3">
      <c r="B63" s="229"/>
    </row>
    <row r="64" spans="1:55" x14ac:dyDescent="0.3">
      <c r="B64" s="232"/>
    </row>
  </sheetData>
  <phoneticPr fontId="51" type="noConversion"/>
  <pageMargins left="0.7" right="0.7" top="0.75" bottom="0.75" header="0.3" footer="0.3"/>
  <ignoredErrors>
    <ignoredError sqref="AR22:AR28 AV22:AV28 AZ22:AZ28" formula="1"/>
  </ignoredErrors>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640000"/>
  </sheetPr>
  <dimension ref="A1:JM90"/>
  <sheetViews>
    <sheetView showGridLines="0" zoomScale="115" zoomScaleNormal="115" workbookViewId="0">
      <pane xSplit="2" ySplit="6" topLeftCell="C7" activePane="bottomRight" state="frozen"/>
      <selection pane="topRight"/>
      <selection pane="bottomLeft"/>
      <selection pane="bottomRight" activeCell="BI6" sqref="BI6"/>
    </sheetView>
  </sheetViews>
  <sheetFormatPr defaultColWidth="7.0625" defaultRowHeight="10.15" outlineLevelRow="1" outlineLevelCol="2" x14ac:dyDescent="0.4"/>
  <cols>
    <col min="1" max="1" width="22.5" style="233" customWidth="1"/>
    <col min="2" max="2" width="35.0625" style="233" customWidth="1" outlineLevel="1"/>
    <col min="3" max="3" width="1.0625" style="233" customWidth="1"/>
    <col min="4" max="13" width="6.5625" style="234" hidden="1" customWidth="1" outlineLevel="2"/>
    <col min="14" max="22" width="7.0625" style="234" hidden="1" customWidth="1" outlineLevel="2"/>
    <col min="23" max="23" width="1.0625" style="234" hidden="1" customWidth="1" outlineLevel="2"/>
    <col min="24" max="24" width="38.0625" style="234" hidden="1" customWidth="1" outlineLevel="2"/>
    <col min="25" max="46" width="6.5625" style="234" hidden="1" customWidth="1" outlineLevel="2"/>
    <col min="47" max="48" width="6.5625" style="234" hidden="1" customWidth="1" outlineLevel="1"/>
    <col min="49" max="52" width="7.0625" style="234" hidden="1" customWidth="1" outlineLevel="1"/>
    <col min="53" max="53" width="7.0625" style="234" customWidth="1" collapsed="1"/>
    <col min="54" max="62" width="7.0625" style="234" customWidth="1"/>
    <col min="63" max="63" width="9.5625" style="233" customWidth="1"/>
    <col min="64" max="64" width="6.0625" style="235" customWidth="1"/>
    <col min="65" max="71" width="6.0625" style="233" customWidth="1"/>
    <col min="72" max="16384" width="7.0625" style="233"/>
  </cols>
  <sheetData>
    <row r="1" spans="1:71" s="236" customFormat="1" x14ac:dyDescent="0.4">
      <c r="A1" s="237" t="s">
        <v>2746</v>
      </c>
      <c r="B1" s="237" t="s">
        <v>2352</v>
      </c>
      <c r="C1" s="237"/>
      <c r="D1" s="238"/>
      <c r="E1" s="238">
        <f t="shared" ref="E1:S1" si="0">E7/D7-1</f>
        <v>-0.119339049785395</v>
      </c>
      <c r="F1" s="238">
        <f t="shared" si="0"/>
        <v>0.23456847488301458</v>
      </c>
      <c r="G1" s="238">
        <f t="shared" si="0"/>
        <v>0.36689371019683015</v>
      </c>
      <c r="H1" s="238">
        <f t="shared" si="0"/>
        <v>0.33770339912344305</v>
      </c>
      <c r="I1" s="238">
        <f t="shared" si="0"/>
        <v>0.24531255562360976</v>
      </c>
      <c r="J1" s="238">
        <f t="shared" si="0"/>
        <v>0.26218773844977683</v>
      </c>
      <c r="K1" s="238">
        <f t="shared" si="0"/>
        <v>0.10343626482034107</v>
      </c>
      <c r="L1" s="238">
        <f t="shared" si="0"/>
        <v>0.21592702423427745</v>
      </c>
      <c r="M1" s="238">
        <f t="shared" si="0"/>
        <v>8.5376082172619938E-2</v>
      </c>
      <c r="N1" s="238">
        <f t="shared" si="0"/>
        <v>0.10914266249092486</v>
      </c>
      <c r="O1" s="238">
        <f t="shared" si="0"/>
        <v>0.10864237897236517</v>
      </c>
      <c r="P1" s="238">
        <f t="shared" si="0"/>
        <v>1.2783121715018497E-2</v>
      </c>
      <c r="Q1" s="238">
        <f t="shared" si="0"/>
        <v>0.23778543757294601</v>
      </c>
      <c r="R1" s="238">
        <f t="shared" si="0"/>
        <v>0.31905024128046988</v>
      </c>
      <c r="S1" s="238">
        <f t="shared" si="0"/>
        <v>0.11530980576515293</v>
      </c>
      <c r="T1" s="238">
        <f>T7/S7-1</f>
        <v>-7.395625792259708E-2</v>
      </c>
      <c r="U1" s="238">
        <f>U7/T7-1</f>
        <v>-4.6278459838907882E-2</v>
      </c>
      <c r="V1" s="238"/>
      <c r="W1" s="238"/>
      <c r="X1" s="238"/>
      <c r="Y1" s="238"/>
      <c r="Z1" s="238"/>
      <c r="AA1" s="238">
        <f t="shared" ref="AA1:BA1" si="1">AA7/Y7-1</f>
        <v>1.1548337254910557E-2</v>
      </c>
      <c r="AB1" s="238">
        <f t="shared" si="1"/>
        <v>-0.24687049186289389</v>
      </c>
      <c r="AC1" s="238">
        <f t="shared" si="1"/>
        <v>-9.1642764539342503E-2</v>
      </c>
      <c r="AD1" s="238">
        <f t="shared" si="1"/>
        <v>0.66147753302078671</v>
      </c>
      <c r="AE1" s="238">
        <f t="shared" si="1"/>
        <v>0.21475219684429159</v>
      </c>
      <c r="AF1" s="238">
        <f t="shared" si="1"/>
        <v>0.47574821041371584</v>
      </c>
      <c r="AG1" s="238">
        <f t="shared" si="1"/>
        <v>0.47549321266372058</v>
      </c>
      <c r="AH1" s="238">
        <f t="shared" si="1"/>
        <v>0.25655289975581819</v>
      </c>
      <c r="AI1" s="238">
        <f t="shared" si="1"/>
        <v>0.28480675420588941</v>
      </c>
      <c r="AJ1" s="238">
        <f t="shared" si="1"/>
        <v>0.21799990627598098</v>
      </c>
      <c r="AK1" s="238">
        <f t="shared" si="1"/>
        <v>0.24106998016588999</v>
      </c>
      <c r="AL1" s="238">
        <f t="shared" si="1"/>
        <v>0.27759299354825373</v>
      </c>
      <c r="AM1" s="238">
        <f t="shared" si="1"/>
        <v>0.19141570096698102</v>
      </c>
      <c r="AN1" s="238">
        <f t="shared" si="1"/>
        <v>4.1090636906881306E-2</v>
      </c>
      <c r="AO1" s="238">
        <f t="shared" si="1"/>
        <v>0.10739269662320505</v>
      </c>
      <c r="AP1" s="238">
        <f t="shared" si="1"/>
        <v>0.30394405781291223</v>
      </c>
      <c r="AQ1" s="238">
        <f t="shared" si="1"/>
        <v>0.21868243087456429</v>
      </c>
      <c r="AR1" s="238">
        <f t="shared" si="1"/>
        <v>-6.4345834465512342E-3</v>
      </c>
      <c r="AS1" s="238">
        <f t="shared" si="1"/>
        <v>0.18024269212037658</v>
      </c>
      <c r="AT1" s="238">
        <f t="shared" si="1"/>
        <v>4.9079780326839462E-2</v>
      </c>
      <c r="AU1" s="238">
        <f t="shared" si="1"/>
        <v>1.611795313391351E-2</v>
      </c>
      <c r="AV1" s="238">
        <f t="shared" si="1"/>
        <v>0.19657612783645373</v>
      </c>
      <c r="AW1" s="238">
        <f t="shared" si="1"/>
        <v>1.6686974675501398E-2</v>
      </c>
      <c r="AX1" s="238">
        <f t="shared" si="1"/>
        <v>9.632498766818598E-3</v>
      </c>
      <c r="AY1" s="238">
        <f t="shared" si="1"/>
        <v>0.29886639577508833</v>
      </c>
      <c r="AZ1" s="238">
        <f t="shared" si="1"/>
        <v>0.18814532474372792</v>
      </c>
      <c r="BA1" s="238">
        <f t="shared" si="1"/>
        <v>0.47949126375120765</v>
      </c>
      <c r="BB1" s="238">
        <f t="shared" ref="BB1" si="2">BB7/AZ7-1</f>
        <v>0.17651007632742721</v>
      </c>
      <c r="BC1" s="238">
        <f t="shared" ref="BC1" si="3">BC7/BA7-1</f>
        <v>2.4161670574728511E-2</v>
      </c>
      <c r="BD1" s="238">
        <f t="shared" ref="BD1" si="4">BD7/BB7-1</f>
        <v>0.21714229917649686</v>
      </c>
      <c r="BE1" s="238">
        <f t="shared" ref="BE1" si="5">BE7/BC7-1</f>
        <v>2.6438870904081258E-2</v>
      </c>
      <c r="BF1" s="238">
        <f t="shared" ref="BF1" si="6">BF7/BD7-1</f>
        <v>-0.16833591475853615</v>
      </c>
      <c r="BG1" s="238">
        <f t="shared" ref="BG1" si="7">BG7/BE7-1</f>
        <v>1.3372100515811614E-3</v>
      </c>
      <c r="BH1" s="238">
        <f t="shared" ref="BH1" si="8">BH7/BF7-1</f>
        <v>-0.10152445413992695</v>
      </c>
      <c r="BI1" s="238"/>
      <c r="BJ1" s="238"/>
      <c r="BL1" s="239"/>
    </row>
    <row r="2" spans="1:71" s="236" customFormat="1" x14ac:dyDescent="0.4">
      <c r="A2" s="237" t="s">
        <v>2747</v>
      </c>
      <c r="B2" s="237" t="s">
        <v>2353</v>
      </c>
      <c r="C2" s="237"/>
      <c r="D2" s="238"/>
      <c r="E2" s="238">
        <f t="shared" ref="E2:U2" si="9">E9/D9-1</f>
        <v>-0.17577768907392077</v>
      </c>
      <c r="F2" s="238">
        <f t="shared" si="9"/>
        <v>0.75554405223456467</v>
      </c>
      <c r="G2" s="238">
        <f t="shared" si="9"/>
        <v>0.36655282424949864</v>
      </c>
      <c r="H2" s="238">
        <f t="shared" si="9"/>
        <v>0.51164563804371554</v>
      </c>
      <c r="I2" s="238">
        <f t="shared" si="9"/>
        <v>0.37808901938292605</v>
      </c>
      <c r="J2" s="238">
        <f t="shared" si="9"/>
        <v>0.26619371079927689</v>
      </c>
      <c r="K2" s="238">
        <f t="shared" si="9"/>
        <v>7.8013034535278081E-2</v>
      </c>
      <c r="L2" s="238">
        <f t="shared" si="9"/>
        <v>0.17010432974810974</v>
      </c>
      <c r="M2" s="238">
        <f t="shared" si="9"/>
        <v>0.27280382451388663</v>
      </c>
      <c r="N2" s="238">
        <f t="shared" si="9"/>
        <v>0.14200745105403434</v>
      </c>
      <c r="O2" s="238">
        <f t="shared" si="9"/>
        <v>6.201194721368708E-2</v>
      </c>
      <c r="P2" s="238">
        <f t="shared" si="9"/>
        <v>5.2465957382992201E-3</v>
      </c>
      <c r="Q2" s="238">
        <f t="shared" si="9"/>
        <v>0.29066542268395046</v>
      </c>
      <c r="R2" s="238">
        <f t="shared" si="9"/>
        <v>0.16989348765971135</v>
      </c>
      <c r="S2" s="238">
        <f t="shared" si="9"/>
        <v>0.16552209849632682</v>
      </c>
      <c r="T2" s="238">
        <f t="shared" si="9"/>
        <v>-5.7151915274666898E-4</v>
      </c>
      <c r="U2" s="238">
        <f t="shared" si="9"/>
        <v>-2.1303191534965071E-2</v>
      </c>
      <c r="V2" s="238"/>
      <c r="W2" s="238"/>
      <c r="X2" s="238"/>
      <c r="Y2" s="238"/>
      <c r="Z2" s="238"/>
      <c r="AA2" s="238">
        <f t="shared" ref="AA2:BA2" si="10">AA9/Y9-1</f>
        <v>8.1129010486728825E-2</v>
      </c>
      <c r="AB2" s="238">
        <f t="shared" si="10"/>
        <v>-0.40589568215598482</v>
      </c>
      <c r="AC2" s="238">
        <f t="shared" si="10"/>
        <v>0.13830707830871369</v>
      </c>
      <c r="AD2" s="238">
        <f t="shared" si="10"/>
        <v>1.7616457774846039</v>
      </c>
      <c r="AE2" s="238">
        <f t="shared" si="10"/>
        <v>0.10756321908637712</v>
      </c>
      <c r="AF2" s="238">
        <f t="shared" si="10"/>
        <v>0.54055863735582377</v>
      </c>
      <c r="AG2" s="238">
        <f t="shared" si="10"/>
        <v>0.71568019806206395</v>
      </c>
      <c r="AH2" s="238">
        <f t="shared" si="10"/>
        <v>0.41309136674449531</v>
      </c>
      <c r="AI2" s="238">
        <f t="shared" si="10"/>
        <v>0.61338971429026423</v>
      </c>
      <c r="AJ2" s="238">
        <f t="shared" si="10"/>
        <v>0.24009475973306582</v>
      </c>
      <c r="AK2" s="238">
        <f t="shared" si="10"/>
        <v>0.24078142888160792</v>
      </c>
      <c r="AL2" s="238">
        <f t="shared" si="10"/>
        <v>0.28558317853160742</v>
      </c>
      <c r="AM2" s="238">
        <f t="shared" si="10"/>
        <v>0.26562749343163272</v>
      </c>
      <c r="AN2" s="238">
        <f t="shared" si="10"/>
        <v>-6.0147381145624457E-2</v>
      </c>
      <c r="AO2" s="238">
        <f t="shared" si="10"/>
        <v>-9.3651089182647085E-2</v>
      </c>
      <c r="AP2" s="238">
        <f t="shared" si="10"/>
        <v>0.43166043499278239</v>
      </c>
      <c r="AQ2" s="238">
        <f t="shared" si="10"/>
        <v>0.4099674443277197</v>
      </c>
      <c r="AR2" s="238">
        <f t="shared" si="10"/>
        <v>0.18669298909574361</v>
      </c>
      <c r="AS2" s="238">
        <f t="shared" si="10"/>
        <v>0.26169359845872209</v>
      </c>
      <c r="AT2" s="238">
        <f t="shared" si="10"/>
        <v>5.2731710605174342E-2</v>
      </c>
      <c r="AU2" s="238">
        <f t="shared" si="10"/>
        <v>6.0262146818881979E-2</v>
      </c>
      <c r="AV2" s="238">
        <f t="shared" si="10"/>
        <v>6.3576226440242634E-2</v>
      </c>
      <c r="AW2" s="238">
        <f t="shared" si="10"/>
        <v>0.16448028256294633</v>
      </c>
      <c r="AX2" s="238">
        <f t="shared" si="10"/>
        <v>-0.13666090581832069</v>
      </c>
      <c r="AY2" s="238">
        <f t="shared" si="10"/>
        <v>0.18645629604373171</v>
      </c>
      <c r="AZ2" s="238">
        <f t="shared" si="10"/>
        <v>0.41592960024439396</v>
      </c>
      <c r="BA2" s="238">
        <f t="shared" si="10"/>
        <v>0.20028421894671022</v>
      </c>
      <c r="BB2" s="238">
        <f t="shared" ref="BB2" si="11">BB9/AZ9-1</f>
        <v>0.13928285045344158</v>
      </c>
      <c r="BC2" s="238">
        <f t="shared" ref="BC2" si="12">BC9/BA9-1</f>
        <v>0.19515196390658907</v>
      </c>
      <c r="BD2" s="238">
        <f t="shared" ref="BD2" si="13">BD9/BB9-1</f>
        <v>0.13407986167269148</v>
      </c>
      <c r="BE2" s="238">
        <f t="shared" ref="BE2" si="14">BE9/BC9-1</f>
        <v>1.4603504071187823E-2</v>
      </c>
      <c r="BF2" s="238">
        <f t="shared" ref="BF2" si="15">BF9/BD9-1</f>
        <v>-1.754193994377462E-2</v>
      </c>
      <c r="BG2" s="238">
        <f t="shared" ref="BG2" si="16">BG9/BE9-1</f>
        <v>-2.5510003537596693E-2</v>
      </c>
      <c r="BH2" s="238">
        <f t="shared" ref="BH2" si="17">BH9/BF9-1</f>
        <v>-1.6444730892647308E-2</v>
      </c>
      <c r="BI2" s="238"/>
      <c r="BJ2" s="238"/>
      <c r="BL2" s="239"/>
    </row>
    <row r="3" spans="1:71" s="236" customFormat="1" x14ac:dyDescent="0.4">
      <c r="A3" s="240" t="s">
        <v>2796</v>
      </c>
      <c r="B3" s="237" t="s">
        <v>2914</v>
      </c>
      <c r="C3" s="237"/>
      <c r="D3" s="238"/>
      <c r="E3" s="238">
        <f>E21/D21-1</f>
        <v>0.30184189094952241</v>
      </c>
      <c r="F3" s="238">
        <f t="shared" ref="F3" si="18">F21/E21-1</f>
        <v>0.66502095843150721</v>
      </c>
      <c r="G3" s="238">
        <f t="shared" ref="G3:L3" si="19">G21/F21-1</f>
        <v>0.38308709551867448</v>
      </c>
      <c r="H3" s="238">
        <f t="shared" si="19"/>
        <v>0.46616414565735242</v>
      </c>
      <c r="I3" s="238">
        <f t="shared" si="19"/>
        <v>0.1737062359839765</v>
      </c>
      <c r="J3" s="238">
        <f t="shared" si="19"/>
        <v>0.27533164154292677</v>
      </c>
      <c r="K3" s="238">
        <f t="shared" si="19"/>
        <v>0.26797425828776378</v>
      </c>
      <c r="L3" s="238">
        <f t="shared" si="19"/>
        <v>0.17136262980430739</v>
      </c>
      <c r="M3" s="238">
        <f t="shared" ref="M3:U3" si="20">M21/L21-1</f>
        <v>0.12945479829399797</v>
      </c>
      <c r="N3" s="238">
        <f t="shared" si="20"/>
        <v>-8.6077161505668354E-2</v>
      </c>
      <c r="O3" s="238">
        <f t="shared" si="20"/>
        <v>0.17387239233551477</v>
      </c>
      <c r="P3" s="238">
        <f t="shared" si="20"/>
        <v>0.13178788137120701</v>
      </c>
      <c r="Q3" s="238">
        <f t="shared" si="20"/>
        <v>0.13835955129228372</v>
      </c>
      <c r="R3" s="238">
        <f t="shared" si="20"/>
        <v>0.14847954934898344</v>
      </c>
      <c r="S3" s="238">
        <f t="shared" si="20"/>
        <v>0.12291499380490389</v>
      </c>
      <c r="T3" s="238">
        <f t="shared" si="20"/>
        <v>-2.1837234985744636E-2</v>
      </c>
      <c r="U3" s="238">
        <f t="shared" si="20"/>
        <v>1.0831186024709671E-2</v>
      </c>
      <c r="V3" s="238"/>
      <c r="W3" s="238"/>
      <c r="X3" s="238"/>
      <c r="Y3" s="238"/>
      <c r="Z3" s="238"/>
      <c r="AA3" s="238">
        <f t="shared" ref="AA3" si="21">AA21/Y21-1</f>
        <v>7.7160275496622521E-2</v>
      </c>
      <c r="AB3" s="238">
        <f t="shared" ref="AB3" si="22">AB21/Z21-1</f>
        <v>0.53156180037542988</v>
      </c>
      <c r="AC3" s="238">
        <f t="shared" ref="AC3" si="23">AC21/AA21-1</f>
        <v>0.73472458126740503</v>
      </c>
      <c r="AD3" s="238">
        <f t="shared" ref="AD3" si="24">AD21/AB21-1</f>
        <v>0.61489851289624831</v>
      </c>
      <c r="AE3" s="238">
        <f t="shared" ref="AE3" si="25">AE21/AC21-1</f>
        <v>0.22866100758692975</v>
      </c>
      <c r="AF3" s="238">
        <f t="shared" ref="AF3" si="26">AF21/AD21-1</f>
        <v>0.50237128091703775</v>
      </c>
      <c r="AG3" s="238">
        <f t="shared" ref="AG3" si="27">AG21/AE21-1</f>
        <v>0.50288580179912667</v>
      </c>
      <c r="AH3" s="238">
        <f t="shared" ref="AH3" si="28">AH21/AF21-1</f>
        <v>0.44296674829777971</v>
      </c>
      <c r="AI3" s="238">
        <f t="shared" ref="AI3" si="29">AI21/AG21-1</f>
        <v>0.30345640585976819</v>
      </c>
      <c r="AJ3" s="238">
        <f t="shared" ref="AJ3" si="30">AJ21/AH21-1</f>
        <v>8.8338336497098435E-2</v>
      </c>
      <c r="AK3" s="238">
        <f t="shared" ref="AK3" si="31">AK21/AI21-1</f>
        <v>0.26083263685974178</v>
      </c>
      <c r="AL3" s="238">
        <f t="shared" ref="AL3" si="32">AL21/AJ21-1</f>
        <v>0.28675667377446556</v>
      </c>
      <c r="AM3" s="238">
        <f t="shared" ref="AM3" si="33">AM21/AK21-1</f>
        <v>0.26252379442973606</v>
      </c>
      <c r="AN3" s="238">
        <f t="shared" ref="AN3" si="34">AN21/AL21-1</f>
        <v>0.27218262639494584</v>
      </c>
      <c r="AO3" s="238">
        <f t="shared" ref="AO3" si="35">AO21/AM21-1</f>
        <v>0.20211316788793265</v>
      </c>
      <c r="AP3" s="238">
        <f t="shared" ref="AP3" si="36">AP21/AN21-1</f>
        <v>0.14780003647964768</v>
      </c>
      <c r="AQ3" s="238">
        <f t="shared" ref="AQ3" si="37">AQ21/AO21-1</f>
        <v>0.18658984062531858</v>
      </c>
      <c r="AR3" s="238">
        <f t="shared" ref="AR3" si="38">AR21/AP21-1</f>
        <v>8.3603457307017903E-2</v>
      </c>
      <c r="AS3" s="238">
        <f t="shared" ref="AS3" si="39">AS21/AQ21-1</f>
        <v>3.7952288066348983E-2</v>
      </c>
      <c r="AT3" s="238">
        <f t="shared" ref="AT3" si="40">AT21/AR21-1</f>
        <v>-0.19507165267813076</v>
      </c>
      <c r="AU3" s="238">
        <f t="shared" ref="AU3" si="41">AU21/AS21-1</f>
        <v>0.12899347756645074</v>
      </c>
      <c r="AV3" s="238">
        <f t="shared" ref="AV3" si="42">AV21/AT21-1</f>
        <v>0.22472839799851196</v>
      </c>
      <c r="AW3" s="238">
        <f t="shared" ref="AW3:BA3" si="43">AW21/AU21-1</f>
        <v>6.1014721261190008E-2</v>
      </c>
      <c r="AX3" s="238">
        <f t="shared" si="43"/>
        <v>0.20571778378619543</v>
      </c>
      <c r="AY3" s="238">
        <f t="shared" si="43"/>
        <v>0.21627722050157372</v>
      </c>
      <c r="AZ3" s="238">
        <f t="shared" si="43"/>
        <v>6.6734781197782977E-2</v>
      </c>
      <c r="BA3" s="238">
        <f t="shared" si="43"/>
        <v>0.15878199358332479</v>
      </c>
      <c r="BB3" s="238">
        <f t="shared" ref="BB3" si="44">BB21/AZ21-1</f>
        <v>0.13768154052730952</v>
      </c>
      <c r="BC3" s="238">
        <f t="shared" ref="BC3" si="45">BC21/BA21-1</f>
        <v>0.14320883128373407</v>
      </c>
      <c r="BD3" s="238">
        <f t="shared" ref="BD3" si="46">BD21/BB21-1</f>
        <v>0.10125049680739107</v>
      </c>
      <c r="BE3" s="238">
        <f t="shared" ref="BE3" si="47">BE21/BC21-1</f>
        <v>6.8339659289536892E-2</v>
      </c>
      <c r="BF3" s="238">
        <f t="shared" ref="BF3" si="48">BF21/BD21-1</f>
        <v>-0.1217725899543235</v>
      </c>
      <c r="BG3" s="238">
        <f t="shared" ref="BG3" si="49">BG21/BE21-1</f>
        <v>5.2116337041518079E-2</v>
      </c>
      <c r="BH3" s="238">
        <f t="shared" ref="BH3" si="50">BH21/BF21-1</f>
        <v>-4.4825856605572922E-2</v>
      </c>
      <c r="BI3" s="238"/>
      <c r="BJ3" s="238"/>
      <c r="BL3" s="239"/>
    </row>
    <row r="4" spans="1:71" s="236" customFormat="1" x14ac:dyDescent="0.4">
      <c r="A4" s="237" t="s">
        <v>2748</v>
      </c>
      <c r="B4" s="237" t="s">
        <v>2114</v>
      </c>
      <c r="C4" s="237"/>
      <c r="D4" s="238"/>
      <c r="E4" s="238">
        <f t="shared" ref="E4:U4" si="51">E26/D26-1</f>
        <v>0.25179789953833986</v>
      </c>
      <c r="F4" s="238">
        <f t="shared" si="51"/>
        <v>0.69179682334444981</v>
      </c>
      <c r="G4" s="238">
        <f t="shared" si="51"/>
        <v>0.45463379517851443</v>
      </c>
      <c r="H4" s="238">
        <f t="shared" si="51"/>
        <v>0.41399225821859487</v>
      </c>
      <c r="I4" s="238">
        <f t="shared" si="51"/>
        <v>0.28998540436386522</v>
      </c>
      <c r="J4" s="238">
        <f t="shared" si="51"/>
        <v>0.25744530652459119</v>
      </c>
      <c r="K4" s="238">
        <f t="shared" si="51"/>
        <v>0.20118817264946998</v>
      </c>
      <c r="L4" s="238">
        <f t="shared" si="51"/>
        <v>1.3147122562018332E-4</v>
      </c>
      <c r="M4" s="238">
        <f t="shared" si="51"/>
        <v>0.2212507096346108</v>
      </c>
      <c r="N4" s="238">
        <f t="shared" si="51"/>
        <v>4.9571997829087389E-2</v>
      </c>
      <c r="O4" s="238">
        <f t="shared" si="51"/>
        <v>1.6760406132559913E-2</v>
      </c>
      <c r="P4" s="238">
        <f t="shared" si="51"/>
        <v>3.3338888289646151E-2</v>
      </c>
      <c r="Q4" s="238">
        <f t="shared" si="51"/>
        <v>0.21581517393612848</v>
      </c>
      <c r="R4" s="238">
        <f t="shared" si="51"/>
        <v>0.16997758672077468</v>
      </c>
      <c r="S4" s="238">
        <f t="shared" si="51"/>
        <v>0.15171393898811658</v>
      </c>
      <c r="T4" s="238">
        <f t="shared" si="51"/>
        <v>-6.5332939766228226E-2</v>
      </c>
      <c r="U4" s="238">
        <f t="shared" si="51"/>
        <v>2.5816865687970925E-3</v>
      </c>
      <c r="V4" s="241"/>
      <c r="W4" s="238"/>
      <c r="X4" s="238"/>
      <c r="Y4" s="238"/>
      <c r="Z4" s="238"/>
      <c r="AA4" s="238">
        <f t="shared" ref="AA4:BA4" si="52">AA26/Y26-1</f>
        <v>8.3125647159640881E-2</v>
      </c>
      <c r="AB4" s="238">
        <f t="shared" si="52"/>
        <v>0.46083642998159191</v>
      </c>
      <c r="AC4" s="238">
        <f t="shared" si="52"/>
        <v>0.52903731980444935</v>
      </c>
      <c r="AD4" s="238">
        <f t="shared" si="52"/>
        <v>0.54415925980874968</v>
      </c>
      <c r="AE4" s="238">
        <f t="shared" si="52"/>
        <v>0.40772688563821191</v>
      </c>
      <c r="AF4" s="238">
        <f t="shared" si="52"/>
        <v>0.49264118872970863</v>
      </c>
      <c r="AG4" s="238">
        <f t="shared" si="52"/>
        <v>0.3583764834528671</v>
      </c>
      <c r="AH4" s="238">
        <f t="shared" si="52"/>
        <v>1.4042251641988104</v>
      </c>
      <c r="AI4" s="238">
        <f t="shared" si="52"/>
        <v>0.32227077780634006</v>
      </c>
      <c r="AJ4" s="238">
        <f t="shared" si="52"/>
        <v>-0.23245931085846994</v>
      </c>
      <c r="AK4" s="238">
        <f t="shared" si="52"/>
        <v>0.24403306286856341</v>
      </c>
      <c r="AL4" s="238">
        <f t="shared" si="52"/>
        <v>0.26742138125453607</v>
      </c>
      <c r="AM4" s="238">
        <f t="shared" si="52"/>
        <v>0.2220724237267111</v>
      </c>
      <c r="AN4" s="238">
        <f t="shared" si="52"/>
        <v>0.18594104421858937</v>
      </c>
      <c r="AO4" s="238">
        <f t="shared" si="52"/>
        <v>-0.27033090297251827</v>
      </c>
      <c r="AP4" s="238">
        <f t="shared" si="52"/>
        <v>0.20360590717299587</v>
      </c>
      <c r="AQ4" s="238">
        <f t="shared" si="52"/>
        <v>0.60830207532667169</v>
      </c>
      <c r="AR4" s="238">
        <f t="shared" si="52"/>
        <v>4.472285460076697E-2</v>
      </c>
      <c r="AS4" s="238">
        <f t="shared" si="52"/>
        <v>0.20546682973292429</v>
      </c>
      <c r="AT4" s="238">
        <f t="shared" si="52"/>
        <v>-5.9884836852207468E-2</v>
      </c>
      <c r="AU4" s="238">
        <f t="shared" si="52"/>
        <v>0.13452892575089592</v>
      </c>
      <c r="AV4" s="238">
        <f t="shared" si="52"/>
        <v>-8.9266134029301947E-2</v>
      </c>
      <c r="AW4" s="238">
        <f t="shared" si="52"/>
        <v>1.2529506629928022E-2</v>
      </c>
      <c r="AX4" s="238">
        <f t="shared" si="52"/>
        <v>5.6677157021252755E-2</v>
      </c>
      <c r="AY4" s="238">
        <f t="shared" si="52"/>
        <v>0.20800724762726475</v>
      </c>
      <c r="AZ4" s="238">
        <f t="shared" si="52"/>
        <v>0.22420611238821131</v>
      </c>
      <c r="BA4" s="238">
        <f t="shared" si="52"/>
        <v>0.20392914578334187</v>
      </c>
      <c r="BB4" s="238">
        <f t="shared" ref="BB4" si="53">BB26/AZ26-1</f>
        <v>0.13397368661832387</v>
      </c>
      <c r="BC4" s="238">
        <f t="shared" ref="BC4" si="54">BC26/BA26-1</f>
        <v>0.15060011950657759</v>
      </c>
      <c r="BD4" s="238">
        <f t="shared" ref="BD4" si="55">BD26/BB26-1</f>
        <v>0.1529679535716082</v>
      </c>
      <c r="BE4" s="238">
        <f t="shared" ref="BE4" si="56">BE26/BC26-1</f>
        <v>3.2453138231852474E-2</v>
      </c>
      <c r="BF4" s="238">
        <f t="shared" ref="BF4" si="57">BF26/BD26-1</f>
        <v>-0.17520113323769315</v>
      </c>
      <c r="BG4" s="238">
        <f t="shared" ref="BG4" si="58">BG26/BE26-1</f>
        <v>5.0509041695174117E-2</v>
      </c>
      <c r="BH4" s="238">
        <f t="shared" ref="BH4" si="59">BH26/BF26-1</f>
        <v>-6.4824648054310541E-2</v>
      </c>
      <c r="BI4" s="238"/>
      <c r="BJ4" s="238"/>
      <c r="BL4" s="239"/>
    </row>
    <row r="5" spans="1:71" s="236" customFormat="1" x14ac:dyDescent="0.4">
      <c r="A5" s="237" t="s">
        <v>2749</v>
      </c>
      <c r="B5" s="237" t="s">
        <v>2354</v>
      </c>
      <c r="C5" s="237"/>
      <c r="D5" s="238"/>
      <c r="E5" s="238"/>
      <c r="F5" s="238"/>
      <c r="G5" s="238"/>
      <c r="H5" s="238"/>
      <c r="I5" s="238"/>
      <c r="J5" s="238"/>
      <c r="K5" s="238"/>
      <c r="L5" s="238"/>
      <c r="M5" s="238"/>
      <c r="N5" s="238"/>
      <c r="O5" s="238"/>
      <c r="P5" s="238"/>
      <c r="Q5" s="238"/>
      <c r="R5" s="238"/>
      <c r="S5" s="238"/>
      <c r="T5" s="238"/>
      <c r="U5" s="238"/>
      <c r="V5" s="238"/>
      <c r="W5" s="238"/>
      <c r="X5" s="238"/>
      <c r="Y5" s="238"/>
      <c r="Z5" s="238"/>
      <c r="AA5" s="238">
        <f>AA26/SUM(AA26:AB26)</f>
        <v>0.45003159927959663</v>
      </c>
      <c r="AB5" s="238">
        <f>AB26/SUM(AA26:AB26)</f>
        <v>0.54996840072040343</v>
      </c>
      <c r="AC5" s="238">
        <f>AC26/SUM(AC26:AD26)</f>
        <v>0.4475970733722035</v>
      </c>
      <c r="AD5" s="238">
        <f>AD26/SUM(AC26:AD26)</f>
        <v>0.55240292662779644</v>
      </c>
      <c r="AE5" s="238">
        <f>AE26/SUM(AE26:AF26)</f>
        <v>0.43316361561756805</v>
      </c>
      <c r="AF5" s="238">
        <f>AF26/SUM(AE26:AF26)</f>
        <v>0.56683638438243189</v>
      </c>
      <c r="AG5" s="238">
        <f>AG26/SUM(AG26:AH26)</f>
        <v>0.30155739853552094</v>
      </c>
      <c r="AH5" s="238">
        <f>AH26/SUM(AG26:AH26)</f>
        <v>0.69844260146447901</v>
      </c>
      <c r="AI5" s="238">
        <f>AI26/SUM(AI26:AJ26)</f>
        <v>0.42654091522579501</v>
      </c>
      <c r="AJ5" s="238">
        <f>AJ26/SUM(AI26:AJ26)</f>
        <v>0.57345908477420504</v>
      </c>
      <c r="AK5" s="238">
        <f>AK26/SUM(AK26:AL26)</f>
        <v>0.42199131719986971</v>
      </c>
      <c r="AL5" s="238">
        <f>AL26/SUM(AK26:AL26)</f>
        <v>0.5780086828001304</v>
      </c>
      <c r="AM5" s="238">
        <f>AM26/SUM(AM26:AN26)</f>
        <v>0.42932819648446907</v>
      </c>
      <c r="AN5" s="238">
        <f>AN26/SUM(AM26:AN26)</f>
        <v>0.57067180351553093</v>
      </c>
      <c r="AO5" s="238">
        <f>AO26/SUM(AO26:AP26)</f>
        <v>0.31322633720681076</v>
      </c>
      <c r="AP5" s="238">
        <f>AP26/SUM(AO26:AP26)</f>
        <v>0.6867736627931893</v>
      </c>
      <c r="AQ5" s="238">
        <f t="shared" ref="AQ5:BA5" si="60">AQ26/SUM(AP26:AQ26)</f>
        <v>0.42313921665894494</v>
      </c>
      <c r="AR5" s="238">
        <f t="shared" si="60"/>
        <v>0.58750274271905434</v>
      </c>
      <c r="AS5" s="238">
        <f t="shared" si="60"/>
        <v>0.45840027333328487</v>
      </c>
      <c r="AT5" s="238">
        <f t="shared" si="60"/>
        <v>0.52623377716203068</v>
      </c>
      <c r="AU5" s="238">
        <f t="shared" si="60"/>
        <v>0.50529629274516752</v>
      </c>
      <c r="AV5" s="238">
        <f t="shared" si="60"/>
        <v>0.47135875805991584</v>
      </c>
      <c r="AW5" s="238">
        <f t="shared" si="60"/>
        <v>0.53174279688085813</v>
      </c>
      <c r="AX5" s="238">
        <f t="shared" si="60"/>
        <v>0.48200453699000784</v>
      </c>
      <c r="AY5" s="238">
        <f t="shared" si="60"/>
        <v>0.56487842492342633</v>
      </c>
      <c r="AZ5" s="238">
        <f t="shared" si="60"/>
        <v>0.48533108734915009</v>
      </c>
      <c r="BA5" s="238">
        <f t="shared" si="60"/>
        <v>0.56076885325134607</v>
      </c>
      <c r="BB5" s="238">
        <f t="shared" ref="BB5" si="61">BB26/SUM(BA26:BB26)</f>
        <v>0.47039591920246071</v>
      </c>
      <c r="BC5" s="238">
        <f t="shared" ref="BC5" si="62">BC26/SUM(BB26:BC26)</f>
        <v>0.56435078188871246</v>
      </c>
      <c r="BD5" s="238">
        <f t="shared" ref="BD5" si="63">BD26/SUM(BC26:BD26)</f>
        <v>0.47090809789781723</v>
      </c>
      <c r="BE5" s="238">
        <f t="shared" ref="BE5" si="64">BE26/SUM(BD26:BE26)</f>
        <v>0.53704122493213979</v>
      </c>
      <c r="BF5" s="238">
        <f t="shared" ref="BF5" si="65">BF26/SUM(BE26:BF26)</f>
        <v>0.41555381806027097</v>
      </c>
      <c r="BG5" s="238">
        <f t="shared" ref="BG5" si="66">BG26/SUM(BF26:BG26)</f>
        <v>0.59636151595034725</v>
      </c>
      <c r="BH5" s="238">
        <f t="shared" ref="BH5" si="67">BH26/SUM(BG26:BH26)</f>
        <v>0.38761498764940994</v>
      </c>
      <c r="BI5" s="238"/>
      <c r="BJ5" s="238"/>
      <c r="BL5" s="239"/>
    </row>
    <row r="6" spans="1:71" x14ac:dyDescent="0.4">
      <c r="A6" s="1733" t="s">
        <v>3164</v>
      </c>
      <c r="B6" s="1732" t="s">
        <v>3160</v>
      </c>
      <c r="C6" s="1732"/>
      <c r="D6" s="243" t="s">
        <v>331</v>
      </c>
      <c r="E6" s="243" t="s">
        <v>56</v>
      </c>
      <c r="F6" s="243" t="s">
        <v>721</v>
      </c>
      <c r="G6" s="243" t="s">
        <v>747</v>
      </c>
      <c r="H6" s="243" t="s">
        <v>1748</v>
      </c>
      <c r="I6" s="243" t="s">
        <v>2042</v>
      </c>
      <c r="J6" s="243" t="s">
        <v>2043</v>
      </c>
      <c r="K6" s="243" t="s">
        <v>1747</v>
      </c>
      <c r="L6" s="243" t="s">
        <v>1739</v>
      </c>
      <c r="M6" s="243" t="s">
        <v>1810</v>
      </c>
      <c r="N6" s="243" t="s">
        <v>1818</v>
      </c>
      <c r="O6" s="243" t="s">
        <v>2012</v>
      </c>
      <c r="P6" s="243" t="s">
        <v>2593</v>
      </c>
      <c r="Q6" s="243" t="s">
        <v>2653</v>
      </c>
      <c r="R6" s="243" t="s">
        <v>2834</v>
      </c>
      <c r="S6" s="243" t="s">
        <v>2866</v>
      </c>
      <c r="T6" s="243" t="s">
        <v>2886</v>
      </c>
      <c r="U6" s="243" t="s">
        <v>3144</v>
      </c>
      <c r="V6" s="243" t="s">
        <v>293</v>
      </c>
      <c r="W6" s="238"/>
      <c r="X6" s="243" t="s">
        <v>1896</v>
      </c>
      <c r="Y6" s="243" t="s">
        <v>434</v>
      </c>
      <c r="Z6" s="243" t="s">
        <v>1742</v>
      </c>
      <c r="AA6" s="243" t="s">
        <v>1895</v>
      </c>
      <c r="AB6" s="243" t="s">
        <v>1894</v>
      </c>
      <c r="AC6" s="243" t="s">
        <v>1743</v>
      </c>
      <c r="AD6" s="243" t="s">
        <v>1893</v>
      </c>
      <c r="AE6" s="243" t="s">
        <v>1744</v>
      </c>
      <c r="AF6" s="243" t="s">
        <v>1745</v>
      </c>
      <c r="AG6" s="243" t="s">
        <v>1746</v>
      </c>
      <c r="AH6" s="243" t="s">
        <v>1892</v>
      </c>
      <c r="AI6" s="243" t="s">
        <v>1470</v>
      </c>
      <c r="AJ6" s="243" t="s">
        <v>1891</v>
      </c>
      <c r="AK6" s="243" t="s">
        <v>1469</v>
      </c>
      <c r="AL6" s="243" t="s">
        <v>1890</v>
      </c>
      <c r="AM6" s="243" t="s">
        <v>1518</v>
      </c>
      <c r="AN6" s="243" t="s">
        <v>1866</v>
      </c>
      <c r="AO6" s="243" t="s">
        <v>1740</v>
      </c>
      <c r="AP6" s="243" t="s">
        <v>1865</v>
      </c>
      <c r="AQ6" s="243" t="s">
        <v>1749</v>
      </c>
      <c r="AR6" s="243" t="s">
        <v>1811</v>
      </c>
      <c r="AS6" s="243" t="s">
        <v>1813</v>
      </c>
      <c r="AT6" s="243" t="s">
        <v>1819</v>
      </c>
      <c r="AU6" s="243" t="s">
        <v>1877</v>
      </c>
      <c r="AV6" s="243" t="s">
        <v>1876</v>
      </c>
      <c r="AW6" s="243" t="s">
        <v>2075</v>
      </c>
      <c r="AX6" s="243" t="s">
        <v>2594</v>
      </c>
      <c r="AY6" s="243" t="s">
        <v>2613</v>
      </c>
      <c r="AZ6" s="243" t="s">
        <v>2620</v>
      </c>
      <c r="BA6" s="243" t="s">
        <v>2792</v>
      </c>
      <c r="BB6" s="244" t="s">
        <v>2833</v>
      </c>
      <c r="BC6" s="244" t="s">
        <v>2850</v>
      </c>
      <c r="BD6" s="244" t="s">
        <v>2874</v>
      </c>
      <c r="BE6" s="1613" t="s">
        <v>2907</v>
      </c>
      <c r="BF6" s="243" t="s">
        <v>2885</v>
      </c>
      <c r="BG6" s="1613" t="s">
        <v>2906</v>
      </c>
      <c r="BH6" s="1613" t="s">
        <v>3148</v>
      </c>
      <c r="BI6" s="243" t="s">
        <v>293</v>
      </c>
      <c r="BJ6" s="245" t="s">
        <v>1889</v>
      </c>
      <c r="BL6" s="243" t="s">
        <v>1877</v>
      </c>
      <c r="BM6" s="244" t="s">
        <v>2075</v>
      </c>
      <c r="BN6" s="243" t="s">
        <v>2613</v>
      </c>
      <c r="BO6" s="244" t="s">
        <v>2791</v>
      </c>
      <c r="BP6" s="244" t="s">
        <v>2850</v>
      </c>
      <c r="BQ6" s="244" t="s">
        <v>2876</v>
      </c>
      <c r="BR6" s="244" t="s">
        <v>2906</v>
      </c>
      <c r="BS6" s="244" t="s">
        <v>293</v>
      </c>
    </row>
    <row r="7" spans="1:71" s="246" customFormat="1" x14ac:dyDescent="0.4">
      <c r="A7" s="246" t="s">
        <v>2751</v>
      </c>
      <c r="B7" s="247" t="s">
        <v>262</v>
      </c>
      <c r="C7" s="247"/>
      <c r="D7" s="248">
        <f>PL!F4</f>
        <v>11021.405000000001</v>
      </c>
      <c r="E7" s="248">
        <v>9706.1209999999992</v>
      </c>
      <c r="F7" s="248">
        <v>11982.870999999999</v>
      </c>
      <c r="G7" s="248">
        <v>16379.311</v>
      </c>
      <c r="H7" s="248">
        <f>PL!J4</f>
        <v>21910.66</v>
      </c>
      <c r="I7" s="248">
        <f>PL!K4</f>
        <v>27285.62</v>
      </c>
      <c r="J7" s="248">
        <f>PL!L4</f>
        <v>34439.574999999997</v>
      </c>
      <c r="K7" s="248">
        <f>PL!M4</f>
        <v>38001.875999999997</v>
      </c>
      <c r="L7" s="248">
        <f>PL!N4</f>
        <v>46207.508000000002</v>
      </c>
      <c r="M7" s="248">
        <f>PL!O4</f>
        <v>50152.523999999998</v>
      </c>
      <c r="N7" s="248">
        <f>'PL（org）'!Q3</f>
        <v>55626.304000000004</v>
      </c>
      <c r="O7" s="248">
        <f>PL!Q4</f>
        <v>61669.678</v>
      </c>
      <c r="P7" s="248">
        <f>PL!R4</f>
        <v>62458.008999999998</v>
      </c>
      <c r="Q7" s="248">
        <f>PL!S4</f>
        <v>77309.614000000001</v>
      </c>
      <c r="R7" s="248">
        <f>PL!T4</f>
        <v>101975.265</v>
      </c>
      <c r="S7" s="248">
        <f>PL!U4</f>
        <v>113734.01300000001</v>
      </c>
      <c r="T7" s="248">
        <f>PL!V4</f>
        <v>105322.671</v>
      </c>
      <c r="U7" s="248">
        <f>PL!W4</f>
        <v>100448.5</v>
      </c>
      <c r="V7" s="249">
        <f>U7/T7-1</f>
        <v>-4.6278459838907882E-2</v>
      </c>
      <c r="W7" s="250"/>
      <c r="X7" s="251" t="s">
        <v>2116</v>
      </c>
      <c r="Y7" s="248">
        <v>5439.1379999999999</v>
      </c>
      <c r="Z7" s="248">
        <f>D7-Y7</f>
        <v>5582.2670000000007</v>
      </c>
      <c r="AA7" s="248">
        <v>5501.951</v>
      </c>
      <c r="AB7" s="248">
        <f>E7-AA7</f>
        <v>4204.1699999999992</v>
      </c>
      <c r="AC7" s="248">
        <v>4997.7370000000001</v>
      </c>
      <c r="AD7" s="248">
        <f>F7-AC7</f>
        <v>6985.1339999999991</v>
      </c>
      <c r="AE7" s="248">
        <v>6071.0119999999997</v>
      </c>
      <c r="AF7" s="248">
        <f>G7-AE7</f>
        <v>10308.298999999999</v>
      </c>
      <c r="AG7" s="248">
        <v>8957.7369999999992</v>
      </c>
      <c r="AH7" s="248">
        <f>H7-AG7</f>
        <v>12952.923000000001</v>
      </c>
      <c r="AI7" s="248">
        <v>11508.960999999999</v>
      </c>
      <c r="AJ7" s="248">
        <f>(I7-AI7)</f>
        <v>15776.659</v>
      </c>
      <c r="AK7" s="248">
        <v>14283.425999999999</v>
      </c>
      <c r="AL7" s="248">
        <f>J7-AK7</f>
        <v>20156.148999999998</v>
      </c>
      <c r="AM7" s="248">
        <v>17017.498</v>
      </c>
      <c r="AN7" s="242">
        <f>K7-AM7</f>
        <v>20984.377999999997</v>
      </c>
      <c r="AO7" s="242">
        <v>18845.053</v>
      </c>
      <c r="AP7" s="242">
        <f t="shared" ref="AP7:AP18" si="68">L7-AO7</f>
        <v>27362.455000000002</v>
      </c>
      <c r="AQ7" s="242">
        <f>22966135/1000</f>
        <v>22966.134999999998</v>
      </c>
      <c r="AR7" s="242">
        <f t="shared" ref="AR7:AR18" si="69">M7-AQ7</f>
        <v>27186.388999999999</v>
      </c>
      <c r="AS7" s="242">
        <v>27105.613000000001</v>
      </c>
      <c r="AT7" s="242">
        <f t="shared" ref="AT7:AT20" si="70">N7-AS7</f>
        <v>28520.691000000003</v>
      </c>
      <c r="AU7" s="242">
        <v>27542.5</v>
      </c>
      <c r="AV7" s="242">
        <f t="shared" ref="AV7:AV20" si="71">O7-AU7</f>
        <v>34127.178</v>
      </c>
      <c r="AW7" s="242">
        <v>28002.100999999999</v>
      </c>
      <c r="AX7" s="242">
        <f t="shared" ref="AX7:AX20" si="72">P7-AW7</f>
        <v>34455.907999999996</v>
      </c>
      <c r="AY7" s="242">
        <v>36370.987999999998</v>
      </c>
      <c r="AZ7" s="242">
        <f t="shared" ref="AZ7:AZ20" si="73">Q7-AY7</f>
        <v>40938.626000000004</v>
      </c>
      <c r="BA7" s="242">
        <v>53810.559000000001</v>
      </c>
      <c r="BB7" s="242">
        <f t="shared" ref="BB7:BB28" si="74">R7-BA7</f>
        <v>48164.705999999998</v>
      </c>
      <c r="BC7" s="242">
        <v>55110.712</v>
      </c>
      <c r="BD7" s="242">
        <f t="shared" ref="BD7:BD28" si="75">S7-BC7</f>
        <v>58623.301000000007</v>
      </c>
      <c r="BE7" s="242">
        <v>56567.777000000002</v>
      </c>
      <c r="BF7" s="242">
        <f>T7-BE7</f>
        <v>48754.894</v>
      </c>
      <c r="BG7" s="242">
        <v>56643.42</v>
      </c>
      <c r="BH7" s="242">
        <f>U7-BG7</f>
        <v>43805.08</v>
      </c>
      <c r="BI7" s="249">
        <f>BH7/BF7-1</f>
        <v>-0.10152445413992695</v>
      </c>
      <c r="BJ7" s="249">
        <f>BH7/BG7-1</f>
        <v>-0.22665192179427018</v>
      </c>
      <c r="BL7" s="252">
        <f t="shared" ref="BL7:BL26" si="76">AU7/AU$7</f>
        <v>1</v>
      </c>
      <c r="BM7" s="252">
        <f t="shared" ref="BM7:BM26" si="77">AW7/AW$7</f>
        <v>1</v>
      </c>
      <c r="BN7" s="252">
        <f t="shared" ref="BN7:BN26" si="78">AY7/AY$7</f>
        <v>1</v>
      </c>
      <c r="BO7" s="252">
        <f t="shared" ref="BO7:BO26" si="79">BA7/$BA$7</f>
        <v>1</v>
      </c>
      <c r="BP7" s="252">
        <f t="shared" ref="BP7:BP26" si="80">BC7/$BC$7</f>
        <v>1</v>
      </c>
      <c r="BQ7" s="252">
        <f t="shared" ref="BQ7:BQ27" si="81">BE7/$BE$7</f>
        <v>1</v>
      </c>
      <c r="BR7" s="252">
        <f>BF7/$BF$7</f>
        <v>1</v>
      </c>
      <c r="BS7" s="252">
        <f>BR7-BQ7</f>
        <v>0</v>
      </c>
    </row>
    <row r="8" spans="1:71" x14ac:dyDescent="0.4">
      <c r="A8" s="233" t="s">
        <v>2752</v>
      </c>
      <c r="B8" s="233" t="s">
        <v>2117</v>
      </c>
      <c r="D8" s="253">
        <f>PL!F19</f>
        <v>10112.012000000001</v>
      </c>
      <c r="E8" s="253">
        <v>8956.5789999999997</v>
      </c>
      <c r="F8" s="253">
        <v>10667.017</v>
      </c>
      <c r="G8" s="253">
        <v>14581.127</v>
      </c>
      <c r="H8" s="253">
        <f>PL!J19</f>
        <v>19192.442999999999</v>
      </c>
      <c r="I8" s="253">
        <f>PL!K19</f>
        <v>23539.674999999999</v>
      </c>
      <c r="J8" s="253">
        <f>PL!L19</f>
        <v>29696.483</v>
      </c>
      <c r="K8" s="253">
        <f>PL!M19</f>
        <v>32888.760999999999</v>
      </c>
      <c r="L8" s="253">
        <f>PL!N19</f>
        <v>40224.629999999997</v>
      </c>
      <c r="M8" s="253">
        <f>PL!O19</f>
        <v>42537.493999999999</v>
      </c>
      <c r="N8" s="253">
        <f>PL!P19</f>
        <v>46929.883000000002</v>
      </c>
      <c r="O8" s="253">
        <f>PL!Q19</f>
        <v>52433.974999999999</v>
      </c>
      <c r="P8" s="253">
        <f>PL!R19</f>
        <v>53173.85</v>
      </c>
      <c r="Q8" s="253">
        <f>PL!S19</f>
        <v>65326.870999999999</v>
      </c>
      <c r="R8" s="253">
        <f>PL!T19</f>
        <v>87956.732000000004</v>
      </c>
      <c r="S8" s="253">
        <f>PL!U19</f>
        <v>97395.103000000003</v>
      </c>
      <c r="T8" s="253">
        <f>PL!V19</f>
        <v>88993.099000000002</v>
      </c>
      <c r="U8" s="253">
        <f>PL!W19</f>
        <v>84466.8</v>
      </c>
      <c r="V8" s="254">
        <f t="shared" ref="V8:V27" si="82">U8/T8-1</f>
        <v>-5.0861235880773181E-2</v>
      </c>
      <c r="W8" s="255"/>
      <c r="Y8" s="253">
        <f>(4823688+185764)/1000</f>
        <v>5009.4520000000002</v>
      </c>
      <c r="Z8" s="253">
        <f>D8-Y8</f>
        <v>5102.5600000000004</v>
      </c>
      <c r="AA8" s="253">
        <f>(4870294+167111)/1000</f>
        <v>5037.4049999999997</v>
      </c>
      <c r="AB8" s="253">
        <f>E8-AA8</f>
        <v>3919.174</v>
      </c>
      <c r="AC8" s="253">
        <v>4468.9409999999998</v>
      </c>
      <c r="AD8" s="253">
        <f>F8-AC8</f>
        <v>6198.076</v>
      </c>
      <c r="AE8" s="253">
        <v>5485.3370000000004</v>
      </c>
      <c r="AF8" s="253">
        <f>G8-AE8</f>
        <v>9095.7900000000009</v>
      </c>
      <c r="AG8" s="253">
        <v>7952.9059999999999</v>
      </c>
      <c r="AH8" s="253">
        <f>H8-AG8</f>
        <v>11239.537</v>
      </c>
      <c r="AI8" s="253">
        <v>9887.777</v>
      </c>
      <c r="AJ8" s="253">
        <f>(I8-AI8)</f>
        <v>13651.897999999999</v>
      </c>
      <c r="AK8" s="253">
        <v>12271.891</v>
      </c>
      <c r="AL8" s="253">
        <f>J8-AK8</f>
        <v>17424.592000000001</v>
      </c>
      <c r="AM8" s="253">
        <v>14471.644</v>
      </c>
      <c r="AN8" s="256">
        <f>K8-AM8</f>
        <v>18417.116999999998</v>
      </c>
      <c r="AO8" s="256">
        <v>16537.620999999999</v>
      </c>
      <c r="AP8" s="256">
        <f t="shared" si="68"/>
        <v>23687.008999999998</v>
      </c>
      <c r="AQ8" s="256">
        <v>19712.731</v>
      </c>
      <c r="AR8" s="256">
        <f t="shared" si="69"/>
        <v>22824.762999999999</v>
      </c>
      <c r="AS8" s="256">
        <v>23000.813999999998</v>
      </c>
      <c r="AT8" s="256">
        <f t="shared" si="70"/>
        <v>23929.069000000003</v>
      </c>
      <c r="AU8" s="256">
        <v>23190.337</v>
      </c>
      <c r="AV8" s="256">
        <f t="shared" si="71"/>
        <v>29243.637999999999</v>
      </c>
      <c r="AW8" s="256">
        <v>22934.093000000001</v>
      </c>
      <c r="AX8" s="256">
        <f t="shared" si="72"/>
        <v>30239.756999999998</v>
      </c>
      <c r="AY8" s="256">
        <v>30358.018</v>
      </c>
      <c r="AZ8" s="256">
        <f t="shared" si="73"/>
        <v>34968.853000000003</v>
      </c>
      <c r="BA8" s="256">
        <v>46593.286</v>
      </c>
      <c r="BB8" s="256">
        <f t="shared" si="74"/>
        <v>41363.446000000004</v>
      </c>
      <c r="BC8" s="256">
        <v>46484.974000000002</v>
      </c>
      <c r="BD8" s="256">
        <f t="shared" si="75"/>
        <v>50910.129000000001</v>
      </c>
      <c r="BE8" s="256">
        <v>47816.072999999997</v>
      </c>
      <c r="BF8" s="256">
        <f t="shared" ref="BF8:BF28" si="83">T8-BE8</f>
        <v>41177.026000000005</v>
      </c>
      <c r="BG8" s="256">
        <v>48114.972000000002</v>
      </c>
      <c r="BH8" s="256">
        <f>U8-BG8</f>
        <v>36351.828000000001</v>
      </c>
      <c r="BI8" s="254">
        <f t="shared" ref="BI8:BI27" si="84">BH8/BF8-1</f>
        <v>-0.1171817993849289</v>
      </c>
      <c r="BJ8" s="254">
        <f t="shared" ref="BJ8:BJ27" si="85">BH8/BG8-1</f>
        <v>-0.24447990949677789</v>
      </c>
      <c r="BL8" s="252">
        <f t="shared" si="76"/>
        <v>0.84198373422891892</v>
      </c>
      <c r="BM8" s="252">
        <f t="shared" si="77"/>
        <v>0.8190132947524188</v>
      </c>
      <c r="BN8" s="252">
        <f t="shared" si="78"/>
        <v>0.83467674840177564</v>
      </c>
      <c r="BO8" s="252">
        <f t="shared" si="79"/>
        <v>0.86587626789009942</v>
      </c>
      <c r="BP8" s="252">
        <f t="shared" si="80"/>
        <v>0.84348345925924528</v>
      </c>
      <c r="BQ8" s="252">
        <f t="shared" si="81"/>
        <v>0.84528817528042499</v>
      </c>
      <c r="BR8" s="252">
        <f>BF8/$BF$7</f>
        <v>0.84457215720743861</v>
      </c>
      <c r="BS8" s="252">
        <f>BR8-BQ8</f>
        <v>-7.1601807298637965E-4</v>
      </c>
    </row>
    <row r="9" spans="1:71" x14ac:dyDescent="0.4">
      <c r="A9" s="233" t="s">
        <v>2753</v>
      </c>
      <c r="B9" s="233" t="s">
        <v>20</v>
      </c>
      <c r="D9" s="253">
        <f>D7-D8</f>
        <v>909.39300000000003</v>
      </c>
      <c r="E9" s="253">
        <v>749.54200000000003</v>
      </c>
      <c r="F9" s="253">
        <v>1315.854</v>
      </c>
      <c r="G9" s="253">
        <v>1798.184</v>
      </c>
      <c r="H9" s="253">
        <f>PL!J40</f>
        <v>2718.2170000000006</v>
      </c>
      <c r="I9" s="253">
        <f>PL!K40</f>
        <v>3745.9449999999997</v>
      </c>
      <c r="J9" s="253">
        <f>PL!L40</f>
        <v>4743.0919999999969</v>
      </c>
      <c r="K9" s="253">
        <f>PL!M40</f>
        <v>5113.114999999998</v>
      </c>
      <c r="L9" s="253">
        <f t="shared" ref="L9:R9" si="86">L7-L8</f>
        <v>5982.8780000000042</v>
      </c>
      <c r="M9" s="253">
        <f t="shared" si="86"/>
        <v>7615.0299999999988</v>
      </c>
      <c r="N9" s="253">
        <f t="shared" si="86"/>
        <v>8696.4210000000021</v>
      </c>
      <c r="O9" s="253">
        <f t="shared" si="86"/>
        <v>9235.7030000000013</v>
      </c>
      <c r="P9" s="253">
        <f t="shared" si="86"/>
        <v>9284.1589999999997</v>
      </c>
      <c r="Q9" s="253">
        <f t="shared" si="86"/>
        <v>11982.743000000002</v>
      </c>
      <c r="R9" s="253">
        <f t="shared" si="86"/>
        <v>14018.532999999996</v>
      </c>
      <c r="S9" s="253">
        <f t="shared" ref="S9:T9" si="87">S7-S8</f>
        <v>16338.910000000003</v>
      </c>
      <c r="T9" s="253">
        <f t="shared" si="87"/>
        <v>16329.572</v>
      </c>
      <c r="U9" s="253">
        <f t="shared" ref="U9" si="88">U7-U8</f>
        <v>15981.699999999997</v>
      </c>
      <c r="V9" s="254">
        <f t="shared" si="82"/>
        <v>-2.1303191534965071E-2</v>
      </c>
      <c r="W9" s="255"/>
      <c r="X9" s="257" t="s">
        <v>2355</v>
      </c>
      <c r="Y9" s="253">
        <f>Y7-Y8</f>
        <v>429.68599999999969</v>
      </c>
      <c r="Z9" s="253">
        <f>Z7-Z8</f>
        <v>479.70700000000033</v>
      </c>
      <c r="AA9" s="253">
        <f>AA7-AA8</f>
        <v>464.54600000000028</v>
      </c>
      <c r="AB9" s="253">
        <f>AB7-AB8</f>
        <v>284.99599999999919</v>
      </c>
      <c r="AC9" s="253">
        <v>528.79600000000005</v>
      </c>
      <c r="AD9" s="253">
        <f>F9-AC9</f>
        <v>787.05799999999999</v>
      </c>
      <c r="AE9" s="253">
        <v>585.67499999999995</v>
      </c>
      <c r="AF9" s="253">
        <f>G9-AE9</f>
        <v>1212.509</v>
      </c>
      <c r="AG9" s="253">
        <f>AG7-AG8</f>
        <v>1004.8309999999992</v>
      </c>
      <c r="AH9" s="253">
        <f>H9-AG9</f>
        <v>1713.3860000000013</v>
      </c>
      <c r="AI9" s="253">
        <f>AI7-AI8</f>
        <v>1621.1839999999993</v>
      </c>
      <c r="AJ9" s="253">
        <f>(I9-AI9)</f>
        <v>2124.7610000000004</v>
      </c>
      <c r="AK9" s="253">
        <f>AK7-AK8</f>
        <v>2011.5349999999999</v>
      </c>
      <c r="AL9" s="253">
        <f>AL7-AL8</f>
        <v>2731.5569999999971</v>
      </c>
      <c r="AM9" s="253">
        <f>AM7-AM8</f>
        <v>2545.8539999999994</v>
      </c>
      <c r="AN9" s="256">
        <f>K9-AM9</f>
        <v>2567.2609999999986</v>
      </c>
      <c r="AO9" s="256">
        <f>AO7-AO8</f>
        <v>2307.4320000000007</v>
      </c>
      <c r="AP9" s="256">
        <f t="shared" si="68"/>
        <v>3675.4460000000036</v>
      </c>
      <c r="AQ9" s="256">
        <v>3253.404</v>
      </c>
      <c r="AR9" s="256">
        <f t="shared" si="69"/>
        <v>4361.6259999999984</v>
      </c>
      <c r="AS9" s="256">
        <v>4104.799</v>
      </c>
      <c r="AT9" s="256">
        <f t="shared" si="70"/>
        <v>4591.6220000000021</v>
      </c>
      <c r="AU9" s="256">
        <v>4352.1629999999996</v>
      </c>
      <c r="AV9" s="256">
        <f t="shared" si="71"/>
        <v>4883.5400000000018</v>
      </c>
      <c r="AW9" s="256">
        <v>5068.0079999999998</v>
      </c>
      <c r="AX9" s="256">
        <f t="shared" si="72"/>
        <v>4216.1509999999998</v>
      </c>
      <c r="AY9" s="256">
        <v>6012.97</v>
      </c>
      <c r="AZ9" s="256">
        <f t="shared" si="73"/>
        <v>5969.773000000002</v>
      </c>
      <c r="BA9" s="256">
        <v>7217.2730000000001</v>
      </c>
      <c r="BB9" s="256">
        <f t="shared" si="74"/>
        <v>6801.2599999999957</v>
      </c>
      <c r="BC9" s="256">
        <v>8625.7379999999994</v>
      </c>
      <c r="BD9" s="256">
        <f t="shared" si="75"/>
        <v>7713.1720000000041</v>
      </c>
      <c r="BE9" s="256">
        <v>8751.7039999999997</v>
      </c>
      <c r="BF9" s="256">
        <f t="shared" si="83"/>
        <v>7577.8680000000004</v>
      </c>
      <c r="BG9" s="256">
        <v>8528.4480000000003</v>
      </c>
      <c r="BH9" s="256">
        <f>U9-BG9</f>
        <v>7453.2519999999968</v>
      </c>
      <c r="BI9" s="254">
        <f t="shared" si="84"/>
        <v>-1.6444730892647308E-2</v>
      </c>
      <c r="BJ9" s="254">
        <f t="shared" si="85"/>
        <v>-0.126071707302431</v>
      </c>
      <c r="BK9" s="258"/>
      <c r="BL9" s="252">
        <f t="shared" si="76"/>
        <v>0.15801626577108105</v>
      </c>
      <c r="BM9" s="252">
        <f t="shared" si="77"/>
        <v>0.18098670524758126</v>
      </c>
      <c r="BN9" s="252">
        <f t="shared" si="78"/>
        <v>0.16532325159822442</v>
      </c>
      <c r="BO9" s="252">
        <f t="shared" si="79"/>
        <v>0.13412373210990058</v>
      </c>
      <c r="BP9" s="252">
        <f t="shared" si="80"/>
        <v>0.15651654074075472</v>
      </c>
      <c r="BQ9" s="252">
        <f t="shared" si="81"/>
        <v>0.15471182471957487</v>
      </c>
      <c r="BR9" s="252">
        <f>BF9/$BF$7</f>
        <v>0.1554278427925615</v>
      </c>
      <c r="BS9" s="252">
        <f t="shared" ref="BS9:BS26" si="89">BR9-BQ9</f>
        <v>7.1601807298662945E-4</v>
      </c>
    </row>
    <row r="10" spans="1:71" x14ac:dyDescent="0.4">
      <c r="A10" s="233" t="s">
        <v>2754</v>
      </c>
      <c r="B10" s="233" t="s">
        <v>2356</v>
      </c>
      <c r="D10" s="253">
        <f t="shared" ref="D10:J10" si="90">D11+D12</f>
        <v>119.65799999999999</v>
      </c>
      <c r="E10" s="253">
        <f t="shared" si="90"/>
        <v>108.94900000000001</v>
      </c>
      <c r="F10" s="253">
        <f t="shared" si="90"/>
        <v>162.50299999999999</v>
      </c>
      <c r="G10" s="253">
        <f t="shared" si="90"/>
        <v>399.36099999999999</v>
      </c>
      <c r="H10" s="253">
        <f t="shared" si="90"/>
        <v>503.31100000000004</v>
      </c>
      <c r="I10" s="253">
        <f t="shared" si="90"/>
        <v>436.54199999999997</v>
      </c>
      <c r="J10" s="253">
        <f t="shared" si="90"/>
        <v>475.339</v>
      </c>
      <c r="K10" s="253">
        <f>'PL（org）'!N7</f>
        <v>1159.441</v>
      </c>
      <c r="L10" s="253">
        <f>PL!N61</f>
        <v>1260.1199999999999</v>
      </c>
      <c r="M10" s="253">
        <f>PL!O61</f>
        <v>747.678</v>
      </c>
      <c r="N10" s="253">
        <f>PL!P61</f>
        <v>-360.25</v>
      </c>
      <c r="O10" s="253">
        <f>'PL（org）'!R7</f>
        <v>636.75599999999997</v>
      </c>
      <c r="P10" s="253">
        <f>'PL（org）'!S7</f>
        <v>979.16600000000005</v>
      </c>
      <c r="Q10" s="253">
        <f>'PL（org）'!T7</f>
        <v>1197.192</v>
      </c>
      <c r="R10" s="253">
        <f>'PL（org）'!U7</f>
        <v>1577.2049999999999</v>
      </c>
      <c r="S10" s="253">
        <f>'PL（org）'!V7</f>
        <v>647.33900000000006</v>
      </c>
      <c r="T10" s="253">
        <f>'PL（org）'!W7</f>
        <v>211.69300000000001</v>
      </c>
      <c r="U10" s="253">
        <f>'PL（org）'!X7</f>
        <v>248.70599999999999</v>
      </c>
      <c r="V10" s="254">
        <f t="shared" si="82"/>
        <v>0.17484281483091069</v>
      </c>
      <c r="W10" s="255"/>
      <c r="X10" s="257"/>
      <c r="Y10" s="253"/>
      <c r="Z10" s="253"/>
      <c r="AA10" s="253"/>
      <c r="AB10" s="253"/>
      <c r="AC10" s="253"/>
      <c r="AD10" s="253"/>
      <c r="AE10" s="253"/>
      <c r="AF10" s="253"/>
      <c r="AG10" s="253">
        <f t="shared" ref="AG10:AL10" si="91">AG11+AG12</f>
        <v>253.101</v>
      </c>
      <c r="AH10" s="253">
        <f t="shared" si="91"/>
        <v>250.21000000000004</v>
      </c>
      <c r="AI10" s="253">
        <f t="shared" si="91"/>
        <v>202.04300000000001</v>
      </c>
      <c r="AJ10" s="253">
        <f t="shared" si="91"/>
        <v>234.49899999999997</v>
      </c>
      <c r="AK10" s="253">
        <f t="shared" si="91"/>
        <v>266.88499999999999</v>
      </c>
      <c r="AL10" s="253">
        <f t="shared" si="91"/>
        <v>208.45400000000001</v>
      </c>
      <c r="AM10" s="253">
        <v>255.39400000000001</v>
      </c>
      <c r="AN10" s="256">
        <f>K10-AM10</f>
        <v>904.04700000000003</v>
      </c>
      <c r="AO10" s="256">
        <v>1089.615</v>
      </c>
      <c r="AP10" s="256">
        <f t="shared" si="68"/>
        <v>170.50499999999988</v>
      </c>
      <c r="AQ10" s="256">
        <v>527.43600000000004</v>
      </c>
      <c r="AR10" s="256">
        <f t="shared" si="69"/>
        <v>220.24199999999996</v>
      </c>
      <c r="AS10" s="256">
        <v>280.52800000000002</v>
      </c>
      <c r="AT10" s="256">
        <f t="shared" si="70"/>
        <v>-640.77800000000002</v>
      </c>
      <c r="AU10" s="256">
        <v>315.90800000000002</v>
      </c>
      <c r="AV10" s="256">
        <f t="shared" si="71"/>
        <v>320.84799999999996</v>
      </c>
      <c r="AW10" s="256">
        <v>371.98599999999999</v>
      </c>
      <c r="AX10" s="256">
        <f t="shared" si="72"/>
        <v>607.18000000000006</v>
      </c>
      <c r="AY10" s="256">
        <v>255.53100000000001</v>
      </c>
      <c r="AZ10" s="256">
        <f t="shared" si="73"/>
        <v>941.66100000000006</v>
      </c>
      <c r="BA10" s="256">
        <v>617.02</v>
      </c>
      <c r="BB10" s="256">
        <f t="shared" si="74"/>
        <v>960.18499999999995</v>
      </c>
      <c r="BC10" s="256">
        <v>29.97</v>
      </c>
      <c r="BD10" s="256">
        <f t="shared" si="75"/>
        <v>617.36900000000003</v>
      </c>
      <c r="BE10" s="256">
        <v>115.941</v>
      </c>
      <c r="BF10" s="256">
        <f t="shared" si="83"/>
        <v>95.75200000000001</v>
      </c>
      <c r="BG10" s="256">
        <v>164.935</v>
      </c>
      <c r="BH10" s="256">
        <f>U10-BG10</f>
        <v>83.770999999999987</v>
      </c>
      <c r="BI10" s="254">
        <f t="shared" si="84"/>
        <v>-0.12512532375302887</v>
      </c>
      <c r="BJ10" s="254">
        <f t="shared" si="85"/>
        <v>-0.49209688665231766</v>
      </c>
      <c r="BK10" s="258"/>
      <c r="BL10" s="252">
        <f t="shared" si="76"/>
        <v>1.1469837523826814E-2</v>
      </c>
      <c r="BM10" s="252">
        <f t="shared" si="77"/>
        <v>1.3284217494965824E-2</v>
      </c>
      <c r="BN10" s="252">
        <f t="shared" si="78"/>
        <v>7.0256821178462355E-3</v>
      </c>
      <c r="BO10" s="252">
        <f t="shared" si="79"/>
        <v>1.1466522769257982E-2</v>
      </c>
      <c r="BP10" s="252">
        <f t="shared" si="80"/>
        <v>5.4381442213992804E-4</v>
      </c>
      <c r="BQ10" s="252">
        <f t="shared" si="81"/>
        <v>2.0495944183912336E-3</v>
      </c>
      <c r="BR10" s="252">
        <f>BF10/$BF$7</f>
        <v>1.963946429665092E-3</v>
      </c>
      <c r="BS10" s="252">
        <f t="shared" si="89"/>
        <v>-8.5647988726141652E-5</v>
      </c>
    </row>
    <row r="11" spans="1:71" hidden="1" outlineLevel="1" x14ac:dyDescent="0.4">
      <c r="A11" s="233" t="s">
        <v>2755</v>
      </c>
      <c r="B11" s="259" t="s">
        <v>370</v>
      </c>
      <c r="C11" s="259"/>
      <c r="D11" s="260">
        <f>PL!F61</f>
        <v>77.986999999999995</v>
      </c>
      <c r="E11" s="260">
        <v>42.79</v>
      </c>
      <c r="F11" s="260">
        <v>85.58</v>
      </c>
      <c r="G11" s="260">
        <v>316.29599999999999</v>
      </c>
      <c r="H11" s="260">
        <f>PL!J61</f>
        <v>371.09000000000003</v>
      </c>
      <c r="I11" s="260">
        <f>PL!K61</f>
        <v>436.54199999999997</v>
      </c>
      <c r="J11" s="260">
        <f>PL!L61</f>
        <v>475.339</v>
      </c>
      <c r="K11" s="260"/>
      <c r="L11" s="260"/>
      <c r="M11" s="260"/>
      <c r="N11" s="260"/>
      <c r="O11" s="260"/>
      <c r="P11" s="260"/>
      <c r="Q11" s="260"/>
      <c r="R11" s="260"/>
      <c r="S11" s="260"/>
      <c r="T11" s="260"/>
      <c r="U11" s="260"/>
      <c r="V11" s="254" t="e">
        <f t="shared" si="82"/>
        <v>#DIV/0!</v>
      </c>
      <c r="W11" s="261"/>
      <c r="X11" s="234" t="s">
        <v>2118</v>
      </c>
      <c r="Y11" s="260">
        <v>15.121</v>
      </c>
      <c r="Z11" s="260">
        <f>D11-Y11</f>
        <v>62.865999999999993</v>
      </c>
      <c r="AA11" s="260">
        <v>17.658000000000001</v>
      </c>
      <c r="AB11" s="260">
        <f>E11-AA11</f>
        <v>25.131999999999998</v>
      </c>
      <c r="AC11" s="260">
        <v>24.395</v>
      </c>
      <c r="AD11" s="260">
        <f>F11-AC11</f>
        <v>61.185000000000002</v>
      </c>
      <c r="AE11" s="260">
        <v>173.40700000000001</v>
      </c>
      <c r="AF11" s="260">
        <f>G11-AE11</f>
        <v>142.88899999999998</v>
      </c>
      <c r="AG11" s="260">
        <v>214.91</v>
      </c>
      <c r="AH11" s="260">
        <f>H11-AG11</f>
        <v>156.18000000000004</v>
      </c>
      <c r="AI11" s="260">
        <v>124.517</v>
      </c>
      <c r="AJ11" s="260">
        <f>(I11-AI11)</f>
        <v>312.02499999999998</v>
      </c>
      <c r="AK11" s="262">
        <v>0</v>
      </c>
      <c r="AL11" s="260">
        <f>J11-AK11</f>
        <v>475.339</v>
      </c>
      <c r="AM11" s="260">
        <v>0</v>
      </c>
      <c r="AN11" s="263"/>
      <c r="AO11" s="263"/>
      <c r="AP11" s="263">
        <f t="shared" si="68"/>
        <v>0</v>
      </c>
      <c r="AQ11" s="263"/>
      <c r="AR11" s="263">
        <f t="shared" si="69"/>
        <v>0</v>
      </c>
      <c r="AS11" s="263"/>
      <c r="AT11" s="263">
        <f t="shared" si="70"/>
        <v>0</v>
      </c>
      <c r="AU11" s="263"/>
      <c r="AV11" s="263">
        <f t="shared" si="71"/>
        <v>0</v>
      </c>
      <c r="AW11" s="263"/>
      <c r="AX11" s="263">
        <f t="shared" si="72"/>
        <v>0</v>
      </c>
      <c r="AY11" s="256">
        <v>0</v>
      </c>
      <c r="AZ11" s="263">
        <f t="shared" si="73"/>
        <v>0</v>
      </c>
      <c r="BA11" s="263"/>
      <c r="BB11" s="263">
        <f t="shared" si="74"/>
        <v>0</v>
      </c>
      <c r="BC11" s="263">
        <v>0</v>
      </c>
      <c r="BD11" s="263">
        <f t="shared" si="75"/>
        <v>0</v>
      </c>
      <c r="BE11" s="263">
        <v>0</v>
      </c>
      <c r="BF11" s="263">
        <f t="shared" si="83"/>
        <v>0</v>
      </c>
      <c r="BG11" s="263">
        <v>0</v>
      </c>
      <c r="BH11" s="263" t="e">
        <f>V11-BG11</f>
        <v>#DIV/0!</v>
      </c>
      <c r="BI11" s="254" t="e">
        <f t="shared" si="84"/>
        <v>#DIV/0!</v>
      </c>
      <c r="BJ11" s="254" t="e">
        <f t="shared" si="85"/>
        <v>#DIV/0!</v>
      </c>
      <c r="BK11" s="258"/>
      <c r="BL11" s="252">
        <f t="shared" si="76"/>
        <v>0</v>
      </c>
      <c r="BM11" s="252">
        <f t="shared" si="77"/>
        <v>0</v>
      </c>
      <c r="BN11" s="252">
        <f t="shared" si="78"/>
        <v>0</v>
      </c>
      <c r="BO11" s="252">
        <f t="shared" si="79"/>
        <v>0</v>
      </c>
      <c r="BP11" s="252">
        <f t="shared" si="80"/>
        <v>0</v>
      </c>
      <c r="BQ11" s="252">
        <f t="shared" si="81"/>
        <v>0</v>
      </c>
      <c r="BR11" s="252">
        <f>BF11/$BE$7</f>
        <v>0</v>
      </c>
      <c r="BS11" s="252">
        <f t="shared" si="89"/>
        <v>0</v>
      </c>
    </row>
    <row r="12" spans="1:71" hidden="1" outlineLevel="1" x14ac:dyDescent="0.4">
      <c r="A12" s="233" t="s">
        <v>2756</v>
      </c>
      <c r="B12" s="259" t="s">
        <v>2119</v>
      </c>
      <c r="C12" s="259"/>
      <c r="D12" s="260">
        <f>+'PL（org）'!G9+'PL（org）'!G13</f>
        <v>41.670999999999999</v>
      </c>
      <c r="E12" s="260">
        <f>(88478-22319)/1000</f>
        <v>66.159000000000006</v>
      </c>
      <c r="F12" s="260">
        <f>(83623+19686-26386)/1000</f>
        <v>76.923000000000002</v>
      </c>
      <c r="G12" s="260">
        <f>(85705+20314-22954)/1000</f>
        <v>83.064999999999998</v>
      </c>
      <c r="H12" s="260">
        <f>PL!J76</f>
        <v>132.221</v>
      </c>
      <c r="I12" s="260">
        <f>PL!K76</f>
        <v>0</v>
      </c>
      <c r="J12" s="260">
        <f>PL!L76</f>
        <v>0</v>
      </c>
      <c r="K12" s="260"/>
      <c r="L12" s="260"/>
      <c r="M12" s="260"/>
      <c r="N12" s="260"/>
      <c r="O12" s="260"/>
      <c r="P12" s="260"/>
      <c r="Q12" s="260"/>
      <c r="R12" s="260"/>
      <c r="S12" s="260"/>
      <c r="T12" s="260"/>
      <c r="U12" s="260"/>
      <c r="V12" s="254" t="e">
        <f t="shared" si="82"/>
        <v>#DIV/0!</v>
      </c>
      <c r="W12" s="260"/>
      <c r="Y12" s="260">
        <f>18.781-1.491</f>
        <v>17.29</v>
      </c>
      <c r="Z12" s="260">
        <f>D12-Y12</f>
        <v>24.381</v>
      </c>
      <c r="AA12" s="260">
        <f>26.053-5.282</f>
        <v>20.771000000000001</v>
      </c>
      <c r="AB12" s="260">
        <f>E12-AA12</f>
        <v>45.388000000000005</v>
      </c>
      <c r="AC12" s="260">
        <f>(16025-15444)/1000</f>
        <v>0.58099999999999996</v>
      </c>
      <c r="AD12" s="260">
        <f>F12-AC12</f>
        <v>76.341999999999999</v>
      </c>
      <c r="AE12" s="260">
        <f>(38272+15524-672)/1000</f>
        <v>53.124000000000002</v>
      </c>
      <c r="AF12" s="260">
        <f>G12-AE12</f>
        <v>29.940999999999995</v>
      </c>
      <c r="AG12" s="260">
        <f>54.469+26-42.278</f>
        <v>38.190999999999995</v>
      </c>
      <c r="AH12" s="260">
        <f>H12-AG12</f>
        <v>94.03</v>
      </c>
      <c r="AI12" s="260">
        <v>77.525999999999996</v>
      </c>
      <c r="AJ12" s="260">
        <f>(I12-AI12)</f>
        <v>-77.525999999999996</v>
      </c>
      <c r="AK12" s="262">
        <v>266.88499999999999</v>
      </c>
      <c r="AL12" s="260">
        <f>J12-AK12</f>
        <v>-266.88499999999999</v>
      </c>
      <c r="AM12" s="260">
        <v>167.386</v>
      </c>
      <c r="AN12" s="263"/>
      <c r="AO12" s="263"/>
      <c r="AP12" s="263">
        <f t="shared" si="68"/>
        <v>0</v>
      </c>
      <c r="AQ12" s="263"/>
      <c r="AR12" s="263">
        <f t="shared" si="69"/>
        <v>0</v>
      </c>
      <c r="AS12" s="263"/>
      <c r="AT12" s="263">
        <f t="shared" si="70"/>
        <v>0</v>
      </c>
      <c r="AU12" s="263"/>
      <c r="AV12" s="263">
        <f t="shared" si="71"/>
        <v>0</v>
      </c>
      <c r="AW12" s="263"/>
      <c r="AX12" s="263">
        <f t="shared" si="72"/>
        <v>0</v>
      </c>
      <c r="AY12" s="256">
        <v>0</v>
      </c>
      <c r="AZ12" s="263">
        <f t="shared" si="73"/>
        <v>0</v>
      </c>
      <c r="BA12" s="263"/>
      <c r="BB12" s="263">
        <f t="shared" si="74"/>
        <v>0</v>
      </c>
      <c r="BC12" s="263">
        <v>0</v>
      </c>
      <c r="BD12" s="263">
        <f t="shared" si="75"/>
        <v>0</v>
      </c>
      <c r="BE12" s="263">
        <v>0</v>
      </c>
      <c r="BF12" s="263">
        <f t="shared" si="83"/>
        <v>0</v>
      </c>
      <c r="BG12" s="263">
        <v>0</v>
      </c>
      <c r="BH12" s="263" t="e">
        <f>V12-BG12</f>
        <v>#DIV/0!</v>
      </c>
      <c r="BI12" s="254" t="e">
        <f t="shared" si="84"/>
        <v>#DIV/0!</v>
      </c>
      <c r="BJ12" s="254" t="e">
        <f t="shared" si="85"/>
        <v>#DIV/0!</v>
      </c>
      <c r="BK12" s="258"/>
      <c r="BL12" s="252">
        <f t="shared" si="76"/>
        <v>0</v>
      </c>
      <c r="BM12" s="252">
        <f t="shared" si="77"/>
        <v>0</v>
      </c>
      <c r="BN12" s="252">
        <f t="shared" si="78"/>
        <v>0</v>
      </c>
      <c r="BO12" s="252">
        <f t="shared" si="79"/>
        <v>0</v>
      </c>
      <c r="BP12" s="252">
        <f t="shared" si="80"/>
        <v>0</v>
      </c>
      <c r="BQ12" s="252">
        <f t="shared" si="81"/>
        <v>0</v>
      </c>
      <c r="BR12" s="252">
        <f>BF12/$BE$7</f>
        <v>0</v>
      </c>
      <c r="BS12" s="252">
        <f t="shared" si="89"/>
        <v>0</v>
      </c>
    </row>
    <row r="13" spans="1:71" collapsed="1" x14ac:dyDescent="0.4">
      <c r="A13" s="233" t="s">
        <v>2757</v>
      </c>
      <c r="B13" s="233" t="s">
        <v>1885</v>
      </c>
      <c r="D13" s="260">
        <f t="shared" ref="D13:J13" si="92">D14+D15</f>
        <v>411.82799999999997</v>
      </c>
      <c r="E13" s="260">
        <f t="shared" si="92"/>
        <v>365.56600000000003</v>
      </c>
      <c r="F13" s="260">
        <f t="shared" si="92"/>
        <v>471.50200000000001</v>
      </c>
      <c r="G13" s="260">
        <f t="shared" si="92"/>
        <v>554.20299999999997</v>
      </c>
      <c r="H13" s="260">
        <f t="shared" si="92"/>
        <v>709.64400000000001</v>
      </c>
      <c r="I13" s="260">
        <f t="shared" si="92"/>
        <v>1042.4579999999999</v>
      </c>
      <c r="J13" s="260">
        <f t="shared" si="92"/>
        <v>1033.1400000000001</v>
      </c>
      <c r="K13" s="260">
        <f>-'PL（org）'!N10</f>
        <v>1007.396</v>
      </c>
      <c r="L13" s="260">
        <f>PL!N79</f>
        <v>1106.0840000000001</v>
      </c>
      <c r="M13" s="260">
        <f>PL!O79</f>
        <v>1394.6680000000001</v>
      </c>
      <c r="N13" s="260">
        <f>PL!P79</f>
        <v>1396.5940000000001</v>
      </c>
      <c r="O13" s="260">
        <f>-'PL（org）'!R10</f>
        <v>1681.8</v>
      </c>
      <c r="P13" s="260">
        <f>-'PL（org）'!S10</f>
        <v>1920.393</v>
      </c>
      <c r="Q13" s="260">
        <f>-'PL（org）'!T10</f>
        <v>2278.6089999999999</v>
      </c>
      <c r="R13" s="260">
        <f>-'PL（org）'!U10</f>
        <v>2434.7640000000001</v>
      </c>
      <c r="S13" s="260">
        <f>-'PL（org）'!V10</f>
        <v>2622.9009999999998</v>
      </c>
      <c r="T13" s="260">
        <f>-'PL（org）'!W10</f>
        <v>2582.0259999999998</v>
      </c>
      <c r="U13" s="260">
        <f>-'PL（org）'!X10</f>
        <v>2651.7429999999999</v>
      </c>
      <c r="V13" s="254">
        <f t="shared" si="82"/>
        <v>2.7000889998783917E-2</v>
      </c>
      <c r="W13" s="260"/>
      <c r="Y13" s="260"/>
      <c r="Z13" s="260"/>
      <c r="AA13" s="260"/>
      <c r="AB13" s="260"/>
      <c r="AC13" s="260"/>
      <c r="AD13" s="260"/>
      <c r="AE13" s="260"/>
      <c r="AF13" s="260"/>
      <c r="AG13" s="260">
        <f t="shared" ref="AG13:AL13" si="93">AG14+AG15</f>
        <v>307.75799999999998</v>
      </c>
      <c r="AH13" s="260">
        <f t="shared" si="93"/>
        <v>401.88600000000002</v>
      </c>
      <c r="AI13" s="260">
        <f t="shared" si="93"/>
        <v>473.83299999999997</v>
      </c>
      <c r="AJ13" s="260">
        <f t="shared" si="93"/>
        <v>568.625</v>
      </c>
      <c r="AK13" s="260">
        <f t="shared" si="93"/>
        <v>432.81799999999998</v>
      </c>
      <c r="AL13" s="260">
        <f t="shared" si="93"/>
        <v>600.322</v>
      </c>
      <c r="AM13" s="260">
        <v>450.81400000000002</v>
      </c>
      <c r="AN13" s="256">
        <f>K13-AM13</f>
        <v>556.58199999999988</v>
      </c>
      <c r="AO13" s="256">
        <v>645.73199999999997</v>
      </c>
      <c r="AP13" s="256">
        <f t="shared" si="68"/>
        <v>460.35200000000009</v>
      </c>
      <c r="AQ13" s="256">
        <v>664.40800000000002</v>
      </c>
      <c r="AR13" s="256">
        <f t="shared" si="69"/>
        <v>730.2600000000001</v>
      </c>
      <c r="AS13" s="256">
        <v>623.36699999999996</v>
      </c>
      <c r="AT13" s="256">
        <f t="shared" si="70"/>
        <v>773.22700000000009</v>
      </c>
      <c r="AU13" s="256">
        <v>770.65200000000004</v>
      </c>
      <c r="AV13" s="256">
        <f t="shared" si="71"/>
        <v>911.14799999999991</v>
      </c>
      <c r="AW13" s="256">
        <v>789.08799999999997</v>
      </c>
      <c r="AX13" s="256">
        <f t="shared" si="72"/>
        <v>1131.3050000000001</v>
      </c>
      <c r="AY13" s="256">
        <v>862.89300000000003</v>
      </c>
      <c r="AZ13" s="256">
        <f t="shared" si="73"/>
        <v>1415.7159999999999</v>
      </c>
      <c r="BA13" s="256">
        <v>1108.6479999999999</v>
      </c>
      <c r="BB13" s="256">
        <f t="shared" si="74"/>
        <v>1326.1160000000002</v>
      </c>
      <c r="BC13" s="256">
        <v>1257.7739999999999</v>
      </c>
      <c r="BD13" s="256">
        <f t="shared" si="75"/>
        <v>1365.127</v>
      </c>
      <c r="BE13" s="256">
        <v>1208.704</v>
      </c>
      <c r="BF13" s="256">
        <f t="shared" si="83"/>
        <v>1373.3219999999999</v>
      </c>
      <c r="BG13" s="256">
        <v>1087.788</v>
      </c>
      <c r="BH13" s="256">
        <f>U13-BG13</f>
        <v>1563.9549999999999</v>
      </c>
      <c r="BI13" s="254">
        <f t="shared" si="84"/>
        <v>0.13881158242568015</v>
      </c>
      <c r="BJ13" s="254">
        <f t="shared" si="85"/>
        <v>0.43773878733723848</v>
      </c>
      <c r="BK13" s="258"/>
      <c r="BL13" s="252">
        <f t="shared" si="76"/>
        <v>2.798046655169284E-2</v>
      </c>
      <c r="BM13" s="252">
        <f t="shared" si="77"/>
        <v>2.817959980931431E-2</v>
      </c>
      <c r="BN13" s="252">
        <f t="shared" si="78"/>
        <v>2.3724761065055479E-2</v>
      </c>
      <c r="BO13" s="252">
        <f t="shared" si="79"/>
        <v>2.0602796562659755E-2</v>
      </c>
      <c r="BP13" s="252">
        <f t="shared" si="80"/>
        <v>2.2822677377131326E-2</v>
      </c>
      <c r="BQ13" s="252">
        <f t="shared" si="81"/>
        <v>2.1367359017838015E-2</v>
      </c>
      <c r="BR13" s="252">
        <f>BF13/$BF$7</f>
        <v>2.8167879926064447E-2</v>
      </c>
      <c r="BS13" s="252">
        <f t="shared" si="89"/>
        <v>6.8005209082264324E-3</v>
      </c>
    </row>
    <row r="14" spans="1:71" hidden="1" outlineLevel="1" x14ac:dyDescent="0.4">
      <c r="A14" s="233" t="s">
        <v>2758</v>
      </c>
      <c r="B14" s="259" t="s">
        <v>373</v>
      </c>
      <c r="C14" s="259"/>
      <c r="D14" s="260">
        <f>-'PL（org）'!G12</f>
        <v>17.795999999999999</v>
      </c>
      <c r="E14" s="260">
        <v>9.843</v>
      </c>
      <c r="F14" s="260">
        <v>4.7359999999999998</v>
      </c>
      <c r="G14" s="260">
        <v>15.523</v>
      </c>
      <c r="H14" s="260">
        <f>PL!J81</f>
        <v>5.5049999999999999</v>
      </c>
      <c r="I14" s="260">
        <f>PL!K81</f>
        <v>82.945999999999998</v>
      </c>
      <c r="J14" s="260">
        <f>PL!L81</f>
        <v>133.87100000000001</v>
      </c>
      <c r="K14" s="260"/>
      <c r="L14" s="260"/>
      <c r="M14" s="260"/>
      <c r="N14" s="260"/>
      <c r="O14" s="260"/>
      <c r="P14" s="260"/>
      <c r="Q14" s="260"/>
      <c r="R14" s="260"/>
      <c r="S14" s="260"/>
      <c r="T14" s="260"/>
      <c r="U14" s="260"/>
      <c r="V14" s="254" t="e">
        <f t="shared" si="82"/>
        <v>#DIV/0!</v>
      </c>
      <c r="W14" s="260"/>
      <c r="Y14" s="260">
        <v>1.2190000000000001</v>
      </c>
      <c r="Z14" s="260">
        <f>D14-Y14</f>
        <v>16.576999999999998</v>
      </c>
      <c r="AA14" s="260">
        <v>6.7510000000000003</v>
      </c>
      <c r="AB14" s="260">
        <f>E14-AA14</f>
        <v>3.0919999999999996</v>
      </c>
      <c r="AC14" s="260">
        <v>0.89200000000000002</v>
      </c>
      <c r="AD14" s="260">
        <f>F14-AC14</f>
        <v>3.8439999999999999</v>
      </c>
      <c r="AE14" s="260">
        <v>5.6710000000000003</v>
      </c>
      <c r="AF14" s="260">
        <f>G14-AE14</f>
        <v>9.8520000000000003</v>
      </c>
      <c r="AG14" s="260">
        <v>3.5030000000000001</v>
      </c>
      <c r="AH14" s="260">
        <f>H14-AG14</f>
        <v>2.0019999999999998</v>
      </c>
      <c r="AI14" s="260">
        <v>53.234000000000002</v>
      </c>
      <c r="AJ14" s="260">
        <f>(I14-AI14)</f>
        <v>29.711999999999996</v>
      </c>
      <c r="AK14" s="260">
        <v>41.856000000000002</v>
      </c>
      <c r="AL14" s="260">
        <f>J14-AK14</f>
        <v>92.015000000000015</v>
      </c>
      <c r="AM14" s="260">
        <v>25.652999999999999</v>
      </c>
      <c r="AN14" s="263"/>
      <c r="AO14" s="263"/>
      <c r="AP14" s="263">
        <f t="shared" si="68"/>
        <v>0</v>
      </c>
      <c r="AQ14" s="263"/>
      <c r="AR14" s="263">
        <f t="shared" si="69"/>
        <v>0</v>
      </c>
      <c r="AS14" s="263"/>
      <c r="AT14" s="263">
        <f t="shared" si="70"/>
        <v>0</v>
      </c>
      <c r="AU14" s="263"/>
      <c r="AV14" s="263">
        <f t="shared" si="71"/>
        <v>0</v>
      </c>
      <c r="AW14" s="263"/>
      <c r="AX14" s="263">
        <f t="shared" si="72"/>
        <v>0</v>
      </c>
      <c r="AY14" s="256">
        <v>0</v>
      </c>
      <c r="AZ14" s="263">
        <f t="shared" si="73"/>
        <v>0</v>
      </c>
      <c r="BA14" s="263"/>
      <c r="BB14" s="263">
        <f t="shared" si="74"/>
        <v>0</v>
      </c>
      <c r="BC14" s="263">
        <v>0</v>
      </c>
      <c r="BD14" s="263">
        <f t="shared" si="75"/>
        <v>0</v>
      </c>
      <c r="BE14" s="263">
        <v>0</v>
      </c>
      <c r="BF14" s="263">
        <f t="shared" si="83"/>
        <v>0</v>
      </c>
      <c r="BG14" s="263">
        <v>0</v>
      </c>
      <c r="BH14" s="263" t="e">
        <f>V14-BG14</f>
        <v>#DIV/0!</v>
      </c>
      <c r="BI14" s="254" t="e">
        <f t="shared" si="84"/>
        <v>#DIV/0!</v>
      </c>
      <c r="BJ14" s="254" t="e">
        <f t="shared" si="85"/>
        <v>#DIV/0!</v>
      </c>
      <c r="BK14" s="258"/>
      <c r="BL14" s="252">
        <f t="shared" si="76"/>
        <v>0</v>
      </c>
      <c r="BM14" s="252">
        <f t="shared" si="77"/>
        <v>0</v>
      </c>
      <c r="BN14" s="252">
        <f t="shared" si="78"/>
        <v>0</v>
      </c>
      <c r="BO14" s="252">
        <f t="shared" si="79"/>
        <v>0</v>
      </c>
      <c r="BP14" s="252">
        <f t="shared" si="80"/>
        <v>0</v>
      </c>
      <c r="BQ14" s="252">
        <f t="shared" si="81"/>
        <v>0</v>
      </c>
      <c r="BR14" s="252">
        <f>BF14/$BE$7</f>
        <v>0</v>
      </c>
      <c r="BS14" s="252">
        <f t="shared" si="89"/>
        <v>0</v>
      </c>
    </row>
    <row r="15" spans="1:71" hidden="1" outlineLevel="1" x14ac:dyDescent="0.4">
      <c r="A15" s="233" t="s">
        <v>2759</v>
      </c>
      <c r="B15" s="259" t="s">
        <v>375</v>
      </c>
      <c r="C15" s="259"/>
      <c r="D15" s="260">
        <f>-'PL（org）'!G11</f>
        <v>394.03199999999998</v>
      </c>
      <c r="E15" s="260">
        <v>355.72300000000001</v>
      </c>
      <c r="F15" s="260">
        <v>466.76600000000002</v>
      </c>
      <c r="G15" s="260">
        <v>538.67999999999995</v>
      </c>
      <c r="H15" s="260">
        <f>PL!J83</f>
        <v>704.13900000000001</v>
      </c>
      <c r="I15" s="260">
        <f>PL!K83</f>
        <v>959.51199999999994</v>
      </c>
      <c r="J15" s="260">
        <f>PL!L83</f>
        <v>899.26900000000001</v>
      </c>
      <c r="K15" s="260"/>
      <c r="L15" s="260"/>
      <c r="M15" s="260"/>
      <c r="N15" s="260"/>
      <c r="O15" s="260"/>
      <c r="P15" s="260"/>
      <c r="Q15" s="260"/>
      <c r="R15" s="260"/>
      <c r="S15" s="260"/>
      <c r="T15" s="260"/>
      <c r="U15" s="260"/>
      <c r="V15" s="254" t="e">
        <f t="shared" si="82"/>
        <v>#DIV/0!</v>
      </c>
      <c r="W15" s="255"/>
      <c r="Y15" s="260">
        <v>166.41900000000001</v>
      </c>
      <c r="Z15" s="260">
        <f>D15-Y15</f>
        <v>227.61299999999997</v>
      </c>
      <c r="AA15" s="260">
        <v>159.136</v>
      </c>
      <c r="AB15" s="260">
        <f>E15-AA15</f>
        <v>196.58700000000002</v>
      </c>
      <c r="AC15" s="260">
        <v>180.941</v>
      </c>
      <c r="AD15" s="260">
        <f>F15-AC15</f>
        <v>285.82500000000005</v>
      </c>
      <c r="AE15" s="260">
        <v>222.81</v>
      </c>
      <c r="AF15" s="260">
        <f>G15-AE15</f>
        <v>315.86999999999995</v>
      </c>
      <c r="AG15" s="260">
        <v>304.255</v>
      </c>
      <c r="AH15" s="260">
        <f>H15-AG15</f>
        <v>399.88400000000001</v>
      </c>
      <c r="AI15" s="260">
        <v>420.59899999999999</v>
      </c>
      <c r="AJ15" s="260">
        <f>(I15-AI15)</f>
        <v>538.91300000000001</v>
      </c>
      <c r="AK15" s="260">
        <v>390.96199999999999</v>
      </c>
      <c r="AL15" s="260">
        <f>J15-AK15</f>
        <v>508.30700000000002</v>
      </c>
      <c r="AM15" s="260">
        <v>418.55799999999999</v>
      </c>
      <c r="AN15" s="263"/>
      <c r="AO15" s="263"/>
      <c r="AP15" s="263">
        <f t="shared" si="68"/>
        <v>0</v>
      </c>
      <c r="AQ15" s="263"/>
      <c r="AR15" s="263">
        <f t="shared" si="69"/>
        <v>0</v>
      </c>
      <c r="AS15" s="263"/>
      <c r="AT15" s="263">
        <f t="shared" si="70"/>
        <v>0</v>
      </c>
      <c r="AU15" s="263"/>
      <c r="AV15" s="263">
        <f t="shared" si="71"/>
        <v>0</v>
      </c>
      <c r="AW15" s="263"/>
      <c r="AX15" s="263">
        <f t="shared" si="72"/>
        <v>0</v>
      </c>
      <c r="AY15" s="256">
        <v>0</v>
      </c>
      <c r="AZ15" s="263">
        <f t="shared" si="73"/>
        <v>0</v>
      </c>
      <c r="BA15" s="263"/>
      <c r="BB15" s="263">
        <f t="shared" si="74"/>
        <v>0</v>
      </c>
      <c r="BC15" s="263">
        <v>0</v>
      </c>
      <c r="BD15" s="263">
        <f t="shared" si="75"/>
        <v>0</v>
      </c>
      <c r="BE15" s="263">
        <v>0</v>
      </c>
      <c r="BF15" s="263">
        <f t="shared" si="83"/>
        <v>0</v>
      </c>
      <c r="BG15" s="263">
        <v>0</v>
      </c>
      <c r="BH15" s="263" t="e">
        <f>V15-BG15</f>
        <v>#DIV/0!</v>
      </c>
      <c r="BI15" s="254" t="e">
        <f t="shared" si="84"/>
        <v>#DIV/0!</v>
      </c>
      <c r="BJ15" s="254" t="e">
        <f t="shared" si="85"/>
        <v>#DIV/0!</v>
      </c>
      <c r="BK15" s="258"/>
      <c r="BL15" s="252">
        <f t="shared" si="76"/>
        <v>0</v>
      </c>
      <c r="BM15" s="252">
        <f t="shared" si="77"/>
        <v>0</v>
      </c>
      <c r="BN15" s="252">
        <f t="shared" si="78"/>
        <v>0</v>
      </c>
      <c r="BO15" s="252">
        <f t="shared" si="79"/>
        <v>0</v>
      </c>
      <c r="BP15" s="252">
        <f t="shared" si="80"/>
        <v>0</v>
      </c>
      <c r="BQ15" s="252">
        <f t="shared" si="81"/>
        <v>0</v>
      </c>
      <c r="BR15" s="252">
        <f>BF15/$BE$7</f>
        <v>0</v>
      </c>
      <c r="BS15" s="252">
        <f t="shared" si="89"/>
        <v>0</v>
      </c>
    </row>
    <row r="16" spans="1:71" hidden="1" outlineLevel="1" collapsed="1" x14ac:dyDescent="0.4">
      <c r="A16" s="233" t="s">
        <v>2760</v>
      </c>
      <c r="B16" s="233" t="s">
        <v>378</v>
      </c>
      <c r="D16" s="260">
        <f>+SUM('PL（org）'!G14:G16)</f>
        <v>8.5800000000000018</v>
      </c>
      <c r="E16" s="260">
        <v>0</v>
      </c>
      <c r="F16" s="260">
        <v>0</v>
      </c>
      <c r="G16" s="260">
        <v>0</v>
      </c>
      <c r="H16" s="260">
        <f>PL!J88</f>
        <v>0</v>
      </c>
      <c r="I16" s="260">
        <f>PL!K88</f>
        <v>0</v>
      </c>
      <c r="J16" s="260">
        <f>PL!L88</f>
        <v>0</v>
      </c>
      <c r="K16" s="260">
        <f>PL!M88</f>
        <v>0</v>
      </c>
      <c r="L16" s="260">
        <f>PL!N88</f>
        <v>0</v>
      </c>
      <c r="M16" s="260">
        <f>PL!O88</f>
        <v>0</v>
      </c>
      <c r="N16" s="260">
        <f>PL!P88</f>
        <v>0</v>
      </c>
      <c r="O16" s="260">
        <f>PL!Q88</f>
        <v>0</v>
      </c>
      <c r="P16" s="260">
        <f>PL!R88</f>
        <v>0</v>
      </c>
      <c r="Q16" s="260">
        <f>PL!S88</f>
        <v>0</v>
      </c>
      <c r="R16" s="260">
        <f>PL!T88</f>
        <v>0</v>
      </c>
      <c r="S16" s="260">
        <f>PL!U88</f>
        <v>0</v>
      </c>
      <c r="T16" s="260">
        <f>PL!V88</f>
        <v>0</v>
      </c>
      <c r="U16" s="260">
        <f>PL!W88</f>
        <v>0</v>
      </c>
      <c r="V16" s="254" t="e">
        <f t="shared" si="82"/>
        <v>#DIV/0!</v>
      </c>
      <c r="W16" s="260"/>
      <c r="Y16" s="260">
        <v>18.297999999999998</v>
      </c>
      <c r="Z16" s="260">
        <f>D16-Y16</f>
        <v>-9.7179999999999964</v>
      </c>
      <c r="AA16" s="260">
        <v>0</v>
      </c>
      <c r="AB16" s="260">
        <f>E16-AA16</f>
        <v>0</v>
      </c>
      <c r="AC16" s="260">
        <v>0</v>
      </c>
      <c r="AD16" s="260">
        <f>F16-AC16</f>
        <v>0</v>
      </c>
      <c r="AE16" s="260">
        <v>0</v>
      </c>
      <c r="AF16" s="260">
        <f>G16-AE16</f>
        <v>0</v>
      </c>
      <c r="AG16" s="260">
        <f>G16-AF16</f>
        <v>0</v>
      </c>
      <c r="AH16" s="260">
        <f>H16-AG16</f>
        <v>0</v>
      </c>
      <c r="AI16" s="260">
        <v>0</v>
      </c>
      <c r="AJ16" s="260">
        <f>(I16-AI16)</f>
        <v>0</v>
      </c>
      <c r="AK16" s="260">
        <v>0</v>
      </c>
      <c r="AL16" s="260">
        <f>J16-AK16</f>
        <v>0</v>
      </c>
      <c r="AM16" s="260">
        <v>0</v>
      </c>
      <c r="AN16" s="256">
        <f>K16-AM16</f>
        <v>0</v>
      </c>
      <c r="AO16" s="256"/>
      <c r="AP16" s="256">
        <f t="shared" si="68"/>
        <v>0</v>
      </c>
      <c r="AQ16" s="256"/>
      <c r="AR16" s="256">
        <f t="shared" si="69"/>
        <v>0</v>
      </c>
      <c r="AS16" s="256"/>
      <c r="AT16" s="256">
        <f t="shared" si="70"/>
        <v>0</v>
      </c>
      <c r="AU16" s="256"/>
      <c r="AV16" s="256">
        <f t="shared" si="71"/>
        <v>0</v>
      </c>
      <c r="AW16" s="256"/>
      <c r="AX16" s="256">
        <f t="shared" si="72"/>
        <v>0</v>
      </c>
      <c r="AY16" s="256">
        <v>0</v>
      </c>
      <c r="AZ16" s="256">
        <f t="shared" si="73"/>
        <v>0</v>
      </c>
      <c r="BA16" s="256"/>
      <c r="BB16" s="256">
        <f t="shared" si="74"/>
        <v>0</v>
      </c>
      <c r="BC16" s="256">
        <v>0</v>
      </c>
      <c r="BD16" s="256">
        <f t="shared" si="75"/>
        <v>0</v>
      </c>
      <c r="BE16" s="256">
        <v>0</v>
      </c>
      <c r="BF16" s="256">
        <f t="shared" si="83"/>
        <v>0</v>
      </c>
      <c r="BG16" s="256">
        <v>0</v>
      </c>
      <c r="BH16" s="256" t="e">
        <f>V16-BG16</f>
        <v>#DIV/0!</v>
      </c>
      <c r="BI16" s="254" t="e">
        <f t="shared" si="84"/>
        <v>#DIV/0!</v>
      </c>
      <c r="BJ16" s="254" t="e">
        <f t="shared" si="85"/>
        <v>#DIV/0!</v>
      </c>
      <c r="BK16" s="258"/>
      <c r="BL16" s="252">
        <f t="shared" si="76"/>
        <v>0</v>
      </c>
      <c r="BM16" s="252">
        <f t="shared" si="77"/>
        <v>0</v>
      </c>
      <c r="BN16" s="252">
        <f t="shared" si="78"/>
        <v>0</v>
      </c>
      <c r="BO16" s="252">
        <f t="shared" si="79"/>
        <v>0</v>
      </c>
      <c r="BP16" s="252">
        <f t="shared" si="80"/>
        <v>0</v>
      </c>
      <c r="BQ16" s="252">
        <f t="shared" si="81"/>
        <v>0</v>
      </c>
      <c r="BR16" s="252">
        <f>BF16/$BE$7</f>
        <v>0</v>
      </c>
      <c r="BS16" s="252">
        <f t="shared" si="89"/>
        <v>0</v>
      </c>
    </row>
    <row r="17" spans="1:71" collapsed="1" x14ac:dyDescent="0.4">
      <c r="A17" s="233" t="s">
        <v>2761</v>
      </c>
      <c r="B17" s="233" t="s">
        <v>308</v>
      </c>
      <c r="D17" s="260">
        <f>-'PL（org）'!G19</f>
        <v>20.065000000000001</v>
      </c>
      <c r="E17" s="260">
        <v>12.956</v>
      </c>
      <c r="F17" s="260">
        <v>15.552</v>
      </c>
      <c r="G17" s="260">
        <v>192.69</v>
      </c>
      <c r="H17" s="260">
        <f>PL!J90</f>
        <v>239.375</v>
      </c>
      <c r="I17" s="260">
        <f>PL!K90</f>
        <v>418.44</v>
      </c>
      <c r="J17" s="260">
        <f>PL!L90</f>
        <v>455.82900000000001</v>
      </c>
      <c r="K17" s="260">
        <f>PL!M90</f>
        <v>629.10500000000002</v>
      </c>
      <c r="L17" s="260">
        <f>PL!N90</f>
        <v>688.15899999999999</v>
      </c>
      <c r="M17" s="260">
        <f>PL!O90</f>
        <v>1069.7540000000001</v>
      </c>
      <c r="N17" s="260">
        <f>PL!P90</f>
        <v>1781.7170000000001</v>
      </c>
      <c r="O17" s="260">
        <f>PL!Q90</f>
        <v>2278.9850000000001</v>
      </c>
      <c r="P17" s="260">
        <f>PL!R90</f>
        <v>2679.9769999999999</v>
      </c>
      <c r="Q17" s="260">
        <f>PL!S90</f>
        <v>2668.2020000000002</v>
      </c>
      <c r="R17" s="260">
        <f>PL!T90</f>
        <v>2991.4189999999999</v>
      </c>
      <c r="S17" s="260">
        <f>PL!U90</f>
        <v>3204.3090000000002</v>
      </c>
      <c r="T17" s="260">
        <f>PL!V90</f>
        <v>2948.3119999999999</v>
      </c>
      <c r="U17" s="260">
        <f>PL!W90</f>
        <v>2469.6680000000001</v>
      </c>
      <c r="V17" s="254">
        <f t="shared" si="82"/>
        <v>-0.16234509780511686</v>
      </c>
      <c r="W17" s="255"/>
      <c r="X17" s="234" t="s">
        <v>2120</v>
      </c>
      <c r="Y17" s="260">
        <v>6.6539999999999999</v>
      </c>
      <c r="Z17" s="260">
        <f>D17-Y17</f>
        <v>13.411000000000001</v>
      </c>
      <c r="AA17" s="260">
        <v>5.6390000000000002</v>
      </c>
      <c r="AB17" s="260">
        <f>E17-AA17</f>
        <v>7.3169999999999993</v>
      </c>
      <c r="AC17" s="260">
        <v>4.0209999999999999</v>
      </c>
      <c r="AD17" s="260">
        <f>F17-AC17</f>
        <v>11.530999999999999</v>
      </c>
      <c r="AE17" s="260">
        <v>98.072999999999993</v>
      </c>
      <c r="AF17" s="260">
        <f>G17-AE17</f>
        <v>94.617000000000004</v>
      </c>
      <c r="AG17" s="260">
        <v>110.05800000000001</v>
      </c>
      <c r="AH17" s="260">
        <f>H17-AG17</f>
        <v>129.31700000000001</v>
      </c>
      <c r="AI17" s="260">
        <v>184.578</v>
      </c>
      <c r="AJ17" s="260">
        <f>(I17-AI17)</f>
        <v>233.86199999999999</v>
      </c>
      <c r="AK17" s="260">
        <v>267.45499999999998</v>
      </c>
      <c r="AL17" s="260">
        <f>J17-AK17</f>
        <v>188.37400000000002</v>
      </c>
      <c r="AM17" s="260">
        <v>304.59100000000001</v>
      </c>
      <c r="AN17" s="256">
        <f>K17-AM17</f>
        <v>324.51400000000001</v>
      </c>
      <c r="AO17" s="256">
        <v>323.952</v>
      </c>
      <c r="AP17" s="256">
        <f t="shared" si="68"/>
        <v>364.20699999999999</v>
      </c>
      <c r="AQ17" s="256">
        <v>442.166</v>
      </c>
      <c r="AR17" s="256">
        <f t="shared" si="69"/>
        <v>627.58800000000019</v>
      </c>
      <c r="AS17" s="256">
        <v>838.59799999999996</v>
      </c>
      <c r="AT17" s="256">
        <f t="shared" si="70"/>
        <v>943.11900000000014</v>
      </c>
      <c r="AU17" s="256">
        <v>1104.213</v>
      </c>
      <c r="AV17" s="256">
        <f t="shared" si="71"/>
        <v>1174.7720000000002</v>
      </c>
      <c r="AW17" s="256">
        <v>1344.173</v>
      </c>
      <c r="AX17" s="256">
        <f t="shared" si="72"/>
        <v>1335.8039999999999</v>
      </c>
      <c r="AY17" s="256">
        <v>1256.5540000000001</v>
      </c>
      <c r="AZ17" s="256">
        <f t="shared" si="73"/>
        <v>1411.6480000000001</v>
      </c>
      <c r="BA17" s="256">
        <v>1474.5820000000001</v>
      </c>
      <c r="BB17" s="256">
        <f t="shared" si="74"/>
        <v>1516.8369999999998</v>
      </c>
      <c r="BC17" s="256">
        <v>1554.068</v>
      </c>
      <c r="BD17" s="256">
        <f t="shared" si="75"/>
        <v>1650.2410000000002</v>
      </c>
      <c r="BE17" s="256">
        <v>1472.4059999999999</v>
      </c>
      <c r="BF17" s="256">
        <f t="shared" si="83"/>
        <v>1475.9059999999999</v>
      </c>
      <c r="BG17" s="256">
        <v>1299.867</v>
      </c>
      <c r="BH17" s="256">
        <f t="shared" ref="BH17:BH26" si="94">U17-BG17</f>
        <v>1169.8010000000002</v>
      </c>
      <c r="BI17" s="254">
        <f t="shared" si="84"/>
        <v>-0.20740141987362326</v>
      </c>
      <c r="BJ17" s="254">
        <f t="shared" si="85"/>
        <v>-0.10006100624140768</v>
      </c>
      <c r="BK17" s="258"/>
      <c r="BL17" s="252">
        <f t="shared" si="76"/>
        <v>4.0091240809657799E-2</v>
      </c>
      <c r="BM17" s="252">
        <f t="shared" si="77"/>
        <v>4.8002576663801054E-2</v>
      </c>
      <c r="BN17" s="252">
        <f t="shared" si="78"/>
        <v>3.4548250380220635E-2</v>
      </c>
      <c r="BO17" s="252">
        <f t="shared" si="79"/>
        <v>2.7403209098794162E-2</v>
      </c>
      <c r="BP17" s="252">
        <f t="shared" si="80"/>
        <v>2.8199018731603395E-2</v>
      </c>
      <c r="BQ17" s="252">
        <f t="shared" si="81"/>
        <v>2.6029058911047537E-2</v>
      </c>
      <c r="BR17" s="252">
        <f t="shared" ref="BR17:BR26" si="95">BF17/$BF$7</f>
        <v>3.0271955877906327E-2</v>
      </c>
      <c r="BS17" s="252">
        <f t="shared" si="89"/>
        <v>4.2428969668587904E-3</v>
      </c>
    </row>
    <row r="18" spans="1:71" x14ac:dyDescent="0.4">
      <c r="A18" s="233" t="s">
        <v>2762</v>
      </c>
      <c r="B18" s="233" t="s">
        <v>2861</v>
      </c>
      <c r="D18" s="260">
        <f>+'PL（org）'!G18</f>
        <v>9.4450000000000003</v>
      </c>
      <c r="E18" s="260">
        <f>(11592+309310)/1000</f>
        <v>320.90199999999999</v>
      </c>
      <c r="F18" s="260">
        <f>(20419+321745)/1000</f>
        <v>342.16399999999999</v>
      </c>
      <c r="G18" s="260">
        <f>(13702+379947)/1000</f>
        <v>393.649</v>
      </c>
      <c r="H18" s="260">
        <f>PL!J100</f>
        <v>431.53899999999999</v>
      </c>
      <c r="I18" s="260">
        <f>PL!K100</f>
        <v>452.16899999999998</v>
      </c>
      <c r="J18" s="260">
        <f>PL!L100</f>
        <v>318.13200000000001</v>
      </c>
      <c r="K18" s="260">
        <f>PL!M100</f>
        <v>496.19</v>
      </c>
      <c r="L18" s="260">
        <f>PL!N100</f>
        <v>562.96500000000003</v>
      </c>
      <c r="M18" s="260">
        <f>PL!O100</f>
        <v>891.68000000000006</v>
      </c>
      <c r="N18" s="260">
        <f>PL!P100</f>
        <v>1047.645</v>
      </c>
      <c r="O18" s="260">
        <f>PL!Q100</f>
        <v>1372.797</v>
      </c>
      <c r="P18" s="260">
        <f>PL!R100</f>
        <v>2581.5209999999997</v>
      </c>
      <c r="Q18" s="260">
        <f>PL!S100</f>
        <v>1152.0540000000001</v>
      </c>
      <c r="R18" s="260">
        <f>PL!T100</f>
        <v>609.13000000000011</v>
      </c>
      <c r="S18" s="260">
        <f>PL!U100</f>
        <v>944.50800000000004</v>
      </c>
      <c r="T18" s="260">
        <f>PL!V100</f>
        <v>828.31200000000001</v>
      </c>
      <c r="U18" s="260">
        <f>PL!W100</f>
        <v>858.47699999999998</v>
      </c>
      <c r="V18" s="254">
        <f t="shared" si="82"/>
        <v>3.6417436907831835E-2</v>
      </c>
      <c r="W18" s="255"/>
      <c r="Y18" s="260">
        <v>4.899</v>
      </c>
      <c r="Z18" s="260">
        <f>D18-Y18</f>
        <v>4.5460000000000003</v>
      </c>
      <c r="AA18" s="260">
        <v>3.55</v>
      </c>
      <c r="AB18" s="260">
        <f>E18-AA18</f>
        <v>317.35199999999998</v>
      </c>
      <c r="AC18" s="260">
        <f>(9546+203667)/1000</f>
        <v>213.21299999999999</v>
      </c>
      <c r="AD18" s="260">
        <f>F18-AC18</f>
        <v>128.95099999999999</v>
      </c>
      <c r="AE18" s="260">
        <f>(8241+220120)/1000</f>
        <v>228.36099999999999</v>
      </c>
      <c r="AF18" s="260">
        <f>G18-AE18</f>
        <v>165.28800000000001</v>
      </c>
      <c r="AG18" s="260">
        <f>6.965+225.999</f>
        <v>232.964</v>
      </c>
      <c r="AH18" s="260">
        <f>H18-AG18</f>
        <v>198.57499999999999</v>
      </c>
      <c r="AI18" s="260">
        <f>(226290+7607)/1000</f>
        <v>233.89699999999999</v>
      </c>
      <c r="AJ18" s="260">
        <f>(I18-AI18)</f>
        <v>218.27199999999999</v>
      </c>
      <c r="AK18" s="260">
        <f>(171639+13757)/1000</f>
        <v>185.39599999999999</v>
      </c>
      <c r="AL18" s="260">
        <f>J18-AK18</f>
        <v>132.73600000000002</v>
      </c>
      <c r="AM18" s="260">
        <f>167.906+12.766</f>
        <v>180.672</v>
      </c>
      <c r="AN18" s="256">
        <f>K18-AM18</f>
        <v>315.51800000000003</v>
      </c>
      <c r="AO18" s="256">
        <f>239.963+9.197</f>
        <v>249.16</v>
      </c>
      <c r="AP18" s="256">
        <f t="shared" si="68"/>
        <v>313.80500000000006</v>
      </c>
      <c r="AQ18" s="256">
        <f>416.36+85.309</f>
        <v>501.66899999999998</v>
      </c>
      <c r="AR18" s="256">
        <f t="shared" si="69"/>
        <v>390.01100000000008</v>
      </c>
      <c r="AS18" s="256">
        <f>384.923-11.816</f>
        <v>373.10700000000003</v>
      </c>
      <c r="AT18" s="256">
        <f t="shared" si="70"/>
        <v>674.53800000000001</v>
      </c>
      <c r="AU18" s="256">
        <f>SUM(AU19:AU20)</f>
        <v>928.4860000000001</v>
      </c>
      <c r="AV18" s="256">
        <f t="shared" si="71"/>
        <v>444.31099999999992</v>
      </c>
      <c r="AW18" s="256">
        <f>SUM(AW19:AW20)</f>
        <v>642.03700000000003</v>
      </c>
      <c r="AX18" s="256">
        <f t="shared" si="72"/>
        <v>1939.4839999999997</v>
      </c>
      <c r="AY18" s="256">
        <f>SUM(AY19:AY20)</f>
        <v>653.745</v>
      </c>
      <c r="AZ18" s="256">
        <f t="shared" si="73"/>
        <v>498.30900000000008</v>
      </c>
      <c r="BA18" s="256">
        <f>SUM(BA19:BA20)</f>
        <v>314.334</v>
      </c>
      <c r="BB18" s="256">
        <f t="shared" si="74"/>
        <v>294.79600000000011</v>
      </c>
      <c r="BC18" s="256">
        <f>SUM(BC19:BC20)</f>
        <v>518.54499999999996</v>
      </c>
      <c r="BD18" s="256">
        <f t="shared" si="75"/>
        <v>425.96300000000008</v>
      </c>
      <c r="BE18" s="256">
        <f>SUM(BE19:BE20)</f>
        <v>610.68099999999993</v>
      </c>
      <c r="BF18" s="256">
        <f t="shared" si="83"/>
        <v>217.63100000000009</v>
      </c>
      <c r="BG18" s="256">
        <f>SUM(BG19:BG20)</f>
        <v>845.73399999999992</v>
      </c>
      <c r="BH18" s="256">
        <f t="shared" si="94"/>
        <v>12.743000000000052</v>
      </c>
      <c r="BI18" s="254">
        <f t="shared" si="84"/>
        <v>-0.94144676080153999</v>
      </c>
      <c r="BJ18" s="254">
        <f t="shared" si="85"/>
        <v>-0.98493261474648053</v>
      </c>
      <c r="BK18" s="264"/>
      <c r="BL18" s="252">
        <f t="shared" si="76"/>
        <v>3.3711028410638111E-2</v>
      </c>
      <c r="BM18" s="252">
        <f t="shared" si="77"/>
        <v>2.2928172425347657E-2</v>
      </c>
      <c r="BN18" s="252">
        <f t="shared" si="78"/>
        <v>1.797435362492765E-2</v>
      </c>
      <c r="BO18" s="252">
        <f t="shared" si="79"/>
        <v>5.841492930783343E-3</v>
      </c>
      <c r="BP18" s="252">
        <f t="shared" si="80"/>
        <v>9.4091508017533857E-3</v>
      </c>
      <c r="BQ18" s="252">
        <f t="shared" si="81"/>
        <v>1.0795562993398166E-2</v>
      </c>
      <c r="BR18" s="252">
        <f t="shared" si="95"/>
        <v>4.4637775235446125E-3</v>
      </c>
      <c r="BS18" s="252">
        <f t="shared" si="89"/>
        <v>-6.3317854698535531E-3</v>
      </c>
    </row>
    <row r="19" spans="1:71" x14ac:dyDescent="0.4">
      <c r="A19" s="259" t="s">
        <v>2763</v>
      </c>
      <c r="B19" s="259" t="s">
        <v>1888</v>
      </c>
      <c r="D19" s="260"/>
      <c r="E19" s="260"/>
      <c r="F19" s="260"/>
      <c r="G19" s="260"/>
      <c r="H19" s="260"/>
      <c r="I19" s="260"/>
      <c r="J19" s="260"/>
      <c r="K19" s="260"/>
      <c r="L19" s="260" t="s">
        <v>201</v>
      </c>
      <c r="M19" s="260">
        <f>'PL（org）'!P17</f>
        <v>731.38</v>
      </c>
      <c r="N19" s="260">
        <f>'PL（org）'!Q17</f>
        <v>705.024</v>
      </c>
      <c r="O19" s="260">
        <f>'PL（org）'!R17</f>
        <v>452.654</v>
      </c>
      <c r="P19" s="260">
        <f>'PL（org）'!S17</f>
        <v>701.94399999999996</v>
      </c>
      <c r="Q19" s="260">
        <f>'PL（org）'!T17</f>
        <v>369.24599999999998</v>
      </c>
      <c r="R19" s="260">
        <f>'PL（org）'!U17</f>
        <v>275.19600000000003</v>
      </c>
      <c r="S19" s="260">
        <f>'PL（org）'!V17</f>
        <v>629.96900000000005</v>
      </c>
      <c r="T19" s="260">
        <f>'PL（org）'!W17</f>
        <v>583.49900000000002</v>
      </c>
      <c r="U19" s="260">
        <f>'PL（org）'!X17</f>
        <v>846.40899999999999</v>
      </c>
      <c r="V19" s="254">
        <f t="shared" si="82"/>
        <v>0.45057489387299721</v>
      </c>
      <c r="W19" s="255"/>
      <c r="Y19" s="260"/>
      <c r="Z19" s="260"/>
      <c r="AA19" s="260"/>
      <c r="AB19" s="260"/>
      <c r="AC19" s="260"/>
      <c r="AD19" s="260"/>
      <c r="AE19" s="260"/>
      <c r="AF19" s="260"/>
      <c r="AG19" s="260"/>
      <c r="AH19" s="260"/>
      <c r="AI19" s="260"/>
      <c r="AJ19" s="260"/>
      <c r="AK19" s="260"/>
      <c r="AL19" s="260"/>
      <c r="AM19" s="260"/>
      <c r="AN19" s="256"/>
      <c r="AO19" s="256"/>
      <c r="AP19" s="256"/>
      <c r="AQ19" s="256"/>
      <c r="AR19" s="256"/>
      <c r="AS19" s="256">
        <v>384.923</v>
      </c>
      <c r="AT19" s="256">
        <f t="shared" si="70"/>
        <v>320.101</v>
      </c>
      <c r="AU19" s="256">
        <v>320.19499999999999</v>
      </c>
      <c r="AV19" s="256">
        <f t="shared" si="71"/>
        <v>132.459</v>
      </c>
      <c r="AW19" s="256">
        <v>112.16200000000001</v>
      </c>
      <c r="AX19" s="256">
        <f t="shared" si="72"/>
        <v>589.78199999999993</v>
      </c>
      <c r="AY19" s="256">
        <v>219.81700000000001</v>
      </c>
      <c r="AZ19" s="256">
        <f t="shared" si="73"/>
        <v>149.42899999999997</v>
      </c>
      <c r="BA19" s="256">
        <v>89.600999999999999</v>
      </c>
      <c r="BB19" s="256">
        <f t="shared" si="74"/>
        <v>185.59500000000003</v>
      </c>
      <c r="BC19" s="256">
        <v>345.238</v>
      </c>
      <c r="BD19" s="256">
        <f t="shared" si="75"/>
        <v>284.73100000000005</v>
      </c>
      <c r="BE19" s="256">
        <v>605.70899999999995</v>
      </c>
      <c r="BF19" s="256">
        <f t="shared" si="83"/>
        <v>-22.209999999999923</v>
      </c>
      <c r="BG19" s="256">
        <v>798.78</v>
      </c>
      <c r="BH19" s="256">
        <f t="shared" si="94"/>
        <v>47.629000000000019</v>
      </c>
      <c r="BI19" s="254">
        <f t="shared" si="84"/>
        <v>-3.1444844664565594</v>
      </c>
      <c r="BJ19" s="254">
        <f t="shared" si="85"/>
        <v>-0.94037281854828614</v>
      </c>
      <c r="BK19" s="258"/>
      <c r="BL19" s="252">
        <f t="shared" si="76"/>
        <v>1.162548788236362E-2</v>
      </c>
      <c r="BM19" s="252">
        <f t="shared" si="77"/>
        <v>4.0054851598456849E-3</v>
      </c>
      <c r="BN19" s="252">
        <f t="shared" si="78"/>
        <v>6.0437456359447818E-3</v>
      </c>
      <c r="BO19" s="252">
        <f t="shared" si="79"/>
        <v>1.6651192937802411E-3</v>
      </c>
      <c r="BP19" s="252">
        <f t="shared" si="80"/>
        <v>6.2644445602517349E-3</v>
      </c>
      <c r="BQ19" s="252">
        <f t="shared" si="81"/>
        <v>1.0707668431092845E-2</v>
      </c>
      <c r="BR19" s="252">
        <f t="shared" si="95"/>
        <v>-4.5554401164321932E-4</v>
      </c>
      <c r="BS19" s="252">
        <f t="shared" si="89"/>
        <v>-1.1163212442736065E-2</v>
      </c>
    </row>
    <row r="20" spans="1:71" x14ac:dyDescent="0.4">
      <c r="A20" s="259" t="s">
        <v>2764</v>
      </c>
      <c r="B20" s="259" t="s">
        <v>1887</v>
      </c>
      <c r="D20" s="260"/>
      <c r="E20" s="260"/>
      <c r="F20" s="260"/>
      <c r="G20" s="260"/>
      <c r="H20" s="260"/>
      <c r="I20" s="260"/>
      <c r="J20" s="260"/>
      <c r="K20" s="260"/>
      <c r="L20" s="260" t="s">
        <v>201</v>
      </c>
      <c r="M20" s="260">
        <f>'PL（org）'!P18</f>
        <v>160.30000000000001</v>
      </c>
      <c r="N20" s="260">
        <f>'PL（org）'!Q18</f>
        <v>342.62099999999998</v>
      </c>
      <c r="O20" s="260">
        <f>'PL（org）'!R18</f>
        <v>920.14300000000003</v>
      </c>
      <c r="P20" s="260">
        <f>'PL（org）'!S18</f>
        <v>1879.577</v>
      </c>
      <c r="Q20" s="260">
        <f>'PL（org）'!T18</f>
        <v>782.80799999999999</v>
      </c>
      <c r="R20" s="260">
        <f>'PL（org）'!U18</f>
        <v>333.93400000000003</v>
      </c>
      <c r="S20" s="260">
        <f>'PL（org）'!V18</f>
        <v>314.53899999999999</v>
      </c>
      <c r="T20" s="260">
        <f>'PL（org）'!W18</f>
        <v>244.81299999999999</v>
      </c>
      <c r="U20" s="260">
        <f>'PL（org）'!X18</f>
        <v>12.068</v>
      </c>
      <c r="V20" s="254">
        <f t="shared" si="82"/>
        <v>-0.95070523215678904</v>
      </c>
      <c r="W20" s="255"/>
      <c r="Y20" s="260"/>
      <c r="Z20" s="260"/>
      <c r="AA20" s="260"/>
      <c r="AB20" s="260"/>
      <c r="AC20" s="260"/>
      <c r="AD20" s="260"/>
      <c r="AE20" s="260"/>
      <c r="AF20" s="260"/>
      <c r="AG20" s="260"/>
      <c r="AH20" s="260"/>
      <c r="AI20" s="260"/>
      <c r="AJ20" s="260"/>
      <c r="AK20" s="260"/>
      <c r="AL20" s="260"/>
      <c r="AM20" s="260"/>
      <c r="AN20" s="256"/>
      <c r="AO20" s="256"/>
      <c r="AP20" s="256"/>
      <c r="AQ20" s="256"/>
      <c r="AR20" s="256"/>
      <c r="AS20" s="256">
        <v>-11.816000000000001</v>
      </c>
      <c r="AT20" s="256">
        <f t="shared" si="70"/>
        <v>354.43699999999995</v>
      </c>
      <c r="AU20" s="256">
        <v>608.29100000000005</v>
      </c>
      <c r="AV20" s="256">
        <f t="shared" si="71"/>
        <v>311.85199999999998</v>
      </c>
      <c r="AW20" s="256">
        <v>529.875</v>
      </c>
      <c r="AX20" s="256">
        <f t="shared" si="72"/>
        <v>1349.702</v>
      </c>
      <c r="AY20" s="256">
        <v>433.928</v>
      </c>
      <c r="AZ20" s="256">
        <f t="shared" si="73"/>
        <v>348.88</v>
      </c>
      <c r="BA20" s="256">
        <v>224.733</v>
      </c>
      <c r="BB20" s="256">
        <f t="shared" si="74"/>
        <v>109.20100000000002</v>
      </c>
      <c r="BC20" s="256">
        <v>173.30699999999999</v>
      </c>
      <c r="BD20" s="256">
        <f t="shared" si="75"/>
        <v>141.232</v>
      </c>
      <c r="BE20" s="256">
        <v>4.9720000000000004</v>
      </c>
      <c r="BF20" s="256">
        <f t="shared" si="83"/>
        <v>239.84099999999998</v>
      </c>
      <c r="BG20" s="256">
        <v>46.954000000000001</v>
      </c>
      <c r="BH20" s="256">
        <f t="shared" si="94"/>
        <v>-34.886000000000003</v>
      </c>
      <c r="BI20" s="254">
        <f t="shared" si="84"/>
        <v>-1.1454546970701422</v>
      </c>
      <c r="BJ20" s="254">
        <f t="shared" si="85"/>
        <v>-1.7429824935042808</v>
      </c>
      <c r="BK20" s="258"/>
      <c r="BL20" s="252">
        <f t="shared" si="76"/>
        <v>2.2085540528274487E-2</v>
      </c>
      <c r="BM20" s="252">
        <f t="shared" si="77"/>
        <v>1.8922687265501972E-2</v>
      </c>
      <c r="BN20" s="252">
        <f t="shared" si="78"/>
        <v>1.1930607988982869E-2</v>
      </c>
      <c r="BO20" s="252">
        <f t="shared" si="79"/>
        <v>4.1763736370031019E-3</v>
      </c>
      <c r="BP20" s="252">
        <f t="shared" si="80"/>
        <v>3.1447062415016522E-3</v>
      </c>
      <c r="BQ20" s="252">
        <f t="shared" si="81"/>
        <v>8.7894562305320927E-5</v>
      </c>
      <c r="BR20" s="252">
        <f t="shared" si="95"/>
        <v>4.9193215351878315E-3</v>
      </c>
      <c r="BS20" s="252">
        <f t="shared" si="89"/>
        <v>4.8314269728825104E-3</v>
      </c>
    </row>
    <row r="21" spans="1:71" s="246" customFormat="1" x14ac:dyDescent="0.4">
      <c r="A21" s="246" t="s">
        <v>2765</v>
      </c>
      <c r="B21" s="246" t="s">
        <v>1982</v>
      </c>
      <c r="D21" s="265">
        <f t="shared" ref="D21:I21" si="96">+D9+D10-D14-D15+D16-D17+D18</f>
        <v>615.18299999999999</v>
      </c>
      <c r="E21" s="265">
        <f t="shared" si="96"/>
        <v>800.87099999999998</v>
      </c>
      <c r="F21" s="265">
        <f t="shared" si="96"/>
        <v>1333.4669999999996</v>
      </c>
      <c r="G21" s="265">
        <f t="shared" si="96"/>
        <v>1844.3009999999999</v>
      </c>
      <c r="H21" s="265">
        <f t="shared" si="96"/>
        <v>2704.0480000000007</v>
      </c>
      <c r="I21" s="265">
        <f t="shared" si="96"/>
        <v>3173.7580000000003</v>
      </c>
      <c r="J21" s="265">
        <f>PL!L103</f>
        <v>4047.5939999999964</v>
      </c>
      <c r="K21" s="265">
        <f>PL!M103</f>
        <v>5132.2449999999981</v>
      </c>
      <c r="L21" s="265">
        <f>PL!N103</f>
        <v>6011.7200000000048</v>
      </c>
      <c r="M21" s="265">
        <f t="shared" ref="M21:R21" si="97">M9+M10-M13-M17+M18</f>
        <v>6789.9659999999994</v>
      </c>
      <c r="N21" s="265">
        <f t="shared" si="97"/>
        <v>6205.5050000000028</v>
      </c>
      <c r="O21" s="265">
        <f t="shared" si="97"/>
        <v>7284.4710000000014</v>
      </c>
      <c r="P21" s="265">
        <f t="shared" si="97"/>
        <v>8244.4759999999987</v>
      </c>
      <c r="Q21" s="265">
        <f t="shared" si="97"/>
        <v>9385.1779999999999</v>
      </c>
      <c r="R21" s="265">
        <f t="shared" si="97"/>
        <v>10778.684999999994</v>
      </c>
      <c r="S21" s="265">
        <f t="shared" ref="S21:T21" si="98">S9+S10-S13-S17+S18</f>
        <v>12103.547000000004</v>
      </c>
      <c r="T21" s="265">
        <f t="shared" si="98"/>
        <v>11839.239</v>
      </c>
      <c r="U21" s="265">
        <f t="shared" ref="U21" si="99">U9+U10-U13-U17+U18</f>
        <v>11967.471999999998</v>
      </c>
      <c r="V21" s="249">
        <f t="shared" si="82"/>
        <v>1.0831186024709671E-2</v>
      </c>
      <c r="W21" s="250"/>
      <c r="X21" s="250"/>
      <c r="Y21" s="265">
        <f>+Y9+Y11+Y12-Y14-Y15+Y16-Y17+Y18</f>
        <v>311.00199999999973</v>
      </c>
      <c r="Z21" s="265">
        <f>+Z9+Z11+Z12-Z14-Z15+Z16-Z17+Z18</f>
        <v>304.18100000000032</v>
      </c>
      <c r="AA21" s="265">
        <f>+AA9+AA11+AA12-AA14-AA15+AA16-AA17+AA18</f>
        <v>334.99900000000031</v>
      </c>
      <c r="AB21" s="265">
        <f>+AB9+AB11+AB12-AB14-AB15+AB16-AB17+AB18</f>
        <v>465.87199999999916</v>
      </c>
      <c r="AC21" s="265">
        <v>581.13099999999997</v>
      </c>
      <c r="AD21" s="265">
        <f>F21-AC21</f>
        <v>752.33599999999967</v>
      </c>
      <c r="AE21" s="265">
        <v>714.01300000000003</v>
      </c>
      <c r="AF21" s="265">
        <f>G21-AE21</f>
        <v>1130.288</v>
      </c>
      <c r="AG21" s="265">
        <v>1073.08</v>
      </c>
      <c r="AH21" s="265">
        <f>H21-AG21</f>
        <v>1630.9680000000008</v>
      </c>
      <c r="AI21" s="265">
        <v>1398.713</v>
      </c>
      <c r="AJ21" s="265">
        <f>(I21-AI21)</f>
        <v>1775.0450000000003</v>
      </c>
      <c r="AK21" s="265">
        <v>1763.5429999999999</v>
      </c>
      <c r="AL21" s="265">
        <f>J21-AK21</f>
        <v>2284.0509999999967</v>
      </c>
      <c r="AM21" s="265">
        <f>AM9+AM10-AM13-AM17+AM18</f>
        <v>2226.5149999999999</v>
      </c>
      <c r="AN21" s="242">
        <f>K21-AM21</f>
        <v>2905.7299999999982</v>
      </c>
      <c r="AO21" s="242">
        <f>AO9+AO10-AO13-AO17+AO18</f>
        <v>2676.5230000000001</v>
      </c>
      <c r="AP21" s="242">
        <f>L21-AO21</f>
        <v>3335.1970000000047</v>
      </c>
      <c r="AQ21" s="242">
        <v>3175.9349999999999</v>
      </c>
      <c r="AR21" s="242">
        <f>M21-AQ21</f>
        <v>3614.0309999999995</v>
      </c>
      <c r="AS21" s="265">
        <f t="shared" ref="AS21:BA21" si="100">AS9+AS10-AS13-AS17+AS18</f>
        <v>3296.4690000000001</v>
      </c>
      <c r="AT21" s="265">
        <f t="shared" si="100"/>
        <v>2909.0360000000019</v>
      </c>
      <c r="AU21" s="242">
        <f t="shared" si="100"/>
        <v>3721.692</v>
      </c>
      <c r="AV21" s="242">
        <f t="shared" si="100"/>
        <v>3562.7790000000014</v>
      </c>
      <c r="AW21" s="242">
        <f t="shared" si="100"/>
        <v>3948.7700000000004</v>
      </c>
      <c r="AX21" s="242">
        <f t="shared" si="100"/>
        <v>4295.7059999999992</v>
      </c>
      <c r="AY21" s="242">
        <f t="shared" si="100"/>
        <v>4802.799</v>
      </c>
      <c r="AZ21" s="242">
        <f t="shared" si="100"/>
        <v>4582.3790000000026</v>
      </c>
      <c r="BA21" s="242">
        <f t="shared" si="100"/>
        <v>5565.396999999999</v>
      </c>
      <c r="BB21" s="242">
        <f t="shared" si="74"/>
        <v>5213.287999999995</v>
      </c>
      <c r="BC21" s="242">
        <f t="shared" ref="BC21:BE21" si="101">BC9+BC10-BC13-BC17+BC18</f>
        <v>6362.4109999999991</v>
      </c>
      <c r="BD21" s="242">
        <f t="shared" si="75"/>
        <v>5741.136000000005</v>
      </c>
      <c r="BE21" s="242">
        <f t="shared" si="101"/>
        <v>6797.2160000000003</v>
      </c>
      <c r="BF21" s="242">
        <f t="shared" si="83"/>
        <v>5042.0229999999992</v>
      </c>
      <c r="BG21" s="242">
        <f t="shared" ref="BG21" si="102">BG9+BG10-BG13-BG17+BG18</f>
        <v>7151.4619999999995</v>
      </c>
      <c r="BH21" s="242">
        <f t="shared" si="94"/>
        <v>4816.0099999999984</v>
      </c>
      <c r="BI21" s="249">
        <f>BH21/BF21-1</f>
        <v>-4.4825856605572922E-2</v>
      </c>
      <c r="BJ21" s="249">
        <f t="shared" si="85"/>
        <v>-0.32656986781164488</v>
      </c>
      <c r="BK21" s="264"/>
      <c r="BL21" s="266">
        <f t="shared" si="76"/>
        <v>0.13512542434419533</v>
      </c>
      <c r="BM21" s="266">
        <f t="shared" si="77"/>
        <v>0.14101691869477939</v>
      </c>
      <c r="BN21" s="266">
        <f t="shared" si="78"/>
        <v>0.13205027589572216</v>
      </c>
      <c r="BO21" s="266">
        <f t="shared" si="79"/>
        <v>0.10342574214848797</v>
      </c>
      <c r="BP21" s="266">
        <f t="shared" si="80"/>
        <v>0.1154478098559133</v>
      </c>
      <c r="BQ21" s="266">
        <f t="shared" si="81"/>
        <v>0.12016056420247874</v>
      </c>
      <c r="BR21" s="266">
        <f t="shared" si="95"/>
        <v>0.10341573094180041</v>
      </c>
      <c r="BS21" s="266">
        <f t="shared" si="89"/>
        <v>-1.6744833260678327E-2</v>
      </c>
    </row>
    <row r="22" spans="1:71" x14ac:dyDescent="0.4">
      <c r="A22" s="233" t="s">
        <v>2766</v>
      </c>
      <c r="B22" s="233" t="s">
        <v>1981</v>
      </c>
      <c r="D22" s="260">
        <f>-'PL（org）'!G23</f>
        <v>66.275999999999996</v>
      </c>
      <c r="E22" s="260">
        <v>72.39</v>
      </c>
      <c r="F22" s="260">
        <v>213.21799999999999</v>
      </c>
      <c r="G22" s="260">
        <v>334.12200000000001</v>
      </c>
      <c r="H22" s="260">
        <f>PL!J105</f>
        <v>-404.89600000000002</v>
      </c>
      <c r="I22" s="260">
        <f>PL!K105</f>
        <v>503.07100000000003</v>
      </c>
      <c r="J22" s="260">
        <f>PL!L105</f>
        <v>659.71600000000001</v>
      </c>
      <c r="K22" s="260">
        <f>PL!M105</f>
        <v>659.56200000000001</v>
      </c>
      <c r="L22" s="260">
        <f>PL!N105</f>
        <v>1004.504</v>
      </c>
      <c r="M22" s="260">
        <f>PL!O105</f>
        <v>1255.662</v>
      </c>
      <c r="N22" s="260">
        <f>PL!P105</f>
        <v>1648.8720000000001</v>
      </c>
      <c r="O22" s="260">
        <f>PL!Q105</f>
        <v>1560.8910000000001</v>
      </c>
      <c r="P22" s="260">
        <f>PL!R105</f>
        <v>1760.3019999999999</v>
      </c>
      <c r="Q22" s="260">
        <f>PL!S105</f>
        <v>1949.2940000000001</v>
      </c>
      <c r="R22" s="260">
        <f>PL!T105</f>
        <v>2309.221</v>
      </c>
      <c r="S22" s="260">
        <f>PL!U105</f>
        <v>2390.5990000000002</v>
      </c>
      <c r="T22" s="260">
        <f>PL!V105</f>
        <v>2618.9569999999999</v>
      </c>
      <c r="U22" s="260">
        <f>PL!W105</f>
        <v>2962.098</v>
      </c>
      <c r="V22" s="254">
        <f t="shared" si="82"/>
        <v>0.13102200608868353</v>
      </c>
      <c r="W22" s="260"/>
      <c r="Y22" s="260">
        <v>23.814</v>
      </c>
      <c r="Z22" s="260">
        <f>D22-Y22</f>
        <v>42.461999999999996</v>
      </c>
      <c r="AA22" s="260">
        <v>31.648</v>
      </c>
      <c r="AB22" s="260">
        <f>E22-AA22</f>
        <v>40.742000000000004</v>
      </c>
      <c r="AC22" s="260">
        <v>73.227999999999994</v>
      </c>
      <c r="AD22" s="260">
        <f>F22-AC22</f>
        <v>139.99</v>
      </c>
      <c r="AE22" s="260">
        <v>62.74</v>
      </c>
      <c r="AF22" s="260">
        <f>G22-AE22</f>
        <v>271.38200000000001</v>
      </c>
      <c r="AG22" s="260">
        <v>183.63399999999999</v>
      </c>
      <c r="AH22" s="260">
        <f>H22-AG22</f>
        <v>-588.53</v>
      </c>
      <c r="AI22" s="260">
        <v>238.822</v>
      </c>
      <c r="AJ22" s="260">
        <f>(I22-AI22)</f>
        <v>264.24900000000002</v>
      </c>
      <c r="AK22" s="260">
        <v>315.75599999999997</v>
      </c>
      <c r="AL22" s="260">
        <f>J22-AK22</f>
        <v>343.96000000000004</v>
      </c>
      <c r="AM22" s="260">
        <v>353.81799999999998</v>
      </c>
      <c r="AN22" s="256">
        <f>K22-AM22</f>
        <v>305.74400000000003</v>
      </c>
      <c r="AO22" s="256">
        <v>433.02800000000002</v>
      </c>
      <c r="AP22" s="256">
        <f>L22-AO22</f>
        <v>571.476</v>
      </c>
      <c r="AQ22" s="256">
        <v>641.4</v>
      </c>
      <c r="AR22" s="256">
        <f>M22-AQ22</f>
        <v>614.26200000000006</v>
      </c>
      <c r="AS22" s="256">
        <v>753.20500000000004</v>
      </c>
      <c r="AT22" s="256">
        <f>N22-AS22</f>
        <v>895.66700000000003</v>
      </c>
      <c r="AU22" s="256">
        <v>706.92399999999998</v>
      </c>
      <c r="AV22" s="256">
        <f>O22-AU22</f>
        <v>853.9670000000001</v>
      </c>
      <c r="AW22" s="256">
        <v>801.34400000000005</v>
      </c>
      <c r="AX22" s="256">
        <f>P22-AW22</f>
        <v>958.95799999999986</v>
      </c>
      <c r="AY22" s="256">
        <v>1004.769</v>
      </c>
      <c r="AZ22" s="256">
        <f>Q22-AY22</f>
        <v>944.52500000000009</v>
      </c>
      <c r="BA22" s="256">
        <v>1047.28</v>
      </c>
      <c r="BB22" s="256">
        <f t="shared" si="74"/>
        <v>1261.941</v>
      </c>
      <c r="BC22" s="256">
        <v>1227.557</v>
      </c>
      <c r="BD22" s="256">
        <f t="shared" si="75"/>
        <v>1163.0420000000001</v>
      </c>
      <c r="BE22" s="256">
        <v>1430.3430000000001</v>
      </c>
      <c r="BF22" s="256">
        <f t="shared" si="83"/>
        <v>1188.6139999999998</v>
      </c>
      <c r="BG22" s="256">
        <v>1642.57</v>
      </c>
      <c r="BH22" s="256">
        <f t="shared" si="94"/>
        <v>1319.528</v>
      </c>
      <c r="BI22" s="254">
        <f t="shared" si="84"/>
        <v>0.1101400454647179</v>
      </c>
      <c r="BJ22" s="254">
        <f t="shared" si="85"/>
        <v>-0.19666863512666122</v>
      </c>
      <c r="BK22" s="258"/>
      <c r="BL22" s="252">
        <f t="shared" si="76"/>
        <v>2.5666660615412545E-2</v>
      </c>
      <c r="BM22" s="252">
        <f t="shared" si="77"/>
        <v>2.8617281253288818E-2</v>
      </c>
      <c r="BN22" s="252">
        <f t="shared" si="78"/>
        <v>2.7625562440041499E-2</v>
      </c>
      <c r="BO22" s="252">
        <f t="shared" si="79"/>
        <v>1.9462351245970143E-2</v>
      </c>
      <c r="BP22" s="252">
        <f t="shared" si="80"/>
        <v>2.2274381067695151E-2</v>
      </c>
      <c r="BQ22" s="252">
        <f t="shared" si="81"/>
        <v>2.5285473035293573E-2</v>
      </c>
      <c r="BR22" s="252">
        <f t="shared" si="95"/>
        <v>2.4379378201499113E-2</v>
      </c>
      <c r="BS22" s="252">
        <f t="shared" si="89"/>
        <v>-9.0609483379446021E-4</v>
      </c>
    </row>
    <row r="23" spans="1:71" x14ac:dyDescent="0.4">
      <c r="A23" s="233" t="s">
        <v>2767</v>
      </c>
      <c r="B23" s="233" t="s">
        <v>2602</v>
      </c>
      <c r="D23" s="260"/>
      <c r="E23" s="260"/>
      <c r="F23" s="260"/>
      <c r="G23" s="260"/>
      <c r="H23" s="260"/>
      <c r="I23" s="260"/>
      <c r="J23" s="260"/>
      <c r="K23" s="260"/>
      <c r="L23" s="260">
        <v>0</v>
      </c>
      <c r="M23" s="260">
        <v>0</v>
      </c>
      <c r="N23" s="260">
        <f>PL!P107</f>
        <v>17</v>
      </c>
      <c r="O23" s="260">
        <f>PL!Q107</f>
        <v>260.166</v>
      </c>
      <c r="P23" s="260">
        <f>PL!R107</f>
        <v>407.24599999999998</v>
      </c>
      <c r="Q23" s="260">
        <f>PL!S107</f>
        <v>465.13200000000001</v>
      </c>
      <c r="R23" s="260">
        <f>PL!T107</f>
        <v>295.82400000000001</v>
      </c>
      <c r="S23" s="260">
        <f>PL!U107</f>
        <v>304.78800000000001</v>
      </c>
      <c r="T23" s="260">
        <f>PL!V107</f>
        <v>339.29700000000003</v>
      </c>
      <c r="U23" s="260">
        <f>PL!W107</f>
        <v>228.80799999999999</v>
      </c>
      <c r="V23" s="254">
        <f t="shared" si="82"/>
        <v>-0.32564095762709377</v>
      </c>
      <c r="W23" s="260"/>
      <c r="Y23" s="260"/>
      <c r="Z23" s="260"/>
      <c r="AA23" s="260"/>
      <c r="AB23" s="260"/>
      <c r="AC23" s="260"/>
      <c r="AD23" s="260"/>
      <c r="AE23" s="260"/>
      <c r="AF23" s="260"/>
      <c r="AG23" s="260"/>
      <c r="AH23" s="260"/>
      <c r="AI23" s="260"/>
      <c r="AJ23" s="260"/>
      <c r="AK23" s="260"/>
      <c r="AL23" s="260"/>
      <c r="AM23" s="260"/>
      <c r="AN23" s="256"/>
      <c r="AO23" s="256"/>
      <c r="AP23" s="256"/>
      <c r="AQ23" s="256"/>
      <c r="AR23" s="256"/>
      <c r="AS23" s="256">
        <v>0</v>
      </c>
      <c r="AT23" s="256">
        <f>N23-AS23</f>
        <v>17</v>
      </c>
      <c r="AU23" s="256">
        <v>124.095</v>
      </c>
      <c r="AV23" s="256">
        <f>O23-AU23</f>
        <v>136.071</v>
      </c>
      <c r="AW23" s="256">
        <v>202.4</v>
      </c>
      <c r="AX23" s="256">
        <f>P23-AW23</f>
        <v>204.84599999999998</v>
      </c>
      <c r="AY23" s="256">
        <v>210.75200000000001</v>
      </c>
      <c r="AZ23" s="256">
        <f>Q23-AY23</f>
        <v>254.38</v>
      </c>
      <c r="BA23" s="256">
        <v>146.95400000000001</v>
      </c>
      <c r="BB23" s="256">
        <f t="shared" si="74"/>
        <v>148.87</v>
      </c>
      <c r="BC23" s="256">
        <v>147.09399999999999</v>
      </c>
      <c r="BD23" s="256">
        <f t="shared" si="75"/>
        <v>157.69400000000002</v>
      </c>
      <c r="BE23" s="256">
        <v>169.88</v>
      </c>
      <c r="BF23" s="256">
        <f t="shared" si="83"/>
        <v>169.41700000000003</v>
      </c>
      <c r="BG23" s="256">
        <v>114.321</v>
      </c>
      <c r="BH23" s="256">
        <f t="shared" si="94"/>
        <v>114.48699999999999</v>
      </c>
      <c r="BI23" s="254">
        <f t="shared" si="84"/>
        <v>-0.32422956373917622</v>
      </c>
      <c r="BJ23" s="254">
        <f t="shared" si="85"/>
        <v>1.452051679044164E-3</v>
      </c>
      <c r="BK23" s="258"/>
      <c r="BL23" s="252">
        <f t="shared" si="76"/>
        <v>4.5055822819279299E-3</v>
      </c>
      <c r="BM23" s="252">
        <f t="shared" si="77"/>
        <v>7.2280290682474151E-3</v>
      </c>
      <c r="BN23" s="252">
        <f t="shared" si="78"/>
        <v>5.7945085242116605E-3</v>
      </c>
      <c r="BO23" s="252">
        <f t="shared" si="79"/>
        <v>2.7309510016426332E-3</v>
      </c>
      <c r="BP23" s="252">
        <f t="shared" si="80"/>
        <v>2.6690636840257117E-3</v>
      </c>
      <c r="BQ23" s="252">
        <f t="shared" si="81"/>
        <v>3.0031231384609648E-3</v>
      </c>
      <c r="BR23" s="252">
        <f t="shared" si="95"/>
        <v>3.4748716713444198E-3</v>
      </c>
      <c r="BS23" s="252">
        <f t="shared" si="89"/>
        <v>4.7174853288345494E-4</v>
      </c>
    </row>
    <row r="24" spans="1:71" x14ac:dyDescent="0.4">
      <c r="A24" s="233" t="s">
        <v>2768</v>
      </c>
      <c r="B24" s="233" t="s">
        <v>1961</v>
      </c>
      <c r="D24" s="260">
        <f>'PL（org）'!G28</f>
        <v>15.068</v>
      </c>
      <c r="E24" s="260">
        <v>54.414999999999999</v>
      </c>
      <c r="F24" s="260">
        <v>83.971000000000004</v>
      </c>
      <c r="G24" s="260">
        <v>2.774</v>
      </c>
      <c r="H24" s="260">
        <f>PL!J109</f>
        <v>5.0419999999999998</v>
      </c>
      <c r="I24" s="260">
        <f>PL!K109</f>
        <v>-78.864000000000004</v>
      </c>
      <c r="J24" s="260">
        <f>PL!L109</f>
        <v>-69.531999999999996</v>
      </c>
      <c r="K24" s="260">
        <f>PL!M109</f>
        <v>-51.442999999999998</v>
      </c>
      <c r="L24" s="260">
        <f>PL!N109</f>
        <v>-122.85</v>
      </c>
      <c r="M24" s="260">
        <f>PL!O109</f>
        <v>44.213000000000001</v>
      </c>
      <c r="N24" s="260">
        <f>PL!P109</f>
        <v>39.484999999999999</v>
      </c>
      <c r="O24" s="260">
        <f>PL!Q109</f>
        <v>50.206000000000003</v>
      </c>
      <c r="P24" s="260">
        <f>PL!R109</f>
        <v>61.56</v>
      </c>
      <c r="Q24" s="260">
        <f>PL!S109</f>
        <v>169.87299999999999</v>
      </c>
      <c r="R24" s="260">
        <f>PL!T109</f>
        <v>216.76400000000001</v>
      </c>
      <c r="S24" s="260">
        <f>PL!U109</f>
        <v>244.11500000000001</v>
      </c>
      <c r="T24" s="260">
        <f>PL!V109</f>
        <v>315.654</v>
      </c>
      <c r="U24" s="260">
        <f>PL!W109</f>
        <v>188.12200000000001</v>
      </c>
      <c r="V24" s="254">
        <f t="shared" si="82"/>
        <v>-0.40402465991243575</v>
      </c>
      <c r="W24" s="260"/>
      <c r="Y24" s="260">
        <v>7.1180000000000003</v>
      </c>
      <c r="Z24" s="260">
        <f>D24-Y24</f>
        <v>7.9499999999999993</v>
      </c>
      <c r="AA24" s="260">
        <v>0</v>
      </c>
      <c r="AB24" s="260">
        <f>E24-AA24</f>
        <v>54.414999999999999</v>
      </c>
      <c r="AC24" s="260">
        <v>44.067999999999998</v>
      </c>
      <c r="AD24" s="260">
        <f>F24-AC24</f>
        <v>39.903000000000006</v>
      </c>
      <c r="AE24" s="260">
        <v>-1.68</v>
      </c>
      <c r="AF24" s="260">
        <f>G24-AE24</f>
        <v>4.4539999999999997</v>
      </c>
      <c r="AG24" s="260">
        <v>2.4900000000000002</v>
      </c>
      <c r="AH24" s="260">
        <f>H24-AG24</f>
        <v>2.5519999999999996</v>
      </c>
      <c r="AI24" s="260">
        <v>-12.904999999999999</v>
      </c>
      <c r="AJ24" s="260">
        <f>(I24-AI24)</f>
        <v>-65.959000000000003</v>
      </c>
      <c r="AK24" s="260">
        <v>-11.21</v>
      </c>
      <c r="AL24" s="260">
        <f>J24-AK24</f>
        <v>-58.321999999999996</v>
      </c>
      <c r="AM24" s="260">
        <v>1.3380000000000001</v>
      </c>
      <c r="AN24" s="256">
        <f>K24-AM24</f>
        <v>-52.780999999999999</v>
      </c>
      <c r="AO24" s="256">
        <v>-9.8140000000000001</v>
      </c>
      <c r="AP24" s="256">
        <f>L24-AO24</f>
        <v>-113.036</v>
      </c>
      <c r="AQ24" s="256">
        <v>41.134</v>
      </c>
      <c r="AR24" s="256">
        <f>M24-AQ24</f>
        <v>3.0790000000000006</v>
      </c>
      <c r="AS24" s="256">
        <v>20.943999999999999</v>
      </c>
      <c r="AT24" s="256">
        <f>N24-AS24</f>
        <v>18.541</v>
      </c>
      <c r="AU24" s="256">
        <v>29.027999999999999</v>
      </c>
      <c r="AV24" s="256">
        <f>O24-AU24</f>
        <v>21.178000000000004</v>
      </c>
      <c r="AW24" s="256">
        <v>47.526000000000003</v>
      </c>
      <c r="AX24" s="256">
        <f>P24-AW24</f>
        <v>14.033999999999999</v>
      </c>
      <c r="AY24" s="256">
        <v>87.076999999999998</v>
      </c>
      <c r="AZ24" s="256">
        <f>Q24-AY24</f>
        <v>82.795999999999992</v>
      </c>
      <c r="BA24" s="256">
        <v>157.16900000000001</v>
      </c>
      <c r="BB24" s="256">
        <f t="shared" si="74"/>
        <v>59.594999999999999</v>
      </c>
      <c r="BC24" s="256">
        <v>139.13800000000001</v>
      </c>
      <c r="BD24" s="256">
        <f t="shared" si="75"/>
        <v>104.977</v>
      </c>
      <c r="BE24" s="256">
        <v>191.018</v>
      </c>
      <c r="BF24" s="256">
        <f t="shared" si="83"/>
        <v>124.636</v>
      </c>
      <c r="BG24" s="256">
        <v>135.749</v>
      </c>
      <c r="BH24" s="256">
        <f t="shared" si="94"/>
        <v>52.373000000000019</v>
      </c>
      <c r="BI24" s="254">
        <f t="shared" si="84"/>
        <v>-0.57979235533874629</v>
      </c>
      <c r="BJ24" s="254">
        <f t="shared" si="85"/>
        <v>-0.61419236974121338</v>
      </c>
      <c r="BK24" s="258"/>
      <c r="BL24" s="252">
        <f t="shared" si="76"/>
        <v>1.0539348279931015E-3</v>
      </c>
      <c r="BM24" s="252">
        <f t="shared" si="77"/>
        <v>1.6972297900075429E-3</v>
      </c>
      <c r="BN24" s="252">
        <f t="shared" si="78"/>
        <v>2.394133478034746E-3</v>
      </c>
      <c r="BO24" s="252">
        <f t="shared" si="79"/>
        <v>2.9207836328182359E-3</v>
      </c>
      <c r="BP24" s="252">
        <f t="shared" si="80"/>
        <v>2.5246997353255028E-3</v>
      </c>
      <c r="BQ24" s="252">
        <f t="shared" si="81"/>
        <v>3.3767987736198295E-3</v>
      </c>
      <c r="BR24" s="252">
        <f t="shared" si="95"/>
        <v>2.556379263177149E-3</v>
      </c>
      <c r="BS24" s="252">
        <f t="shared" si="89"/>
        <v>-8.2041951044268049E-4</v>
      </c>
    </row>
    <row r="25" spans="1:71" s="246" customFormat="1" x14ac:dyDescent="0.4">
      <c r="A25" s="246" t="s">
        <v>2769</v>
      </c>
      <c r="B25" s="246" t="s">
        <v>2014</v>
      </c>
      <c r="D25" s="265">
        <f>PL!F112</f>
        <v>489.32100000000008</v>
      </c>
      <c r="E25" s="265">
        <f>PL!G112</f>
        <v>612.53100000000006</v>
      </c>
      <c r="F25" s="265">
        <f>PL!H112</f>
        <v>1036.2779999999993</v>
      </c>
      <c r="G25" s="265">
        <f>PL!I112</f>
        <v>1507.4049999999995</v>
      </c>
      <c r="H25" s="265">
        <f>PL!J112</f>
        <v>2941.2510000000011</v>
      </c>
      <c r="I25" s="265">
        <f>PL!K112</f>
        <v>2749.5510000000004</v>
      </c>
      <c r="J25" s="265">
        <f>PL!L112</f>
        <v>3457.4099999999967</v>
      </c>
      <c r="K25" s="265">
        <f>PL!M112</f>
        <v>4524.1259999999984</v>
      </c>
      <c r="L25" s="265">
        <f>PL!N112</f>
        <v>5130.0660000000053</v>
      </c>
      <c r="M25" s="265">
        <f>M21-M22-M24</f>
        <v>5490.0909999999994</v>
      </c>
      <c r="N25" s="265">
        <f t="shared" ref="N25:S25" si="103">N21-N22-N24-N23</f>
        <v>4500.1480000000029</v>
      </c>
      <c r="O25" s="265">
        <f t="shared" si="103"/>
        <v>5413.2080000000014</v>
      </c>
      <c r="P25" s="265">
        <f t="shared" si="103"/>
        <v>6015.3679999999986</v>
      </c>
      <c r="Q25" s="265">
        <f t="shared" si="103"/>
        <v>6800.8790000000008</v>
      </c>
      <c r="R25" s="265">
        <f t="shared" si="103"/>
        <v>7956.8759999999957</v>
      </c>
      <c r="S25" s="265">
        <f t="shared" si="103"/>
        <v>9164.0450000000037</v>
      </c>
      <c r="T25" s="265">
        <f t="shared" ref="T25:U25" si="104">T21-T22-T24-T23</f>
        <v>8565.3309999999983</v>
      </c>
      <c r="U25" s="265">
        <f t="shared" si="104"/>
        <v>8588.4439999999995</v>
      </c>
      <c r="V25" s="249">
        <f t="shared" si="82"/>
        <v>2.6984362892690239E-3</v>
      </c>
      <c r="W25" s="250"/>
      <c r="X25" s="251" t="s">
        <v>782</v>
      </c>
      <c r="Y25" s="265">
        <f>Y21-Y22-Y24</f>
        <v>280.06999999999971</v>
      </c>
      <c r="Z25" s="265">
        <f>Z21-Z22-Z24</f>
        <v>253.76900000000035</v>
      </c>
      <c r="AA25" s="265">
        <f>AA21-AA22-AA24</f>
        <v>303.35100000000028</v>
      </c>
      <c r="AB25" s="265">
        <f>AB21-AB22-AB24</f>
        <v>370.71499999999912</v>
      </c>
      <c r="AC25" s="265">
        <v>463.83499999999998</v>
      </c>
      <c r="AD25" s="265">
        <f>F25-AC25</f>
        <v>572.4429999999993</v>
      </c>
      <c r="AE25" s="265">
        <v>652.95299999999997</v>
      </c>
      <c r="AF25" s="265">
        <f>G25-AE25</f>
        <v>854.45199999999954</v>
      </c>
      <c r="AG25" s="265">
        <f>AG21-AG22-AG24</f>
        <v>886.9559999999999</v>
      </c>
      <c r="AH25" s="265">
        <f>H25-AG25</f>
        <v>2054.295000000001</v>
      </c>
      <c r="AI25" s="265">
        <f>AI21-AI22-AI24</f>
        <v>1172.796</v>
      </c>
      <c r="AJ25" s="265">
        <f>(I25-AI25)</f>
        <v>1576.7550000000003</v>
      </c>
      <c r="AK25" s="265">
        <f>AK21-AK22-AK24</f>
        <v>1458.9969999999998</v>
      </c>
      <c r="AL25" s="265">
        <f>AL21-AL22-AL24</f>
        <v>1998.4129999999966</v>
      </c>
      <c r="AM25" s="265">
        <f>AM21-AM22-AM24</f>
        <v>1871.3589999999999</v>
      </c>
      <c r="AN25" s="242">
        <f>K25-AM25</f>
        <v>2652.7669999999985</v>
      </c>
      <c r="AO25" s="242">
        <f>AO21-AO22-AO24</f>
        <v>2253.3089999999997</v>
      </c>
      <c r="AP25" s="242">
        <f>L25-AO25</f>
        <v>2876.7570000000055</v>
      </c>
      <c r="AQ25" s="242">
        <f>AQ21-AQ22-AQ24</f>
        <v>2493.4009999999998</v>
      </c>
      <c r="AR25" s="242">
        <f>M25-AQ25</f>
        <v>2996.6899999999996</v>
      </c>
      <c r="AS25" s="242">
        <f t="shared" ref="AS25:BA25" si="105">AS21-SUM(AS22:AS24)</f>
        <v>2522.3200000000002</v>
      </c>
      <c r="AT25" s="242">
        <f t="shared" si="105"/>
        <v>1977.8280000000018</v>
      </c>
      <c r="AU25" s="242">
        <f t="shared" si="105"/>
        <v>2861.645</v>
      </c>
      <c r="AV25" s="242">
        <f t="shared" si="105"/>
        <v>2551.563000000001</v>
      </c>
      <c r="AW25" s="242">
        <f t="shared" si="105"/>
        <v>2897.5000000000005</v>
      </c>
      <c r="AX25" s="242">
        <f t="shared" si="105"/>
        <v>3117.8679999999995</v>
      </c>
      <c r="AY25" s="242">
        <f t="shared" si="105"/>
        <v>3500.201</v>
      </c>
      <c r="AZ25" s="242">
        <f t="shared" si="105"/>
        <v>3300.6780000000026</v>
      </c>
      <c r="BA25" s="242">
        <f t="shared" si="105"/>
        <v>4213.9939999999988</v>
      </c>
      <c r="BB25" s="242">
        <f t="shared" si="74"/>
        <v>3742.8819999999969</v>
      </c>
      <c r="BC25" s="242">
        <f t="shared" ref="BC25:BE25" si="106">BC21-SUM(BC22:BC24)</f>
        <v>4848.6219999999994</v>
      </c>
      <c r="BD25" s="242">
        <f t="shared" si="75"/>
        <v>4315.4230000000043</v>
      </c>
      <c r="BE25" s="242">
        <f t="shared" si="106"/>
        <v>5005.9750000000004</v>
      </c>
      <c r="BF25" s="242">
        <f t="shared" si="83"/>
        <v>3559.3559999999979</v>
      </c>
      <c r="BG25" s="242">
        <f t="shared" ref="BG25" si="107">BG21-SUM(BG22:BG24)</f>
        <v>5258.8220000000001</v>
      </c>
      <c r="BH25" s="242">
        <f t="shared" si="94"/>
        <v>3329.6219999999994</v>
      </c>
      <c r="BI25" s="249">
        <f>BH25/BF25-1</f>
        <v>-6.4543698354421086E-2</v>
      </c>
      <c r="BJ25" s="249">
        <f t="shared" si="85"/>
        <v>-0.36685021854704358</v>
      </c>
      <c r="BK25" s="258"/>
      <c r="BL25" s="266">
        <f t="shared" si="76"/>
        <v>0.10389924661886175</v>
      </c>
      <c r="BM25" s="266">
        <f t="shared" si="77"/>
        <v>0.10347437858323562</v>
      </c>
      <c r="BN25" s="266">
        <f t="shared" si="78"/>
        <v>9.6236071453434269E-2</v>
      </c>
      <c r="BO25" s="266">
        <f t="shared" si="79"/>
        <v>7.8311656268056959E-2</v>
      </c>
      <c r="BP25" s="266">
        <f t="shared" si="80"/>
        <v>8.7979665368866936E-2</v>
      </c>
      <c r="BQ25" s="266">
        <f t="shared" si="81"/>
        <v>8.8495169255104367E-2</v>
      </c>
      <c r="BR25" s="266">
        <f t="shared" si="95"/>
        <v>7.3005101805779696E-2</v>
      </c>
      <c r="BS25" s="266">
        <f t="shared" si="89"/>
        <v>-1.5490067449324671E-2</v>
      </c>
    </row>
    <row r="26" spans="1:71" s="246" customFormat="1" x14ac:dyDescent="0.4">
      <c r="A26" s="267" t="s">
        <v>2820</v>
      </c>
      <c r="B26" s="246" t="s">
        <v>1741</v>
      </c>
      <c r="D26" s="265">
        <f>PL!F118</f>
        <v>489.32100000000008</v>
      </c>
      <c r="E26" s="265">
        <f>PL!G118</f>
        <v>612.53100000000006</v>
      </c>
      <c r="F26" s="265">
        <f>PL!H118</f>
        <v>1036.2779999999993</v>
      </c>
      <c r="G26" s="265">
        <f>PL!I118</f>
        <v>1507.4049999999995</v>
      </c>
      <c r="H26" s="265">
        <f>PL!J118</f>
        <v>2131.4590000000003</v>
      </c>
      <c r="I26" s="265">
        <f>PL!K118</f>
        <v>2749.5510000000004</v>
      </c>
      <c r="J26" s="265">
        <f>PL!L118</f>
        <v>3457.4099999999967</v>
      </c>
      <c r="K26" s="265">
        <f>PL!M118</f>
        <v>4153</v>
      </c>
      <c r="L26" s="265">
        <f>PL!N118</f>
        <v>4153.5460000000003</v>
      </c>
      <c r="M26" s="265">
        <f>PL!O118</f>
        <v>5072.5209999999997</v>
      </c>
      <c r="N26" s="265">
        <f>PL!P118</f>
        <v>5323.9759999999997</v>
      </c>
      <c r="O26" s="265">
        <f>PL!Q118</f>
        <v>5413.2080000000014</v>
      </c>
      <c r="P26" s="265">
        <f>PL!R118</f>
        <v>5593.6783368006209</v>
      </c>
      <c r="Q26" s="265">
        <f>PL!S118</f>
        <v>6800.8790000000008</v>
      </c>
      <c r="R26" s="265">
        <f>PL!T118</f>
        <v>7956.8759999999957</v>
      </c>
      <c r="S26" s="265">
        <f>PL!U118</f>
        <v>9164.0450000000037</v>
      </c>
      <c r="T26" s="265">
        <f>PL!V118</f>
        <v>8565.3309999999983</v>
      </c>
      <c r="U26" s="265">
        <f>PL!W118</f>
        <v>8587.4439999999995</v>
      </c>
      <c r="V26" s="249">
        <f t="shared" si="82"/>
        <v>2.5816865687970925E-3</v>
      </c>
      <c r="W26" s="250"/>
      <c r="X26" s="251"/>
      <c r="Y26" s="265">
        <f t="shared" ref="Y26:AL26" si="108">Y25</f>
        <v>280.06999999999971</v>
      </c>
      <c r="Z26" s="265">
        <f t="shared" si="108"/>
        <v>253.76900000000035</v>
      </c>
      <c r="AA26" s="265">
        <f t="shared" si="108"/>
        <v>303.35100000000028</v>
      </c>
      <c r="AB26" s="265">
        <f t="shared" si="108"/>
        <v>370.71499999999912</v>
      </c>
      <c r="AC26" s="265">
        <f t="shared" si="108"/>
        <v>463.83499999999998</v>
      </c>
      <c r="AD26" s="265">
        <f t="shared" si="108"/>
        <v>572.4429999999993</v>
      </c>
      <c r="AE26" s="265">
        <f t="shared" si="108"/>
        <v>652.95299999999997</v>
      </c>
      <c r="AF26" s="265">
        <f t="shared" si="108"/>
        <v>854.45199999999954</v>
      </c>
      <c r="AG26" s="265">
        <f t="shared" si="108"/>
        <v>886.9559999999999</v>
      </c>
      <c r="AH26" s="265">
        <f t="shared" si="108"/>
        <v>2054.295000000001</v>
      </c>
      <c r="AI26" s="265">
        <f t="shared" si="108"/>
        <v>1172.796</v>
      </c>
      <c r="AJ26" s="265">
        <f t="shared" si="108"/>
        <v>1576.7550000000003</v>
      </c>
      <c r="AK26" s="265">
        <f t="shared" si="108"/>
        <v>1458.9969999999998</v>
      </c>
      <c r="AL26" s="265">
        <f t="shared" si="108"/>
        <v>1998.4129999999966</v>
      </c>
      <c r="AM26" s="265">
        <v>1783</v>
      </c>
      <c r="AN26" s="242">
        <f>K26-AM26</f>
        <v>2370</v>
      </c>
      <c r="AO26" s="242">
        <v>1301</v>
      </c>
      <c r="AP26" s="242">
        <f>L26-AO26</f>
        <v>2852.5460000000003</v>
      </c>
      <c r="AQ26" s="242">
        <v>2092.4009999999998</v>
      </c>
      <c r="AR26" s="242">
        <f>M26-AQ26</f>
        <v>2980.12</v>
      </c>
      <c r="AS26" s="242">
        <v>2522.3200000000002</v>
      </c>
      <c r="AT26" s="242">
        <f>N26-AS26</f>
        <v>2801.6559999999995</v>
      </c>
      <c r="AU26" s="242">
        <f>AU25</f>
        <v>2861.645</v>
      </c>
      <c r="AV26" s="242">
        <f>O26-AU26</f>
        <v>2551.5630000000015</v>
      </c>
      <c r="AW26" s="242">
        <f>AW25</f>
        <v>2897.5000000000005</v>
      </c>
      <c r="AX26" s="242">
        <f>P26-AW26</f>
        <v>2696.1783368006204</v>
      </c>
      <c r="AY26" s="242">
        <f>AY25</f>
        <v>3500.201</v>
      </c>
      <c r="AZ26" s="242">
        <f>Q26-AY26</f>
        <v>3300.6780000000008</v>
      </c>
      <c r="BA26" s="242">
        <f>BA25</f>
        <v>4213.9939999999988</v>
      </c>
      <c r="BB26" s="242">
        <f t="shared" si="74"/>
        <v>3742.8819999999969</v>
      </c>
      <c r="BC26" s="242">
        <f>BC25</f>
        <v>4848.6219999999994</v>
      </c>
      <c r="BD26" s="242">
        <f t="shared" si="75"/>
        <v>4315.4230000000043</v>
      </c>
      <c r="BE26" s="242">
        <f>BE25</f>
        <v>5005.9750000000004</v>
      </c>
      <c r="BF26" s="242">
        <f t="shared" si="83"/>
        <v>3559.3559999999979</v>
      </c>
      <c r="BG26" s="242">
        <f>BG25</f>
        <v>5258.8220000000001</v>
      </c>
      <c r="BH26" s="242">
        <f t="shared" si="94"/>
        <v>3328.6219999999994</v>
      </c>
      <c r="BI26" s="249">
        <f>BH26/BF26-1</f>
        <v>-6.4824648054310541E-2</v>
      </c>
      <c r="BJ26" s="249">
        <f t="shared" si="85"/>
        <v>-0.36704037520189892</v>
      </c>
      <c r="BK26" s="268"/>
      <c r="BL26" s="252">
        <f t="shared" si="76"/>
        <v>0.10389924661886175</v>
      </c>
      <c r="BM26" s="252">
        <f t="shared" si="77"/>
        <v>0.10347437858323562</v>
      </c>
      <c r="BN26" s="252">
        <f t="shared" si="78"/>
        <v>9.6236071453434269E-2</v>
      </c>
      <c r="BO26" s="252">
        <f t="shared" si="79"/>
        <v>7.8311656268056959E-2</v>
      </c>
      <c r="BP26" s="252">
        <f t="shared" si="80"/>
        <v>8.7979665368866936E-2</v>
      </c>
      <c r="BQ26" s="252">
        <f t="shared" si="81"/>
        <v>8.8495169255104367E-2</v>
      </c>
      <c r="BR26" s="252">
        <f t="shared" si="95"/>
        <v>7.3005101805779696E-2</v>
      </c>
      <c r="BS26" s="252">
        <f t="shared" si="89"/>
        <v>-1.5490067449324671E-2</v>
      </c>
    </row>
    <row r="27" spans="1:71" s="246" customFormat="1" hidden="1" outlineLevel="1" x14ac:dyDescent="0.4">
      <c r="A27" s="233" t="s">
        <v>2770</v>
      </c>
      <c r="B27" s="233" t="s">
        <v>1886</v>
      </c>
      <c r="C27" s="233"/>
      <c r="D27" s="260">
        <f>BS!F88</f>
        <v>2444.7677640000002</v>
      </c>
      <c r="E27" s="260">
        <f>BS!G88</f>
        <v>2954.5726479999998</v>
      </c>
      <c r="F27" s="260">
        <f>BS!H88</f>
        <v>2979.4588250000002</v>
      </c>
      <c r="G27" s="260">
        <f>BS!I88</f>
        <v>3586.7435209999999</v>
      </c>
      <c r="H27" s="260">
        <f>BS!J88</f>
        <v>3887.4473830000002</v>
      </c>
      <c r="I27" s="260">
        <f>BS!K88</f>
        <v>3888.2939999999999</v>
      </c>
      <c r="J27" s="260">
        <f>BS!L88</f>
        <v>3895.85</v>
      </c>
      <c r="K27" s="260">
        <f>BS!M88</f>
        <v>4056.3146219999999</v>
      </c>
      <c r="L27" s="260">
        <f>BS!N88</f>
        <v>4488.1392610000003</v>
      </c>
      <c r="M27" s="260">
        <f>BS!O88</f>
        <v>5049.1566999999995</v>
      </c>
      <c r="N27" s="260">
        <f>BS!P88</f>
        <v>5049.1566999999995</v>
      </c>
      <c r="O27" s="260">
        <f>BS!Q88</f>
        <v>5049.1566999999995</v>
      </c>
      <c r="P27" s="260">
        <f>BS!R88</f>
        <v>5049.1566999999995</v>
      </c>
      <c r="Q27" s="260">
        <f>BS!S88</f>
        <v>5037.6166999999996</v>
      </c>
      <c r="R27" s="260">
        <f>BS!T88</f>
        <v>5037.6166999999996</v>
      </c>
      <c r="S27" s="260">
        <f>BS!U88</f>
        <v>5037.6166999999996</v>
      </c>
      <c r="T27" s="260">
        <f>BS!V88</f>
        <v>5037.6166999999996</v>
      </c>
      <c r="U27" s="260">
        <f>BS!W88</f>
        <v>5282.2166999999999</v>
      </c>
      <c r="V27" s="254">
        <f t="shared" si="82"/>
        <v>4.8554706434890127E-2</v>
      </c>
      <c r="W27" s="260"/>
      <c r="X27" s="269"/>
      <c r="Y27" s="260">
        <f>BS!$H$89</f>
        <v>5282.2166999999999</v>
      </c>
      <c r="Z27" s="260">
        <f>BS!$H$89</f>
        <v>5282.2166999999999</v>
      </c>
      <c r="AA27" s="260">
        <f>BS!$H$89</f>
        <v>5282.2166999999999</v>
      </c>
      <c r="AB27" s="260">
        <f>BS!$H$89</f>
        <v>5282.2166999999999</v>
      </c>
      <c r="AC27" s="260">
        <f>BS!$H$89</f>
        <v>5282.2166999999999</v>
      </c>
      <c r="AD27" s="260">
        <f>AC27</f>
        <v>5282.2166999999999</v>
      </c>
      <c r="AE27" s="260">
        <f>AD27</f>
        <v>5282.2166999999999</v>
      </c>
      <c r="AF27" s="260">
        <f>AE27</f>
        <v>5282.2166999999999</v>
      </c>
      <c r="AG27" s="260">
        <f>G27</f>
        <v>3586.7435209999999</v>
      </c>
      <c r="AH27" s="260">
        <f>AG27</f>
        <v>3586.7435209999999</v>
      </c>
      <c r="AI27" s="260">
        <f>$B$39</f>
        <v>5282.2166999999999</v>
      </c>
      <c r="AJ27" s="260">
        <f>BS!K88</f>
        <v>3888.2939999999999</v>
      </c>
      <c r="AK27" s="260">
        <v>3890.299</v>
      </c>
      <c r="AL27" s="260">
        <f>BS!L88</f>
        <v>3895.85</v>
      </c>
      <c r="AM27" s="260">
        <f>4012.418</f>
        <v>4012.4180000000001</v>
      </c>
      <c r="AN27" s="256">
        <f>BS!M88</f>
        <v>4056.3146219999999</v>
      </c>
      <c r="AO27" s="256">
        <v>4072.9229999999998</v>
      </c>
      <c r="AP27" s="256">
        <f>BS!N88</f>
        <v>4488.1392610000003</v>
      </c>
      <c r="AQ27" s="256">
        <v>4488.1390000000001</v>
      </c>
      <c r="AR27" s="256">
        <f>BS!O88</f>
        <v>5049.1566999999995</v>
      </c>
      <c r="AS27" s="256">
        <v>5049.1566999999995</v>
      </c>
      <c r="AT27" s="256"/>
      <c r="AU27" s="256"/>
      <c r="AV27" s="256"/>
      <c r="AW27" s="256"/>
      <c r="AX27" s="256"/>
      <c r="AY27" s="256"/>
      <c r="AZ27" s="256"/>
      <c r="BA27" s="256"/>
      <c r="BB27" s="256">
        <f t="shared" si="74"/>
        <v>5037.6166999999996</v>
      </c>
      <c r="BC27" s="256"/>
      <c r="BD27" s="256">
        <f t="shared" si="75"/>
        <v>5037.6166999999996</v>
      </c>
      <c r="BE27" s="256"/>
      <c r="BF27" s="256">
        <f t="shared" si="83"/>
        <v>5037.6166999999996</v>
      </c>
      <c r="BG27" s="256"/>
      <c r="BH27" s="256">
        <f>V27-BG27</f>
        <v>4.8554706434890127E-2</v>
      </c>
      <c r="BI27" s="254">
        <f t="shared" si="84"/>
        <v>-0.99999036157188481</v>
      </c>
      <c r="BJ27" s="254" t="e">
        <f t="shared" si="85"/>
        <v>#DIV/0!</v>
      </c>
      <c r="BL27" s="270"/>
      <c r="BN27" s="270"/>
      <c r="BO27" s="270"/>
      <c r="BP27" s="270"/>
      <c r="BQ27" s="252">
        <f t="shared" si="81"/>
        <v>0</v>
      </c>
      <c r="BR27" s="252">
        <f>BF27/$BE$7</f>
        <v>8.9054528340401271E-2</v>
      </c>
      <c r="BS27" s="252">
        <f t="shared" ref="BS27" si="109">BQ27-BP27</f>
        <v>0</v>
      </c>
    </row>
    <row r="28" spans="1:71" s="246" customFormat="1" collapsed="1" x14ac:dyDescent="0.4">
      <c r="A28" s="267" t="s">
        <v>3162</v>
      </c>
      <c r="B28" s="246" t="s">
        <v>3163</v>
      </c>
      <c r="D28" s="271">
        <f t="shared" ref="D28:R28" si="110">D26/$B$39</f>
        <v>9.2635540681244688E-2</v>
      </c>
      <c r="E28" s="271">
        <f t="shared" si="110"/>
        <v>0.11596097524738053</v>
      </c>
      <c r="F28" s="271">
        <f t="shared" si="110"/>
        <v>0.19618240955544278</v>
      </c>
      <c r="G28" s="271">
        <f t="shared" si="110"/>
        <v>0.28537356295889932</v>
      </c>
      <c r="H28" s="271">
        <f t="shared" si="110"/>
        <v>0.40351600872414045</v>
      </c>
      <c r="I28" s="271">
        <f t="shared" si="110"/>
        <v>0.52052976168130327</v>
      </c>
      <c r="J28" s="271">
        <f t="shared" si="110"/>
        <v>0.65453770573251879</v>
      </c>
      <c r="K28" s="271">
        <f t="shared" si="110"/>
        <v>0.78622295067902082</v>
      </c>
      <c r="L28" s="271">
        <f t="shared" si="110"/>
        <v>0.78632631637395722</v>
      </c>
      <c r="M28" s="271">
        <f t="shared" si="110"/>
        <v>0.9603015718760648</v>
      </c>
      <c r="N28" s="271">
        <f t="shared" si="110"/>
        <v>1.0079056393123742</v>
      </c>
      <c r="O28" s="271">
        <f t="shared" si="110"/>
        <v>1.024798547170547</v>
      </c>
      <c r="P28" s="271">
        <f t="shared" si="110"/>
        <v>1.0589641914540577</v>
      </c>
      <c r="Q28" s="271">
        <f t="shared" si="110"/>
        <v>1.2875047326248468</v>
      </c>
      <c r="R28" s="271">
        <f t="shared" si="110"/>
        <v>1.5063516799679944</v>
      </c>
      <c r="S28" s="271">
        <f t="shared" ref="S28" si="111">S26/$B$39</f>
        <v>1.7348862268373055</v>
      </c>
      <c r="T28" s="271">
        <f>T26/$B$39</f>
        <v>1.6215410094780849</v>
      </c>
      <c r="U28" s="271">
        <f>U26/$B$39</f>
        <v>1.625727320123008</v>
      </c>
      <c r="V28" s="249">
        <f>U28/T28-1</f>
        <v>2.5816865687970925E-3</v>
      </c>
      <c r="W28" s="250"/>
      <c r="X28" s="269"/>
      <c r="Y28" s="271">
        <f t="shared" ref="Y28:AP28" si="112">Y26/$B$39</f>
        <v>5.3021300697489317E-2</v>
      </c>
      <c r="Z28" s="271">
        <f t="shared" si="112"/>
        <v>4.8042141095801759E-2</v>
      </c>
      <c r="AA28" s="271">
        <f t="shared" si="112"/>
        <v>5.742873063121403E-2</v>
      </c>
      <c r="AB28" s="271">
        <f t="shared" si="112"/>
        <v>7.0181709887062974E-2</v>
      </c>
      <c r="AC28" s="271">
        <f t="shared" si="112"/>
        <v>8.7810672364123182E-2</v>
      </c>
      <c r="AD28" s="271">
        <f t="shared" si="112"/>
        <v>0.10837173719131957</v>
      </c>
      <c r="AE28" s="271">
        <f t="shared" si="112"/>
        <v>0.12361344433294454</v>
      </c>
      <c r="AF28" s="271">
        <f t="shared" si="112"/>
        <v>0.16176011862595482</v>
      </c>
      <c r="AG28" s="271">
        <f t="shared" si="112"/>
        <v>0.16791359582048193</v>
      </c>
      <c r="AH28" s="271">
        <f t="shared" si="112"/>
        <v>0.38890774776430526</v>
      </c>
      <c r="AI28" s="271">
        <f t="shared" si="112"/>
        <v>0.22202724094980808</v>
      </c>
      <c r="AJ28" s="271">
        <f t="shared" si="112"/>
        <v>0.29850252073149525</v>
      </c>
      <c r="AK28" s="271">
        <f t="shared" si="112"/>
        <v>0.27620922859904629</v>
      </c>
      <c r="AL28" s="271">
        <f t="shared" si="112"/>
        <v>0.37832847713347251</v>
      </c>
      <c r="AM28" s="271">
        <f t="shared" si="112"/>
        <v>0.33754768144972169</v>
      </c>
      <c r="AN28" s="272">
        <f t="shared" si="112"/>
        <v>0.44867526922929912</v>
      </c>
      <c r="AO28" s="272">
        <f t="shared" si="112"/>
        <v>0.24629811192713846</v>
      </c>
      <c r="AP28" s="272">
        <f t="shared" si="112"/>
        <v>0.54002820444681876</v>
      </c>
      <c r="AQ28" s="272">
        <v>0.55420000000000003</v>
      </c>
      <c r="AR28" s="272">
        <f>M28-AQ28</f>
        <v>0.40610157187606477</v>
      </c>
      <c r="AS28" s="272">
        <f>AS26/$B$39</f>
        <v>0.4775116477141122</v>
      </c>
      <c r="AT28" s="272">
        <f>N28-AS28</f>
        <v>0.53039399159826206</v>
      </c>
      <c r="AU28" s="272">
        <f t="shared" ref="AU28:BA28" si="113">AU26/$B$39</f>
        <v>0.5417507767146319</v>
      </c>
      <c r="AV28" s="272">
        <f t="shared" si="113"/>
        <v>0.48304777045591513</v>
      </c>
      <c r="AW28" s="272">
        <f t="shared" si="113"/>
        <v>0.54853864666324659</v>
      </c>
      <c r="AX28" s="272">
        <f t="shared" si="113"/>
        <v>0.51042554479081115</v>
      </c>
      <c r="AY28" s="272">
        <f t="shared" si="113"/>
        <v>0.66263866077285316</v>
      </c>
      <c r="AZ28" s="272">
        <f>AZ26/$B$39</f>
        <v>0.62486607185199361</v>
      </c>
      <c r="BA28" s="272">
        <f t="shared" si="113"/>
        <v>0.79776999682727878</v>
      </c>
      <c r="BB28" s="272">
        <f t="shared" si="74"/>
        <v>0.70858168314071557</v>
      </c>
      <c r="BC28" s="272">
        <f>BC26/$B$39</f>
        <v>0.91791425368822888</v>
      </c>
      <c r="BD28" s="272">
        <f t="shared" si="75"/>
        <v>0.81697197314907666</v>
      </c>
      <c r="BE28" s="272">
        <f>BE26/$B$39</f>
        <v>0.94770345184816074</v>
      </c>
      <c r="BF28" s="272">
        <f t="shared" si="83"/>
        <v>0.67383755762992414</v>
      </c>
      <c r="BG28" s="272">
        <f>BG26/$B$39</f>
        <v>0.99557104501222005</v>
      </c>
      <c r="BH28" s="272">
        <f>U28-BG28</f>
        <v>0.63015627511078798</v>
      </c>
      <c r="BI28" s="249">
        <f>BH28/BF28-1</f>
        <v>-6.4824648054310763E-2</v>
      </c>
      <c r="BJ28" s="249">
        <f>BH28/BG28-1</f>
        <v>-0.36704037520189914</v>
      </c>
      <c r="BL28" s="273"/>
      <c r="BM28" s="274"/>
      <c r="BN28" s="273"/>
      <c r="BO28" s="273"/>
      <c r="BP28" s="273"/>
      <c r="BQ28" s="273"/>
      <c r="BR28" s="273"/>
      <c r="BS28" s="273"/>
    </row>
    <row r="29" spans="1:71" x14ac:dyDescent="0.4">
      <c r="D29" s="275"/>
      <c r="E29" s="265"/>
      <c r="F29" s="265"/>
      <c r="G29" s="265"/>
      <c r="H29" s="265"/>
      <c r="I29" s="265"/>
      <c r="J29" s="265"/>
      <c r="K29" s="265"/>
      <c r="L29" s="265"/>
      <c r="M29" s="265"/>
      <c r="N29" s="265"/>
      <c r="O29" s="265"/>
      <c r="P29" s="265"/>
      <c r="Q29" s="265"/>
      <c r="R29" s="265"/>
      <c r="S29" s="265"/>
      <c r="T29" s="265"/>
      <c r="U29" s="265"/>
      <c r="V29" s="276"/>
      <c r="W29" s="265"/>
      <c r="Y29" s="275"/>
      <c r="Z29" s="275"/>
      <c r="AA29" s="265"/>
      <c r="AB29" s="265"/>
      <c r="AC29" s="265"/>
      <c r="AD29" s="265"/>
      <c r="AE29" s="265"/>
      <c r="AF29" s="277"/>
      <c r="AG29" s="278"/>
      <c r="AH29" s="278"/>
      <c r="AI29" s="265"/>
      <c r="AJ29" s="265"/>
      <c r="AK29" s="278"/>
      <c r="AL29" s="278"/>
      <c r="AM29" s="278"/>
      <c r="AN29" s="278"/>
      <c r="AO29" s="278"/>
      <c r="AP29" s="278"/>
      <c r="AQ29" s="278"/>
      <c r="AR29" s="278" t="s">
        <v>1809</v>
      </c>
      <c r="AS29" s="278" t="s">
        <v>1809</v>
      </c>
      <c r="AT29" s="278" t="s">
        <v>1809</v>
      </c>
      <c r="AU29" s="278"/>
      <c r="AV29" s="278"/>
      <c r="AW29" s="278"/>
      <c r="AX29" s="278"/>
      <c r="AY29" s="278"/>
      <c r="AZ29" s="278"/>
      <c r="BA29" s="278"/>
      <c r="BB29" s="278"/>
      <c r="BC29" s="278"/>
      <c r="BD29" s="278"/>
      <c r="BE29" s="278"/>
      <c r="BF29" s="278"/>
      <c r="BG29" s="278"/>
      <c r="BH29" s="278"/>
      <c r="BI29" s="276"/>
      <c r="BJ29" s="276"/>
      <c r="BL29" s="279"/>
      <c r="BM29" s="274"/>
      <c r="BN29" s="279"/>
      <c r="BO29" s="279"/>
      <c r="BP29" s="279"/>
      <c r="BQ29" s="279"/>
      <c r="BR29" s="279"/>
      <c r="BS29" s="279"/>
    </row>
    <row r="30" spans="1:71" x14ac:dyDescent="0.4">
      <c r="A30" s="233" t="s">
        <v>2771</v>
      </c>
      <c r="B30" s="233" t="s">
        <v>135</v>
      </c>
      <c r="D30" s="261">
        <f t="shared" ref="D30:R30" si="114">D9/D7</f>
        <v>8.251153097086987E-2</v>
      </c>
      <c r="E30" s="261">
        <f t="shared" si="114"/>
        <v>7.7223640628424073E-2</v>
      </c>
      <c r="F30" s="261">
        <f t="shared" si="114"/>
        <v>0.10981124640330353</v>
      </c>
      <c r="G30" s="261">
        <f t="shared" si="114"/>
        <v>0.10978386087180346</v>
      </c>
      <c r="H30" s="261">
        <f t="shared" si="114"/>
        <v>0.12405911095329855</v>
      </c>
      <c r="I30" s="261">
        <f t="shared" si="114"/>
        <v>0.13728641680123083</v>
      </c>
      <c r="J30" s="261">
        <f t="shared" si="114"/>
        <v>0.13772214088007756</v>
      </c>
      <c r="K30" s="261">
        <f t="shared" si="114"/>
        <v>0.13454901542229122</v>
      </c>
      <c r="L30" s="261">
        <f t="shared" si="114"/>
        <v>0.12947848215489144</v>
      </c>
      <c r="M30" s="261">
        <f t="shared" si="114"/>
        <v>0.15183742297795419</v>
      </c>
      <c r="N30" s="261">
        <f t="shared" si="114"/>
        <v>0.15633648786013182</v>
      </c>
      <c r="O30" s="261">
        <f t="shared" si="114"/>
        <v>0.14976084357048211</v>
      </c>
      <c r="P30" s="261">
        <f t="shared" si="114"/>
        <v>0.14864641298444206</v>
      </c>
      <c r="Q30" s="261">
        <f t="shared" si="114"/>
        <v>0.15499680285559311</v>
      </c>
      <c r="R30" s="261">
        <f t="shared" si="114"/>
        <v>0.1374699344983315</v>
      </c>
      <c r="S30" s="261">
        <f t="shared" ref="S30:T30" si="115">S9/S7</f>
        <v>0.14365895978716589</v>
      </c>
      <c r="T30" s="261">
        <f t="shared" si="115"/>
        <v>0.15504327648507887</v>
      </c>
      <c r="U30" s="261">
        <f t="shared" ref="U30" si="116">U9/U7</f>
        <v>0.15910342115611478</v>
      </c>
      <c r="V30" s="280" t="str">
        <f>(ROUND(U30-T30,3)*100)&amp;"ppt"</f>
        <v>0.4ppt</v>
      </c>
      <c r="W30" s="261"/>
      <c r="X30" s="234" t="s">
        <v>783</v>
      </c>
      <c r="Y30" s="261">
        <f t="shared" ref="Y30:BB30" si="117">Y9/Y7</f>
        <v>7.8998914901589126E-2</v>
      </c>
      <c r="Z30" s="261">
        <f t="shared" si="117"/>
        <v>8.5934083769192746E-2</v>
      </c>
      <c r="AA30" s="261">
        <f t="shared" si="117"/>
        <v>8.4432958417841278E-2</v>
      </c>
      <c r="AB30" s="261">
        <f t="shared" si="117"/>
        <v>6.7788885796720696E-2</v>
      </c>
      <c r="AC30" s="261">
        <f t="shared" si="117"/>
        <v>0.10580708828815923</v>
      </c>
      <c r="AD30" s="261">
        <f t="shared" si="117"/>
        <v>0.11267614909033959</v>
      </c>
      <c r="AE30" s="261">
        <f t="shared" si="117"/>
        <v>9.6470736674544533E-2</v>
      </c>
      <c r="AF30" s="261">
        <f t="shared" si="117"/>
        <v>0.11762454697908939</v>
      </c>
      <c r="AG30" s="261">
        <f t="shared" si="117"/>
        <v>0.11217464857474597</v>
      </c>
      <c r="AH30" s="261">
        <f t="shared" si="117"/>
        <v>0.13227794220655842</v>
      </c>
      <c r="AI30" s="261">
        <f t="shared" si="117"/>
        <v>0.14086275902750903</v>
      </c>
      <c r="AJ30" s="261">
        <f t="shared" si="117"/>
        <v>0.13467750047712893</v>
      </c>
      <c r="AK30" s="261">
        <f t="shared" si="117"/>
        <v>0.14083000815070557</v>
      </c>
      <c r="AL30" s="261">
        <f t="shared" si="117"/>
        <v>0.13551978604643167</v>
      </c>
      <c r="AM30" s="261">
        <f t="shared" si="117"/>
        <v>0.1496021330515214</v>
      </c>
      <c r="AN30" s="261">
        <f t="shared" si="117"/>
        <v>0.1223415342594381</v>
      </c>
      <c r="AO30" s="261">
        <f t="shared" si="117"/>
        <v>0.12244231947769002</v>
      </c>
      <c r="AP30" s="261">
        <f t="shared" si="117"/>
        <v>0.13432442374048686</v>
      </c>
      <c r="AQ30" s="261">
        <f t="shared" si="117"/>
        <v>0.14166092814485329</v>
      </c>
      <c r="AR30" s="261">
        <f t="shared" si="117"/>
        <v>0.16043417902980783</v>
      </c>
      <c r="AS30" s="261">
        <f t="shared" si="117"/>
        <v>0.15143723183829119</v>
      </c>
      <c r="AT30" s="261">
        <f t="shared" si="117"/>
        <v>0.16099266318617603</v>
      </c>
      <c r="AU30" s="261">
        <f t="shared" si="117"/>
        <v>0.15801626577108105</v>
      </c>
      <c r="AV30" s="261">
        <f t="shared" si="117"/>
        <v>0.14309826613850116</v>
      </c>
      <c r="AW30" s="261">
        <f t="shared" si="117"/>
        <v>0.18098670524758126</v>
      </c>
      <c r="AX30" s="261">
        <f t="shared" si="117"/>
        <v>0.12236365966614493</v>
      </c>
      <c r="AY30" s="261">
        <f t="shared" si="117"/>
        <v>0.16532325159822442</v>
      </c>
      <c r="AZ30" s="261">
        <f t="shared" si="117"/>
        <v>0.14582250513243902</v>
      </c>
      <c r="BA30" s="261">
        <f t="shared" si="117"/>
        <v>0.13412373210990058</v>
      </c>
      <c r="BB30" s="261">
        <f t="shared" si="117"/>
        <v>0.14120837776939812</v>
      </c>
      <c r="BC30" s="261">
        <f t="shared" ref="BC30:BD30" si="118">BC9/BC7</f>
        <v>0.15651654074075472</v>
      </c>
      <c r="BD30" s="261">
        <f t="shared" si="118"/>
        <v>0.1315717789416192</v>
      </c>
      <c r="BE30" s="261">
        <f>BE9/BE7</f>
        <v>0.15471182471957487</v>
      </c>
      <c r="BF30" s="261">
        <f t="shared" ref="BF30:BH30" si="119">BF9/BF7</f>
        <v>0.1554278427925615</v>
      </c>
      <c r="BG30" s="261">
        <f>BG9/BG7</f>
        <v>0.15056379011013107</v>
      </c>
      <c r="BH30" s="261">
        <f t="shared" si="119"/>
        <v>0.17014583696685398</v>
      </c>
      <c r="BI30" s="280" t="str">
        <f>(ROUND(BH30-BF30,3)*100)&amp;"ppt"</f>
        <v>1.5ppt</v>
      </c>
      <c r="BJ30" s="280" t="str">
        <f>(ROUND(BH30-BG30,3)*100)&amp;"ppt"</f>
        <v>2ppt</v>
      </c>
      <c r="BL30" s="281"/>
      <c r="BN30" s="281"/>
      <c r="BO30" s="281"/>
      <c r="BP30" s="281"/>
      <c r="BQ30" s="281"/>
      <c r="BR30" s="281"/>
      <c r="BS30" s="281"/>
    </row>
    <row r="31" spans="1:71" x14ac:dyDescent="0.4">
      <c r="A31" s="233" t="s">
        <v>2757</v>
      </c>
      <c r="B31" s="233" t="s">
        <v>2862</v>
      </c>
      <c r="D31" s="261">
        <f t="shared" ref="D31:R31" si="120">D13/D7</f>
        <v>3.7366197866787396E-2</v>
      </c>
      <c r="E31" s="261">
        <f t="shared" si="120"/>
        <v>3.7663449693239974E-2</v>
      </c>
      <c r="F31" s="261">
        <f t="shared" si="120"/>
        <v>3.9347999323367501E-2</v>
      </c>
      <c r="G31" s="261">
        <f t="shared" si="120"/>
        <v>3.3835550225525361E-2</v>
      </c>
      <c r="H31" s="261">
        <f t="shared" si="120"/>
        <v>3.2388070464331065E-2</v>
      </c>
      <c r="I31" s="261">
        <f t="shared" si="120"/>
        <v>3.8205399034363152E-2</v>
      </c>
      <c r="J31" s="261">
        <f t="shared" si="120"/>
        <v>2.9998628031849991E-2</v>
      </c>
      <c r="K31" s="261">
        <f t="shared" si="120"/>
        <v>2.6509112339611868E-2</v>
      </c>
      <c r="L31" s="261">
        <f t="shared" si="120"/>
        <v>2.3937322047317505E-2</v>
      </c>
      <c r="M31" s="261">
        <f t="shared" si="120"/>
        <v>2.7808530633473206E-2</v>
      </c>
      <c r="N31" s="261">
        <f t="shared" si="120"/>
        <v>2.5106719295964728E-2</v>
      </c>
      <c r="O31" s="261">
        <f t="shared" si="120"/>
        <v>2.7271100718249251E-2</v>
      </c>
      <c r="P31" s="261">
        <f t="shared" si="120"/>
        <v>3.0746945519829171E-2</v>
      </c>
      <c r="Q31" s="261">
        <f t="shared" si="120"/>
        <v>2.9473811627102418E-2</v>
      </c>
      <c r="R31" s="261">
        <f t="shared" si="120"/>
        <v>2.3876025230235982E-2</v>
      </c>
      <c r="S31" s="261">
        <f t="shared" ref="S31:T31" si="121">S13/S7</f>
        <v>2.3061711539185729E-2</v>
      </c>
      <c r="T31" s="261">
        <f t="shared" si="121"/>
        <v>2.4515386625544273E-2</v>
      </c>
      <c r="U31" s="261">
        <f t="shared" ref="U31" si="122">U13/U7</f>
        <v>2.6399030348885247E-2</v>
      </c>
      <c r="V31" s="280" t="str">
        <f t="shared" ref="V31:V37" si="123">(ROUND(U31-T31,3)*100)&amp;"ppt"</f>
        <v>0.2ppt</v>
      </c>
      <c r="W31" s="261"/>
      <c r="Y31" s="261"/>
      <c r="Z31" s="261"/>
      <c r="AA31" s="261"/>
      <c r="AB31" s="261"/>
      <c r="AC31" s="261"/>
      <c r="AD31" s="261"/>
      <c r="AE31" s="261"/>
      <c r="AF31" s="261"/>
      <c r="AG31" s="261">
        <f t="shared" ref="AG31:BB31" si="124">AG13/AG7</f>
        <v>3.4356668430877133E-2</v>
      </c>
      <c r="AH31" s="261">
        <f t="shared" si="124"/>
        <v>3.1026664792186288E-2</v>
      </c>
      <c r="AI31" s="261">
        <f t="shared" si="124"/>
        <v>4.117078857074935E-2</v>
      </c>
      <c r="AJ31" s="261">
        <f t="shared" si="124"/>
        <v>3.6042168370375501E-2</v>
      </c>
      <c r="AK31" s="261">
        <f t="shared" si="124"/>
        <v>3.0302113792587296E-2</v>
      </c>
      <c r="AL31" s="261">
        <f t="shared" si="124"/>
        <v>2.9783566295327548E-2</v>
      </c>
      <c r="AM31" s="261">
        <f t="shared" si="124"/>
        <v>2.6491203348459336E-2</v>
      </c>
      <c r="AN31" s="261">
        <f t="shared" si="124"/>
        <v>2.6523635820894953E-2</v>
      </c>
      <c r="AO31" s="261">
        <f t="shared" si="124"/>
        <v>3.4265332127216622E-2</v>
      </c>
      <c r="AP31" s="261">
        <f t="shared" si="124"/>
        <v>1.6824221364639982E-2</v>
      </c>
      <c r="AQ31" s="261">
        <f t="shared" si="124"/>
        <v>2.8929900481731038E-2</v>
      </c>
      <c r="AR31" s="261">
        <f t="shared" si="124"/>
        <v>2.6861235598445977E-2</v>
      </c>
      <c r="AS31" s="261">
        <f t="shared" si="124"/>
        <v>2.2997708998501527E-2</v>
      </c>
      <c r="AT31" s="261">
        <f t="shared" si="124"/>
        <v>2.7111089279008002E-2</v>
      </c>
      <c r="AU31" s="261">
        <f t="shared" si="124"/>
        <v>2.798046655169284E-2</v>
      </c>
      <c r="AV31" s="261">
        <f t="shared" si="124"/>
        <v>2.6698603675932416E-2</v>
      </c>
      <c r="AW31" s="261">
        <f t="shared" si="124"/>
        <v>2.817959980931431E-2</v>
      </c>
      <c r="AX31" s="261">
        <f t="shared" si="124"/>
        <v>3.2833411326730969E-2</v>
      </c>
      <c r="AY31" s="261">
        <f t="shared" si="124"/>
        <v>2.3724761065055479E-2</v>
      </c>
      <c r="AZ31" s="261">
        <f t="shared" si="124"/>
        <v>3.4581424398561877E-2</v>
      </c>
      <c r="BA31" s="261">
        <f t="shared" si="124"/>
        <v>2.0602796562659755E-2</v>
      </c>
      <c r="BB31" s="261">
        <f t="shared" si="124"/>
        <v>2.7532940821854084E-2</v>
      </c>
      <c r="BC31" s="261">
        <f t="shared" ref="BC31:BD31" si="125">BC13/BC7</f>
        <v>2.2822677377131326E-2</v>
      </c>
      <c r="BD31" s="261">
        <f t="shared" si="125"/>
        <v>2.3286423260266424E-2</v>
      </c>
      <c r="BE31" s="261">
        <f t="shared" ref="BE31:BF31" si="126">BE13/BE7</f>
        <v>2.1367359017838015E-2</v>
      </c>
      <c r="BF31" s="261">
        <f t="shared" si="126"/>
        <v>2.8167879926064447E-2</v>
      </c>
      <c r="BG31" s="261">
        <f t="shared" ref="BG31:BH31" si="127">BG13/BG7</f>
        <v>1.9204137038335609E-2</v>
      </c>
      <c r="BH31" s="261">
        <f t="shared" si="127"/>
        <v>3.5702594310979455E-2</v>
      </c>
      <c r="BI31" s="280" t="str">
        <f t="shared" ref="BI31:BI36" si="128">(ROUND(BH31-BF31,3)*100)&amp;"ppt"</f>
        <v>0.8ppt</v>
      </c>
      <c r="BJ31" s="280" t="str">
        <f t="shared" ref="BJ31:BJ36" si="129">(ROUND(BH31-BG31,3)*100)&amp;"ppt"</f>
        <v>1.6ppt</v>
      </c>
      <c r="BM31" s="274"/>
      <c r="BN31" s="235"/>
      <c r="BO31" s="235"/>
      <c r="BP31" s="235"/>
      <c r="BQ31" s="235"/>
      <c r="BR31" s="235"/>
      <c r="BS31" s="235"/>
    </row>
    <row r="32" spans="1:71" hidden="1" outlineLevel="1" x14ac:dyDescent="0.4">
      <c r="A32" s="233" t="s">
        <v>2772</v>
      </c>
      <c r="B32" s="259" t="s">
        <v>1884</v>
      </c>
      <c r="C32" s="259"/>
      <c r="D32" s="261">
        <f t="shared" ref="D32:J32" si="130">D15/D7</f>
        <v>3.5751521698004926E-2</v>
      </c>
      <c r="E32" s="261">
        <f t="shared" si="130"/>
        <v>3.6649347355138064E-2</v>
      </c>
      <c r="F32" s="261">
        <f t="shared" si="130"/>
        <v>3.8952768497633003E-2</v>
      </c>
      <c r="G32" s="261">
        <f t="shared" si="130"/>
        <v>3.2887830263434156E-2</v>
      </c>
      <c r="H32" s="261">
        <f t="shared" si="130"/>
        <v>3.213682289807792E-2</v>
      </c>
      <c r="I32" s="261">
        <f t="shared" si="130"/>
        <v>3.5165482770778161E-2</v>
      </c>
      <c r="J32" s="261">
        <f t="shared" si="130"/>
        <v>2.6111501085597021E-2</v>
      </c>
      <c r="K32" s="261"/>
      <c r="L32" s="261"/>
      <c r="M32" s="261"/>
      <c r="N32" s="261"/>
      <c r="O32" s="261"/>
      <c r="P32" s="261"/>
      <c r="Q32" s="261"/>
      <c r="R32" s="261"/>
      <c r="S32" s="261"/>
      <c r="T32" s="261"/>
      <c r="U32" s="261"/>
      <c r="V32" s="280" t="str">
        <f t="shared" si="123"/>
        <v>0ppt</v>
      </c>
      <c r="W32" s="261"/>
      <c r="X32" s="234" t="s">
        <v>1883</v>
      </c>
      <c r="Y32" s="261">
        <f t="shared" ref="Y32:BB32" si="131">Y15/Y7</f>
        <v>3.0596576148647085E-2</v>
      </c>
      <c r="Z32" s="261">
        <f t="shared" si="131"/>
        <v>4.0774294744411174E-2</v>
      </c>
      <c r="AA32" s="261">
        <f t="shared" si="131"/>
        <v>2.8923558206897879E-2</v>
      </c>
      <c r="AB32" s="261">
        <f t="shared" si="131"/>
        <v>4.6760002568878058E-2</v>
      </c>
      <c r="AC32" s="261">
        <f t="shared" si="131"/>
        <v>3.620458619571218E-2</v>
      </c>
      <c r="AD32" s="261">
        <f t="shared" si="131"/>
        <v>4.0919043213773723E-2</v>
      </c>
      <c r="AE32" s="261">
        <f t="shared" si="131"/>
        <v>3.6700635742442943E-2</v>
      </c>
      <c r="AF32" s="261">
        <f t="shared" si="131"/>
        <v>3.0642300926661127E-2</v>
      </c>
      <c r="AG32" s="261">
        <f t="shared" si="131"/>
        <v>3.396560984096765E-2</v>
      </c>
      <c r="AH32" s="261">
        <f t="shared" si="131"/>
        <v>3.0872105083925842E-2</v>
      </c>
      <c r="AI32" s="261">
        <f t="shared" si="131"/>
        <v>3.654534931519883E-2</v>
      </c>
      <c r="AJ32" s="261">
        <f t="shared" si="131"/>
        <v>3.4158879899730356E-2</v>
      </c>
      <c r="AK32" s="261">
        <f t="shared" si="131"/>
        <v>2.7371724402814844E-2</v>
      </c>
      <c r="AL32" s="261">
        <f t="shared" si="131"/>
        <v>2.5218458148925177E-2</v>
      </c>
      <c r="AM32" s="261">
        <f t="shared" si="131"/>
        <v>2.4595742570382557E-2</v>
      </c>
      <c r="AN32" s="261">
        <f t="shared" si="131"/>
        <v>0</v>
      </c>
      <c r="AO32" s="261">
        <f t="shared" si="131"/>
        <v>0</v>
      </c>
      <c r="AP32" s="261">
        <f t="shared" si="131"/>
        <v>0</v>
      </c>
      <c r="AQ32" s="261">
        <f t="shared" si="131"/>
        <v>0</v>
      </c>
      <c r="AR32" s="261">
        <f t="shared" si="131"/>
        <v>0</v>
      </c>
      <c r="AS32" s="261">
        <f t="shared" si="131"/>
        <v>0</v>
      </c>
      <c r="AT32" s="261">
        <f t="shared" si="131"/>
        <v>0</v>
      </c>
      <c r="AU32" s="261">
        <f t="shared" si="131"/>
        <v>0</v>
      </c>
      <c r="AV32" s="261">
        <f t="shared" si="131"/>
        <v>0</v>
      </c>
      <c r="AW32" s="261">
        <f t="shared" si="131"/>
        <v>0</v>
      </c>
      <c r="AX32" s="261">
        <f t="shared" si="131"/>
        <v>0</v>
      </c>
      <c r="AY32" s="261">
        <f t="shared" si="131"/>
        <v>0</v>
      </c>
      <c r="AZ32" s="261">
        <f t="shared" si="131"/>
        <v>0</v>
      </c>
      <c r="BA32" s="261">
        <f t="shared" si="131"/>
        <v>0</v>
      </c>
      <c r="BB32" s="261">
        <f t="shared" si="131"/>
        <v>0</v>
      </c>
      <c r="BC32" s="261">
        <f t="shared" ref="BC32:BD32" si="132">BC15/BC7</f>
        <v>0</v>
      </c>
      <c r="BD32" s="261">
        <f t="shared" si="132"/>
        <v>0</v>
      </c>
      <c r="BE32" s="261">
        <f t="shared" ref="BE32:BF32" si="133">BE15/BE7</f>
        <v>0</v>
      </c>
      <c r="BF32" s="261">
        <f t="shared" si="133"/>
        <v>0</v>
      </c>
      <c r="BG32" s="261">
        <f t="shared" ref="BG32:BH32" si="134">BG15/BG7</f>
        <v>0</v>
      </c>
      <c r="BH32" s="261" t="e">
        <f t="shared" si="134"/>
        <v>#DIV/0!</v>
      </c>
      <c r="BI32" s="280" t="e">
        <f t="shared" si="128"/>
        <v>#DIV/0!</v>
      </c>
      <c r="BJ32" s="280" t="e">
        <f t="shared" si="129"/>
        <v>#DIV/0!</v>
      </c>
    </row>
    <row r="33" spans="1:273" collapsed="1" x14ac:dyDescent="0.4">
      <c r="A33" s="233" t="s">
        <v>2761</v>
      </c>
      <c r="B33" s="233" t="s">
        <v>746</v>
      </c>
      <c r="D33" s="261">
        <f t="shared" ref="D33:R33" si="135">D17/D7</f>
        <v>1.8205482876275756E-3</v>
      </c>
      <c r="E33" s="261">
        <f t="shared" si="135"/>
        <v>1.334827785476814E-3</v>
      </c>
      <c r="F33" s="261">
        <f t="shared" si="135"/>
        <v>1.2978525763984274E-3</v>
      </c>
      <c r="G33" s="261">
        <f t="shared" si="135"/>
        <v>1.1764231108378124E-2</v>
      </c>
      <c r="H33" s="261">
        <f t="shared" si="135"/>
        <v>1.092504744266033E-2</v>
      </c>
      <c r="I33" s="261">
        <f t="shared" si="135"/>
        <v>1.5335550374153125E-2</v>
      </c>
      <c r="J33" s="261">
        <f t="shared" si="135"/>
        <v>1.3235616293174352E-2</v>
      </c>
      <c r="K33" s="261">
        <f t="shared" si="135"/>
        <v>1.6554577463491541E-2</v>
      </c>
      <c r="L33" s="261">
        <f t="shared" si="135"/>
        <v>1.4892796209654932E-2</v>
      </c>
      <c r="M33" s="261">
        <f t="shared" si="135"/>
        <v>2.1330013221268786E-2</v>
      </c>
      <c r="N33" s="261">
        <f t="shared" si="135"/>
        <v>3.2030116543425212E-2</v>
      </c>
      <c r="O33" s="261">
        <f t="shared" si="135"/>
        <v>3.6954708925186867E-2</v>
      </c>
      <c r="P33" s="261">
        <f t="shared" si="135"/>
        <v>4.290846030650769E-2</v>
      </c>
      <c r="Q33" s="261">
        <f t="shared" si="135"/>
        <v>3.4513197802281098E-2</v>
      </c>
      <c r="R33" s="261">
        <f t="shared" si="135"/>
        <v>2.9334750932002971E-2</v>
      </c>
      <c r="S33" s="261">
        <f t="shared" ref="S33:T33" si="136">S17/S7</f>
        <v>2.8173709126046578E-2</v>
      </c>
      <c r="T33" s="261">
        <f t="shared" si="136"/>
        <v>2.7993137393942467E-2</v>
      </c>
      <c r="U33" s="261">
        <f t="shared" ref="U33" si="137">U17/U7</f>
        <v>2.4586409951368116E-2</v>
      </c>
      <c r="V33" s="280" t="str">
        <f t="shared" si="123"/>
        <v>-0.3ppt</v>
      </c>
      <c r="W33" s="261"/>
      <c r="Y33" s="261"/>
      <c r="Z33" s="261"/>
      <c r="AA33" s="261">
        <f t="shared" ref="AA33:BB33" si="138">AA17/AA7</f>
        <v>1.0249091640401741E-3</v>
      </c>
      <c r="AB33" s="261">
        <f t="shared" si="138"/>
        <v>1.7404148738038663E-3</v>
      </c>
      <c r="AC33" s="261">
        <f t="shared" si="138"/>
        <v>8.0456414573235838E-4</v>
      </c>
      <c r="AD33" s="261">
        <f t="shared" si="138"/>
        <v>1.650791523827603E-3</v>
      </c>
      <c r="AE33" s="261">
        <f t="shared" si="138"/>
        <v>1.6154308375605254E-2</v>
      </c>
      <c r="AF33" s="261">
        <f t="shared" si="138"/>
        <v>9.1787209509541796E-3</v>
      </c>
      <c r="AG33" s="261">
        <f t="shared" si="138"/>
        <v>1.2286362057738469E-2</v>
      </c>
      <c r="AH33" s="261">
        <f t="shared" si="138"/>
        <v>9.9836152812766664E-3</v>
      </c>
      <c r="AI33" s="261">
        <f t="shared" si="138"/>
        <v>1.6037763964966083E-2</v>
      </c>
      <c r="AJ33" s="261">
        <f t="shared" si="138"/>
        <v>1.4823290533185766E-2</v>
      </c>
      <c r="AK33" s="261">
        <f t="shared" si="138"/>
        <v>1.87248493463683E-2</v>
      </c>
      <c r="AL33" s="261">
        <f t="shared" si="138"/>
        <v>9.3457336518002546E-3</v>
      </c>
      <c r="AM33" s="261">
        <f t="shared" si="138"/>
        <v>1.7898694625966757E-2</v>
      </c>
      <c r="AN33" s="261">
        <f t="shared" si="138"/>
        <v>1.5464551772752095E-2</v>
      </c>
      <c r="AO33" s="261">
        <f t="shared" si="138"/>
        <v>1.7190293919576667E-2</v>
      </c>
      <c r="AP33" s="261">
        <f t="shared" si="138"/>
        <v>1.3310465014926474E-2</v>
      </c>
      <c r="AQ33" s="261">
        <f t="shared" si="138"/>
        <v>1.9252956581505769E-2</v>
      </c>
      <c r="AR33" s="261">
        <f t="shared" si="138"/>
        <v>2.3084639890939552E-2</v>
      </c>
      <c r="AS33" s="261">
        <f t="shared" si="138"/>
        <v>3.0938167677668826E-2</v>
      </c>
      <c r="AT33" s="261">
        <f t="shared" si="138"/>
        <v>3.3067887450553009E-2</v>
      </c>
      <c r="AU33" s="261">
        <f t="shared" si="138"/>
        <v>4.0091240809657799E-2</v>
      </c>
      <c r="AV33" s="261">
        <f t="shared" si="138"/>
        <v>3.4423356071222773E-2</v>
      </c>
      <c r="AW33" s="261">
        <f t="shared" si="138"/>
        <v>4.8002576663801054E-2</v>
      </c>
      <c r="AX33" s="261">
        <f t="shared" si="138"/>
        <v>3.8768503793311732E-2</v>
      </c>
      <c r="AY33" s="261">
        <f t="shared" si="138"/>
        <v>3.4548250380220635E-2</v>
      </c>
      <c r="AZ33" s="261">
        <f t="shared" si="138"/>
        <v>3.4482056139353581E-2</v>
      </c>
      <c r="BA33" s="261">
        <f t="shared" si="138"/>
        <v>2.7403209098794162E-2</v>
      </c>
      <c r="BB33" s="261">
        <f t="shared" si="138"/>
        <v>3.1492707543984588E-2</v>
      </c>
      <c r="BC33" s="261">
        <f t="shared" ref="BC33:BD33" si="139">BC17/BC7</f>
        <v>2.8199018731603395E-2</v>
      </c>
      <c r="BD33" s="261">
        <f t="shared" si="139"/>
        <v>2.8149916020593926E-2</v>
      </c>
      <c r="BE33" s="261">
        <f t="shared" ref="BE33:BF33" si="140">BE17/BE7</f>
        <v>2.6029058911047537E-2</v>
      </c>
      <c r="BF33" s="261">
        <f t="shared" si="140"/>
        <v>3.0271955877906327E-2</v>
      </c>
      <c r="BG33" s="261">
        <f t="shared" ref="BG33:BH33" si="141">BG17/BG7</f>
        <v>2.2948243591223834E-2</v>
      </c>
      <c r="BH33" s="261">
        <f t="shared" si="141"/>
        <v>2.6704688132061397E-2</v>
      </c>
      <c r="BI33" s="280" t="str">
        <f t="shared" si="128"/>
        <v>-0.4ppt</v>
      </c>
      <c r="BJ33" s="280" t="str">
        <f t="shared" si="129"/>
        <v>0.4ppt</v>
      </c>
    </row>
    <row r="34" spans="1:273" x14ac:dyDescent="0.4">
      <c r="A34" s="282" t="s">
        <v>2797</v>
      </c>
      <c r="B34" s="233" t="s">
        <v>2828</v>
      </c>
      <c r="D34" s="261"/>
      <c r="E34" s="261"/>
      <c r="F34" s="261"/>
      <c r="G34" s="261"/>
      <c r="H34" s="261"/>
      <c r="I34" s="261"/>
      <c r="J34" s="261"/>
      <c r="K34" s="261"/>
      <c r="L34" s="261"/>
      <c r="M34" s="261"/>
      <c r="N34" s="261"/>
      <c r="O34" s="261">
        <f t="shared" ref="O34:T34" si="142">O21/O7</f>
        <v>0.11812078863132708</v>
      </c>
      <c r="P34" s="261">
        <f t="shared" si="142"/>
        <v>0.13200030119435921</v>
      </c>
      <c r="Q34" s="261">
        <f t="shared" si="142"/>
        <v>0.12139729477888739</v>
      </c>
      <c r="R34" s="261">
        <f t="shared" si="142"/>
        <v>0.10569901436392437</v>
      </c>
      <c r="S34" s="261">
        <f t="shared" si="142"/>
        <v>0.10641976556300711</v>
      </c>
      <c r="T34" s="261">
        <f t="shared" si="142"/>
        <v>0.11240921719503295</v>
      </c>
      <c r="U34" s="261">
        <f t="shared" ref="U34" si="143">U21/U7</f>
        <v>0.11914037541625806</v>
      </c>
      <c r="V34" s="280" t="str">
        <f t="shared" si="123"/>
        <v>0.7ppt</v>
      </c>
      <c r="W34" s="261"/>
      <c r="Y34" s="261"/>
      <c r="Z34" s="261"/>
      <c r="AA34" s="261"/>
      <c r="AB34" s="261"/>
      <c r="AC34" s="261"/>
      <c r="AD34" s="261"/>
      <c r="AE34" s="261"/>
      <c r="AF34" s="261"/>
      <c r="AG34" s="261"/>
      <c r="AH34" s="261"/>
      <c r="AI34" s="261"/>
      <c r="AJ34" s="261"/>
      <c r="AK34" s="261"/>
      <c r="AL34" s="261"/>
      <c r="AM34" s="261"/>
      <c r="AN34" s="261"/>
      <c r="AO34" s="261"/>
      <c r="AP34" s="261"/>
      <c r="AQ34" s="261"/>
      <c r="AR34" s="261"/>
      <c r="AS34" s="261"/>
      <c r="AT34" s="261"/>
      <c r="AU34" s="261"/>
      <c r="AV34" s="261"/>
      <c r="AW34" s="261">
        <f t="shared" ref="AW34:BB34" si="144">AW21/AW7</f>
        <v>0.14101691869477939</v>
      </c>
      <c r="AX34" s="261">
        <f t="shared" si="144"/>
        <v>0.12467255252713119</v>
      </c>
      <c r="AY34" s="261">
        <f t="shared" si="144"/>
        <v>0.13205027589572216</v>
      </c>
      <c r="AZ34" s="261">
        <f t="shared" si="144"/>
        <v>0.11193289681974188</v>
      </c>
      <c r="BA34" s="261">
        <f t="shared" si="144"/>
        <v>0.10342574214848797</v>
      </c>
      <c r="BB34" s="261">
        <f t="shared" si="144"/>
        <v>0.108238758895362</v>
      </c>
      <c r="BC34" s="261">
        <f t="shared" ref="BC34:BD34" si="145">BC21/BC7</f>
        <v>0.1154478098559133</v>
      </c>
      <c r="BD34" s="261">
        <f t="shared" si="145"/>
        <v>9.7932663327846448E-2</v>
      </c>
      <c r="BE34" s="261">
        <f t="shared" ref="BE34:BF34" si="146">BE21/BE7</f>
        <v>0.12016056420247874</v>
      </c>
      <c r="BF34" s="261">
        <f t="shared" si="146"/>
        <v>0.10341573094180041</v>
      </c>
      <c r="BG34" s="261">
        <f t="shared" ref="BG34:BH34" si="147">BG21/BG7</f>
        <v>0.1262540644615032</v>
      </c>
      <c r="BH34" s="261">
        <f t="shared" si="147"/>
        <v>0.10994181496757906</v>
      </c>
      <c r="BI34" s="280" t="str">
        <f t="shared" si="128"/>
        <v>0.7ppt</v>
      </c>
      <c r="BJ34" s="280" t="str">
        <f t="shared" si="129"/>
        <v>-1.6ppt</v>
      </c>
    </row>
    <row r="35" spans="1:273" x14ac:dyDescent="0.4">
      <c r="A35" s="233" t="s">
        <v>2773</v>
      </c>
      <c r="B35" s="233" t="s">
        <v>2016</v>
      </c>
      <c r="D35" s="261">
        <f t="shared" ref="D35:R35" si="148">D25/D7</f>
        <v>4.4397334096696391E-2</v>
      </c>
      <c r="E35" s="261">
        <f t="shared" si="148"/>
        <v>6.3107702860906029E-2</v>
      </c>
      <c r="F35" s="261">
        <f t="shared" si="148"/>
        <v>8.6479942911844701E-2</v>
      </c>
      <c r="G35" s="261">
        <f t="shared" si="148"/>
        <v>9.2031038424021591E-2</v>
      </c>
      <c r="H35" s="261">
        <f t="shared" si="148"/>
        <v>0.13423835703716827</v>
      </c>
      <c r="I35" s="261">
        <f t="shared" si="148"/>
        <v>0.10076923302457487</v>
      </c>
      <c r="J35" s="261">
        <f t="shared" si="148"/>
        <v>0.100390611672763</v>
      </c>
      <c r="K35" s="261">
        <f t="shared" si="148"/>
        <v>0.11905007005443623</v>
      </c>
      <c r="L35" s="261">
        <f t="shared" si="148"/>
        <v>0.11102234727741658</v>
      </c>
      <c r="M35" s="261">
        <f t="shared" si="148"/>
        <v>0.10946789038972395</v>
      </c>
      <c r="N35" s="261">
        <f t="shared" si="148"/>
        <v>8.0899640572920373E-2</v>
      </c>
      <c r="O35" s="261">
        <f t="shared" si="148"/>
        <v>8.7777464964224422E-2</v>
      </c>
      <c r="P35" s="261">
        <f t="shared" si="148"/>
        <v>9.6310594851014203E-2</v>
      </c>
      <c r="Q35" s="261">
        <f t="shared" si="148"/>
        <v>8.7969382436704449E-2</v>
      </c>
      <c r="R35" s="261">
        <f t="shared" si="148"/>
        <v>7.8027509906446385E-2</v>
      </c>
      <c r="S35" s="261">
        <f t="shared" ref="S35:T35" si="149">S25/S7</f>
        <v>8.0574357294506113E-2</v>
      </c>
      <c r="T35" s="261">
        <f t="shared" si="149"/>
        <v>8.1324665607844279E-2</v>
      </c>
      <c r="U35" s="261">
        <f t="shared" ref="U35" si="150">U25/U7</f>
        <v>8.5500968157812204E-2</v>
      </c>
      <c r="V35" s="280" t="str">
        <f t="shared" si="123"/>
        <v>0.4ppt</v>
      </c>
      <c r="W35" s="261"/>
      <c r="X35" s="234" t="s">
        <v>294</v>
      </c>
      <c r="Y35" s="261">
        <f t="shared" ref="Y35:BB35" si="151">Y25/Y7</f>
        <v>5.1491615031646509E-2</v>
      </c>
      <c r="Z35" s="261">
        <f t="shared" si="151"/>
        <v>4.5459846331248631E-2</v>
      </c>
      <c r="AA35" s="261">
        <f t="shared" si="151"/>
        <v>5.5135169324481495E-2</v>
      </c>
      <c r="AB35" s="261">
        <f t="shared" si="151"/>
        <v>8.8177928104714892E-2</v>
      </c>
      <c r="AC35" s="261">
        <f t="shared" si="151"/>
        <v>9.2809005355824037E-2</v>
      </c>
      <c r="AD35" s="261">
        <f t="shared" si="151"/>
        <v>8.1951613240347193E-2</v>
      </c>
      <c r="AE35" s="261">
        <f t="shared" si="151"/>
        <v>0.10755257937226941</v>
      </c>
      <c r="AF35" s="261">
        <f t="shared" si="151"/>
        <v>8.2889718274566898E-2</v>
      </c>
      <c r="AG35" s="261">
        <f t="shared" si="151"/>
        <v>9.9015633077863305E-2</v>
      </c>
      <c r="AH35" s="261">
        <f t="shared" si="151"/>
        <v>0.15859702091952532</v>
      </c>
      <c r="AI35" s="261">
        <f t="shared" si="151"/>
        <v>0.10190285639164127</v>
      </c>
      <c r="AJ35" s="261">
        <f t="shared" si="151"/>
        <v>9.9942262807353591E-2</v>
      </c>
      <c r="AK35" s="261">
        <f t="shared" si="151"/>
        <v>0.10214615177059061</v>
      </c>
      <c r="AL35" s="261">
        <f t="shared" si="151"/>
        <v>9.9146568126679199E-2</v>
      </c>
      <c r="AM35" s="261">
        <f t="shared" si="151"/>
        <v>0.10996675304442521</v>
      </c>
      <c r="AN35" s="261">
        <f t="shared" si="151"/>
        <v>0.12641627976773956</v>
      </c>
      <c r="AO35" s="261">
        <f t="shared" si="151"/>
        <v>0.11957031906463726</v>
      </c>
      <c r="AP35" s="261">
        <f t="shared" si="151"/>
        <v>0.10513519346125942</v>
      </c>
      <c r="AQ35" s="261">
        <f t="shared" si="151"/>
        <v>0.10856859458502705</v>
      </c>
      <c r="AR35" s="261">
        <f t="shared" si="151"/>
        <v>0.1102275848403405</v>
      </c>
      <c r="AS35" s="261">
        <f t="shared" si="151"/>
        <v>9.3055264974084895E-2</v>
      </c>
      <c r="AT35" s="261">
        <f t="shared" si="151"/>
        <v>6.9347127669522515E-2</v>
      </c>
      <c r="AU35" s="261">
        <f t="shared" si="151"/>
        <v>0.10389924661886175</v>
      </c>
      <c r="AV35" s="261">
        <f t="shared" si="151"/>
        <v>7.4766305025279298E-2</v>
      </c>
      <c r="AW35" s="261">
        <f t="shared" si="151"/>
        <v>0.10347437858323562</v>
      </c>
      <c r="AX35" s="261">
        <f t="shared" si="151"/>
        <v>9.0488632602571381E-2</v>
      </c>
      <c r="AY35" s="261">
        <f t="shared" si="151"/>
        <v>9.6236071453434269E-2</v>
      </c>
      <c r="AZ35" s="261">
        <f t="shared" si="151"/>
        <v>8.062503123578213E-2</v>
      </c>
      <c r="BA35" s="261">
        <f t="shared" si="151"/>
        <v>7.8311656268056959E-2</v>
      </c>
      <c r="BB35" s="261">
        <f t="shared" si="151"/>
        <v>7.7710055989960725E-2</v>
      </c>
      <c r="BC35" s="261">
        <f t="shared" ref="BC35:BD35" si="152">BC25/BC7</f>
        <v>8.7979665368866936E-2</v>
      </c>
      <c r="BD35" s="261">
        <f t="shared" si="152"/>
        <v>7.3612760223106574E-2</v>
      </c>
      <c r="BE35" s="261">
        <f t="shared" ref="BE35:BF35" si="153">BE25/BE7</f>
        <v>8.8495169255104367E-2</v>
      </c>
      <c r="BF35" s="261">
        <f t="shared" si="153"/>
        <v>7.3005101805779696E-2</v>
      </c>
      <c r="BG35" s="261">
        <f t="shared" ref="BG35:BH35" si="154">BG25/BG7</f>
        <v>9.2840827760753156E-2</v>
      </c>
      <c r="BH35" s="261">
        <f t="shared" si="154"/>
        <v>7.6009951357239827E-2</v>
      </c>
      <c r="BI35" s="280" t="str">
        <f t="shared" si="128"/>
        <v>0.3ppt</v>
      </c>
      <c r="BJ35" s="280" t="str">
        <f t="shared" si="129"/>
        <v>-1.7ppt</v>
      </c>
    </row>
    <row r="36" spans="1:273" x14ac:dyDescent="0.3">
      <c r="A36" s="233" t="s">
        <v>2774</v>
      </c>
      <c r="B36" s="233" t="s">
        <v>1882</v>
      </c>
      <c r="D36" s="283">
        <f t="shared" ref="D36:R36" si="155">D22/D21</f>
        <v>0.10773379628500787</v>
      </c>
      <c r="E36" s="283">
        <f t="shared" si="155"/>
        <v>9.0389088879482465E-2</v>
      </c>
      <c r="F36" s="283">
        <f t="shared" si="155"/>
        <v>0.1598974702786046</v>
      </c>
      <c r="G36" s="283">
        <f t="shared" si="155"/>
        <v>0.18116457129286381</v>
      </c>
      <c r="H36" s="283">
        <f t="shared" si="155"/>
        <v>-0.14973698691739196</v>
      </c>
      <c r="I36" s="283">
        <f t="shared" si="155"/>
        <v>0.15850956500149035</v>
      </c>
      <c r="J36" s="283">
        <f t="shared" si="155"/>
        <v>0.16298966744194221</v>
      </c>
      <c r="K36" s="283">
        <f t="shared" si="155"/>
        <v>0.12851335039539233</v>
      </c>
      <c r="L36" s="283">
        <f t="shared" si="155"/>
        <v>0.16709094901292795</v>
      </c>
      <c r="M36" s="283">
        <f t="shared" si="155"/>
        <v>0.18492905560940956</v>
      </c>
      <c r="N36" s="261">
        <f t="shared" si="155"/>
        <v>0.26571117096835783</v>
      </c>
      <c r="O36" s="261">
        <f t="shared" si="155"/>
        <v>0.21427650683213645</v>
      </c>
      <c r="P36" s="261">
        <f t="shared" si="155"/>
        <v>0.21351290245735449</v>
      </c>
      <c r="Q36" s="261">
        <f t="shared" si="155"/>
        <v>0.20769920400017988</v>
      </c>
      <c r="R36" s="261">
        <f t="shared" si="155"/>
        <v>0.21423958488442713</v>
      </c>
      <c r="S36" s="261">
        <f t="shared" ref="S36:T36" si="156">S22/S21</f>
        <v>0.19751226644553033</v>
      </c>
      <c r="T36" s="261">
        <f t="shared" si="156"/>
        <v>0.22120991053563493</v>
      </c>
      <c r="U36" s="261">
        <f t="shared" ref="U36" si="157">U22/U21</f>
        <v>0.24751242367644566</v>
      </c>
      <c r="V36" s="284" t="str">
        <f>(ROUND(U36-T36,3)*100)&amp;"ppt"</f>
        <v>2.6ppt</v>
      </c>
      <c r="W36" s="261"/>
      <c r="Y36" s="260"/>
      <c r="Z36" s="260"/>
      <c r="AA36" s="260"/>
      <c r="AB36" s="260"/>
      <c r="AC36" s="261"/>
      <c r="AD36" s="260"/>
      <c r="AE36" s="261">
        <f t="shared" ref="AE36:BB36" si="158">AE22/AE21</f>
        <v>8.7869548593653049E-2</v>
      </c>
      <c r="AF36" s="261">
        <f t="shared" si="158"/>
        <v>0.24009986835213681</v>
      </c>
      <c r="AG36" s="261">
        <f t="shared" si="158"/>
        <v>0.17112796809184777</v>
      </c>
      <c r="AH36" s="261">
        <f t="shared" si="158"/>
        <v>-0.36084705524571892</v>
      </c>
      <c r="AI36" s="261">
        <f t="shared" si="158"/>
        <v>0.17074410547410371</v>
      </c>
      <c r="AJ36" s="261">
        <f t="shared" si="158"/>
        <v>0.14886890191516269</v>
      </c>
      <c r="AK36" s="261">
        <f t="shared" si="158"/>
        <v>0.17904638559989747</v>
      </c>
      <c r="AL36" s="261">
        <f t="shared" si="158"/>
        <v>0.15059208397710933</v>
      </c>
      <c r="AM36" s="261">
        <f t="shared" si="158"/>
        <v>0.15891112343729999</v>
      </c>
      <c r="AN36" s="261">
        <f t="shared" si="158"/>
        <v>0.1052210632095894</v>
      </c>
      <c r="AO36" s="261">
        <f t="shared" si="158"/>
        <v>0.16178751312803963</v>
      </c>
      <c r="AP36" s="261">
        <f t="shared" si="158"/>
        <v>0.17134699989235994</v>
      </c>
      <c r="AQ36" s="261">
        <f t="shared" si="158"/>
        <v>0.20195627429402679</v>
      </c>
      <c r="AR36" s="261">
        <f t="shared" si="158"/>
        <v>0.16996589127210035</v>
      </c>
      <c r="AS36" s="261">
        <f t="shared" si="158"/>
        <v>0.22848842200548528</v>
      </c>
      <c r="AT36" s="261">
        <f t="shared" si="158"/>
        <v>0.30789134269909324</v>
      </c>
      <c r="AU36" s="261">
        <f t="shared" si="158"/>
        <v>0.18994693811309479</v>
      </c>
      <c r="AV36" s="261">
        <f t="shared" si="158"/>
        <v>0.23969126347719008</v>
      </c>
      <c r="AW36" s="261">
        <f t="shared" si="158"/>
        <v>0.20293509118029157</v>
      </c>
      <c r="AX36" s="261">
        <f t="shared" si="158"/>
        <v>0.22323641329271604</v>
      </c>
      <c r="AY36" s="261">
        <f t="shared" si="158"/>
        <v>0.20920488240294879</v>
      </c>
      <c r="AZ36" s="261">
        <f t="shared" si="158"/>
        <v>0.20612109997885367</v>
      </c>
      <c r="BA36" s="261">
        <f t="shared" si="158"/>
        <v>0.18817705187967726</v>
      </c>
      <c r="BB36" s="261">
        <f t="shared" si="158"/>
        <v>0.24206239900807344</v>
      </c>
      <c r="BC36" s="261">
        <f t="shared" ref="BC36:BD36" si="159">BC22/BC21</f>
        <v>0.19293896606176497</v>
      </c>
      <c r="BD36" s="261">
        <f t="shared" si="159"/>
        <v>0.20258046491147383</v>
      </c>
      <c r="BE36" s="261">
        <f t="shared" ref="BE36:BF36" si="160">BE22/BE21</f>
        <v>0.21043071163252719</v>
      </c>
      <c r="BF36" s="261">
        <f t="shared" si="160"/>
        <v>0.23574148709754</v>
      </c>
      <c r="BG36" s="261">
        <f t="shared" ref="BG36:BH36" si="161">BG22/BG21</f>
        <v>0.22968310535663897</v>
      </c>
      <c r="BH36" s="261">
        <f t="shared" si="161"/>
        <v>0.27398780318147187</v>
      </c>
      <c r="BI36" s="280" t="str">
        <f t="shared" si="128"/>
        <v>3.8ppt</v>
      </c>
      <c r="BJ36" s="280" t="str">
        <f t="shared" si="129"/>
        <v>4.4ppt</v>
      </c>
    </row>
    <row r="37" spans="1:273" x14ac:dyDescent="0.3">
      <c r="A37" s="246"/>
      <c r="D37" s="285"/>
      <c r="E37" s="285"/>
      <c r="F37" s="260"/>
      <c r="G37" s="286"/>
      <c r="H37" s="286"/>
      <c r="I37" s="286"/>
      <c r="J37" s="286"/>
      <c r="K37" s="286"/>
      <c r="L37" s="286">
        <f t="shared" ref="L37:R37" si="162">L33+L31</f>
        <v>3.883011825697244E-2</v>
      </c>
      <c r="M37" s="286">
        <f t="shared" si="162"/>
        <v>4.9138543854741992E-2</v>
      </c>
      <c r="N37" s="286">
        <f t="shared" si="162"/>
        <v>5.7136835839389943E-2</v>
      </c>
      <c r="O37" s="286">
        <f t="shared" si="162"/>
        <v>6.4225809643436119E-2</v>
      </c>
      <c r="P37" s="286">
        <f t="shared" si="162"/>
        <v>7.3655405826336867E-2</v>
      </c>
      <c r="Q37" s="286">
        <f>Q33+Q31</f>
        <v>6.3987009429383512E-2</v>
      </c>
      <c r="R37" s="286">
        <f t="shared" si="162"/>
        <v>5.3210776162238953E-2</v>
      </c>
      <c r="S37" s="286">
        <f t="shared" ref="S37:T37" si="163">S33+S31</f>
        <v>5.1235420665232304E-2</v>
      </c>
      <c r="T37" s="286">
        <f t="shared" si="163"/>
        <v>5.2508524019486739E-2</v>
      </c>
      <c r="U37" s="286">
        <f>U33+U31</f>
        <v>5.0985440300253364E-2</v>
      </c>
      <c r="V37" s="1731" t="str">
        <f t="shared" si="123"/>
        <v>-0.2ppt</v>
      </c>
      <c r="W37" s="286"/>
      <c r="Y37" s="285"/>
      <c r="Z37" s="285"/>
      <c r="AA37" s="285"/>
      <c r="AB37" s="285"/>
      <c r="AC37" s="260"/>
      <c r="AD37" s="260"/>
      <c r="AE37" s="260"/>
      <c r="AF37" s="286"/>
      <c r="AG37" s="286"/>
      <c r="AH37" s="286"/>
      <c r="AI37" s="286"/>
      <c r="AJ37" s="286"/>
      <c r="AK37" s="286"/>
      <c r="AL37" s="287"/>
      <c r="AM37" s="286"/>
      <c r="AN37" s="286"/>
      <c r="AO37" s="286">
        <f>AO33+AO31</f>
        <v>5.1455626046793289E-2</v>
      </c>
      <c r="AP37" s="286"/>
      <c r="AQ37" s="286">
        <f t="shared" ref="AQ37:BB37" si="164">AQ33+AQ31</f>
        <v>4.8182857063236807E-2</v>
      </c>
      <c r="AR37" s="286">
        <f t="shared" si="164"/>
        <v>4.9945875489385533E-2</v>
      </c>
      <c r="AS37" s="286">
        <f t="shared" si="164"/>
        <v>5.393587667617035E-2</v>
      </c>
      <c r="AT37" s="286">
        <f t="shared" si="164"/>
        <v>6.0178976729561011E-2</v>
      </c>
      <c r="AU37" s="286">
        <f t="shared" si="164"/>
        <v>6.8071707361350639E-2</v>
      </c>
      <c r="AV37" s="286">
        <f t="shared" si="164"/>
        <v>6.1121959747155188E-2</v>
      </c>
      <c r="AW37" s="286">
        <f t="shared" si="164"/>
        <v>7.6182176473115371E-2</v>
      </c>
      <c r="AX37" s="286">
        <f t="shared" si="164"/>
        <v>7.16019151200427E-2</v>
      </c>
      <c r="AY37" s="286">
        <f t="shared" si="164"/>
        <v>5.8273011445276114E-2</v>
      </c>
      <c r="AZ37" s="286">
        <f t="shared" si="164"/>
        <v>6.9063480537915459E-2</v>
      </c>
      <c r="BA37" s="286">
        <f t="shared" si="164"/>
        <v>4.8006005661453917E-2</v>
      </c>
      <c r="BB37" s="286">
        <f t="shared" si="164"/>
        <v>5.9025648365838672E-2</v>
      </c>
      <c r="BC37" s="286">
        <f t="shared" ref="BC37:BD37" si="165">BC33+BC31</f>
        <v>5.1021696108734721E-2</v>
      </c>
      <c r="BD37" s="286">
        <f t="shared" si="165"/>
        <v>5.1436339280860346E-2</v>
      </c>
      <c r="BE37" s="286">
        <f t="shared" ref="BE37:BF37" si="166">BE33+BE31</f>
        <v>4.7396417928885548E-2</v>
      </c>
      <c r="BF37" s="286">
        <f t="shared" si="166"/>
        <v>5.8439835803970774E-2</v>
      </c>
      <c r="BG37" s="286">
        <f t="shared" ref="BG37:BH37" si="167">BG33+BG31</f>
        <v>4.2152380629559442E-2</v>
      </c>
      <c r="BH37" s="286">
        <f t="shared" si="167"/>
        <v>6.2407282443040848E-2</v>
      </c>
      <c r="BI37" s="1731" t="str">
        <f>(ROUND(BH37-BF37,3)*100)&amp;"ppt"</f>
        <v>0.4ppt</v>
      </c>
      <c r="BJ37" s="1731" t="str">
        <f>(ROUND(BH37-BG37,3)*100)&amp;"ppt"</f>
        <v>2ppt</v>
      </c>
    </row>
    <row r="38" spans="1:273" x14ac:dyDescent="0.3">
      <c r="A38" s="267" t="s">
        <v>2911</v>
      </c>
      <c r="B38" s="233" t="s">
        <v>1881</v>
      </c>
      <c r="D38" s="285"/>
      <c r="E38" s="285"/>
      <c r="F38" s="285"/>
      <c r="G38" s="286"/>
      <c r="H38" s="286"/>
      <c r="I38" s="286"/>
      <c r="J38" s="286"/>
      <c r="K38" s="286"/>
      <c r="L38" s="288"/>
      <c r="M38" s="288"/>
      <c r="N38" s="288"/>
      <c r="O38" s="288"/>
      <c r="P38" s="288"/>
      <c r="Q38" s="288"/>
      <c r="R38" s="288"/>
      <c r="S38" s="288"/>
      <c r="T38" s="288"/>
      <c r="U38" s="288"/>
      <c r="V38" s="286"/>
      <c r="W38" s="286"/>
      <c r="Y38" s="285"/>
      <c r="Z38" s="285"/>
      <c r="AA38" s="285"/>
      <c r="AB38" s="285"/>
      <c r="AC38" s="286"/>
      <c r="AD38" s="285"/>
      <c r="AE38" s="286"/>
      <c r="AF38" s="286"/>
      <c r="AG38" s="286"/>
      <c r="AH38" s="286"/>
      <c r="AI38" s="286"/>
      <c r="AJ38" s="286"/>
      <c r="AK38" s="286"/>
      <c r="AL38" s="286"/>
      <c r="AM38" s="286"/>
      <c r="AN38" s="286"/>
      <c r="AO38" s="286"/>
      <c r="AP38" s="286"/>
      <c r="AQ38" s="286"/>
      <c r="AR38" s="286"/>
      <c r="AS38" s="286"/>
      <c r="AT38" s="286"/>
      <c r="AU38" s="286"/>
      <c r="AV38" s="286"/>
      <c r="AW38" s="286"/>
      <c r="AX38" s="286"/>
      <c r="AY38" s="286"/>
      <c r="AZ38" s="286"/>
      <c r="BA38" s="286"/>
      <c r="BB38" s="286"/>
      <c r="BC38" s="286"/>
      <c r="BD38" s="286"/>
      <c r="BE38" s="286"/>
      <c r="BF38" s="286"/>
      <c r="BG38" s="286"/>
      <c r="BH38" s="286"/>
      <c r="BI38" s="286"/>
      <c r="BJ38" s="286"/>
    </row>
    <row r="39" spans="1:273" x14ac:dyDescent="0.3">
      <c r="B39" s="289">
        <f>BS!N89</f>
        <v>5282.2166999999999</v>
      </c>
      <c r="C39" s="290"/>
      <c r="D39" s="285"/>
      <c r="E39" s="285"/>
      <c r="F39" s="285"/>
      <c r="G39" s="286"/>
      <c r="H39" s="286"/>
      <c r="I39" s="286"/>
      <c r="J39" s="286"/>
      <c r="K39" s="286"/>
      <c r="L39" s="286"/>
      <c r="M39" s="286"/>
      <c r="N39" s="286"/>
      <c r="O39" s="286"/>
      <c r="P39" s="286"/>
      <c r="Q39" s="286"/>
      <c r="R39" s="286"/>
      <c r="S39" s="286"/>
      <c r="T39" s="286"/>
      <c r="U39" s="286"/>
      <c r="V39" s="286"/>
      <c r="W39" s="286"/>
      <c r="Y39" s="285"/>
      <c r="Z39" s="285"/>
      <c r="AA39" s="285"/>
      <c r="AB39" s="285"/>
      <c r="AC39" s="286"/>
      <c r="AD39" s="285"/>
      <c r="AE39" s="286"/>
      <c r="AF39" s="286"/>
      <c r="AG39" s="286"/>
      <c r="AH39" s="286"/>
      <c r="AI39" s="286"/>
      <c r="AJ39" s="286"/>
      <c r="AK39" s="286"/>
      <c r="AL39" s="286"/>
      <c r="AM39" s="286"/>
      <c r="AN39" s="286"/>
      <c r="AO39" s="286"/>
      <c r="AP39" s="286"/>
      <c r="AQ39" s="286"/>
      <c r="AR39" s="286"/>
      <c r="AS39" s="291"/>
      <c r="AT39" s="291"/>
      <c r="AU39" s="292"/>
      <c r="AV39" s="292"/>
      <c r="AW39" s="292"/>
      <c r="AX39" s="292"/>
      <c r="AY39" s="293"/>
      <c r="AZ39" s="293"/>
      <c r="BA39" s="293"/>
      <c r="BB39" s="293"/>
      <c r="BC39" s="293"/>
      <c r="BD39" s="293"/>
      <c r="BE39" s="293"/>
      <c r="BF39" s="293"/>
      <c r="BG39" s="293"/>
      <c r="BH39" s="293"/>
      <c r="BI39" s="286"/>
      <c r="BJ39" s="286"/>
    </row>
    <row r="40" spans="1:273" x14ac:dyDescent="0.4">
      <c r="A40" s="282" t="s">
        <v>2910</v>
      </c>
      <c r="B40" s="233" t="s">
        <v>1980</v>
      </c>
      <c r="D40" s="261"/>
      <c r="E40" s="261"/>
      <c r="F40" s="294"/>
      <c r="G40" s="294"/>
      <c r="H40" s="294"/>
      <c r="I40" s="294"/>
      <c r="J40" s="294"/>
      <c r="K40" s="294"/>
      <c r="L40" s="294"/>
      <c r="M40" s="294"/>
      <c r="N40" s="294"/>
      <c r="O40" s="294"/>
      <c r="P40" s="294"/>
      <c r="Q40" s="295">
        <v>0.40500000000000003</v>
      </c>
      <c r="R40" s="295">
        <v>0.48</v>
      </c>
      <c r="S40" s="295">
        <v>0.56000000000000005</v>
      </c>
      <c r="T40" s="295">
        <v>0.61499999999999999</v>
      </c>
      <c r="U40" s="295">
        <v>0.625</v>
      </c>
      <c r="V40" s="295">
        <f>U40-T40</f>
        <v>1.0000000000000009E-2</v>
      </c>
      <c r="W40" s="294"/>
      <c r="Y40" s="261"/>
      <c r="Z40" s="261"/>
      <c r="AA40" s="261"/>
      <c r="AB40" s="261"/>
      <c r="AC40" s="294"/>
      <c r="AD40" s="294"/>
      <c r="AE40" s="294"/>
      <c r="AF40" s="294"/>
      <c r="AG40" s="294"/>
      <c r="AH40" s="294"/>
      <c r="AI40" s="294"/>
      <c r="AJ40" s="294"/>
      <c r="AK40" s="294"/>
      <c r="AL40" s="294"/>
      <c r="AM40" s="294"/>
      <c r="AN40" s="294"/>
      <c r="AO40" s="294"/>
      <c r="AP40" s="294"/>
      <c r="AQ40" s="294"/>
      <c r="AR40" s="294"/>
      <c r="AS40" s="294"/>
      <c r="AT40" s="294"/>
      <c r="AU40" s="295">
        <v>0.16</v>
      </c>
      <c r="AV40" s="295"/>
      <c r="AW40" s="295">
        <v>0.17</v>
      </c>
      <c r="AX40" s="295"/>
      <c r="AY40" s="295">
        <v>0.2</v>
      </c>
      <c r="AZ40" s="295">
        <f>Q40-AY40</f>
        <v>0.20500000000000002</v>
      </c>
      <c r="BA40" s="295">
        <v>0.24</v>
      </c>
      <c r="BB40" s="295">
        <f>R40-BA40</f>
        <v>0.24</v>
      </c>
      <c r="BC40" s="295">
        <v>0.27500000000000002</v>
      </c>
      <c r="BD40" s="295">
        <v>0.28000000000000003</v>
      </c>
      <c r="BE40" s="295">
        <v>0.33</v>
      </c>
      <c r="BF40" s="295">
        <v>0.28499999999999998</v>
      </c>
      <c r="BG40" s="295">
        <v>0.34</v>
      </c>
      <c r="BH40" s="295">
        <f>U40-BG40</f>
        <v>0.28499999999999998</v>
      </c>
      <c r="BI40" s="261">
        <f>BH40/BF40-1</f>
        <v>0</v>
      </c>
      <c r="BJ40" s="261">
        <f>BH40/BG40-1</f>
        <v>-0.16176470588235303</v>
      </c>
    </row>
    <row r="41" spans="1:273" x14ac:dyDescent="0.3">
      <c r="A41" s="282" t="s">
        <v>2912</v>
      </c>
      <c r="B41" s="233" t="s">
        <v>2122</v>
      </c>
      <c r="D41" s="283"/>
      <c r="E41" s="283"/>
      <c r="F41" s="283"/>
      <c r="G41" s="283"/>
      <c r="H41" s="283"/>
      <c r="I41" s="283"/>
      <c r="J41" s="283"/>
      <c r="K41" s="283"/>
      <c r="L41" s="283"/>
      <c r="M41" s="283"/>
      <c r="N41" s="283"/>
      <c r="O41" s="283"/>
      <c r="P41" s="283"/>
      <c r="Q41" s="296">
        <v>9.3000000000000007</v>
      </c>
      <c r="R41" s="296">
        <v>9.5</v>
      </c>
      <c r="S41" s="296">
        <v>8.8000000000000007</v>
      </c>
      <c r="T41" s="296">
        <v>9.5</v>
      </c>
      <c r="U41" s="296">
        <v>12.26</v>
      </c>
      <c r="V41" s="283"/>
      <c r="W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95">
        <v>6.81</v>
      </c>
      <c r="AV41" s="295"/>
      <c r="AW41" s="295">
        <v>5.74</v>
      </c>
      <c r="AX41" s="295"/>
      <c r="AY41" s="295">
        <v>5.5</v>
      </c>
      <c r="AZ41" s="295">
        <f>Q41</f>
        <v>9.3000000000000007</v>
      </c>
      <c r="BA41" s="295">
        <v>8.64</v>
      </c>
      <c r="BB41" s="295">
        <f>R41</f>
        <v>9.5</v>
      </c>
      <c r="BC41" s="297">
        <v>8.7100000000000009</v>
      </c>
      <c r="BD41" s="297">
        <v>8.65</v>
      </c>
      <c r="BE41" s="297">
        <v>11.32</v>
      </c>
      <c r="BF41" s="297">
        <v>11.68</v>
      </c>
      <c r="BG41" s="297">
        <v>11.47</v>
      </c>
      <c r="BH41" s="297">
        <v>9.11</v>
      </c>
      <c r="BI41" s="283"/>
      <c r="BJ41" s="283"/>
    </row>
    <row r="42" spans="1:273" x14ac:dyDescent="0.4">
      <c r="A42" s="282" t="s">
        <v>2913</v>
      </c>
      <c r="B42" s="233" t="s">
        <v>2123</v>
      </c>
      <c r="D42" s="265"/>
      <c r="E42" s="265"/>
      <c r="F42" s="265"/>
      <c r="G42" s="265"/>
      <c r="H42" s="265"/>
      <c r="I42" s="265"/>
      <c r="J42" s="265"/>
      <c r="K42" s="265"/>
      <c r="L42" s="265"/>
      <c r="M42" s="265"/>
      <c r="N42" s="265"/>
      <c r="O42" s="265"/>
      <c r="P42" s="265"/>
      <c r="Q42" s="261">
        <f>Q40/Q41</f>
        <v>4.3548387096774194E-2</v>
      </c>
      <c r="R42" s="261">
        <f>R40/R41</f>
        <v>5.0526315789473683E-2</v>
      </c>
      <c r="S42" s="261">
        <f>S40/S41</f>
        <v>6.3636363636363644E-2</v>
      </c>
      <c r="T42" s="261">
        <f>T40/T41</f>
        <v>6.4736842105263162E-2</v>
      </c>
      <c r="U42" s="261">
        <f>U40/U41</f>
        <v>5.0978792822185974E-2</v>
      </c>
      <c r="V42" s="261">
        <f>U42-T42</f>
        <v>-1.3758049283077188E-2</v>
      </c>
      <c r="W42" s="265"/>
      <c r="Y42" s="265"/>
      <c r="Z42" s="265"/>
      <c r="AA42" s="265"/>
      <c r="AB42" s="265"/>
      <c r="AC42" s="265"/>
      <c r="AD42" s="265"/>
      <c r="AE42" s="265"/>
      <c r="AF42" s="265"/>
      <c r="AG42" s="265"/>
      <c r="AH42" s="265"/>
      <c r="AI42" s="265"/>
      <c r="AJ42" s="265"/>
      <c r="AK42" s="265"/>
      <c r="AL42" s="265"/>
      <c r="AM42" s="265"/>
      <c r="AN42" s="265"/>
      <c r="AO42" s="265"/>
      <c r="AP42" s="265"/>
      <c r="AQ42" s="265"/>
      <c r="AR42" s="265"/>
      <c r="AS42" s="265"/>
      <c r="AT42" s="265"/>
      <c r="AU42" s="298">
        <f>AU40/AU41</f>
        <v>2.3494860499265788E-2</v>
      </c>
      <c r="AV42" s="298"/>
      <c r="AW42" s="298">
        <f>AW40/AW41</f>
        <v>2.9616724738675958E-2</v>
      </c>
      <c r="AX42" s="298"/>
      <c r="AY42" s="298">
        <f t="shared" ref="AY42:BD42" si="168">AY40/AY41</f>
        <v>3.6363636363636369E-2</v>
      </c>
      <c r="AZ42" s="298">
        <f t="shared" si="168"/>
        <v>2.2043010752688171E-2</v>
      </c>
      <c r="BA42" s="298">
        <f t="shared" si="168"/>
        <v>2.7777777777777776E-2</v>
      </c>
      <c r="BB42" s="298">
        <f t="shared" si="168"/>
        <v>2.5263157894736842E-2</v>
      </c>
      <c r="BC42" s="298">
        <f t="shared" si="168"/>
        <v>3.1572904707233063E-2</v>
      </c>
      <c r="BD42" s="298">
        <f t="shared" si="168"/>
        <v>3.2369942196531797E-2</v>
      </c>
      <c r="BE42" s="298">
        <f>BE40/BE41</f>
        <v>2.9151943462897525E-2</v>
      </c>
      <c r="BF42" s="298">
        <f>BF40/BF41</f>
        <v>2.4400684931506846E-2</v>
      </c>
      <c r="BG42" s="298">
        <f>BG40/BG41</f>
        <v>2.964254577157803E-2</v>
      </c>
      <c r="BH42" s="298">
        <f>BH40/BH41</f>
        <v>3.1284302963776073E-2</v>
      </c>
      <c r="BI42" s="261">
        <f>BH42/BF42-1</f>
        <v>0.28210757409440212</v>
      </c>
      <c r="BJ42" s="261">
        <f>BH42/BG42-1</f>
        <v>5.538516174856345E-2</v>
      </c>
    </row>
    <row r="43" spans="1:273" x14ac:dyDescent="0.3">
      <c r="D43" s="261"/>
      <c r="E43" s="261"/>
      <c r="F43" s="261"/>
      <c r="G43" s="261"/>
      <c r="H43" s="261"/>
      <c r="I43" s="261"/>
      <c r="J43" s="261"/>
      <c r="K43" s="261"/>
      <c r="L43" s="261"/>
      <c r="M43" s="261"/>
      <c r="N43" s="261"/>
      <c r="O43" s="261"/>
      <c r="P43" s="261"/>
      <c r="Q43" s="261"/>
      <c r="R43" s="261"/>
      <c r="S43" s="261"/>
      <c r="T43" s="261"/>
      <c r="U43" s="261"/>
      <c r="V43" s="261"/>
      <c r="W43" s="261"/>
      <c r="X43" s="299"/>
      <c r="Y43" s="261"/>
      <c r="Z43" s="261"/>
      <c r="AA43" s="261"/>
      <c r="AB43" s="261"/>
      <c r="AC43" s="261"/>
      <c r="AD43" s="261"/>
      <c r="AE43" s="261"/>
      <c r="AF43" s="261"/>
      <c r="AG43" s="261"/>
      <c r="AH43" s="261"/>
      <c r="AI43" s="261"/>
      <c r="AJ43" s="261"/>
      <c r="AK43" s="261"/>
      <c r="AL43" s="261"/>
      <c r="AM43" s="261"/>
      <c r="AN43" s="261"/>
      <c r="AO43" s="261"/>
      <c r="AP43" s="261"/>
      <c r="AQ43" s="261"/>
      <c r="AR43" s="261"/>
      <c r="AS43" s="261"/>
      <c r="AT43" s="261"/>
      <c r="AU43" s="261"/>
      <c r="AV43" s="261"/>
      <c r="AW43" s="261"/>
      <c r="AX43" s="261"/>
      <c r="AY43" s="261"/>
      <c r="AZ43" s="261"/>
      <c r="BA43" s="261"/>
      <c r="BB43" s="261"/>
      <c r="BC43" s="261"/>
      <c r="BD43" s="261"/>
      <c r="BE43" s="261"/>
      <c r="BF43" s="261"/>
      <c r="BG43" s="261"/>
      <c r="BH43" s="261"/>
      <c r="BI43" s="261"/>
      <c r="BJ43" s="261"/>
      <c r="BK43" s="300"/>
      <c r="BL43" s="301"/>
      <c r="BM43" s="300"/>
      <c r="BN43" s="300"/>
      <c r="BO43" s="300"/>
      <c r="BP43" s="300"/>
      <c r="BQ43" s="300"/>
      <c r="BR43" s="300"/>
      <c r="BS43" s="300"/>
      <c r="BT43" s="300"/>
      <c r="BU43" s="300"/>
      <c r="BV43" s="300"/>
      <c r="BW43" s="300"/>
      <c r="BX43" s="300"/>
      <c r="BY43" s="300"/>
      <c r="BZ43" s="300"/>
      <c r="CA43" s="300"/>
      <c r="CB43" s="300"/>
      <c r="CC43" s="300"/>
      <c r="CD43" s="300"/>
      <c r="CE43" s="300"/>
      <c r="CF43" s="300"/>
      <c r="CG43" s="300"/>
      <c r="CH43" s="300"/>
      <c r="CI43" s="300"/>
      <c r="CJ43" s="300"/>
      <c r="CK43" s="300"/>
      <c r="CL43" s="300"/>
      <c r="CM43" s="300"/>
      <c r="CN43" s="300"/>
      <c r="CO43" s="300"/>
      <c r="CP43" s="300"/>
      <c r="CQ43" s="300"/>
      <c r="CR43" s="300"/>
      <c r="CS43" s="300"/>
      <c r="CT43" s="300"/>
      <c r="CU43" s="300"/>
      <c r="CV43" s="300"/>
      <c r="CW43" s="300"/>
      <c r="CX43" s="300"/>
      <c r="CY43" s="300"/>
      <c r="CZ43" s="300"/>
      <c r="DA43" s="300"/>
      <c r="DB43" s="300"/>
      <c r="DC43" s="300"/>
      <c r="DD43" s="300"/>
      <c r="DE43" s="300"/>
      <c r="DF43" s="300"/>
      <c r="DG43" s="300"/>
      <c r="DH43" s="300"/>
      <c r="DI43" s="300"/>
      <c r="DJ43" s="300"/>
      <c r="DK43" s="300"/>
      <c r="DL43" s="300"/>
      <c r="DM43" s="300"/>
      <c r="DN43" s="300"/>
      <c r="DO43" s="300"/>
      <c r="DP43" s="300"/>
      <c r="DQ43" s="300"/>
      <c r="DR43" s="300"/>
      <c r="DS43" s="300"/>
      <c r="DT43" s="300"/>
      <c r="DU43" s="300"/>
      <c r="DV43" s="300"/>
      <c r="DW43" s="300"/>
      <c r="DX43" s="300"/>
      <c r="DY43" s="300"/>
      <c r="DZ43" s="300"/>
      <c r="EA43" s="300"/>
      <c r="EB43" s="300"/>
      <c r="EC43" s="300"/>
      <c r="ED43" s="300"/>
      <c r="EE43" s="300"/>
      <c r="EF43" s="300"/>
      <c r="EG43" s="300"/>
      <c r="EH43" s="300"/>
      <c r="EI43" s="300"/>
      <c r="EJ43" s="300"/>
      <c r="EK43" s="300"/>
      <c r="EL43" s="300"/>
      <c r="EM43" s="300"/>
      <c r="EN43" s="300"/>
      <c r="EO43" s="300"/>
      <c r="EP43" s="300"/>
      <c r="EQ43" s="300"/>
      <c r="ER43" s="300"/>
      <c r="ES43" s="300"/>
      <c r="ET43" s="300"/>
      <c r="EU43" s="300"/>
      <c r="EV43" s="300"/>
      <c r="EW43" s="300"/>
      <c r="EX43" s="300"/>
      <c r="EY43" s="300"/>
      <c r="EZ43" s="300"/>
      <c r="FA43" s="300"/>
      <c r="FB43" s="300"/>
      <c r="FC43" s="300"/>
      <c r="FD43" s="300"/>
      <c r="FE43" s="300"/>
      <c r="FF43" s="300"/>
      <c r="FG43" s="300"/>
      <c r="FH43" s="300"/>
      <c r="FI43" s="300"/>
      <c r="FJ43" s="300"/>
      <c r="FK43" s="300"/>
      <c r="FL43" s="300"/>
      <c r="FM43" s="300"/>
      <c r="FN43" s="300"/>
      <c r="FO43" s="300"/>
      <c r="FP43" s="300"/>
      <c r="FQ43" s="300"/>
      <c r="FR43" s="300"/>
      <c r="FS43" s="300"/>
      <c r="FT43" s="300"/>
      <c r="FU43" s="300"/>
      <c r="FV43" s="300"/>
      <c r="FW43" s="300"/>
      <c r="FX43" s="300"/>
      <c r="FY43" s="300"/>
      <c r="FZ43" s="300"/>
      <c r="GA43" s="300"/>
      <c r="GB43" s="300"/>
      <c r="GC43" s="300"/>
      <c r="GD43" s="300"/>
      <c r="GE43" s="300"/>
      <c r="GF43" s="300"/>
      <c r="GG43" s="300"/>
      <c r="GH43" s="300"/>
      <c r="GI43" s="300"/>
      <c r="GJ43" s="300"/>
      <c r="GK43" s="300"/>
      <c r="GL43" s="300"/>
      <c r="GM43" s="300"/>
      <c r="GN43" s="300"/>
      <c r="GO43" s="300"/>
      <c r="GP43" s="300"/>
      <c r="GQ43" s="300"/>
      <c r="GR43" s="300"/>
      <c r="GS43" s="300"/>
      <c r="GT43" s="300"/>
      <c r="GU43" s="300"/>
      <c r="GV43" s="300"/>
      <c r="GW43" s="300"/>
      <c r="GX43" s="300"/>
      <c r="GY43" s="300"/>
      <c r="GZ43" s="300"/>
      <c r="HA43" s="300"/>
      <c r="HB43" s="300"/>
      <c r="HC43" s="300"/>
      <c r="HD43" s="300"/>
      <c r="HE43" s="300"/>
      <c r="HF43" s="300"/>
      <c r="HG43" s="300"/>
      <c r="HH43" s="300"/>
      <c r="HI43" s="300"/>
      <c r="HJ43" s="300"/>
      <c r="HK43" s="300"/>
      <c r="HL43" s="300"/>
      <c r="HM43" s="300"/>
      <c r="HN43" s="300"/>
      <c r="HO43" s="300"/>
      <c r="HP43" s="300"/>
      <c r="HQ43" s="300"/>
      <c r="HR43" s="300"/>
      <c r="HS43" s="300"/>
      <c r="HT43" s="300"/>
      <c r="HU43" s="300"/>
      <c r="HV43" s="300"/>
      <c r="HW43" s="300"/>
      <c r="HX43" s="300"/>
      <c r="HY43" s="300"/>
      <c r="HZ43" s="300"/>
      <c r="IA43" s="300"/>
      <c r="IB43" s="300"/>
      <c r="IC43" s="300"/>
      <c r="ID43" s="300"/>
      <c r="IE43" s="300"/>
      <c r="IF43" s="300"/>
      <c r="IG43" s="300"/>
      <c r="IH43" s="300"/>
      <c r="II43" s="300"/>
      <c r="IJ43" s="300"/>
      <c r="IK43" s="300"/>
      <c r="IL43" s="300"/>
      <c r="IM43" s="300"/>
      <c r="IN43" s="300"/>
      <c r="IO43" s="300"/>
      <c r="IP43" s="300"/>
      <c r="IQ43" s="300"/>
      <c r="IR43" s="300"/>
      <c r="IS43" s="300"/>
      <c r="IT43" s="300"/>
      <c r="IU43" s="300"/>
      <c r="IV43" s="300"/>
      <c r="IW43" s="300"/>
      <c r="IX43" s="300"/>
      <c r="IY43" s="300"/>
      <c r="IZ43" s="300"/>
      <c r="JA43" s="300"/>
      <c r="JB43" s="300"/>
      <c r="JC43" s="300"/>
      <c r="JD43" s="300"/>
      <c r="JE43" s="300"/>
      <c r="JF43" s="300"/>
      <c r="JG43" s="300"/>
      <c r="JH43" s="300"/>
      <c r="JI43" s="300"/>
      <c r="JJ43" s="300"/>
      <c r="JK43" s="300"/>
      <c r="JL43" s="300"/>
      <c r="JM43" s="300"/>
    </row>
    <row r="44" spans="1:273" x14ac:dyDescent="0.3">
      <c r="A44" s="267" t="s">
        <v>2909</v>
      </c>
      <c r="B44" s="246" t="s">
        <v>2908</v>
      </c>
      <c r="D44" s="265"/>
      <c r="E44" s="265"/>
      <c r="F44" s="265"/>
      <c r="G44" s="265"/>
      <c r="H44" s="265"/>
      <c r="I44" s="265"/>
      <c r="J44" s="265"/>
      <c r="K44" s="265"/>
      <c r="L44" s="265"/>
      <c r="M44" s="265"/>
      <c r="N44" s="265"/>
      <c r="O44" s="265"/>
      <c r="P44" s="298"/>
      <c r="Q44" s="298">
        <v>0.69399999999999995</v>
      </c>
      <c r="R44" s="298">
        <v>0.69399999999999995</v>
      </c>
      <c r="S44" s="298">
        <v>0.66100000000000003</v>
      </c>
      <c r="T44" s="298">
        <v>0.73599999999999999</v>
      </c>
      <c r="U44" s="298">
        <v>0.68500000000000005</v>
      </c>
      <c r="V44" s="261">
        <f>U44-T44</f>
        <v>-5.0999999999999934E-2</v>
      </c>
      <c r="W44" s="265"/>
      <c r="X44" s="299"/>
      <c r="Y44" s="265"/>
      <c r="Z44" s="265"/>
      <c r="AA44" s="265"/>
      <c r="AB44" s="265"/>
      <c r="AC44" s="265"/>
      <c r="AD44" s="265"/>
      <c r="AE44" s="265"/>
      <c r="AF44" s="265"/>
      <c r="AG44" s="265"/>
      <c r="AH44" s="265"/>
      <c r="AI44" s="265"/>
      <c r="AJ44" s="265"/>
      <c r="AK44" s="265"/>
      <c r="AL44" s="265"/>
      <c r="AM44" s="265"/>
      <c r="AN44" s="265"/>
      <c r="AO44" s="265"/>
      <c r="AP44" s="265"/>
      <c r="AQ44" s="265"/>
      <c r="AR44" s="265"/>
      <c r="AS44" s="265"/>
      <c r="AT44" s="265"/>
      <c r="AU44" s="298">
        <v>0.499</v>
      </c>
      <c r="AV44" s="298">
        <v>0.45100000000000001</v>
      </c>
      <c r="AW44" s="298">
        <v>0.56799999999999995</v>
      </c>
      <c r="AX44" s="298">
        <v>0.54800000000000004</v>
      </c>
      <c r="AY44" s="298">
        <v>0.64700000000000002</v>
      </c>
      <c r="AZ44" s="298">
        <f>Q44</f>
        <v>0.69399999999999995</v>
      </c>
      <c r="BA44" s="298">
        <v>0.67100000000000004</v>
      </c>
      <c r="BB44" s="298">
        <f>R44</f>
        <v>0.69399999999999995</v>
      </c>
      <c r="BC44" s="298">
        <v>0.67500000000000004</v>
      </c>
      <c r="BD44" s="298">
        <v>0.66100000000000003</v>
      </c>
      <c r="BE44" s="298">
        <v>0.69799999999999995</v>
      </c>
      <c r="BF44" s="298">
        <v>0.73599999999999999</v>
      </c>
      <c r="BG44" s="298">
        <v>0.65200000000000002</v>
      </c>
      <c r="BH44" s="298">
        <v>0.68500000000000005</v>
      </c>
      <c r="BI44" s="261">
        <f>BH44/BF44-1</f>
        <v>-6.9293478260869512E-2</v>
      </c>
      <c r="BJ44" s="261">
        <f>BH44/BG44-1</f>
        <v>5.0613496932515378E-2</v>
      </c>
      <c r="BK44" s="300"/>
      <c r="BL44" s="301"/>
      <c r="BM44" s="300"/>
      <c r="BN44" s="300"/>
      <c r="BO44" s="300"/>
      <c r="BP44" s="300"/>
      <c r="BQ44" s="300"/>
      <c r="BR44" s="300"/>
      <c r="BS44" s="300"/>
      <c r="BT44" s="300"/>
      <c r="BU44" s="300"/>
      <c r="BV44" s="300"/>
      <c r="BW44" s="300"/>
      <c r="BX44" s="300"/>
      <c r="BY44" s="300"/>
      <c r="BZ44" s="300"/>
      <c r="CA44" s="300"/>
      <c r="CB44" s="300"/>
      <c r="CC44" s="300"/>
      <c r="CD44" s="300"/>
      <c r="CE44" s="300"/>
      <c r="CF44" s="300"/>
      <c r="CG44" s="300"/>
      <c r="CH44" s="300"/>
      <c r="CI44" s="300"/>
      <c r="CJ44" s="300"/>
      <c r="CK44" s="300"/>
      <c r="CL44" s="300"/>
      <c r="CM44" s="300"/>
      <c r="CN44" s="300"/>
      <c r="CO44" s="300"/>
      <c r="CP44" s="300"/>
      <c r="CQ44" s="300"/>
      <c r="CR44" s="300"/>
      <c r="CS44" s="300"/>
      <c r="CT44" s="300"/>
      <c r="CU44" s="300"/>
      <c r="CV44" s="300"/>
      <c r="CW44" s="300"/>
      <c r="CX44" s="300"/>
      <c r="CY44" s="300"/>
      <c r="CZ44" s="300"/>
      <c r="DA44" s="300"/>
      <c r="DB44" s="300"/>
      <c r="DC44" s="300"/>
      <c r="DD44" s="300"/>
      <c r="DE44" s="300"/>
      <c r="DF44" s="300"/>
      <c r="DG44" s="300"/>
      <c r="DH44" s="300"/>
      <c r="DI44" s="300"/>
      <c r="DJ44" s="300"/>
      <c r="DK44" s="300"/>
      <c r="DL44" s="300"/>
      <c r="DM44" s="300"/>
      <c r="DN44" s="300"/>
      <c r="DO44" s="300"/>
      <c r="DP44" s="300"/>
      <c r="DQ44" s="300"/>
      <c r="DR44" s="300"/>
      <c r="DS44" s="300"/>
      <c r="DT44" s="300"/>
      <c r="DU44" s="300"/>
      <c r="DV44" s="300"/>
      <c r="DW44" s="300"/>
      <c r="DX44" s="300"/>
      <c r="DY44" s="300"/>
      <c r="DZ44" s="300"/>
      <c r="EA44" s="300"/>
      <c r="EB44" s="300"/>
      <c r="EC44" s="300"/>
      <c r="ED44" s="300"/>
      <c r="EE44" s="300"/>
      <c r="EF44" s="300"/>
      <c r="EG44" s="300"/>
      <c r="EH44" s="300"/>
      <c r="EI44" s="300"/>
      <c r="EJ44" s="300"/>
      <c r="EK44" s="300"/>
      <c r="EL44" s="300"/>
      <c r="EM44" s="300"/>
      <c r="EN44" s="300"/>
      <c r="EO44" s="300"/>
      <c r="EP44" s="300"/>
      <c r="EQ44" s="300"/>
      <c r="ER44" s="300"/>
      <c r="ES44" s="300"/>
      <c r="ET44" s="300"/>
      <c r="EU44" s="300"/>
      <c r="EV44" s="300"/>
      <c r="EW44" s="300"/>
      <c r="EX44" s="300"/>
      <c r="EY44" s="300"/>
      <c r="EZ44" s="300"/>
      <c r="FA44" s="300"/>
      <c r="FB44" s="300"/>
      <c r="FC44" s="300"/>
      <c r="FD44" s="300"/>
      <c r="FE44" s="300"/>
      <c r="FF44" s="300"/>
      <c r="FG44" s="300"/>
      <c r="FH44" s="300"/>
      <c r="FI44" s="300"/>
      <c r="FJ44" s="300"/>
      <c r="FK44" s="300"/>
      <c r="FL44" s="300"/>
      <c r="FM44" s="300"/>
      <c r="FN44" s="300"/>
      <c r="FO44" s="300"/>
      <c r="FP44" s="300"/>
      <c r="FQ44" s="300"/>
      <c r="FR44" s="300"/>
      <c r="FS44" s="300"/>
      <c r="FT44" s="300"/>
      <c r="FU44" s="300"/>
      <c r="FV44" s="300"/>
      <c r="FW44" s="300"/>
      <c r="FX44" s="300"/>
      <c r="FY44" s="300"/>
      <c r="FZ44" s="300"/>
      <c r="GA44" s="300"/>
      <c r="GB44" s="300"/>
      <c r="GC44" s="300"/>
      <c r="GD44" s="300"/>
      <c r="GE44" s="300"/>
      <c r="GF44" s="300"/>
      <c r="GG44" s="300"/>
      <c r="GH44" s="300"/>
      <c r="GI44" s="300"/>
      <c r="GJ44" s="300"/>
      <c r="GK44" s="300"/>
      <c r="GL44" s="300"/>
      <c r="GM44" s="300"/>
      <c r="GN44" s="300"/>
      <c r="GO44" s="300"/>
      <c r="GP44" s="300"/>
      <c r="GQ44" s="300"/>
      <c r="GR44" s="300"/>
      <c r="GS44" s="300"/>
      <c r="GT44" s="300"/>
      <c r="GU44" s="300"/>
      <c r="GV44" s="300"/>
      <c r="GW44" s="300"/>
      <c r="GX44" s="300"/>
      <c r="GY44" s="300"/>
      <c r="GZ44" s="300"/>
      <c r="HA44" s="300"/>
      <c r="HB44" s="300"/>
      <c r="HC44" s="300"/>
      <c r="HD44" s="300"/>
      <c r="HE44" s="300"/>
      <c r="HF44" s="300"/>
      <c r="HG44" s="300"/>
      <c r="HH44" s="300"/>
      <c r="HI44" s="300"/>
      <c r="HJ44" s="300"/>
      <c r="HK44" s="300"/>
      <c r="HL44" s="300"/>
      <c r="HM44" s="300"/>
      <c r="HN44" s="300"/>
      <c r="HO44" s="300"/>
      <c r="HP44" s="300"/>
      <c r="HQ44" s="300"/>
      <c r="HR44" s="300"/>
      <c r="HS44" s="300"/>
      <c r="HT44" s="300"/>
      <c r="HU44" s="300"/>
      <c r="HV44" s="300"/>
      <c r="HW44" s="300"/>
      <c r="HX44" s="300"/>
      <c r="HY44" s="300"/>
      <c r="HZ44" s="300"/>
      <c r="IA44" s="300"/>
      <c r="IB44" s="300"/>
      <c r="IC44" s="300"/>
      <c r="ID44" s="300"/>
      <c r="IE44" s="300"/>
      <c r="IF44" s="300"/>
      <c r="IG44" s="300"/>
      <c r="IH44" s="300"/>
      <c r="II44" s="300"/>
      <c r="IJ44" s="300"/>
      <c r="IK44" s="300"/>
      <c r="IL44" s="300"/>
      <c r="IM44" s="300"/>
      <c r="IN44" s="300"/>
      <c r="IO44" s="300"/>
      <c r="IP44" s="300"/>
      <c r="IQ44" s="300"/>
      <c r="IR44" s="300"/>
      <c r="IS44" s="300"/>
      <c r="IT44" s="300"/>
      <c r="IU44" s="300"/>
      <c r="IV44" s="300"/>
      <c r="IW44" s="300"/>
      <c r="IX44" s="300"/>
      <c r="IY44" s="300"/>
      <c r="IZ44" s="300"/>
      <c r="JA44" s="300"/>
      <c r="JB44" s="300"/>
      <c r="JC44" s="300"/>
      <c r="JD44" s="300"/>
      <c r="JE44" s="300"/>
      <c r="JF44" s="300"/>
      <c r="JG44" s="300"/>
      <c r="JH44" s="300"/>
      <c r="JI44" s="300"/>
      <c r="JJ44" s="300"/>
      <c r="JK44" s="300"/>
      <c r="JL44" s="300"/>
      <c r="JM44" s="300"/>
    </row>
    <row r="45" spans="1:273" x14ac:dyDescent="0.3">
      <c r="D45" s="283"/>
      <c r="E45" s="283"/>
      <c r="F45" s="283"/>
      <c r="G45" s="283"/>
      <c r="H45" s="283"/>
      <c r="I45" s="283"/>
      <c r="J45" s="283"/>
      <c r="K45" s="283"/>
      <c r="L45" s="283"/>
      <c r="M45" s="283"/>
      <c r="N45" s="283"/>
      <c r="O45" s="283"/>
      <c r="P45" s="283"/>
      <c r="Q45" s="283"/>
      <c r="R45" s="283"/>
      <c r="S45" s="283"/>
      <c r="T45" s="283"/>
      <c r="U45" s="283"/>
      <c r="V45" s="283"/>
      <c r="W45" s="283"/>
      <c r="X45" s="299"/>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300"/>
      <c r="BL45" s="301"/>
      <c r="BM45" s="300"/>
      <c r="BN45" s="300"/>
      <c r="BO45" s="300"/>
      <c r="BP45" s="300"/>
      <c r="BQ45" s="300"/>
      <c r="BR45" s="300"/>
      <c r="BS45" s="300"/>
      <c r="BT45" s="300"/>
      <c r="BU45" s="300"/>
      <c r="BV45" s="300"/>
      <c r="BW45" s="300"/>
      <c r="BX45" s="300"/>
      <c r="BY45" s="300"/>
      <c r="BZ45" s="300"/>
      <c r="CA45" s="300"/>
      <c r="CB45" s="300"/>
      <c r="CC45" s="300"/>
      <c r="CD45" s="300"/>
      <c r="CE45" s="300"/>
      <c r="CF45" s="300"/>
      <c r="CG45" s="300"/>
      <c r="CH45" s="300"/>
      <c r="CI45" s="300"/>
      <c r="CJ45" s="300"/>
      <c r="CK45" s="300"/>
      <c r="CL45" s="300"/>
      <c r="CM45" s="300"/>
      <c r="CN45" s="300"/>
      <c r="CO45" s="300"/>
      <c r="CP45" s="300"/>
      <c r="CQ45" s="300"/>
      <c r="CR45" s="300"/>
      <c r="CS45" s="300"/>
      <c r="CT45" s="300"/>
      <c r="CU45" s="300"/>
      <c r="CV45" s="300"/>
      <c r="CW45" s="300"/>
      <c r="CX45" s="300"/>
      <c r="CY45" s="300"/>
      <c r="CZ45" s="300"/>
      <c r="DA45" s="300"/>
      <c r="DB45" s="300"/>
      <c r="DC45" s="300"/>
      <c r="DD45" s="300"/>
      <c r="DE45" s="300"/>
      <c r="DF45" s="300"/>
      <c r="DG45" s="300"/>
      <c r="DH45" s="300"/>
      <c r="DI45" s="300"/>
      <c r="DJ45" s="300"/>
      <c r="DK45" s="300"/>
      <c r="DL45" s="300"/>
      <c r="DM45" s="300"/>
      <c r="DN45" s="300"/>
      <c r="DO45" s="300"/>
      <c r="DP45" s="300"/>
      <c r="DQ45" s="300"/>
      <c r="DR45" s="300"/>
      <c r="DS45" s="300"/>
      <c r="DT45" s="300"/>
      <c r="DU45" s="300"/>
      <c r="DV45" s="300"/>
      <c r="DW45" s="300"/>
      <c r="DX45" s="300"/>
      <c r="DY45" s="300"/>
      <c r="DZ45" s="300"/>
      <c r="EA45" s="300"/>
      <c r="EB45" s="300"/>
      <c r="EC45" s="300"/>
      <c r="ED45" s="300"/>
      <c r="EE45" s="300"/>
      <c r="EF45" s="300"/>
      <c r="EG45" s="300"/>
      <c r="EH45" s="300"/>
      <c r="EI45" s="300"/>
      <c r="EJ45" s="300"/>
      <c r="EK45" s="300"/>
      <c r="EL45" s="300"/>
      <c r="EM45" s="300"/>
      <c r="EN45" s="300"/>
      <c r="EO45" s="300"/>
      <c r="EP45" s="300"/>
      <c r="EQ45" s="300"/>
      <c r="ER45" s="300"/>
      <c r="ES45" s="300"/>
      <c r="ET45" s="300"/>
      <c r="EU45" s="300"/>
      <c r="EV45" s="300"/>
      <c r="EW45" s="300"/>
      <c r="EX45" s="300"/>
      <c r="EY45" s="300"/>
      <c r="EZ45" s="300"/>
      <c r="FA45" s="300"/>
      <c r="FB45" s="300"/>
      <c r="FC45" s="300"/>
      <c r="FD45" s="300"/>
      <c r="FE45" s="300"/>
      <c r="FF45" s="300"/>
      <c r="FG45" s="300"/>
      <c r="FH45" s="300"/>
      <c r="FI45" s="300"/>
      <c r="FJ45" s="300"/>
      <c r="FK45" s="300"/>
      <c r="FL45" s="300"/>
      <c r="FM45" s="300"/>
      <c r="FN45" s="300"/>
      <c r="FO45" s="300"/>
      <c r="FP45" s="300"/>
      <c r="FQ45" s="300"/>
      <c r="FR45" s="300"/>
      <c r="FS45" s="300"/>
      <c r="FT45" s="300"/>
      <c r="FU45" s="300"/>
      <c r="FV45" s="300"/>
      <c r="FW45" s="300"/>
      <c r="FX45" s="300"/>
      <c r="FY45" s="300"/>
      <c r="FZ45" s="300"/>
      <c r="GA45" s="300"/>
      <c r="GB45" s="300"/>
      <c r="GC45" s="300"/>
      <c r="GD45" s="300"/>
      <c r="GE45" s="300"/>
      <c r="GF45" s="300"/>
      <c r="GG45" s="300"/>
      <c r="GH45" s="300"/>
      <c r="GI45" s="300"/>
      <c r="GJ45" s="300"/>
      <c r="GK45" s="300"/>
      <c r="GL45" s="300"/>
      <c r="GM45" s="300"/>
      <c r="GN45" s="300"/>
      <c r="GO45" s="300"/>
      <c r="GP45" s="300"/>
      <c r="GQ45" s="300"/>
      <c r="GR45" s="300"/>
      <c r="GS45" s="300"/>
      <c r="GT45" s="300"/>
      <c r="GU45" s="300"/>
      <c r="GV45" s="300"/>
      <c r="GW45" s="300"/>
      <c r="GX45" s="300"/>
      <c r="GY45" s="300"/>
      <c r="GZ45" s="300"/>
      <c r="HA45" s="300"/>
      <c r="HB45" s="300"/>
      <c r="HC45" s="300"/>
      <c r="HD45" s="300"/>
      <c r="HE45" s="300"/>
      <c r="HF45" s="300"/>
      <c r="HG45" s="300"/>
      <c r="HH45" s="300"/>
      <c r="HI45" s="300"/>
      <c r="HJ45" s="300"/>
      <c r="HK45" s="300"/>
      <c r="HL45" s="300"/>
      <c r="HM45" s="300"/>
      <c r="HN45" s="300"/>
      <c r="HO45" s="300"/>
      <c r="HP45" s="300"/>
      <c r="HQ45" s="300"/>
      <c r="HR45" s="300"/>
      <c r="HS45" s="300"/>
      <c r="HT45" s="300"/>
      <c r="HU45" s="300"/>
      <c r="HV45" s="300"/>
      <c r="HW45" s="300"/>
      <c r="HX45" s="300"/>
      <c r="HY45" s="300"/>
      <c r="HZ45" s="300"/>
      <c r="IA45" s="300"/>
      <c r="IB45" s="300"/>
      <c r="IC45" s="300"/>
      <c r="ID45" s="300"/>
      <c r="IE45" s="300"/>
      <c r="IF45" s="300"/>
      <c r="IG45" s="300"/>
      <c r="IH45" s="300"/>
      <c r="II45" s="300"/>
      <c r="IJ45" s="300"/>
      <c r="IK45" s="300"/>
      <c r="IL45" s="300"/>
      <c r="IM45" s="300"/>
      <c r="IN45" s="300"/>
      <c r="IO45" s="300"/>
      <c r="IP45" s="300"/>
      <c r="IQ45" s="300"/>
      <c r="IR45" s="300"/>
      <c r="IS45" s="300"/>
      <c r="IT45" s="300"/>
      <c r="IU45" s="300"/>
      <c r="IV45" s="300"/>
      <c r="IW45" s="300"/>
      <c r="IX45" s="300"/>
      <c r="IY45" s="300"/>
      <c r="IZ45" s="300"/>
      <c r="JA45" s="300"/>
      <c r="JB45" s="300"/>
      <c r="JC45" s="300"/>
      <c r="JD45" s="300"/>
      <c r="JE45" s="300"/>
      <c r="JF45" s="300"/>
      <c r="JG45" s="300"/>
      <c r="JH45" s="300"/>
      <c r="JI45" s="300"/>
      <c r="JJ45" s="300"/>
      <c r="JK45" s="300"/>
      <c r="JL45" s="300"/>
      <c r="JM45" s="300"/>
    </row>
    <row r="46" spans="1:273" x14ac:dyDescent="0.3">
      <c r="A46" s="246" t="s">
        <v>1880</v>
      </c>
      <c r="D46" s="265"/>
      <c r="E46" s="265"/>
      <c r="F46" s="265"/>
      <c r="G46" s="265"/>
      <c r="H46" s="265"/>
      <c r="I46" s="265"/>
      <c r="J46" s="265"/>
      <c r="K46" s="265"/>
      <c r="L46" s="265"/>
      <c r="M46" s="265"/>
      <c r="N46" s="265"/>
      <c r="O46" s="265"/>
      <c r="P46" s="265">
        <v>-4530</v>
      </c>
      <c r="Q46" s="265">
        <v>-550</v>
      </c>
      <c r="R46" s="265">
        <v>210</v>
      </c>
      <c r="S46" s="265">
        <v>501</v>
      </c>
      <c r="T46" s="265">
        <v>2007</v>
      </c>
      <c r="U46" s="265">
        <v>1050</v>
      </c>
      <c r="V46" s="265"/>
      <c r="W46" s="265"/>
      <c r="X46" s="299"/>
      <c r="Y46" s="265"/>
      <c r="Z46" s="265"/>
      <c r="AA46" s="265"/>
      <c r="AB46" s="265"/>
      <c r="AC46" s="265"/>
      <c r="AD46" s="265"/>
      <c r="AE46" s="265"/>
      <c r="AF46" s="265"/>
      <c r="AG46" s="265"/>
      <c r="AH46" s="265"/>
      <c r="AI46" s="265"/>
      <c r="AJ46" s="265"/>
      <c r="AK46" s="265"/>
      <c r="AL46" s="265"/>
      <c r="AM46" s="265"/>
      <c r="AN46" s="265"/>
      <c r="AO46" s="265"/>
      <c r="AP46" s="265"/>
      <c r="AQ46" s="265"/>
      <c r="AR46" s="265"/>
      <c r="AS46" s="302">
        <v>-39.94</v>
      </c>
      <c r="AT46" s="302"/>
      <c r="AU46" s="302">
        <v>-14.06</v>
      </c>
      <c r="AV46" s="302"/>
      <c r="AW46" s="303">
        <v>-5030</v>
      </c>
      <c r="AX46" s="303">
        <v>0</v>
      </c>
      <c r="AY46" s="303">
        <v>-971.00000000000011</v>
      </c>
      <c r="AZ46" s="304">
        <f>Q46-AY46</f>
        <v>421.00000000000011</v>
      </c>
      <c r="BA46" s="303">
        <v>102</v>
      </c>
      <c r="BB46" s="304">
        <f>R46-BA46</f>
        <v>108</v>
      </c>
      <c r="BC46" s="304">
        <v>168</v>
      </c>
      <c r="BD46" s="304">
        <f>S46-BC46</f>
        <v>333</v>
      </c>
      <c r="BE46" s="304">
        <v>2</v>
      </c>
      <c r="BF46" s="304">
        <f>T46-BE46</f>
        <v>2005</v>
      </c>
      <c r="BG46" s="304">
        <v>123</v>
      </c>
      <c r="BH46" s="304">
        <f>U46-BG46</f>
        <v>927</v>
      </c>
      <c r="BI46" s="305">
        <f>BH46-BF46</f>
        <v>-1078</v>
      </c>
      <c r="BJ46" s="305">
        <f>BH46-BG46</f>
        <v>804</v>
      </c>
      <c r="BK46" s="300"/>
      <c r="BL46" s="301"/>
      <c r="BM46" s="300"/>
      <c r="BN46" s="300"/>
      <c r="BO46" s="300"/>
      <c r="BP46" s="300"/>
      <c r="BQ46" s="300"/>
      <c r="BR46" s="300"/>
      <c r="BS46" s="300"/>
      <c r="BT46" s="300"/>
      <c r="BU46" s="300"/>
      <c r="BV46" s="300"/>
      <c r="BW46" s="300"/>
      <c r="BX46" s="300"/>
      <c r="BY46" s="300"/>
      <c r="BZ46" s="300"/>
      <c r="CA46" s="300"/>
      <c r="CB46" s="300"/>
      <c r="CC46" s="300"/>
      <c r="CD46" s="300"/>
      <c r="CE46" s="300"/>
      <c r="CF46" s="300"/>
      <c r="CG46" s="300"/>
      <c r="CH46" s="300"/>
      <c r="CI46" s="300"/>
      <c r="CJ46" s="300"/>
      <c r="CK46" s="300"/>
      <c r="CL46" s="300"/>
      <c r="CM46" s="300"/>
      <c r="CN46" s="300"/>
      <c r="CO46" s="300"/>
      <c r="CP46" s="300"/>
      <c r="CQ46" s="300"/>
      <c r="CR46" s="300"/>
      <c r="CS46" s="300"/>
      <c r="CT46" s="300"/>
      <c r="CU46" s="300"/>
      <c r="CV46" s="300"/>
      <c r="CW46" s="300"/>
      <c r="CX46" s="300"/>
      <c r="CY46" s="300"/>
      <c r="CZ46" s="300"/>
      <c r="DA46" s="300"/>
      <c r="DB46" s="300"/>
      <c r="DC46" s="300"/>
      <c r="DD46" s="300"/>
      <c r="DE46" s="300"/>
      <c r="DF46" s="300"/>
      <c r="DG46" s="300"/>
      <c r="DH46" s="300"/>
      <c r="DI46" s="300"/>
      <c r="DJ46" s="300"/>
      <c r="DK46" s="300"/>
      <c r="DL46" s="300"/>
      <c r="DM46" s="300"/>
      <c r="DN46" s="300"/>
      <c r="DO46" s="300"/>
      <c r="DP46" s="300"/>
      <c r="DQ46" s="300"/>
      <c r="DR46" s="300"/>
      <c r="DS46" s="300"/>
      <c r="DT46" s="300"/>
      <c r="DU46" s="300"/>
      <c r="DV46" s="300"/>
      <c r="DW46" s="300"/>
      <c r="DX46" s="300"/>
      <c r="DY46" s="300"/>
      <c r="DZ46" s="300"/>
      <c r="EA46" s="300"/>
      <c r="EB46" s="300"/>
      <c r="EC46" s="300"/>
      <c r="ED46" s="300"/>
      <c r="EE46" s="300"/>
      <c r="EF46" s="300"/>
      <c r="EG46" s="300"/>
      <c r="EH46" s="300"/>
      <c r="EI46" s="300"/>
      <c r="EJ46" s="300"/>
      <c r="EK46" s="300"/>
      <c r="EL46" s="300"/>
      <c r="EM46" s="300"/>
      <c r="EN46" s="300"/>
      <c r="EO46" s="300"/>
      <c r="EP46" s="300"/>
      <c r="EQ46" s="300"/>
      <c r="ER46" s="300"/>
      <c r="ES46" s="300"/>
      <c r="ET46" s="300"/>
      <c r="EU46" s="300"/>
      <c r="EV46" s="300"/>
      <c r="EW46" s="300"/>
      <c r="EX46" s="300"/>
      <c r="EY46" s="300"/>
      <c r="EZ46" s="300"/>
      <c r="FA46" s="300"/>
      <c r="FB46" s="300"/>
      <c r="FC46" s="300"/>
      <c r="FD46" s="300"/>
      <c r="FE46" s="300"/>
      <c r="FF46" s="300"/>
      <c r="FG46" s="300"/>
      <c r="FH46" s="300"/>
      <c r="FI46" s="300"/>
      <c r="FJ46" s="300"/>
      <c r="FK46" s="300"/>
      <c r="FL46" s="300"/>
      <c r="FM46" s="300"/>
      <c r="FN46" s="300"/>
      <c r="FO46" s="300"/>
      <c r="FP46" s="300"/>
      <c r="FQ46" s="300"/>
      <c r="FR46" s="300"/>
      <c r="FS46" s="300"/>
      <c r="FT46" s="300"/>
      <c r="FU46" s="300"/>
      <c r="FV46" s="300"/>
      <c r="FW46" s="300"/>
      <c r="FX46" s="300"/>
      <c r="FY46" s="300"/>
      <c r="FZ46" s="300"/>
      <c r="GA46" s="300"/>
      <c r="GB46" s="300"/>
      <c r="GC46" s="300"/>
      <c r="GD46" s="300"/>
      <c r="GE46" s="300"/>
      <c r="GF46" s="300"/>
      <c r="GG46" s="300"/>
      <c r="GH46" s="300"/>
      <c r="GI46" s="300"/>
      <c r="GJ46" s="300"/>
      <c r="GK46" s="300"/>
      <c r="GL46" s="300"/>
      <c r="GM46" s="300"/>
      <c r="GN46" s="300"/>
      <c r="GO46" s="300"/>
      <c r="GP46" s="300"/>
      <c r="GQ46" s="300"/>
      <c r="GR46" s="300"/>
      <c r="GS46" s="300"/>
      <c r="GT46" s="300"/>
      <c r="GU46" s="300"/>
      <c r="GV46" s="300"/>
      <c r="GW46" s="300"/>
      <c r="GX46" s="300"/>
      <c r="GY46" s="300"/>
      <c r="GZ46" s="300"/>
      <c r="HA46" s="300"/>
      <c r="HB46" s="300"/>
      <c r="HC46" s="300"/>
      <c r="HD46" s="300"/>
      <c r="HE46" s="300"/>
      <c r="HF46" s="300"/>
      <c r="HG46" s="300"/>
      <c r="HH46" s="300"/>
      <c r="HI46" s="300"/>
      <c r="HJ46" s="300"/>
      <c r="HK46" s="300"/>
      <c r="HL46" s="300"/>
      <c r="HM46" s="300"/>
      <c r="HN46" s="300"/>
      <c r="HO46" s="300"/>
      <c r="HP46" s="300"/>
      <c r="HQ46" s="300"/>
      <c r="HR46" s="300"/>
      <c r="HS46" s="300"/>
      <c r="HT46" s="300"/>
      <c r="HU46" s="300"/>
      <c r="HV46" s="300"/>
      <c r="HW46" s="300"/>
      <c r="HX46" s="300"/>
      <c r="HY46" s="300"/>
      <c r="HZ46" s="300"/>
      <c r="IA46" s="300"/>
      <c r="IB46" s="300"/>
      <c r="IC46" s="300"/>
      <c r="ID46" s="300"/>
      <c r="IE46" s="300"/>
      <c r="IF46" s="300"/>
      <c r="IG46" s="300"/>
      <c r="IH46" s="300"/>
      <c r="II46" s="300"/>
      <c r="IJ46" s="300"/>
      <c r="IK46" s="300"/>
      <c r="IL46" s="300"/>
      <c r="IM46" s="300"/>
      <c r="IN46" s="300"/>
      <c r="IO46" s="300"/>
      <c r="IP46" s="300"/>
      <c r="IQ46" s="300"/>
      <c r="IR46" s="300"/>
      <c r="IS46" s="300"/>
      <c r="IT46" s="300"/>
      <c r="IU46" s="300"/>
      <c r="IV46" s="300"/>
      <c r="IW46" s="300"/>
      <c r="IX46" s="300"/>
      <c r="IY46" s="300"/>
      <c r="IZ46" s="300"/>
      <c r="JA46" s="300"/>
      <c r="JB46" s="300"/>
      <c r="JC46" s="300"/>
      <c r="JD46" s="300"/>
      <c r="JE46" s="300"/>
      <c r="JF46" s="300"/>
      <c r="JG46" s="300"/>
      <c r="JH46" s="300"/>
      <c r="JI46" s="300"/>
      <c r="JJ46" s="300"/>
      <c r="JK46" s="300"/>
      <c r="JL46" s="300"/>
      <c r="JM46" s="300"/>
    </row>
    <row r="47" spans="1:273" x14ac:dyDescent="0.3">
      <c r="A47" s="246" t="s">
        <v>1879</v>
      </c>
      <c r="D47" s="261"/>
      <c r="E47" s="261"/>
      <c r="F47" s="261"/>
      <c r="G47" s="261"/>
      <c r="H47" s="261"/>
      <c r="I47" s="261"/>
      <c r="J47" s="261"/>
      <c r="K47" s="261"/>
      <c r="L47" s="261"/>
      <c r="M47" s="261"/>
      <c r="N47" s="261"/>
      <c r="O47" s="261"/>
      <c r="P47" s="261"/>
      <c r="Q47" s="265">
        <v>-4950</v>
      </c>
      <c r="R47" s="265">
        <v>500</v>
      </c>
      <c r="S47" s="265">
        <v>1174</v>
      </c>
      <c r="T47" s="265">
        <v>1137</v>
      </c>
      <c r="U47" s="265">
        <v>1139</v>
      </c>
      <c r="V47" s="265"/>
      <c r="W47" s="261"/>
      <c r="X47" s="299"/>
      <c r="Y47" s="261"/>
      <c r="Z47" s="261"/>
      <c r="AA47" s="261"/>
      <c r="AB47" s="261"/>
      <c r="AC47" s="261"/>
      <c r="AD47" s="261"/>
      <c r="AE47" s="261"/>
      <c r="AF47" s="261"/>
      <c r="AG47" s="261"/>
      <c r="AH47" s="261"/>
      <c r="AI47" s="261"/>
      <c r="AJ47" s="261"/>
      <c r="AK47" s="261"/>
      <c r="AL47" s="261"/>
      <c r="AM47" s="261"/>
      <c r="AN47" s="261"/>
      <c r="AO47" s="261"/>
      <c r="AP47" s="261"/>
      <c r="AQ47" s="261"/>
      <c r="AR47" s="261"/>
      <c r="AS47" s="302">
        <v>-39.18</v>
      </c>
      <c r="AT47" s="302"/>
      <c r="AU47" s="302">
        <v>-9.5500000000000007</v>
      </c>
      <c r="AV47" s="302"/>
      <c r="AW47" s="303">
        <v>-1381</v>
      </c>
      <c r="AX47" s="303">
        <v>0</v>
      </c>
      <c r="AY47" s="303">
        <v>-2224</v>
      </c>
      <c r="AZ47" s="304">
        <f>Q47-AY47</f>
        <v>-2726</v>
      </c>
      <c r="BA47" s="303">
        <v>1898.9999999999998</v>
      </c>
      <c r="BB47" s="304">
        <f>R47-BA47</f>
        <v>-1398.9999999999998</v>
      </c>
      <c r="BC47" s="304">
        <v>1097</v>
      </c>
      <c r="BD47" s="304">
        <f>S47-BC47</f>
        <v>77</v>
      </c>
      <c r="BE47" s="304">
        <v>-1455</v>
      </c>
      <c r="BF47" s="304">
        <f>T47-BE47</f>
        <v>2592</v>
      </c>
      <c r="BG47" s="304">
        <v>304</v>
      </c>
      <c r="BH47" s="304">
        <f>U47-BG47</f>
        <v>835</v>
      </c>
      <c r="BI47" s="305">
        <f>BH47-BF47</f>
        <v>-1757</v>
      </c>
      <c r="BJ47" s="305">
        <f>BH47-BG47</f>
        <v>531</v>
      </c>
      <c r="BK47" s="300"/>
      <c r="BL47" s="303"/>
      <c r="BM47" s="300"/>
      <c r="BN47" s="300"/>
      <c r="BO47" s="300"/>
      <c r="BP47" s="300"/>
      <c r="BQ47" s="300"/>
      <c r="BR47" s="300"/>
      <c r="BS47" s="300"/>
      <c r="BT47" s="300"/>
      <c r="BU47" s="300"/>
      <c r="BV47" s="300"/>
      <c r="BW47" s="300"/>
      <c r="BX47" s="300"/>
      <c r="BY47" s="300"/>
      <c r="BZ47" s="300"/>
      <c r="CA47" s="300"/>
      <c r="CB47" s="300"/>
      <c r="CC47" s="300"/>
      <c r="CD47" s="300"/>
      <c r="CE47" s="300"/>
      <c r="CF47" s="300"/>
      <c r="CG47" s="300"/>
      <c r="CH47" s="300"/>
      <c r="CI47" s="300"/>
      <c r="CJ47" s="300"/>
      <c r="CK47" s="300"/>
      <c r="CL47" s="300"/>
      <c r="CM47" s="300"/>
      <c r="CN47" s="300"/>
      <c r="CO47" s="300"/>
      <c r="CP47" s="300"/>
      <c r="CQ47" s="300"/>
      <c r="CR47" s="300"/>
      <c r="CS47" s="300"/>
      <c r="CT47" s="300"/>
      <c r="CU47" s="300"/>
      <c r="CV47" s="300"/>
      <c r="CW47" s="300"/>
      <c r="CX47" s="300"/>
      <c r="CY47" s="300"/>
      <c r="CZ47" s="300"/>
      <c r="DA47" s="300"/>
      <c r="DB47" s="300"/>
      <c r="DC47" s="300"/>
      <c r="DD47" s="300"/>
      <c r="DE47" s="300"/>
      <c r="DF47" s="300"/>
      <c r="DG47" s="300"/>
      <c r="DH47" s="300"/>
      <c r="DI47" s="300"/>
      <c r="DJ47" s="300"/>
      <c r="DK47" s="300"/>
      <c r="DL47" s="300"/>
      <c r="DM47" s="300"/>
      <c r="DN47" s="300"/>
      <c r="DO47" s="300"/>
      <c r="DP47" s="300"/>
      <c r="DQ47" s="300"/>
      <c r="DR47" s="300"/>
      <c r="DS47" s="300"/>
      <c r="DT47" s="300"/>
      <c r="DU47" s="300"/>
      <c r="DV47" s="300"/>
      <c r="DW47" s="300"/>
      <c r="DX47" s="300"/>
      <c r="DY47" s="300"/>
      <c r="DZ47" s="300"/>
      <c r="EA47" s="300"/>
      <c r="EB47" s="300"/>
      <c r="EC47" s="300"/>
      <c r="ED47" s="300"/>
      <c r="EE47" s="300"/>
      <c r="EF47" s="300"/>
      <c r="EG47" s="300"/>
      <c r="EH47" s="300"/>
      <c r="EI47" s="300"/>
      <c r="EJ47" s="300"/>
      <c r="EK47" s="300"/>
      <c r="EL47" s="300"/>
      <c r="EM47" s="300"/>
      <c r="EN47" s="300"/>
      <c r="EO47" s="300"/>
      <c r="EP47" s="300"/>
      <c r="EQ47" s="300"/>
      <c r="ER47" s="300"/>
      <c r="ES47" s="300"/>
      <c r="ET47" s="300"/>
      <c r="EU47" s="300"/>
      <c r="EV47" s="300"/>
      <c r="EW47" s="300"/>
      <c r="EX47" s="300"/>
      <c r="EY47" s="300"/>
      <c r="EZ47" s="300"/>
      <c r="FA47" s="300"/>
      <c r="FB47" s="300"/>
      <c r="FC47" s="300"/>
      <c r="FD47" s="300"/>
      <c r="FE47" s="300"/>
      <c r="FF47" s="300"/>
      <c r="FG47" s="300"/>
      <c r="FH47" s="300"/>
      <c r="FI47" s="300"/>
      <c r="FJ47" s="300"/>
      <c r="FK47" s="300"/>
      <c r="FL47" s="300"/>
      <c r="FM47" s="300"/>
      <c r="FN47" s="300"/>
      <c r="FO47" s="300"/>
      <c r="FP47" s="300"/>
      <c r="FQ47" s="300"/>
      <c r="FR47" s="300"/>
      <c r="FS47" s="300"/>
      <c r="FT47" s="300"/>
      <c r="FU47" s="300"/>
      <c r="FV47" s="300"/>
      <c r="FW47" s="300"/>
      <c r="FX47" s="300"/>
      <c r="FY47" s="300"/>
      <c r="FZ47" s="300"/>
      <c r="GA47" s="300"/>
      <c r="GB47" s="300"/>
      <c r="GC47" s="300"/>
      <c r="GD47" s="300"/>
      <c r="GE47" s="300"/>
      <c r="GF47" s="300"/>
      <c r="GG47" s="300"/>
      <c r="GH47" s="300"/>
      <c r="GI47" s="300"/>
      <c r="GJ47" s="300"/>
      <c r="GK47" s="300"/>
      <c r="GL47" s="300"/>
      <c r="GM47" s="300"/>
      <c r="GN47" s="300"/>
      <c r="GO47" s="300"/>
      <c r="GP47" s="300"/>
      <c r="GQ47" s="300"/>
      <c r="GR47" s="300"/>
      <c r="GS47" s="300"/>
      <c r="GT47" s="300"/>
      <c r="GU47" s="300"/>
      <c r="GV47" s="300"/>
      <c r="GW47" s="300"/>
      <c r="GX47" s="300"/>
      <c r="GY47" s="300"/>
      <c r="GZ47" s="300"/>
      <c r="HA47" s="300"/>
      <c r="HB47" s="300"/>
      <c r="HC47" s="300"/>
      <c r="HD47" s="300"/>
      <c r="HE47" s="300"/>
      <c r="HF47" s="300"/>
      <c r="HG47" s="300"/>
      <c r="HH47" s="300"/>
      <c r="HI47" s="300"/>
      <c r="HJ47" s="300"/>
      <c r="HK47" s="300"/>
      <c r="HL47" s="300"/>
      <c r="HM47" s="300"/>
      <c r="HN47" s="300"/>
      <c r="HO47" s="300"/>
      <c r="HP47" s="300"/>
      <c r="HQ47" s="300"/>
      <c r="HR47" s="300"/>
      <c r="HS47" s="300"/>
      <c r="HT47" s="300"/>
      <c r="HU47" s="300"/>
      <c r="HV47" s="300"/>
      <c r="HW47" s="300"/>
      <c r="HX47" s="300"/>
      <c r="HY47" s="300"/>
      <c r="HZ47" s="300"/>
      <c r="IA47" s="300"/>
      <c r="IB47" s="300"/>
      <c r="IC47" s="300"/>
      <c r="ID47" s="300"/>
      <c r="IE47" s="300"/>
      <c r="IF47" s="300"/>
      <c r="IG47" s="300"/>
      <c r="IH47" s="300"/>
      <c r="II47" s="300"/>
      <c r="IJ47" s="300"/>
      <c r="IK47" s="300"/>
      <c r="IL47" s="300"/>
      <c r="IM47" s="300"/>
      <c r="IN47" s="300"/>
      <c r="IO47" s="300"/>
      <c r="IP47" s="300"/>
      <c r="IQ47" s="300"/>
      <c r="IR47" s="300"/>
      <c r="IS47" s="300"/>
      <c r="IT47" s="300"/>
      <c r="IU47" s="300"/>
      <c r="IV47" s="300"/>
      <c r="IW47" s="300"/>
      <c r="IX47" s="300"/>
      <c r="IY47" s="300"/>
      <c r="IZ47" s="300"/>
      <c r="JA47" s="300"/>
      <c r="JB47" s="300"/>
      <c r="JC47" s="300"/>
      <c r="JD47" s="300"/>
      <c r="JE47" s="300"/>
      <c r="JF47" s="300"/>
      <c r="JG47" s="300"/>
      <c r="JH47" s="300"/>
      <c r="JI47" s="300"/>
      <c r="JJ47" s="300"/>
      <c r="JK47" s="300"/>
      <c r="JL47" s="300"/>
      <c r="JM47" s="300"/>
    </row>
    <row r="48" spans="1:273" x14ac:dyDescent="0.4">
      <c r="A48" s="246"/>
      <c r="D48" s="265"/>
      <c r="E48" s="265"/>
      <c r="F48" s="265"/>
      <c r="G48" s="265"/>
      <c r="H48" s="265"/>
      <c r="I48" s="265"/>
      <c r="J48" s="265"/>
      <c r="K48" s="265"/>
      <c r="L48" s="265"/>
      <c r="M48" s="265"/>
      <c r="N48" s="265"/>
      <c r="O48" s="265"/>
      <c r="P48" s="265"/>
      <c r="Q48" s="265"/>
      <c r="R48" s="265"/>
      <c r="S48" s="265"/>
      <c r="T48" s="265"/>
      <c r="U48" s="265"/>
      <c r="V48" s="265"/>
      <c r="W48" s="265"/>
      <c r="Y48" s="265"/>
      <c r="Z48" s="265"/>
      <c r="AA48" s="265"/>
      <c r="AB48" s="265"/>
      <c r="AC48" s="265"/>
      <c r="AD48" s="265"/>
      <c r="AE48" s="265"/>
      <c r="AF48" s="265"/>
      <c r="AG48" s="265"/>
      <c r="AH48" s="265"/>
      <c r="AI48" s="265"/>
      <c r="AJ48" s="265"/>
      <c r="AK48" s="265"/>
      <c r="AL48" s="265"/>
      <c r="AM48" s="265"/>
      <c r="AN48" s="265"/>
      <c r="AO48" s="265"/>
      <c r="AP48" s="265"/>
      <c r="AQ48" s="265"/>
      <c r="AR48" s="265"/>
      <c r="AS48" s="265"/>
      <c r="AT48" s="265"/>
      <c r="AU48" s="265"/>
      <c r="AV48" s="265"/>
      <c r="AW48" s="265"/>
      <c r="AX48" s="265"/>
      <c r="AY48" s="265"/>
      <c r="AZ48" s="265"/>
      <c r="BA48" s="265"/>
      <c r="BB48" s="265"/>
      <c r="BC48" s="265"/>
      <c r="BD48" s="265"/>
      <c r="BE48" s="265"/>
      <c r="BF48" s="265"/>
      <c r="BG48" s="265"/>
      <c r="BH48" s="265"/>
      <c r="BI48" s="265"/>
      <c r="BJ48" s="265"/>
    </row>
    <row r="49" spans="1:62" x14ac:dyDescent="0.3">
      <c r="A49" s="246" t="s">
        <v>2775</v>
      </c>
      <c r="D49" s="265"/>
      <c r="E49" s="265"/>
      <c r="F49" s="265"/>
      <c r="G49" s="265"/>
      <c r="H49" s="265"/>
      <c r="I49" s="265"/>
      <c r="J49" s="265"/>
      <c r="K49" s="265"/>
      <c r="L49" s="265"/>
      <c r="M49" s="265"/>
      <c r="N49" s="265"/>
      <c r="O49" s="265">
        <f t="shared" ref="O49:T49" si="169">O50-O51</f>
        <v>-3568</v>
      </c>
      <c r="P49" s="265">
        <f t="shared" si="169"/>
        <v>-5763</v>
      </c>
      <c r="Q49" s="265">
        <f t="shared" si="169"/>
        <v>-1740</v>
      </c>
      <c r="R49" s="265">
        <f t="shared" si="169"/>
        <v>-300</v>
      </c>
      <c r="S49" s="265">
        <f t="shared" si="169"/>
        <v>0</v>
      </c>
      <c r="T49" s="265">
        <f t="shared" si="169"/>
        <v>1000</v>
      </c>
      <c r="U49" s="265">
        <v>430</v>
      </c>
      <c r="V49" s="265"/>
      <c r="W49" s="265"/>
      <c r="Y49" s="265"/>
      <c r="Z49" s="265"/>
      <c r="AA49" s="265"/>
      <c r="AB49" s="265"/>
      <c r="AC49" s="265"/>
      <c r="AD49" s="265"/>
      <c r="AE49" s="265"/>
      <c r="AF49" s="265"/>
      <c r="AG49" s="265"/>
      <c r="AH49" s="265"/>
      <c r="AI49" s="265"/>
      <c r="AJ49" s="265"/>
      <c r="AK49" s="265"/>
      <c r="AL49" s="265"/>
      <c r="AM49" s="265"/>
      <c r="AN49" s="265"/>
      <c r="AO49" s="265"/>
      <c r="AP49" s="265"/>
      <c r="AQ49" s="265"/>
      <c r="AR49" s="265"/>
      <c r="AS49" s="265"/>
      <c r="AT49" s="265"/>
      <c r="AU49" s="265"/>
      <c r="AV49" s="265"/>
      <c r="AW49" s="265">
        <f>AW50-AW51</f>
        <v>-3997</v>
      </c>
      <c r="AX49" s="265">
        <f>AX50-AX51</f>
        <v>-1766</v>
      </c>
      <c r="AY49" s="265">
        <f>AY50-AY51</f>
        <v>-1412</v>
      </c>
      <c r="AZ49" s="306">
        <f>Q49-AY49</f>
        <v>-328</v>
      </c>
      <c r="BA49" s="265">
        <f>BA50-BA51</f>
        <v>-990</v>
      </c>
      <c r="BB49" s="306">
        <f>R49-BA49</f>
        <v>690</v>
      </c>
      <c r="BC49" s="306">
        <f>BC50-BC51</f>
        <v>-680</v>
      </c>
      <c r="BD49" s="306">
        <f>S49-BC49</f>
        <v>680</v>
      </c>
      <c r="BE49" s="306">
        <f>BE50-BE51</f>
        <v>-222</v>
      </c>
      <c r="BF49" s="306">
        <f>T49-BE49</f>
        <v>1222</v>
      </c>
      <c r="BG49" s="306">
        <f>BG50-BG51</f>
        <v>-336</v>
      </c>
      <c r="BH49" s="306">
        <f>U49-BG49</f>
        <v>766</v>
      </c>
      <c r="BI49" s="307">
        <f t="shared" ref="BI49:BI53" si="170">BH49-BF49</f>
        <v>-456</v>
      </c>
      <c r="BJ49" s="307">
        <f t="shared" ref="BJ49:BJ53" si="171">BH49-BG49</f>
        <v>1102</v>
      </c>
    </row>
    <row r="50" spans="1:62" x14ac:dyDescent="0.3">
      <c r="A50" s="233" t="s">
        <v>2776</v>
      </c>
      <c r="D50" s="261"/>
      <c r="E50" s="261"/>
      <c r="F50" s="261"/>
      <c r="G50" s="261"/>
      <c r="H50" s="261"/>
      <c r="I50" s="261"/>
      <c r="J50" s="261"/>
      <c r="K50" s="261"/>
      <c r="L50" s="261"/>
      <c r="M50" s="261"/>
      <c r="N50" s="261"/>
      <c r="O50" s="260">
        <v>21732</v>
      </c>
      <c r="P50" s="260">
        <v>33053</v>
      </c>
      <c r="Q50" s="260">
        <v>46750</v>
      </c>
      <c r="R50" s="260">
        <v>51170</v>
      </c>
      <c r="S50" s="260">
        <v>61000</v>
      </c>
      <c r="T50" s="260">
        <v>67200</v>
      </c>
      <c r="U50" s="260">
        <v>64330</v>
      </c>
      <c r="V50" s="260"/>
      <c r="W50" s="261"/>
      <c r="Y50" s="261"/>
      <c r="Z50" s="261"/>
      <c r="AA50" s="261"/>
      <c r="AB50" s="261"/>
      <c r="AC50" s="261"/>
      <c r="AD50" s="261"/>
      <c r="AE50" s="261"/>
      <c r="AF50" s="261"/>
      <c r="AG50" s="261"/>
      <c r="AH50" s="261"/>
      <c r="AI50" s="261"/>
      <c r="AJ50" s="261"/>
      <c r="AK50" s="261"/>
      <c r="AL50" s="261"/>
      <c r="AM50" s="261"/>
      <c r="AN50" s="261"/>
      <c r="AO50" s="261"/>
      <c r="AP50" s="261"/>
      <c r="AQ50" s="261"/>
      <c r="AR50" s="261"/>
      <c r="AS50" s="261"/>
      <c r="AT50" s="261"/>
      <c r="AU50" s="261"/>
      <c r="AV50" s="261"/>
      <c r="AW50" s="260">
        <v>14410</v>
      </c>
      <c r="AX50" s="260">
        <v>18643</v>
      </c>
      <c r="AY50" s="260">
        <v>19623</v>
      </c>
      <c r="AZ50" s="304">
        <f>Q50-AY50</f>
        <v>27127</v>
      </c>
      <c r="BA50" s="260">
        <v>22440</v>
      </c>
      <c r="BB50" s="304">
        <f>R50-BA50</f>
        <v>28730</v>
      </c>
      <c r="BC50" s="304">
        <v>24900</v>
      </c>
      <c r="BD50" s="304">
        <f>S50-BC50</f>
        <v>36100</v>
      </c>
      <c r="BE50" s="304">
        <v>27375</v>
      </c>
      <c r="BF50" s="304">
        <f>T50-BE50</f>
        <v>39825</v>
      </c>
      <c r="BG50" s="304">
        <v>28550</v>
      </c>
      <c r="BH50" s="304">
        <f>U50-BG50</f>
        <v>35780</v>
      </c>
      <c r="BI50" s="307">
        <f t="shared" si="170"/>
        <v>-4045</v>
      </c>
      <c r="BJ50" s="307">
        <f t="shared" si="171"/>
        <v>7230</v>
      </c>
    </row>
    <row r="51" spans="1:62" x14ac:dyDescent="0.3">
      <c r="A51" s="233" t="s">
        <v>2777</v>
      </c>
      <c r="D51" s="265"/>
      <c r="E51" s="265"/>
      <c r="F51" s="265"/>
      <c r="G51" s="265"/>
      <c r="H51" s="265"/>
      <c r="I51" s="265"/>
      <c r="J51" s="265"/>
      <c r="K51" s="265"/>
      <c r="L51" s="265"/>
      <c r="M51" s="265"/>
      <c r="N51" s="265"/>
      <c r="O51" s="260">
        <v>25300</v>
      </c>
      <c r="P51" s="265">
        <v>38816</v>
      </c>
      <c r="Q51" s="265">
        <v>48490</v>
      </c>
      <c r="R51" s="265">
        <v>51470</v>
      </c>
      <c r="S51" s="265">
        <v>61000</v>
      </c>
      <c r="T51" s="265">
        <v>66200</v>
      </c>
      <c r="U51" s="260">
        <f>U50-U49</f>
        <v>63900</v>
      </c>
      <c r="V51" s="265"/>
      <c r="W51" s="265"/>
      <c r="Y51" s="265"/>
      <c r="Z51" s="265"/>
      <c r="AA51" s="265"/>
      <c r="AB51" s="265"/>
      <c r="AC51" s="265"/>
      <c r="AD51" s="265"/>
      <c r="AE51" s="265"/>
      <c r="AF51" s="265"/>
      <c r="AG51" s="265"/>
      <c r="AH51" s="265"/>
      <c r="AI51" s="265"/>
      <c r="AJ51" s="265"/>
      <c r="AK51" s="265"/>
      <c r="AL51" s="265"/>
      <c r="AM51" s="265"/>
      <c r="AN51" s="265"/>
      <c r="AO51" s="265"/>
      <c r="AP51" s="265"/>
      <c r="AQ51" s="265"/>
      <c r="AR51" s="265"/>
      <c r="AS51" s="265"/>
      <c r="AT51" s="265"/>
      <c r="AU51" s="265"/>
      <c r="AV51" s="265"/>
      <c r="AW51" s="260">
        <v>18407</v>
      </c>
      <c r="AX51" s="260">
        <v>20409</v>
      </c>
      <c r="AY51" s="260">
        <v>21035</v>
      </c>
      <c r="AZ51" s="304">
        <f>Q51-AY51</f>
        <v>27455</v>
      </c>
      <c r="BA51" s="260">
        <v>23430</v>
      </c>
      <c r="BB51" s="304">
        <f>R51-BA51</f>
        <v>28040</v>
      </c>
      <c r="BC51" s="304">
        <v>25580</v>
      </c>
      <c r="BD51" s="304">
        <f>S51-BC51</f>
        <v>35420</v>
      </c>
      <c r="BE51" s="304">
        <v>27597</v>
      </c>
      <c r="BF51" s="304">
        <f>T51-BE51</f>
        <v>38603</v>
      </c>
      <c r="BG51" s="304">
        <v>28886</v>
      </c>
      <c r="BH51" s="304">
        <f>U51-BG51</f>
        <v>35014</v>
      </c>
      <c r="BI51" s="307">
        <f t="shared" si="170"/>
        <v>-3589</v>
      </c>
      <c r="BJ51" s="307">
        <f t="shared" si="171"/>
        <v>6128</v>
      </c>
    </row>
    <row r="52" spans="1:62" x14ac:dyDescent="0.3">
      <c r="A52" s="246" t="s">
        <v>2778</v>
      </c>
      <c r="D52" s="308"/>
      <c r="E52" s="308"/>
      <c r="F52" s="308"/>
      <c r="G52" s="308"/>
      <c r="H52" s="308"/>
      <c r="I52" s="308"/>
      <c r="J52" s="308"/>
      <c r="K52" s="308"/>
      <c r="L52" s="308"/>
      <c r="M52" s="308"/>
      <c r="N52" s="308"/>
      <c r="O52" s="265">
        <v>864</v>
      </c>
      <c r="P52" s="265">
        <v>1231</v>
      </c>
      <c r="Q52" s="265">
        <v>1190</v>
      </c>
      <c r="R52" s="265">
        <v>500</v>
      </c>
      <c r="S52" s="265">
        <v>500</v>
      </c>
      <c r="T52" s="265">
        <v>1000</v>
      </c>
      <c r="U52" s="265">
        <v>630</v>
      </c>
      <c r="V52" s="265"/>
      <c r="W52" s="308"/>
      <c r="Y52" s="308"/>
      <c r="Z52" s="308"/>
      <c r="AA52" s="308"/>
      <c r="AB52" s="308"/>
      <c r="AC52" s="308"/>
      <c r="AD52" s="308"/>
      <c r="AE52" s="308"/>
      <c r="AF52" s="308"/>
      <c r="AG52" s="308"/>
      <c r="AH52" s="308"/>
      <c r="AI52" s="308"/>
      <c r="AJ52" s="308"/>
      <c r="AK52" s="308"/>
      <c r="AL52" s="308"/>
      <c r="AM52" s="308"/>
      <c r="AN52" s="308"/>
      <c r="AO52" s="308"/>
      <c r="AP52" s="308"/>
      <c r="AQ52" s="308"/>
      <c r="AR52" s="308"/>
      <c r="AS52" s="308"/>
      <c r="AT52" s="308"/>
      <c r="AU52" s="308"/>
      <c r="AV52" s="308"/>
      <c r="AW52" s="265">
        <v>-1033</v>
      </c>
      <c r="AX52" s="265">
        <v>2264</v>
      </c>
      <c r="AY52" s="265">
        <v>441</v>
      </c>
      <c r="AZ52" s="306">
        <f>Q52-AY52</f>
        <v>749</v>
      </c>
      <c r="BA52" s="265">
        <v>1090</v>
      </c>
      <c r="BB52" s="306">
        <f>R52-BA52</f>
        <v>-590</v>
      </c>
      <c r="BC52" s="306">
        <v>850</v>
      </c>
      <c r="BD52" s="306">
        <f>S52-BC52</f>
        <v>-350</v>
      </c>
      <c r="BE52" s="306">
        <v>850</v>
      </c>
      <c r="BF52" s="306">
        <f>T52-BE52</f>
        <v>150</v>
      </c>
      <c r="BG52" s="306">
        <v>459</v>
      </c>
      <c r="BH52" s="306">
        <f>U52-BG52</f>
        <v>171</v>
      </c>
      <c r="BI52" s="307">
        <f t="shared" si="170"/>
        <v>21</v>
      </c>
      <c r="BJ52" s="307">
        <f t="shared" si="171"/>
        <v>-288</v>
      </c>
    </row>
    <row r="53" spans="1:62" x14ac:dyDescent="0.3">
      <c r="A53" s="246" t="s">
        <v>2779</v>
      </c>
      <c r="D53" s="308"/>
      <c r="E53" s="308"/>
      <c r="F53" s="308"/>
      <c r="G53" s="308"/>
      <c r="H53" s="308"/>
      <c r="I53" s="308"/>
      <c r="J53" s="308"/>
      <c r="K53" s="308"/>
      <c r="L53" s="308"/>
      <c r="M53" s="308"/>
      <c r="N53" s="308"/>
      <c r="O53" s="265">
        <f t="shared" ref="O53:U53" si="172">O49+O52</f>
        <v>-2704</v>
      </c>
      <c r="P53" s="265">
        <f t="shared" si="172"/>
        <v>-4532</v>
      </c>
      <c r="Q53" s="265">
        <f t="shared" si="172"/>
        <v>-550</v>
      </c>
      <c r="R53" s="265">
        <f>R49+R52</f>
        <v>200</v>
      </c>
      <c r="S53" s="265">
        <f>S49+S52</f>
        <v>500</v>
      </c>
      <c r="T53" s="265">
        <f t="shared" si="172"/>
        <v>2000</v>
      </c>
      <c r="U53" s="265">
        <f t="shared" si="172"/>
        <v>1060</v>
      </c>
      <c r="V53" s="265"/>
      <c r="W53" s="308"/>
      <c r="Y53" s="308"/>
      <c r="Z53" s="308"/>
      <c r="AA53" s="308"/>
      <c r="AB53" s="308"/>
      <c r="AC53" s="308"/>
      <c r="AD53" s="308"/>
      <c r="AE53" s="308"/>
      <c r="AF53" s="308"/>
      <c r="AG53" s="308"/>
      <c r="AH53" s="308"/>
      <c r="AI53" s="308"/>
      <c r="AJ53" s="308"/>
      <c r="AK53" s="308"/>
      <c r="AL53" s="308"/>
      <c r="AM53" s="308"/>
      <c r="AN53" s="308"/>
      <c r="AO53" s="308"/>
      <c r="AP53" s="308"/>
      <c r="AQ53" s="308"/>
      <c r="AR53" s="308"/>
      <c r="AS53" s="308"/>
      <c r="AT53" s="308"/>
      <c r="AU53" s="308"/>
      <c r="AV53" s="308"/>
      <c r="AW53" s="265">
        <f>AW49+AW52</f>
        <v>-5030</v>
      </c>
      <c r="AX53" s="265">
        <f>AX49+AX52</f>
        <v>498</v>
      </c>
      <c r="AY53" s="265">
        <f>AY49+AY52</f>
        <v>-971</v>
      </c>
      <c r="AZ53" s="306">
        <f>Q53-AY53</f>
        <v>421</v>
      </c>
      <c r="BA53" s="265">
        <f>BA49+BA52</f>
        <v>100</v>
      </c>
      <c r="BB53" s="306">
        <f>R53-BA53</f>
        <v>100</v>
      </c>
      <c r="BC53" s="306">
        <f>BC49+BC52</f>
        <v>170</v>
      </c>
      <c r="BD53" s="306">
        <f>S53-BC53</f>
        <v>330</v>
      </c>
      <c r="BE53" s="306">
        <f>BE49+BE52</f>
        <v>628</v>
      </c>
      <c r="BF53" s="306">
        <f>T53-BE53</f>
        <v>1372</v>
      </c>
      <c r="BG53" s="306">
        <f>BG49+BG52</f>
        <v>123</v>
      </c>
      <c r="BH53" s="306">
        <f>U53-BG53</f>
        <v>937</v>
      </c>
      <c r="BI53" s="307">
        <f t="shared" si="170"/>
        <v>-435</v>
      </c>
      <c r="BJ53" s="307">
        <f t="shared" si="171"/>
        <v>814</v>
      </c>
    </row>
    <row r="54" spans="1:62" x14ac:dyDescent="0.4">
      <c r="D54" s="308"/>
      <c r="E54" s="308"/>
      <c r="F54" s="308"/>
      <c r="G54" s="308"/>
      <c r="H54" s="308"/>
      <c r="I54" s="308"/>
      <c r="J54" s="308"/>
      <c r="K54" s="308"/>
      <c r="L54" s="308"/>
      <c r="M54" s="308"/>
      <c r="N54" s="308"/>
      <c r="O54" s="308"/>
      <c r="P54" s="308"/>
      <c r="Q54" s="308"/>
      <c r="R54" s="308"/>
      <c r="S54" s="308"/>
      <c r="T54" s="308"/>
      <c r="U54" s="308"/>
      <c r="V54" s="308"/>
      <c r="W54" s="308"/>
      <c r="Y54" s="308"/>
      <c r="Z54" s="308"/>
      <c r="AA54" s="308"/>
      <c r="AB54" s="308"/>
      <c r="AC54" s="308"/>
      <c r="AD54" s="308"/>
      <c r="AE54" s="308"/>
      <c r="AF54" s="308"/>
      <c r="AG54" s="308"/>
      <c r="AH54" s="308"/>
      <c r="AI54" s="308"/>
      <c r="AJ54" s="308"/>
      <c r="AK54" s="308"/>
      <c r="AL54" s="308"/>
      <c r="AM54" s="308"/>
      <c r="AN54" s="308"/>
      <c r="AO54" s="308"/>
      <c r="AP54" s="308"/>
      <c r="AQ54" s="308"/>
      <c r="AR54" s="308"/>
      <c r="AS54" s="308"/>
      <c r="AT54" s="308"/>
      <c r="AU54" s="308"/>
      <c r="AV54" s="308"/>
      <c r="AW54" s="308"/>
      <c r="AX54" s="308"/>
      <c r="AY54" s="308"/>
      <c r="AZ54" s="308"/>
      <c r="BA54" s="308"/>
      <c r="BB54" s="308"/>
      <c r="BC54" s="308"/>
      <c r="BD54" s="308"/>
      <c r="BE54" s="308"/>
      <c r="BF54" s="308"/>
      <c r="BG54" s="308"/>
      <c r="BH54" s="308"/>
      <c r="BI54" s="308"/>
      <c r="BJ54" s="308"/>
    </row>
    <row r="55" spans="1:62" x14ac:dyDescent="0.4">
      <c r="A55" s="246"/>
      <c r="D55" s="308"/>
      <c r="E55" s="308"/>
      <c r="F55" s="308"/>
      <c r="G55" s="308"/>
      <c r="H55" s="308"/>
      <c r="I55" s="308"/>
      <c r="J55" s="308"/>
      <c r="K55" s="308"/>
      <c r="L55" s="308"/>
      <c r="M55" s="279">
        <v>9841</v>
      </c>
      <c r="N55" s="279">
        <v>7356</v>
      </c>
      <c r="O55" s="279">
        <v>7356</v>
      </c>
      <c r="P55" s="279"/>
      <c r="Q55" s="279"/>
      <c r="R55" s="279"/>
      <c r="S55" s="279"/>
      <c r="T55" s="279"/>
      <c r="U55" s="279"/>
      <c r="V55" s="308"/>
      <c r="W55" s="308"/>
      <c r="Y55" s="308"/>
      <c r="Z55" s="308"/>
      <c r="AA55" s="308"/>
      <c r="AB55" s="308"/>
      <c r="AC55" s="308"/>
      <c r="AD55" s="308"/>
      <c r="AE55" s="308"/>
      <c r="AF55" s="308"/>
      <c r="AG55" s="308"/>
      <c r="AH55" s="308"/>
      <c r="AI55" s="308"/>
      <c r="AJ55" s="308"/>
      <c r="AK55" s="308"/>
      <c r="AL55" s="308"/>
      <c r="AM55" s="308"/>
      <c r="AN55" s="308"/>
      <c r="AO55" s="308"/>
      <c r="AP55" s="308"/>
      <c r="AQ55" s="308"/>
      <c r="AR55" s="308"/>
      <c r="AS55" s="308"/>
      <c r="AT55" s="308"/>
      <c r="AU55" s="308"/>
      <c r="AV55" s="308"/>
      <c r="AW55" s="308"/>
      <c r="AX55" s="308"/>
      <c r="AY55" s="308"/>
      <c r="AZ55" s="308"/>
      <c r="BA55" s="308"/>
      <c r="BB55" s="308"/>
      <c r="BC55" s="308"/>
      <c r="BD55" s="308"/>
      <c r="BE55" s="308"/>
      <c r="BF55" s="308"/>
      <c r="BG55" s="308"/>
      <c r="BH55" s="308"/>
      <c r="BI55" s="308"/>
      <c r="BJ55" s="308"/>
    </row>
    <row r="56" spans="1:62" x14ac:dyDescent="0.4">
      <c r="D56" s="261"/>
      <c r="E56" s="261"/>
      <c r="F56" s="261"/>
      <c r="G56" s="261"/>
      <c r="H56" s="261"/>
      <c r="I56" s="261"/>
      <c r="J56" s="261"/>
      <c r="K56" s="261"/>
      <c r="L56" s="261"/>
      <c r="M56" s="279">
        <v>670</v>
      </c>
      <c r="N56" s="279">
        <v>475</v>
      </c>
      <c r="O56" s="279">
        <v>475</v>
      </c>
      <c r="P56" s="279"/>
      <c r="Q56" s="279"/>
      <c r="R56" s="279"/>
      <c r="S56" s="279"/>
      <c r="T56" s="279"/>
      <c r="U56" s="279"/>
      <c r="V56" s="261"/>
      <c r="W56" s="261"/>
      <c r="Y56" s="261"/>
      <c r="Z56" s="261"/>
      <c r="AA56" s="261"/>
      <c r="AB56" s="261"/>
      <c r="AC56" s="261"/>
      <c r="AD56" s="261"/>
      <c r="AE56" s="261"/>
      <c r="AF56" s="261"/>
      <c r="AG56" s="261"/>
      <c r="AH56" s="261"/>
      <c r="AI56" s="261"/>
      <c r="AJ56" s="261"/>
      <c r="AK56" s="261"/>
      <c r="AL56" s="261"/>
      <c r="AM56" s="261"/>
      <c r="AN56" s="261"/>
      <c r="AO56" s="261"/>
      <c r="AP56" s="261"/>
      <c r="AQ56" s="261"/>
      <c r="AR56" s="261"/>
      <c r="AS56" s="261"/>
      <c r="AT56" s="261"/>
      <c r="AU56" s="261"/>
      <c r="AV56" s="261"/>
      <c r="AW56" s="261"/>
      <c r="AX56" s="261"/>
      <c r="AY56" s="261"/>
      <c r="AZ56" s="261"/>
      <c r="BA56" s="261"/>
      <c r="BB56" s="261"/>
      <c r="BC56" s="261"/>
      <c r="BD56" s="261"/>
      <c r="BE56" s="261"/>
      <c r="BF56" s="261"/>
      <c r="BG56" s="261"/>
      <c r="BH56" s="261"/>
      <c r="BI56" s="261"/>
      <c r="BJ56" s="261"/>
    </row>
    <row r="57" spans="1:62" x14ac:dyDescent="0.4">
      <c r="D57" s="261"/>
      <c r="E57" s="261"/>
      <c r="F57" s="261"/>
      <c r="G57" s="261"/>
      <c r="H57" s="261"/>
      <c r="I57" s="261"/>
      <c r="J57" s="261"/>
      <c r="K57" s="261"/>
      <c r="L57" s="261"/>
      <c r="M57" s="261">
        <f>M56/M55</f>
        <v>6.8082511939843507E-2</v>
      </c>
      <c r="N57" s="261">
        <f>N56/N55</f>
        <v>6.4573137574768902E-2</v>
      </c>
      <c r="O57" s="261">
        <f>O56/O55</f>
        <v>6.4573137574768902E-2</v>
      </c>
      <c r="P57" s="261"/>
      <c r="Q57" s="261"/>
      <c r="R57" s="261"/>
      <c r="S57" s="261"/>
      <c r="T57" s="261"/>
      <c r="U57" s="261"/>
      <c r="V57" s="261"/>
      <c r="W57" s="261"/>
      <c r="Y57" s="261"/>
      <c r="Z57" s="261"/>
      <c r="AA57" s="261"/>
      <c r="AB57" s="261"/>
      <c r="AC57" s="261"/>
      <c r="AD57" s="261"/>
      <c r="AE57" s="261"/>
      <c r="AF57" s="261"/>
      <c r="AG57" s="261"/>
      <c r="AH57" s="261"/>
      <c r="AI57" s="261"/>
      <c r="AJ57" s="261"/>
      <c r="AK57" s="261"/>
      <c r="AL57" s="261"/>
      <c r="AM57" s="261"/>
      <c r="AN57" s="261"/>
      <c r="AO57" s="261"/>
      <c r="AP57" s="261"/>
      <c r="AQ57" s="261"/>
      <c r="AR57" s="261"/>
      <c r="AS57" s="261"/>
      <c r="AT57" s="261"/>
      <c r="AU57" s="261"/>
      <c r="AV57" s="261"/>
      <c r="AW57" s="261"/>
      <c r="AX57" s="261"/>
      <c r="AY57" s="261"/>
      <c r="AZ57" s="261"/>
      <c r="BA57" s="261"/>
      <c r="BB57" s="261"/>
      <c r="BC57" s="261"/>
      <c r="BD57" s="261"/>
      <c r="BE57" s="261"/>
      <c r="BF57" s="261"/>
      <c r="BG57" s="261"/>
      <c r="BH57" s="261"/>
      <c r="BI57" s="261"/>
      <c r="BJ57" s="261"/>
    </row>
    <row r="58" spans="1:62" x14ac:dyDescent="0.4">
      <c r="D58" s="261"/>
      <c r="E58" s="261"/>
      <c r="F58" s="261"/>
      <c r="G58" s="261"/>
      <c r="H58" s="261"/>
      <c r="I58" s="261"/>
      <c r="J58" s="261"/>
      <c r="K58" s="261"/>
      <c r="L58" s="261"/>
      <c r="M58" s="261"/>
      <c r="N58" s="261"/>
      <c r="O58" s="261"/>
      <c r="P58" s="261"/>
      <c r="Q58" s="261"/>
      <c r="R58" s="261"/>
      <c r="S58" s="261"/>
      <c r="T58" s="261"/>
      <c r="U58" s="261"/>
      <c r="V58" s="261"/>
      <c r="W58" s="261"/>
      <c r="Y58" s="261"/>
      <c r="Z58" s="261"/>
      <c r="AA58" s="261"/>
      <c r="AB58" s="261"/>
      <c r="AC58" s="261"/>
      <c r="AD58" s="261"/>
      <c r="AE58" s="261"/>
      <c r="AF58" s="261"/>
      <c r="AG58" s="261"/>
      <c r="AH58" s="261"/>
      <c r="AI58" s="261"/>
      <c r="AJ58" s="261"/>
      <c r="AK58" s="261"/>
      <c r="AL58" s="261"/>
      <c r="AM58" s="261"/>
      <c r="AN58" s="261"/>
      <c r="AO58" s="261"/>
      <c r="AP58" s="261"/>
      <c r="AQ58" s="261"/>
      <c r="AR58" s="261"/>
      <c r="AS58" s="261"/>
      <c r="AT58" s="261"/>
      <c r="AU58" s="261"/>
      <c r="AV58" s="261"/>
      <c r="AW58" s="261"/>
      <c r="AX58" s="261"/>
      <c r="AY58" s="261"/>
      <c r="AZ58" s="261"/>
      <c r="BA58" s="261"/>
      <c r="BB58" s="261"/>
      <c r="BC58" s="261"/>
      <c r="BD58" s="261"/>
      <c r="BE58" s="261"/>
      <c r="BF58" s="261"/>
      <c r="BG58" s="261"/>
      <c r="BH58" s="261"/>
      <c r="BI58" s="261"/>
      <c r="BJ58" s="261"/>
    </row>
    <row r="59" spans="1:62" x14ac:dyDescent="0.4">
      <c r="D59" s="261"/>
      <c r="E59" s="261"/>
      <c r="F59" s="261"/>
      <c r="G59" s="261"/>
      <c r="H59" s="261"/>
      <c r="I59" s="261"/>
      <c r="J59" s="261"/>
      <c r="K59" s="261"/>
      <c r="L59" s="261"/>
      <c r="M59" s="261"/>
      <c r="N59" s="261"/>
      <c r="O59" s="261"/>
      <c r="P59" s="261"/>
      <c r="Q59" s="261"/>
      <c r="R59" s="261"/>
      <c r="S59" s="261"/>
      <c r="T59" s="261"/>
      <c r="U59" s="261"/>
      <c r="V59" s="261"/>
      <c r="W59" s="261"/>
      <c r="Y59" s="261"/>
      <c r="Z59" s="261"/>
      <c r="AA59" s="261"/>
      <c r="AB59" s="261"/>
      <c r="AC59" s="261"/>
      <c r="AD59" s="261"/>
      <c r="AE59" s="261"/>
      <c r="AF59" s="261"/>
      <c r="AG59" s="261"/>
      <c r="AH59" s="261"/>
      <c r="AI59" s="261"/>
      <c r="AJ59" s="261"/>
      <c r="AK59" s="261"/>
      <c r="AL59" s="261"/>
      <c r="AM59" s="261"/>
      <c r="AN59" s="261"/>
      <c r="AO59" s="261"/>
      <c r="AP59" s="261"/>
      <c r="AQ59" s="261"/>
      <c r="AR59" s="261"/>
      <c r="AS59" s="261"/>
      <c r="AT59" s="261"/>
      <c r="AU59" s="261"/>
      <c r="AV59" s="261"/>
      <c r="AW59" s="261"/>
      <c r="AX59" s="261"/>
      <c r="AY59" s="261"/>
      <c r="AZ59" s="261"/>
      <c r="BA59" s="261"/>
      <c r="BB59" s="261"/>
      <c r="BC59" s="261"/>
      <c r="BD59" s="261"/>
      <c r="BE59" s="261"/>
      <c r="BF59" s="261"/>
      <c r="BG59" s="261"/>
      <c r="BH59" s="261"/>
      <c r="BI59" s="261"/>
      <c r="BJ59" s="261"/>
    </row>
    <row r="60" spans="1:62" x14ac:dyDescent="0.4">
      <c r="D60" s="261"/>
      <c r="E60" s="261"/>
      <c r="F60" s="261"/>
      <c r="G60" s="261"/>
      <c r="H60" s="261"/>
      <c r="I60" s="261"/>
      <c r="J60" s="261"/>
      <c r="K60" s="261"/>
      <c r="L60" s="261"/>
      <c r="M60" s="261"/>
      <c r="N60" s="261"/>
      <c r="O60" s="261"/>
      <c r="P60" s="261"/>
      <c r="Q60" s="261"/>
      <c r="R60" s="261"/>
      <c r="S60" s="261"/>
      <c r="T60" s="261"/>
      <c r="U60" s="261"/>
      <c r="V60" s="261"/>
      <c r="W60" s="261"/>
      <c r="Y60" s="261"/>
      <c r="Z60" s="261"/>
      <c r="AA60" s="261"/>
      <c r="AB60" s="261"/>
      <c r="AC60" s="261"/>
      <c r="AD60" s="261"/>
      <c r="AE60" s="261"/>
      <c r="AF60" s="261"/>
      <c r="AG60" s="261"/>
      <c r="AH60" s="261"/>
      <c r="AI60" s="261"/>
      <c r="AJ60" s="261"/>
      <c r="AK60" s="261"/>
      <c r="AL60" s="261"/>
      <c r="AM60" s="261"/>
      <c r="AN60" s="261"/>
      <c r="AO60" s="261"/>
      <c r="AP60" s="261"/>
      <c r="AQ60" s="261"/>
      <c r="AR60" s="261"/>
      <c r="AS60" s="261"/>
      <c r="AT60" s="261"/>
      <c r="AU60" s="261"/>
      <c r="AV60" s="261"/>
      <c r="AW60" s="261"/>
      <c r="AX60" s="261"/>
      <c r="AY60" s="261"/>
      <c r="AZ60" s="261"/>
      <c r="BA60" s="261"/>
      <c r="BB60" s="261"/>
      <c r="BC60" s="261"/>
      <c r="BD60" s="261"/>
      <c r="BE60" s="261"/>
      <c r="BF60" s="261"/>
      <c r="BG60" s="261"/>
      <c r="BH60" s="261"/>
      <c r="BI60" s="261"/>
      <c r="BJ60" s="261"/>
    </row>
    <row r="61" spans="1:62" x14ac:dyDescent="0.4">
      <c r="D61" s="308"/>
      <c r="E61" s="308"/>
      <c r="F61" s="308"/>
      <c r="G61" s="308"/>
      <c r="H61" s="308"/>
      <c r="I61" s="308"/>
      <c r="J61" s="308"/>
      <c r="K61" s="308"/>
      <c r="L61" s="308"/>
      <c r="M61" s="308"/>
      <c r="N61" s="308"/>
      <c r="O61" s="308"/>
      <c r="P61" s="308"/>
      <c r="Q61" s="308"/>
      <c r="R61" s="308"/>
      <c r="S61" s="308"/>
      <c r="T61" s="308"/>
      <c r="U61" s="308"/>
      <c r="V61" s="308"/>
      <c r="W61" s="308"/>
      <c r="Y61" s="308"/>
      <c r="Z61" s="308"/>
      <c r="AA61" s="308"/>
      <c r="AB61" s="308"/>
      <c r="AC61" s="308"/>
      <c r="AD61" s="308"/>
      <c r="AE61" s="308"/>
      <c r="AF61" s="308"/>
      <c r="AG61" s="308"/>
      <c r="AH61" s="308"/>
      <c r="AI61" s="308"/>
      <c r="AJ61" s="308"/>
      <c r="AK61" s="308"/>
      <c r="AL61" s="308"/>
      <c r="AM61" s="308"/>
      <c r="AN61" s="308"/>
      <c r="AO61" s="308"/>
      <c r="AP61" s="308"/>
      <c r="AQ61" s="308"/>
      <c r="AR61" s="308"/>
      <c r="AS61" s="308"/>
      <c r="AT61" s="308"/>
      <c r="AU61" s="308"/>
      <c r="AV61" s="308"/>
      <c r="AW61" s="308"/>
      <c r="AX61" s="308"/>
      <c r="AY61" s="308"/>
      <c r="AZ61" s="308"/>
      <c r="BA61" s="308"/>
      <c r="BB61" s="308"/>
      <c r="BC61" s="308"/>
      <c r="BD61" s="308"/>
      <c r="BE61" s="308"/>
      <c r="BF61" s="308"/>
      <c r="BG61" s="308"/>
      <c r="BH61" s="308"/>
      <c r="BI61" s="308"/>
      <c r="BJ61" s="308"/>
    </row>
    <row r="62" spans="1:62" x14ac:dyDescent="0.4">
      <c r="D62" s="308"/>
      <c r="E62" s="308"/>
      <c r="F62" s="308"/>
      <c r="G62" s="308"/>
      <c r="H62" s="308"/>
      <c r="I62" s="308"/>
      <c r="J62" s="308"/>
      <c r="K62" s="308"/>
      <c r="L62" s="308"/>
      <c r="M62" s="308"/>
      <c r="N62" s="308"/>
      <c r="O62" s="308"/>
      <c r="P62" s="308"/>
      <c r="Q62" s="308"/>
      <c r="R62" s="308"/>
      <c r="S62" s="308"/>
      <c r="T62" s="308"/>
      <c r="U62" s="308"/>
      <c r="V62" s="308"/>
      <c r="W62" s="308"/>
      <c r="Y62" s="308"/>
      <c r="Z62" s="308"/>
      <c r="AA62" s="308"/>
      <c r="AB62" s="308"/>
      <c r="AC62" s="308"/>
      <c r="AD62" s="308"/>
      <c r="AE62" s="308"/>
      <c r="AF62" s="308"/>
      <c r="AG62" s="308"/>
      <c r="AH62" s="308"/>
      <c r="AI62" s="308"/>
      <c r="AJ62" s="308"/>
      <c r="AK62" s="308"/>
      <c r="AL62" s="308"/>
      <c r="AM62" s="308"/>
      <c r="AN62" s="308"/>
      <c r="AO62" s="308"/>
      <c r="AP62" s="308"/>
      <c r="AQ62" s="308"/>
      <c r="AR62" s="308"/>
      <c r="AS62" s="308"/>
      <c r="AT62" s="308"/>
      <c r="AU62" s="308"/>
      <c r="AV62" s="308"/>
      <c r="AW62" s="308"/>
      <c r="AX62" s="308"/>
      <c r="AY62" s="308"/>
      <c r="AZ62" s="308"/>
      <c r="BA62" s="308"/>
      <c r="BB62" s="308"/>
      <c r="BC62" s="308"/>
      <c r="BD62" s="308"/>
      <c r="BE62" s="308"/>
      <c r="BF62" s="308"/>
      <c r="BG62" s="308"/>
      <c r="BH62" s="308"/>
      <c r="BI62" s="308"/>
      <c r="BJ62" s="308"/>
    </row>
    <row r="63" spans="1:62" x14ac:dyDescent="0.4">
      <c r="A63" s="246"/>
      <c r="B63" s="234"/>
      <c r="C63" s="234"/>
    </row>
    <row r="64" spans="1:62" x14ac:dyDescent="0.4">
      <c r="D64" s="261"/>
      <c r="E64" s="261"/>
      <c r="F64" s="261"/>
      <c r="G64" s="261"/>
      <c r="H64" s="261"/>
      <c r="I64" s="261"/>
      <c r="J64" s="261"/>
      <c r="K64" s="261"/>
      <c r="L64" s="261"/>
      <c r="M64" s="261"/>
      <c r="N64" s="261"/>
      <c r="O64" s="261"/>
      <c r="P64" s="261"/>
      <c r="Q64" s="261"/>
      <c r="R64" s="261"/>
      <c r="S64" s="261"/>
      <c r="T64" s="261"/>
      <c r="U64" s="261"/>
      <c r="V64" s="261"/>
      <c r="W64" s="261"/>
      <c r="Y64" s="261"/>
      <c r="Z64" s="261"/>
      <c r="AA64" s="261"/>
      <c r="AB64" s="261"/>
      <c r="AC64" s="261"/>
      <c r="AD64" s="261"/>
      <c r="AE64" s="261"/>
      <c r="AF64" s="261"/>
      <c r="AG64" s="261"/>
      <c r="AH64" s="261"/>
      <c r="AI64" s="261"/>
      <c r="AJ64" s="261"/>
      <c r="AK64" s="261"/>
      <c r="AL64" s="261"/>
      <c r="AM64" s="261"/>
      <c r="AN64" s="261"/>
      <c r="AO64" s="261"/>
      <c r="AP64" s="261"/>
      <c r="AQ64" s="261"/>
      <c r="AR64" s="261"/>
      <c r="AS64" s="261"/>
      <c r="AT64" s="261"/>
      <c r="AU64" s="261"/>
      <c r="AV64" s="261"/>
      <c r="AW64" s="261"/>
      <c r="AX64" s="261"/>
      <c r="AY64" s="261"/>
      <c r="AZ64" s="261"/>
      <c r="BA64" s="261"/>
      <c r="BB64" s="261"/>
      <c r="BC64" s="261"/>
      <c r="BD64" s="261"/>
      <c r="BE64" s="261"/>
      <c r="BF64" s="261"/>
      <c r="BG64" s="261"/>
      <c r="BH64" s="261"/>
      <c r="BI64" s="261"/>
      <c r="BJ64" s="261"/>
    </row>
    <row r="65" spans="1:62" x14ac:dyDescent="0.4">
      <c r="D65" s="261"/>
      <c r="E65" s="261"/>
      <c r="F65" s="261"/>
      <c r="G65" s="261"/>
      <c r="H65" s="261"/>
      <c r="I65" s="261"/>
      <c r="J65" s="261"/>
      <c r="K65" s="261"/>
      <c r="L65" s="261"/>
      <c r="M65" s="261"/>
      <c r="N65" s="261"/>
      <c r="O65" s="261"/>
      <c r="P65" s="261"/>
      <c r="Q65" s="261"/>
      <c r="R65" s="261"/>
      <c r="S65" s="261"/>
      <c r="T65" s="261"/>
      <c r="U65" s="261"/>
      <c r="V65" s="261"/>
      <c r="W65" s="261"/>
      <c r="Y65" s="261"/>
      <c r="Z65" s="261"/>
      <c r="AA65" s="261"/>
      <c r="AB65" s="261"/>
      <c r="AC65" s="261"/>
      <c r="AD65" s="261"/>
      <c r="AE65" s="261"/>
      <c r="AF65" s="261"/>
      <c r="AG65" s="261"/>
      <c r="AH65" s="261"/>
      <c r="AI65" s="261"/>
      <c r="AJ65" s="261"/>
      <c r="AK65" s="261"/>
      <c r="AL65" s="261"/>
      <c r="AM65" s="261"/>
      <c r="AN65" s="261"/>
      <c r="AO65" s="261"/>
      <c r="AP65" s="261"/>
      <c r="AQ65" s="261"/>
      <c r="AR65" s="261"/>
      <c r="AS65" s="261"/>
      <c r="AT65" s="261"/>
      <c r="AU65" s="261"/>
      <c r="AV65" s="261"/>
      <c r="AW65" s="261"/>
      <c r="AX65" s="261"/>
      <c r="AY65" s="261"/>
      <c r="AZ65" s="261"/>
      <c r="BA65" s="261"/>
      <c r="BB65" s="261"/>
      <c r="BC65" s="261"/>
      <c r="BD65" s="261"/>
      <c r="BE65" s="261"/>
      <c r="BF65" s="261"/>
      <c r="BG65" s="261"/>
      <c r="BH65" s="261"/>
      <c r="BI65" s="261"/>
      <c r="BJ65" s="261"/>
    </row>
    <row r="66" spans="1:62" x14ac:dyDescent="0.4">
      <c r="D66" s="261"/>
      <c r="E66" s="261"/>
      <c r="F66" s="261"/>
      <c r="G66" s="261"/>
      <c r="H66" s="261"/>
      <c r="I66" s="261"/>
      <c r="J66" s="261"/>
      <c r="K66" s="261"/>
      <c r="L66" s="261"/>
      <c r="M66" s="261"/>
      <c r="N66" s="261"/>
      <c r="O66" s="261"/>
      <c r="P66" s="261"/>
      <c r="Q66" s="261"/>
      <c r="R66" s="261"/>
      <c r="S66" s="261"/>
      <c r="T66" s="261"/>
      <c r="U66" s="261"/>
      <c r="V66" s="261"/>
      <c r="W66" s="261"/>
      <c r="Y66" s="261"/>
      <c r="Z66" s="261"/>
      <c r="AA66" s="261"/>
      <c r="AB66" s="261"/>
      <c r="AC66" s="261"/>
      <c r="AD66" s="261"/>
      <c r="AE66" s="261"/>
      <c r="AF66" s="261"/>
      <c r="AG66" s="261"/>
      <c r="AH66" s="261"/>
      <c r="AI66" s="261"/>
      <c r="AJ66" s="261"/>
      <c r="AK66" s="261"/>
      <c r="AL66" s="261"/>
      <c r="AM66" s="261"/>
      <c r="AN66" s="261"/>
      <c r="AO66" s="261"/>
      <c r="AP66" s="261"/>
      <c r="AQ66" s="261"/>
      <c r="AR66" s="261"/>
      <c r="AS66" s="261"/>
      <c r="AT66" s="261"/>
      <c r="AU66" s="261"/>
      <c r="AV66" s="261"/>
      <c r="AW66" s="261"/>
      <c r="AX66" s="261"/>
      <c r="AY66" s="261"/>
      <c r="AZ66" s="261"/>
      <c r="BA66" s="261"/>
      <c r="BB66" s="261"/>
      <c r="BC66" s="261"/>
      <c r="BD66" s="261"/>
      <c r="BE66" s="261"/>
      <c r="BF66" s="261"/>
      <c r="BG66" s="261"/>
      <c r="BH66" s="261"/>
      <c r="BI66" s="261"/>
      <c r="BJ66" s="261"/>
    </row>
    <row r="67" spans="1:62" x14ac:dyDescent="0.4">
      <c r="D67" s="261"/>
      <c r="E67" s="261"/>
      <c r="F67" s="261"/>
      <c r="G67" s="261"/>
      <c r="H67" s="261"/>
      <c r="I67" s="261"/>
      <c r="J67" s="261"/>
      <c r="K67" s="261"/>
      <c r="L67" s="261"/>
      <c r="M67" s="261"/>
      <c r="N67" s="261"/>
      <c r="O67" s="261"/>
      <c r="P67" s="261"/>
      <c r="Q67" s="261"/>
      <c r="R67" s="261"/>
      <c r="S67" s="261"/>
      <c r="T67" s="261"/>
      <c r="U67" s="261"/>
      <c r="V67" s="261"/>
      <c r="W67" s="261"/>
      <c r="Y67" s="261"/>
      <c r="Z67" s="261"/>
      <c r="AA67" s="261"/>
      <c r="AB67" s="261"/>
      <c r="AC67" s="261"/>
      <c r="AD67" s="261"/>
      <c r="AE67" s="261"/>
      <c r="AF67" s="261"/>
      <c r="AG67" s="261"/>
      <c r="AH67" s="261"/>
      <c r="AI67" s="261"/>
      <c r="AJ67" s="261"/>
      <c r="AK67" s="261"/>
      <c r="AL67" s="261"/>
      <c r="AM67" s="261"/>
      <c r="AN67" s="261"/>
      <c r="AO67" s="261"/>
      <c r="AP67" s="261"/>
      <c r="AQ67" s="261"/>
      <c r="AR67" s="261"/>
      <c r="AS67" s="261"/>
      <c r="AT67" s="261"/>
      <c r="AU67" s="261"/>
      <c r="AV67" s="261"/>
      <c r="AW67" s="261"/>
      <c r="AX67" s="261"/>
      <c r="AY67" s="261"/>
      <c r="AZ67" s="261"/>
      <c r="BA67" s="261"/>
      <c r="BB67" s="261"/>
      <c r="BC67" s="261"/>
      <c r="BD67" s="261"/>
      <c r="BE67" s="261"/>
      <c r="BF67" s="261"/>
      <c r="BG67" s="261"/>
      <c r="BH67" s="261"/>
      <c r="BI67" s="261"/>
      <c r="BJ67" s="261"/>
    </row>
    <row r="68" spans="1:62" x14ac:dyDescent="0.4">
      <c r="D68" s="261"/>
      <c r="E68" s="261"/>
      <c r="F68" s="261"/>
      <c r="G68" s="261"/>
      <c r="H68" s="261"/>
      <c r="I68" s="261"/>
      <c r="J68" s="261"/>
      <c r="K68" s="261"/>
      <c r="L68" s="261"/>
      <c r="M68" s="261"/>
      <c r="N68" s="261"/>
      <c r="O68" s="261"/>
      <c r="P68" s="261"/>
      <c r="Q68" s="261"/>
      <c r="R68" s="261"/>
      <c r="S68" s="261"/>
      <c r="T68" s="261"/>
      <c r="U68" s="261"/>
      <c r="V68" s="261"/>
      <c r="W68" s="261"/>
      <c r="Y68" s="261"/>
      <c r="Z68" s="261"/>
      <c r="AA68" s="261"/>
      <c r="AB68" s="261"/>
      <c r="AC68" s="261"/>
      <c r="AD68" s="261"/>
      <c r="AE68" s="261"/>
      <c r="AF68" s="261"/>
      <c r="AG68" s="261"/>
      <c r="AH68" s="261"/>
      <c r="AI68" s="261"/>
      <c r="AJ68" s="261"/>
      <c r="AK68" s="261"/>
      <c r="AL68" s="261"/>
      <c r="AM68" s="261"/>
      <c r="AN68" s="261"/>
      <c r="AO68" s="261"/>
      <c r="AP68" s="261"/>
      <c r="AQ68" s="261"/>
      <c r="AR68" s="261"/>
      <c r="AS68" s="261"/>
      <c r="AT68" s="261"/>
      <c r="AU68" s="261"/>
      <c r="AV68" s="261"/>
      <c r="AW68" s="261"/>
      <c r="AX68" s="261"/>
      <c r="AY68" s="261"/>
      <c r="AZ68" s="261"/>
      <c r="BA68" s="261"/>
      <c r="BB68" s="261"/>
      <c r="BC68" s="261"/>
      <c r="BD68" s="261"/>
      <c r="BE68" s="261"/>
      <c r="BF68" s="261"/>
      <c r="BG68" s="261"/>
      <c r="BH68" s="261"/>
      <c r="BI68" s="261"/>
      <c r="BJ68" s="261"/>
    </row>
    <row r="69" spans="1:62" x14ac:dyDescent="0.4">
      <c r="B69" s="309"/>
      <c r="C69" s="309"/>
    </row>
    <row r="70" spans="1:62" x14ac:dyDescent="0.4">
      <c r="D70" s="269"/>
      <c r="E70" s="269"/>
      <c r="F70" s="269"/>
      <c r="G70" s="269"/>
      <c r="H70" s="269"/>
      <c r="I70" s="269"/>
      <c r="J70" s="269"/>
      <c r="K70" s="269"/>
      <c r="L70" s="269"/>
      <c r="M70" s="269"/>
      <c r="N70" s="269"/>
      <c r="O70" s="269"/>
      <c r="P70" s="269"/>
      <c r="Q70" s="269"/>
      <c r="R70" s="269"/>
      <c r="S70" s="269"/>
      <c r="T70" s="269"/>
      <c r="U70" s="269"/>
      <c r="V70" s="269"/>
      <c r="W70" s="269"/>
      <c r="Y70" s="269"/>
      <c r="Z70" s="269"/>
      <c r="AA70" s="269"/>
      <c r="AB70" s="269"/>
      <c r="AC70" s="269"/>
      <c r="AD70" s="269"/>
      <c r="AE70" s="269"/>
      <c r="AF70" s="269"/>
      <c r="AG70" s="269"/>
      <c r="AH70" s="269"/>
      <c r="AI70" s="269"/>
      <c r="AJ70" s="269"/>
      <c r="AK70" s="269"/>
      <c r="AL70" s="269"/>
      <c r="AM70" s="269"/>
      <c r="AN70" s="269"/>
      <c r="AO70" s="269"/>
      <c r="AP70" s="269"/>
      <c r="AQ70" s="269"/>
      <c r="AR70" s="269"/>
      <c r="AS70" s="269"/>
      <c r="AT70" s="269"/>
      <c r="AU70" s="269"/>
      <c r="AV70" s="269"/>
      <c r="AW70" s="269"/>
      <c r="AX70" s="269"/>
      <c r="AY70" s="269"/>
      <c r="AZ70" s="269"/>
      <c r="BA70" s="269"/>
      <c r="BB70" s="269"/>
      <c r="BC70" s="269"/>
      <c r="BD70" s="269"/>
      <c r="BE70" s="269"/>
      <c r="BF70" s="269"/>
      <c r="BG70" s="269"/>
      <c r="BH70" s="269"/>
      <c r="BI70" s="269"/>
      <c r="BJ70" s="269"/>
    </row>
    <row r="71" spans="1:62" x14ac:dyDescent="0.4">
      <c r="D71" s="261"/>
      <c r="E71" s="261"/>
      <c r="F71" s="261"/>
      <c r="G71" s="261"/>
      <c r="H71" s="261"/>
      <c r="I71" s="261"/>
      <c r="J71" s="261"/>
      <c r="K71" s="261"/>
      <c r="L71" s="261"/>
      <c r="M71" s="261"/>
      <c r="N71" s="261"/>
      <c r="O71" s="261"/>
      <c r="P71" s="261"/>
      <c r="Q71" s="261"/>
      <c r="R71" s="261"/>
      <c r="S71" s="261"/>
      <c r="T71" s="261"/>
      <c r="U71" s="261"/>
      <c r="V71" s="261"/>
      <c r="W71" s="261"/>
      <c r="Y71" s="261"/>
      <c r="Z71" s="261"/>
      <c r="AA71" s="261"/>
      <c r="AB71" s="261"/>
      <c r="AC71" s="261"/>
      <c r="AD71" s="261"/>
      <c r="AE71" s="261"/>
      <c r="AF71" s="261"/>
      <c r="AG71" s="261"/>
      <c r="AH71" s="261"/>
      <c r="AI71" s="261"/>
      <c r="AJ71" s="261"/>
      <c r="AK71" s="261"/>
      <c r="AL71" s="261"/>
      <c r="AM71" s="261"/>
      <c r="AN71" s="261"/>
      <c r="AO71" s="261"/>
      <c r="AP71" s="261"/>
      <c r="AQ71" s="261"/>
      <c r="AR71" s="261"/>
      <c r="AS71" s="261"/>
      <c r="AT71" s="261"/>
      <c r="AU71" s="261"/>
      <c r="AV71" s="261"/>
      <c r="AW71" s="261"/>
      <c r="AX71" s="261"/>
      <c r="AY71" s="261"/>
      <c r="AZ71" s="261"/>
      <c r="BA71" s="261"/>
      <c r="BB71" s="261"/>
      <c r="BC71" s="261"/>
      <c r="BD71" s="261"/>
      <c r="BE71" s="261"/>
      <c r="BF71" s="261"/>
      <c r="BG71" s="261"/>
      <c r="BH71" s="261"/>
      <c r="BI71" s="261"/>
      <c r="BJ71" s="261"/>
    </row>
    <row r="72" spans="1:62" x14ac:dyDescent="0.4">
      <c r="D72" s="261"/>
      <c r="E72" s="261"/>
      <c r="F72" s="261"/>
      <c r="G72" s="261"/>
      <c r="H72" s="261"/>
      <c r="I72" s="261"/>
      <c r="J72" s="261"/>
      <c r="K72" s="261"/>
      <c r="L72" s="261"/>
      <c r="M72" s="261"/>
      <c r="N72" s="261"/>
      <c r="O72" s="261"/>
      <c r="P72" s="261"/>
      <c r="Q72" s="261"/>
      <c r="R72" s="261"/>
      <c r="S72" s="261"/>
      <c r="T72" s="261"/>
      <c r="U72" s="261"/>
      <c r="V72" s="261"/>
      <c r="W72" s="261"/>
      <c r="Y72" s="261"/>
      <c r="Z72" s="261"/>
      <c r="AA72" s="261"/>
      <c r="AB72" s="261"/>
      <c r="AC72" s="261"/>
      <c r="AD72" s="261"/>
      <c r="AE72" s="261"/>
      <c r="AF72" s="261"/>
      <c r="AG72" s="261"/>
      <c r="AH72" s="261"/>
      <c r="AI72" s="261"/>
      <c r="AJ72" s="261"/>
      <c r="AK72" s="261"/>
      <c r="AL72" s="261"/>
      <c r="AM72" s="261"/>
      <c r="AN72" s="261"/>
      <c r="AO72" s="261"/>
      <c r="AP72" s="261"/>
      <c r="AQ72" s="261"/>
      <c r="AR72" s="261"/>
      <c r="AS72" s="261"/>
      <c r="AT72" s="261"/>
      <c r="AU72" s="261"/>
      <c r="AV72" s="261"/>
      <c r="AW72" s="261"/>
      <c r="AX72" s="261"/>
      <c r="AY72" s="261"/>
      <c r="AZ72" s="261"/>
      <c r="BA72" s="261"/>
      <c r="BB72" s="261"/>
      <c r="BC72" s="261"/>
      <c r="BD72" s="261"/>
      <c r="BE72" s="261"/>
      <c r="BF72" s="261"/>
      <c r="BG72" s="261"/>
      <c r="BH72" s="261"/>
      <c r="BI72" s="261"/>
      <c r="BJ72" s="261"/>
    </row>
    <row r="73" spans="1:62" x14ac:dyDescent="0.4">
      <c r="D73" s="261"/>
      <c r="E73" s="261"/>
      <c r="F73" s="261"/>
      <c r="G73" s="261"/>
      <c r="H73" s="261"/>
      <c r="I73" s="261"/>
      <c r="J73" s="261"/>
      <c r="K73" s="261"/>
      <c r="L73" s="261"/>
      <c r="M73" s="261"/>
      <c r="N73" s="261"/>
      <c r="O73" s="261"/>
      <c r="P73" s="261"/>
      <c r="Q73" s="261"/>
      <c r="R73" s="261"/>
      <c r="S73" s="261"/>
      <c r="T73" s="261"/>
      <c r="U73" s="261"/>
      <c r="V73" s="261"/>
      <c r="W73" s="261"/>
      <c r="Y73" s="261"/>
      <c r="Z73" s="261"/>
      <c r="AA73" s="261"/>
      <c r="AB73" s="261"/>
      <c r="AC73" s="261"/>
      <c r="AD73" s="261"/>
      <c r="AE73" s="261"/>
      <c r="AF73" s="261"/>
      <c r="AG73" s="261"/>
      <c r="AH73" s="261"/>
      <c r="AI73" s="261"/>
      <c r="AJ73" s="261"/>
      <c r="AK73" s="261"/>
      <c r="AL73" s="261"/>
      <c r="AM73" s="261"/>
      <c r="AN73" s="261"/>
      <c r="AO73" s="261"/>
      <c r="AP73" s="261"/>
      <c r="AQ73" s="261"/>
      <c r="AR73" s="261"/>
      <c r="AS73" s="261"/>
      <c r="AT73" s="261"/>
      <c r="AU73" s="261"/>
      <c r="AV73" s="261"/>
      <c r="AW73" s="261"/>
      <c r="AX73" s="261"/>
      <c r="AY73" s="261"/>
      <c r="AZ73" s="261"/>
      <c r="BA73" s="261"/>
      <c r="BB73" s="261"/>
      <c r="BC73" s="261"/>
      <c r="BD73" s="261"/>
      <c r="BE73" s="261"/>
      <c r="BF73" s="261"/>
      <c r="BG73" s="261"/>
      <c r="BH73" s="261"/>
      <c r="BI73" s="261"/>
      <c r="BJ73" s="261"/>
    </row>
    <row r="74" spans="1:62" x14ac:dyDescent="0.4">
      <c r="D74" s="261"/>
      <c r="E74" s="261"/>
      <c r="F74" s="261"/>
      <c r="G74" s="261"/>
      <c r="H74" s="261"/>
      <c r="I74" s="261"/>
      <c r="J74" s="261"/>
      <c r="K74" s="261"/>
      <c r="L74" s="261"/>
      <c r="M74" s="261"/>
      <c r="N74" s="261"/>
      <c r="O74" s="261"/>
      <c r="P74" s="261"/>
      <c r="Q74" s="261"/>
      <c r="R74" s="261"/>
      <c r="S74" s="261"/>
      <c r="T74" s="261"/>
      <c r="U74" s="261"/>
      <c r="V74" s="261"/>
      <c r="W74" s="261"/>
      <c r="Y74" s="261"/>
      <c r="Z74" s="261"/>
      <c r="AA74" s="261"/>
      <c r="AB74" s="261"/>
      <c r="AC74" s="261"/>
      <c r="AD74" s="261"/>
      <c r="AE74" s="261"/>
      <c r="AF74" s="261"/>
      <c r="AG74" s="261"/>
      <c r="AH74" s="261"/>
      <c r="AI74" s="261"/>
      <c r="AJ74" s="261"/>
      <c r="AK74" s="261"/>
      <c r="AL74" s="261"/>
      <c r="AM74" s="261"/>
      <c r="AN74" s="261"/>
      <c r="AO74" s="261"/>
      <c r="AP74" s="261"/>
      <c r="AQ74" s="261"/>
      <c r="AR74" s="261"/>
      <c r="AS74" s="261"/>
      <c r="AT74" s="261"/>
      <c r="AU74" s="261"/>
      <c r="AV74" s="261"/>
      <c r="AW74" s="261"/>
      <c r="AX74" s="261"/>
      <c r="AY74" s="261"/>
      <c r="AZ74" s="261"/>
      <c r="BA74" s="261"/>
      <c r="BB74" s="261"/>
      <c r="BC74" s="261"/>
      <c r="BD74" s="261"/>
      <c r="BE74" s="261"/>
      <c r="BF74" s="261"/>
      <c r="BG74" s="261"/>
      <c r="BH74" s="261"/>
      <c r="BI74" s="261"/>
      <c r="BJ74" s="261"/>
    </row>
    <row r="75" spans="1:62" x14ac:dyDescent="0.4">
      <c r="D75" s="261"/>
      <c r="E75" s="261"/>
      <c r="F75" s="261"/>
      <c r="G75" s="261"/>
      <c r="H75" s="261"/>
      <c r="I75" s="261"/>
      <c r="J75" s="261"/>
      <c r="K75" s="261"/>
      <c r="L75" s="261"/>
      <c r="M75" s="261"/>
      <c r="N75" s="261"/>
      <c r="O75" s="261"/>
      <c r="P75" s="261"/>
      <c r="Q75" s="261"/>
      <c r="R75" s="261"/>
      <c r="S75" s="261"/>
      <c r="T75" s="261"/>
      <c r="U75" s="261"/>
      <c r="V75" s="261"/>
      <c r="W75" s="261"/>
      <c r="Y75" s="261"/>
      <c r="Z75" s="261"/>
      <c r="AA75" s="261"/>
      <c r="AB75" s="261"/>
      <c r="AC75" s="261"/>
      <c r="AD75" s="261"/>
      <c r="AE75" s="261"/>
      <c r="AF75" s="261"/>
      <c r="AG75" s="261"/>
      <c r="AH75" s="261"/>
      <c r="AI75" s="261"/>
      <c r="AJ75" s="261"/>
      <c r="AK75" s="261"/>
      <c r="AL75" s="261"/>
      <c r="AM75" s="261"/>
      <c r="AN75" s="261"/>
      <c r="AO75" s="261"/>
      <c r="AP75" s="261"/>
      <c r="AQ75" s="261"/>
      <c r="AR75" s="261"/>
      <c r="AS75" s="261"/>
      <c r="AT75" s="261"/>
      <c r="AU75" s="261"/>
      <c r="AV75" s="261"/>
      <c r="AW75" s="261"/>
      <c r="AX75" s="261"/>
      <c r="AY75" s="261"/>
      <c r="AZ75" s="261"/>
      <c r="BA75" s="261"/>
      <c r="BB75" s="261"/>
      <c r="BC75" s="261"/>
      <c r="BD75" s="261"/>
      <c r="BE75" s="261"/>
      <c r="BF75" s="261"/>
      <c r="BG75" s="261"/>
      <c r="BH75" s="261"/>
      <c r="BI75" s="261"/>
      <c r="BJ75" s="261"/>
    </row>
    <row r="76" spans="1:62" x14ac:dyDescent="0.4">
      <c r="B76" s="309"/>
      <c r="C76" s="309"/>
    </row>
    <row r="77" spans="1:62" x14ac:dyDescent="0.4">
      <c r="A77" s="246"/>
    </row>
    <row r="81" spans="1:1" x14ac:dyDescent="0.4">
      <c r="A81" s="246"/>
    </row>
    <row r="84" spans="1:1" x14ac:dyDescent="0.4">
      <c r="A84" s="246"/>
    </row>
    <row r="87" spans="1:1" x14ac:dyDescent="0.4">
      <c r="A87" s="246"/>
    </row>
    <row r="90" spans="1:1" x14ac:dyDescent="0.4">
      <c r="A90" s="246"/>
    </row>
  </sheetData>
  <phoneticPr fontId="51" type="noConversion"/>
  <pageMargins left="0.74803149606299213" right="0.74803149606299213" top="0.5" bottom="0.4" header="0.34" footer="0.23"/>
  <pageSetup paperSize="9" scale="95"/>
  <headerFooter alignWithMargins="0">
    <oddHeader>&amp;A</oddHeader>
  </headerFooter>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B124"/>
  <sheetViews>
    <sheetView showGridLines="0" zoomScale="145" zoomScaleNormal="145" workbookViewId="0">
      <pane xSplit="2" ySplit="2" topLeftCell="N66" activePane="bottomRight" state="frozen"/>
      <selection pane="topRight"/>
      <selection pane="bottomLeft"/>
      <selection pane="bottomRight" activeCell="V88" sqref="V88"/>
    </sheetView>
  </sheetViews>
  <sheetFormatPr defaultColWidth="9" defaultRowHeight="11.65" outlineLevelRow="1" outlineLevelCol="1" x14ac:dyDescent="0.4"/>
  <cols>
    <col min="1" max="1" width="31.0625" style="310" hidden="1" customWidth="1" outlineLevel="1"/>
    <col min="2" max="2" width="25" style="354" customWidth="1" collapsed="1"/>
    <col min="3" max="4" width="8.0625" style="311" hidden="1" customWidth="1" outlineLevel="1"/>
    <col min="5" max="13" width="8.0625" style="310" hidden="1" customWidth="1" outlineLevel="1"/>
    <col min="14" max="14" width="8.0625" style="310" customWidth="1" collapsed="1"/>
    <col min="15" max="23" width="8.0625" style="310" customWidth="1"/>
    <col min="24" max="33" width="8.0625" style="310" customWidth="1" outlineLevel="1"/>
    <col min="34" max="16384" width="9" style="312"/>
  </cols>
  <sheetData>
    <row r="1" spans="1:33" s="313" customFormat="1" x14ac:dyDescent="0.4">
      <c r="A1" s="314" t="s">
        <v>2011</v>
      </c>
      <c r="B1" s="1668" t="s">
        <v>2983</v>
      </c>
      <c r="C1" s="315"/>
      <c r="D1" s="315">
        <f t="shared" ref="D1:T1" si="0">ROUND(D43-D84,1)</f>
        <v>0</v>
      </c>
      <c r="E1" s="315">
        <f t="shared" si="0"/>
        <v>0</v>
      </c>
      <c r="F1" s="315">
        <f t="shared" si="0"/>
        <v>0</v>
      </c>
      <c r="G1" s="315">
        <f t="shared" si="0"/>
        <v>0</v>
      </c>
      <c r="H1" s="315">
        <f t="shared" si="0"/>
        <v>0</v>
      </c>
      <c r="I1" s="315">
        <f t="shared" si="0"/>
        <v>0</v>
      </c>
      <c r="J1" s="315">
        <f t="shared" si="0"/>
        <v>0</v>
      </c>
      <c r="K1" s="315">
        <f t="shared" si="0"/>
        <v>0</v>
      </c>
      <c r="L1" s="315">
        <f t="shared" si="0"/>
        <v>0</v>
      </c>
      <c r="M1" s="315">
        <f t="shared" si="0"/>
        <v>0</v>
      </c>
      <c r="N1" s="315">
        <f t="shared" si="0"/>
        <v>0</v>
      </c>
      <c r="O1" s="315">
        <f t="shared" si="0"/>
        <v>0</v>
      </c>
      <c r="P1" s="315">
        <f t="shared" si="0"/>
        <v>0</v>
      </c>
      <c r="Q1" s="315">
        <f t="shared" si="0"/>
        <v>0</v>
      </c>
      <c r="R1" s="315">
        <f t="shared" si="0"/>
        <v>0</v>
      </c>
      <c r="S1" s="315">
        <f t="shared" si="0"/>
        <v>0</v>
      </c>
      <c r="T1" s="315">
        <f t="shared" si="0"/>
        <v>0</v>
      </c>
      <c r="U1" s="315">
        <f t="shared" ref="U1" si="1">ROUND(U43-U84,1)</f>
        <v>0</v>
      </c>
      <c r="V1" s="315">
        <f t="shared" ref="V1:AC1" si="2">ROUND(V43-V84,1)</f>
        <v>0</v>
      </c>
      <c r="W1" s="315">
        <f>ROUND(W43-W84,1)</f>
        <v>0</v>
      </c>
      <c r="X1" s="315">
        <f t="shared" ca="1" si="2"/>
        <v>0</v>
      </c>
      <c r="Y1" s="315">
        <f t="shared" ca="1" si="2"/>
        <v>0</v>
      </c>
      <c r="Z1" s="315">
        <f t="shared" ca="1" si="2"/>
        <v>0</v>
      </c>
      <c r="AA1" s="315">
        <f t="shared" ca="1" si="2"/>
        <v>0</v>
      </c>
      <c r="AB1" s="315">
        <f t="shared" ca="1" si="2"/>
        <v>0</v>
      </c>
      <c r="AC1" s="315">
        <f t="shared" ca="1" si="2"/>
        <v>0</v>
      </c>
      <c r="AD1" s="315">
        <f t="shared" ref="AD1:AF1" ca="1" si="3">ROUND(AD43-AD84,1)</f>
        <v>0</v>
      </c>
      <c r="AE1" s="315">
        <f t="shared" ca="1" si="3"/>
        <v>0</v>
      </c>
      <c r="AF1" s="315">
        <f t="shared" ca="1" si="3"/>
        <v>0</v>
      </c>
      <c r="AG1" s="315">
        <f t="shared" ref="AG1" ca="1" si="4">ROUND(AG43-AG84,1)</f>
        <v>0</v>
      </c>
    </row>
    <row r="2" spans="1:33" s="317" customFormat="1" x14ac:dyDescent="0.4">
      <c r="A2" s="318" t="s">
        <v>759</v>
      </c>
      <c r="B2" s="1641" t="s">
        <v>2958</v>
      </c>
      <c r="C2" s="320" t="s">
        <v>328</v>
      </c>
      <c r="D2" s="320" t="s">
        <v>323</v>
      </c>
      <c r="E2" s="320" t="s">
        <v>525</v>
      </c>
      <c r="F2" s="320" t="s">
        <v>331</v>
      </c>
      <c r="G2" s="320" t="s">
        <v>56</v>
      </c>
      <c r="H2" s="320" t="s">
        <v>721</v>
      </c>
      <c r="I2" s="320" t="s">
        <v>747</v>
      </c>
      <c r="J2" s="320" t="s">
        <v>1748</v>
      </c>
      <c r="K2" s="320" t="s">
        <v>1376</v>
      </c>
      <c r="L2" s="320" t="s">
        <v>1510</v>
      </c>
      <c r="M2" s="320" t="s">
        <v>1587</v>
      </c>
      <c r="N2" s="321" t="s">
        <v>1739</v>
      </c>
      <c r="O2" s="321" t="s">
        <v>1810</v>
      </c>
      <c r="P2" s="321" t="s">
        <v>1818</v>
      </c>
      <c r="Q2" s="321" t="str">
        <f>PL!Q3</f>
        <v>2019A</v>
      </c>
      <c r="R2" s="321" t="str">
        <f>PL!R3</f>
        <v>2020A</v>
      </c>
      <c r="S2" s="321" t="str">
        <f>PL!S3</f>
        <v>2021A</v>
      </c>
      <c r="T2" s="321" t="str">
        <f>PL!T3</f>
        <v>2022A</v>
      </c>
      <c r="U2" s="321" t="str">
        <f>PL!U3</f>
        <v>2023A</v>
      </c>
      <c r="V2" s="321" t="str">
        <f>PL!V3</f>
        <v>2024A</v>
      </c>
      <c r="W2" s="321" t="str">
        <f>PL!W3</f>
        <v>2025A</v>
      </c>
      <c r="X2" s="321" t="str">
        <f>PL!X3</f>
        <v>2026E</v>
      </c>
      <c r="Y2" s="321" t="str">
        <f>PL!Y3</f>
        <v>2027E</v>
      </c>
      <c r="Z2" s="321" t="str">
        <f>PL!Z3</f>
        <v>2028E</v>
      </c>
      <c r="AA2" s="321" t="str">
        <f>PL!AA3</f>
        <v>2029E</v>
      </c>
      <c r="AB2" s="321" t="str">
        <f>PL!AB3</f>
        <v>2030E</v>
      </c>
      <c r="AC2" s="321" t="str">
        <f>PL!AC3</f>
        <v>2031E</v>
      </c>
      <c r="AD2" s="321" t="str">
        <f>PL!AD3</f>
        <v>2032E</v>
      </c>
      <c r="AE2" s="321" t="str">
        <f>PL!AE3</f>
        <v>2033E</v>
      </c>
      <c r="AF2" s="321" t="str">
        <f>PL!AF3</f>
        <v>2034E</v>
      </c>
      <c r="AG2" s="321" t="str">
        <f>PL!AG3</f>
        <v>2035E</v>
      </c>
    </row>
    <row r="3" spans="1:33" x14ac:dyDescent="0.4">
      <c r="A3" s="323" t="s">
        <v>497</v>
      </c>
      <c r="B3" s="1678" t="s">
        <v>114</v>
      </c>
      <c r="C3" s="324"/>
      <c r="D3" s="324"/>
      <c r="T3" s="325"/>
      <c r="U3" s="325"/>
      <c r="V3" s="325"/>
      <c r="W3" s="325"/>
      <c r="X3" s="325"/>
      <c r="Y3" s="325"/>
      <c r="Z3" s="325"/>
      <c r="AA3" s="325"/>
      <c r="AB3" s="325"/>
      <c r="AC3" s="325"/>
      <c r="AD3" s="325"/>
      <c r="AE3" s="325"/>
      <c r="AF3" s="325"/>
      <c r="AG3" s="325"/>
    </row>
    <row r="4" spans="1:33" x14ac:dyDescent="0.4">
      <c r="A4" s="310" t="s">
        <v>616</v>
      </c>
      <c r="B4" s="354" t="s">
        <v>115</v>
      </c>
      <c r="C4" s="326"/>
      <c r="D4" s="327">
        <f>'BS（org）'!E5</f>
        <v>96.578999999999994</v>
      </c>
      <c r="E4" s="327">
        <f>'BS（org）'!F5</f>
        <v>971.95299999999997</v>
      </c>
      <c r="F4" s="327">
        <f>'BS（org）'!G5</f>
        <v>1107.2750000000001</v>
      </c>
      <c r="G4" s="327">
        <f>'BS（org）'!H5</f>
        <v>1121.3240000000001</v>
      </c>
      <c r="H4" s="327">
        <f>'BS（org）'!I5</f>
        <v>1454.4449999999999</v>
      </c>
      <c r="I4" s="327">
        <f>'BS（org）'!J5</f>
        <v>1870.0329999999999</v>
      </c>
      <c r="J4" s="327">
        <f>'BS（org）'!K5</f>
        <v>2190.951</v>
      </c>
      <c r="K4" s="328">
        <f>'BS（org）'!L5</f>
        <v>2672.357</v>
      </c>
      <c r="L4" s="328">
        <f>'BS（org）'!M5</f>
        <v>2827.3</v>
      </c>
      <c r="M4" s="328">
        <f>'BS（org）'!N5</f>
        <v>2786.9160000000002</v>
      </c>
      <c r="N4" s="328">
        <f>'BS（org）'!O5</f>
        <v>2493.761</v>
      </c>
      <c r="O4" s="328">
        <f>'BS（org）'!P5</f>
        <v>3818.806</v>
      </c>
      <c r="P4" s="328">
        <f>'BS（org）'!Q5</f>
        <v>4149.8060000000005</v>
      </c>
      <c r="Q4" s="328">
        <f>'BS（org）'!R5</f>
        <v>4726.3779999999997</v>
      </c>
      <c r="R4" s="328">
        <f>'BS（org）'!S5</f>
        <v>5390.5469999999996</v>
      </c>
      <c r="S4" s="328">
        <f>'BS（org）'!T5</f>
        <v>5698.3360000000002</v>
      </c>
      <c r="T4" s="328">
        <f>'BS（org）'!U5</f>
        <v>5439.8409999999994</v>
      </c>
      <c r="U4" s="328">
        <f>'BS（org）'!V5</f>
        <v>5664.826</v>
      </c>
      <c r="V4" s="328">
        <f>'BS（org）'!W5</f>
        <v>5747.1190000000006</v>
      </c>
      <c r="W4" s="328">
        <f>'BS（org）'!X5</f>
        <v>6505.4290000000001</v>
      </c>
      <c r="X4" s="327">
        <f>CAPEX!X78</f>
        <v>7340.016184924546</v>
      </c>
      <c r="Y4" s="327">
        <f>CAPEX!Y78</f>
        <v>8205.1341756572838</v>
      </c>
      <c r="Z4" s="327">
        <f>CAPEX!Z78</f>
        <v>9074.7000956192223</v>
      </c>
      <c r="AA4" s="327">
        <f>CAPEX!AA78</f>
        <v>9969.7669900587352</v>
      </c>
      <c r="AB4" s="327">
        <f>CAPEX!AB78</f>
        <v>10877.431231799283</v>
      </c>
      <c r="AC4" s="327">
        <f>CAPEX!AC78</f>
        <v>11786.687563325195</v>
      </c>
      <c r="AD4" s="327">
        <f>CAPEX!AD78</f>
        <v>12688.100888696019</v>
      </c>
      <c r="AE4" s="327">
        <f>CAPEX!AE78</f>
        <v>13573.541515672903</v>
      </c>
      <c r="AF4" s="327">
        <f>CAPEX!AF78</f>
        <v>14435.972016510168</v>
      </c>
      <c r="AG4" s="327">
        <f>CAPEX!AG78</f>
        <v>15269.276053358073</v>
      </c>
    </row>
    <row r="5" spans="1:33" x14ac:dyDescent="0.4">
      <c r="A5" s="310" t="s">
        <v>617</v>
      </c>
      <c r="B5" s="354" t="s">
        <v>1662</v>
      </c>
      <c r="C5" s="326"/>
      <c r="D5" s="327">
        <f>'BS（org）'!E6</f>
        <v>10.065</v>
      </c>
      <c r="E5" s="327">
        <f>'BS（org）'!F6</f>
        <v>9.7050000000000001</v>
      </c>
      <c r="F5" s="327">
        <f>'BS（org）'!G6</f>
        <v>44.692</v>
      </c>
      <c r="G5" s="327">
        <f>'BS（org）'!H6</f>
        <v>43.030999999999999</v>
      </c>
      <c r="H5" s="327">
        <f>'BS（org）'!I6</f>
        <v>42.037999999999997</v>
      </c>
      <c r="I5" s="327">
        <f>'BS（org）'!J6</f>
        <v>41.063000000000002</v>
      </c>
      <c r="J5" s="327">
        <f>'BS（org）'!K6</f>
        <v>40.043999999999997</v>
      </c>
      <c r="K5" s="328">
        <f>'BS（org）'!L6</f>
        <v>39.085000000000001</v>
      </c>
      <c r="L5" s="328">
        <f>'BS（org）'!M6</f>
        <v>38.073</v>
      </c>
      <c r="M5" s="328">
        <f>'BS（org）'!N6</f>
        <v>3050.4679999999998</v>
      </c>
      <c r="N5" s="328">
        <f>'BS（org）'!O6</f>
        <v>4249.5200000000004</v>
      </c>
      <c r="O5" s="328">
        <f>'BS（org）'!P6</f>
        <v>4750.2650000000003</v>
      </c>
      <c r="P5" s="328">
        <f>'BS（org）'!Q6</f>
        <v>4680.7759999999998</v>
      </c>
      <c r="Q5" s="328">
        <f>'BS（org）'!R6</f>
        <v>5067.3330000000005</v>
      </c>
      <c r="R5" s="328">
        <f>'BS（org）'!S6</f>
        <v>4643.3310000000001</v>
      </c>
      <c r="S5" s="328">
        <f>'BS（org）'!T6</f>
        <v>5126.232</v>
      </c>
      <c r="T5" s="328">
        <f>'BS（org）'!U6</f>
        <v>7080.2719999999999</v>
      </c>
      <c r="U5" s="328">
        <f>'BS（org）'!V6</f>
        <v>6923.8490000000002</v>
      </c>
      <c r="V5" s="328">
        <f>'BS（org）'!W6</f>
        <v>6437.4530000000004</v>
      </c>
      <c r="W5" s="328">
        <f>'BS（org）'!X6</f>
        <v>6738.116</v>
      </c>
      <c r="X5" s="327">
        <f>CAPEX!X99</f>
        <v>6737.116</v>
      </c>
      <c r="Y5" s="327">
        <f>CAPEX!Y99</f>
        <v>6736.116</v>
      </c>
      <c r="Z5" s="327">
        <f>CAPEX!Z99</f>
        <v>6735.116</v>
      </c>
      <c r="AA5" s="327">
        <f>CAPEX!AA99</f>
        <v>6734.116</v>
      </c>
      <c r="AB5" s="327">
        <f>CAPEX!AB99</f>
        <v>6733.116</v>
      </c>
      <c r="AC5" s="327">
        <f>CAPEX!AC99</f>
        <v>6732.116</v>
      </c>
      <c r="AD5" s="327">
        <f>CAPEX!AD99</f>
        <v>6731.116</v>
      </c>
      <c r="AE5" s="327">
        <f>CAPEX!AE99</f>
        <v>6730.116</v>
      </c>
      <c r="AF5" s="327">
        <f>CAPEX!AF99</f>
        <v>6729.116</v>
      </c>
      <c r="AG5" s="327">
        <f>CAPEX!AG99</f>
        <v>6728.116</v>
      </c>
    </row>
    <row r="6" spans="1:33" x14ac:dyDescent="0.4">
      <c r="A6" s="310" t="s">
        <v>619</v>
      </c>
      <c r="B6" s="354" t="s">
        <v>35</v>
      </c>
      <c r="C6" s="326"/>
      <c r="D6" s="327">
        <f>'BS（org）'!E7</f>
        <v>0</v>
      </c>
      <c r="E6" s="327">
        <f>'BS（org）'!F7</f>
        <v>0</v>
      </c>
      <c r="F6" s="327">
        <f>'BS（org）'!G7</f>
        <v>466.87599999999998</v>
      </c>
      <c r="G6" s="327">
        <f>'BS（org）'!H7</f>
        <v>1050.04</v>
      </c>
      <c r="H6" s="327">
        <f>'BS（org）'!I7</f>
        <v>673.57500000000005</v>
      </c>
      <c r="I6" s="327">
        <f>'BS（org）'!J7</f>
        <v>673.22400000000005</v>
      </c>
      <c r="J6" s="327">
        <f>'BS（org）'!K7</f>
        <v>915.04899999999998</v>
      </c>
      <c r="K6" s="328">
        <f>'BS（org）'!L7</f>
        <v>1186.0119999999999</v>
      </c>
      <c r="L6" s="328">
        <f>'BS（org）'!M7</f>
        <v>1489.1880000000001</v>
      </c>
      <c r="M6" s="328">
        <f>'BS（org）'!N7</f>
        <v>1536.3720000000001</v>
      </c>
      <c r="N6" s="328">
        <f>'BS（org）'!O7</f>
        <v>1495.0409999999999</v>
      </c>
      <c r="O6" s="328">
        <f>'BS（org）'!P7</f>
        <v>3294.0410000000002</v>
      </c>
      <c r="P6" s="328">
        <f>'BS（org）'!Q7</f>
        <v>3680.4140000000002</v>
      </c>
      <c r="Q6" s="328">
        <f>'BS（org）'!R7</f>
        <v>4747.1310000000003</v>
      </c>
      <c r="R6" s="328">
        <f>'BS（org）'!S7</f>
        <v>5713.8459999999995</v>
      </c>
      <c r="S6" s="328">
        <f>'BS（org）'!T7</f>
        <v>5726.6390000000001</v>
      </c>
      <c r="T6" s="328">
        <f>'BS（org）'!U7</f>
        <v>4742.2610000000004</v>
      </c>
      <c r="U6" s="328">
        <f>'BS（org）'!V7</f>
        <v>3651.3020000000001</v>
      </c>
      <c r="V6" s="328">
        <f>'BS（org）'!W7</f>
        <v>3075.9449999999997</v>
      </c>
      <c r="W6" s="328">
        <f>'BS（org）'!X7</f>
        <v>3247.527</v>
      </c>
      <c r="X6" s="329">
        <f t="shared" ref="X6:AC6" si="5">W6*1.05</f>
        <v>3409.90335</v>
      </c>
      <c r="Y6" s="329">
        <f t="shared" si="5"/>
        <v>3580.3985175000003</v>
      </c>
      <c r="Z6" s="329">
        <f t="shared" si="5"/>
        <v>3759.4184433750006</v>
      </c>
      <c r="AA6" s="329">
        <f t="shared" si="5"/>
        <v>3947.389365543751</v>
      </c>
      <c r="AB6" s="329">
        <f t="shared" si="5"/>
        <v>4144.7588338209389</v>
      </c>
      <c r="AC6" s="329">
        <f t="shared" si="5"/>
        <v>4351.996775511986</v>
      </c>
      <c r="AD6" s="329">
        <f t="shared" ref="AD6" si="6">AC6*1.05</f>
        <v>4569.5966142875859</v>
      </c>
      <c r="AE6" s="329">
        <f t="shared" ref="AE6" si="7">AD6*1.05</f>
        <v>4798.0764450019651</v>
      </c>
      <c r="AF6" s="329">
        <f t="shared" ref="AF6:AG6" si="8">AE6*1.05</f>
        <v>5037.9802672520636</v>
      </c>
      <c r="AG6" s="329">
        <f t="shared" si="8"/>
        <v>5289.8792806146666</v>
      </c>
    </row>
    <row r="7" spans="1:33" x14ac:dyDescent="0.4">
      <c r="A7" s="310" t="s">
        <v>618</v>
      </c>
      <c r="B7" s="354" t="s">
        <v>34</v>
      </c>
      <c r="C7" s="326"/>
      <c r="D7" s="327">
        <f>'BS（org）'!E13</f>
        <v>0</v>
      </c>
      <c r="E7" s="327">
        <f>'BS（org）'!F13</f>
        <v>0</v>
      </c>
      <c r="F7" s="327">
        <f>'BS（org）'!G13</f>
        <v>49.814</v>
      </c>
      <c r="G7" s="327">
        <f>'BS（org）'!H13</f>
        <v>0</v>
      </c>
      <c r="H7" s="327">
        <f>'BS（org）'!I13</f>
        <v>0</v>
      </c>
      <c r="I7" s="327">
        <f>'BS（org）'!J13</f>
        <v>0</v>
      </c>
      <c r="J7" s="327">
        <f>'BS（org）'!K13</f>
        <v>0</v>
      </c>
      <c r="K7" s="328">
        <f>'BS（org）'!L13</f>
        <v>0</v>
      </c>
      <c r="L7" s="328">
        <f>'BS（org）'!M13</f>
        <v>0</v>
      </c>
      <c r="M7" s="328">
        <f>'BS（org）'!N13</f>
        <v>0</v>
      </c>
      <c r="N7" s="328">
        <f>'BS（org）'!O13</f>
        <v>0</v>
      </c>
      <c r="O7" s="328">
        <f>'BS（org）'!P13</f>
        <v>0</v>
      </c>
      <c r="P7" s="328">
        <f>'BS（org）'!Q13</f>
        <v>0</v>
      </c>
      <c r="Q7" s="328">
        <f>'BS（org）'!R13</f>
        <v>0</v>
      </c>
      <c r="R7" s="328">
        <f>'BS（org）'!S13</f>
        <v>0</v>
      </c>
      <c r="S7" s="328">
        <f>'BS（org）'!T13</f>
        <v>0</v>
      </c>
      <c r="T7" s="328">
        <f>'BS（org）'!U13</f>
        <v>0</v>
      </c>
      <c r="U7" s="328">
        <f>'BS（org）'!V13</f>
        <v>0</v>
      </c>
      <c r="V7" s="328">
        <f>'BS（org）'!W13</f>
        <v>0</v>
      </c>
      <c r="W7" s="328">
        <f>'BS（org）'!X13</f>
        <v>0</v>
      </c>
      <c r="X7" s="329">
        <f t="shared" ref="X7:AC8" si="9">W7</f>
        <v>0</v>
      </c>
      <c r="Y7" s="329">
        <f t="shared" si="9"/>
        <v>0</v>
      </c>
      <c r="Z7" s="329">
        <f t="shared" si="9"/>
        <v>0</v>
      </c>
      <c r="AA7" s="329">
        <f t="shared" si="9"/>
        <v>0</v>
      </c>
      <c r="AB7" s="329">
        <f t="shared" si="9"/>
        <v>0</v>
      </c>
      <c r="AC7" s="329">
        <f t="shared" si="9"/>
        <v>0</v>
      </c>
      <c r="AD7" s="329">
        <f t="shared" ref="AD7:AD8" si="10">AC7</f>
        <v>0</v>
      </c>
      <c r="AE7" s="329">
        <f t="shared" ref="AE7:AE8" si="11">AD7</f>
        <v>0</v>
      </c>
      <c r="AF7" s="329">
        <f t="shared" ref="AF7:AG8" si="12">AE7</f>
        <v>0</v>
      </c>
      <c r="AG7" s="329">
        <f t="shared" si="12"/>
        <v>0</v>
      </c>
    </row>
    <row r="8" spans="1:33" x14ac:dyDescent="0.4">
      <c r="A8" s="310" t="s">
        <v>620</v>
      </c>
      <c r="B8" s="354" t="s">
        <v>36</v>
      </c>
      <c r="C8" s="326"/>
      <c r="D8" s="327">
        <f>'BS（org）'!E8</f>
        <v>12.448</v>
      </c>
      <c r="E8" s="327">
        <f>'BS（org）'!F8</f>
        <v>60.326999999999998</v>
      </c>
      <c r="F8" s="327">
        <f>'BS（org）'!G8</f>
        <v>78.536000000000001</v>
      </c>
      <c r="G8" s="327">
        <f>'BS（org）'!H8</f>
        <v>76.551000000000002</v>
      </c>
      <c r="H8" s="327">
        <f>'BS（org）'!I8</f>
        <v>172.25800000000001</v>
      </c>
      <c r="I8" s="327">
        <f>'BS（org）'!J8</f>
        <v>180.197</v>
      </c>
      <c r="J8" s="327">
        <f>'BS（org）'!K8</f>
        <v>182.291</v>
      </c>
      <c r="K8" s="328">
        <f>'BS（org）'!L8</f>
        <v>280.06299999999999</v>
      </c>
      <c r="L8" s="328">
        <f>'BS（org）'!M8</f>
        <v>273.02199999999999</v>
      </c>
      <c r="M8" s="328">
        <f>'BS（org）'!N8</f>
        <v>269.81599999999997</v>
      </c>
      <c r="N8" s="328">
        <f>'BS（org）'!O8</f>
        <v>315.09699999999998</v>
      </c>
      <c r="O8" s="328">
        <f>'BS（org）'!P8</f>
        <v>391.30599999999998</v>
      </c>
      <c r="P8" s="328">
        <f>'BS（org）'!Q8</f>
        <v>367.03199999999998</v>
      </c>
      <c r="Q8" s="328">
        <f>'BS（org）'!R8</f>
        <v>0</v>
      </c>
      <c r="R8" s="328">
        <f>'BS（org）'!S8</f>
        <v>0</v>
      </c>
      <c r="S8" s="328">
        <f>'BS（org）'!T8</f>
        <v>0</v>
      </c>
      <c r="T8" s="328">
        <f>'BS（org）'!U8</f>
        <v>0</v>
      </c>
      <c r="U8" s="328">
        <f>'BS（org）'!V8</f>
        <v>0</v>
      </c>
      <c r="V8" s="328">
        <f>'BS（org）'!W8</f>
        <v>0</v>
      </c>
      <c r="W8" s="328">
        <f>'BS（org）'!X8</f>
        <v>0</v>
      </c>
      <c r="X8" s="329">
        <f t="shared" si="9"/>
        <v>0</v>
      </c>
      <c r="Y8" s="329">
        <f t="shared" si="9"/>
        <v>0</v>
      </c>
      <c r="Z8" s="329">
        <f t="shared" si="9"/>
        <v>0</v>
      </c>
      <c r="AA8" s="329">
        <f t="shared" si="9"/>
        <v>0</v>
      </c>
      <c r="AB8" s="329">
        <f t="shared" si="9"/>
        <v>0</v>
      </c>
      <c r="AC8" s="329">
        <f t="shared" si="9"/>
        <v>0</v>
      </c>
      <c r="AD8" s="329">
        <f t="shared" si="10"/>
        <v>0</v>
      </c>
      <c r="AE8" s="329">
        <f t="shared" si="11"/>
        <v>0</v>
      </c>
      <c r="AF8" s="329">
        <f t="shared" si="12"/>
        <v>0</v>
      </c>
      <c r="AG8" s="329">
        <f t="shared" si="12"/>
        <v>0</v>
      </c>
    </row>
    <row r="9" spans="1:33" x14ac:dyDescent="0.4">
      <c r="A9" s="310" t="s">
        <v>2263</v>
      </c>
      <c r="B9" s="354" t="s">
        <v>3081</v>
      </c>
      <c r="C9" s="326"/>
      <c r="D9" s="327">
        <f>'BS（org）'!E11</f>
        <v>0</v>
      </c>
      <c r="E9" s="327">
        <f>'BS（org）'!F11</f>
        <v>0</v>
      </c>
      <c r="F9" s="327">
        <f>'BS（org）'!G11</f>
        <v>0</v>
      </c>
      <c r="G9" s="327">
        <f>'BS（org）'!H11</f>
        <v>9.9499999999999993</v>
      </c>
      <c r="H9" s="327">
        <f>'BS（org）'!I11</f>
        <v>9.9499999999999993</v>
      </c>
      <c r="I9" s="327">
        <f>'BS（org）'!J11</f>
        <v>9.9499999999999993</v>
      </c>
      <c r="J9" s="327">
        <f>'BS（org）'!K11</f>
        <v>252.55099999999999</v>
      </c>
      <c r="K9" s="328">
        <f>'BS（org）'!L11</f>
        <v>226.596</v>
      </c>
      <c r="L9" s="328">
        <f>'BS（org）'!M11</f>
        <v>200.64</v>
      </c>
      <c r="M9" s="328">
        <f>'BS（org）'!N11</f>
        <v>186.02500000000001</v>
      </c>
      <c r="N9" s="328">
        <f>'BS（org）'!O11</f>
        <v>175.19</v>
      </c>
      <c r="O9" s="328">
        <f>'BS（org）'!P11</f>
        <v>334.68599999999998</v>
      </c>
      <c r="P9" s="328">
        <f>'BS（org）'!Q11</f>
        <v>308.53500000000003</v>
      </c>
      <c r="Q9" s="328">
        <f>'BS（org）'!R11</f>
        <v>289.11700000000002</v>
      </c>
      <c r="R9" s="328">
        <f>'BS（org）'!S11</f>
        <v>278.416</v>
      </c>
      <c r="S9" s="328">
        <f>'BS（org）'!T11</f>
        <v>266.10199999999998</v>
      </c>
      <c r="T9" s="328">
        <f>'BS（org）'!U11</f>
        <v>237.36099999999999</v>
      </c>
      <c r="U9" s="328">
        <f>'BS（org）'!V11</f>
        <v>216.11600000000001</v>
      </c>
      <c r="V9" s="328">
        <f>'BS（org）'!W11</f>
        <v>182.452</v>
      </c>
      <c r="W9" s="328">
        <f>'BS（org）'!X11</f>
        <v>164.25800000000001</v>
      </c>
      <c r="X9" s="330">
        <f ca="1">CAPEX!X136</f>
        <v>194.93296683809186</v>
      </c>
      <c r="Y9" s="330">
        <f ca="1">CAPEX!Y136</f>
        <v>194.93296683809186</v>
      </c>
      <c r="Z9" s="330">
        <f ca="1">CAPEX!Z136</f>
        <v>194.93296683809186</v>
      </c>
      <c r="AA9" s="330">
        <f ca="1">CAPEX!AA136</f>
        <v>194.93296683809186</v>
      </c>
      <c r="AB9" s="330">
        <f ca="1">CAPEX!AB136</f>
        <v>194.93296683809186</v>
      </c>
      <c r="AC9" s="330">
        <f ca="1">CAPEX!AC136</f>
        <v>194.93296683809186</v>
      </c>
      <c r="AD9" s="330">
        <f ca="1">CAPEX!AD136</f>
        <v>194.93296683809186</v>
      </c>
      <c r="AE9" s="330">
        <f ca="1">CAPEX!AE136</f>
        <v>194.93296683809186</v>
      </c>
      <c r="AF9" s="330">
        <f ca="1">CAPEX!AF136</f>
        <v>194.93296683809186</v>
      </c>
      <c r="AG9" s="330">
        <f ca="1">CAPEX!AG136</f>
        <v>194.93296683809186</v>
      </c>
    </row>
    <row r="10" spans="1:33" x14ac:dyDescent="0.4">
      <c r="A10" s="310" t="s">
        <v>2264</v>
      </c>
      <c r="B10" s="354" t="s">
        <v>3118</v>
      </c>
      <c r="C10" s="326"/>
      <c r="D10" s="327">
        <f>'BS（org）'!E10</f>
        <v>0</v>
      </c>
      <c r="E10" s="327">
        <f>'BS（org）'!F10</f>
        <v>0</v>
      </c>
      <c r="F10" s="327">
        <f>'BS（org）'!G10</f>
        <v>0</v>
      </c>
      <c r="G10" s="327">
        <f>'BS（org）'!H10</f>
        <v>0</v>
      </c>
      <c r="H10" s="327">
        <f>'BS（org）'!I10</f>
        <v>2350.893</v>
      </c>
      <c r="I10" s="327">
        <f>'BS（org）'!J10</f>
        <v>2589.828</v>
      </c>
      <c r="J10" s="327">
        <f>'BS（org）'!K10</f>
        <v>2735.4929999999999</v>
      </c>
      <c r="K10" s="328">
        <f>'BS（org）'!L10</f>
        <v>2149.893</v>
      </c>
      <c r="L10" s="328">
        <f>'BS（org）'!M10</f>
        <v>3449.0340000000001</v>
      </c>
      <c r="M10" s="328">
        <f>'BS（org）'!N10</f>
        <v>3573.6619999999998</v>
      </c>
      <c r="N10" s="328">
        <f>'BS（org）'!O10</f>
        <v>4949.241</v>
      </c>
      <c r="O10" s="328">
        <f>'BS（org）'!P10</f>
        <v>9956.1110000000008</v>
      </c>
      <c r="P10" s="328">
        <f>'BS（org）'!Q10</f>
        <v>11709.355</v>
      </c>
      <c r="Q10" s="328">
        <f>'BS（org）'!R10</f>
        <v>14012.737000000001</v>
      </c>
      <c r="R10" s="328">
        <f>'BS（org）'!S10</f>
        <v>16453.237000000001</v>
      </c>
      <c r="S10" s="328">
        <f>'BS（org）'!T10</f>
        <v>18388.084999999999</v>
      </c>
      <c r="T10" s="328">
        <f>'BS（org）'!U10</f>
        <v>16771.131000000001</v>
      </c>
      <c r="U10" s="328">
        <f>'BS（org）'!V10</f>
        <v>16916.238000000001</v>
      </c>
      <c r="V10" s="328">
        <f>'BS（org）'!W10</f>
        <v>15713.298000000003</v>
      </c>
      <c r="W10" s="328">
        <f>'BS（org）'!X10</f>
        <v>16344.907999999999</v>
      </c>
      <c r="X10" s="329">
        <f t="shared" ref="X10:AG10" si="13">W10*1</f>
        <v>16344.907999999999</v>
      </c>
      <c r="Y10" s="329">
        <f t="shared" si="13"/>
        <v>16344.907999999999</v>
      </c>
      <c r="Z10" s="329">
        <f t="shared" si="13"/>
        <v>16344.907999999999</v>
      </c>
      <c r="AA10" s="329">
        <f t="shared" si="13"/>
        <v>16344.907999999999</v>
      </c>
      <c r="AB10" s="329">
        <f t="shared" si="13"/>
        <v>16344.907999999999</v>
      </c>
      <c r="AC10" s="329">
        <f t="shared" si="13"/>
        <v>16344.907999999999</v>
      </c>
      <c r="AD10" s="329">
        <f t="shared" si="13"/>
        <v>16344.907999999999</v>
      </c>
      <c r="AE10" s="329">
        <f t="shared" si="13"/>
        <v>16344.907999999999</v>
      </c>
      <c r="AF10" s="329">
        <f t="shared" si="13"/>
        <v>16344.907999999999</v>
      </c>
      <c r="AG10" s="329">
        <f t="shared" si="13"/>
        <v>16344.907999999999</v>
      </c>
    </row>
    <row r="11" spans="1:33" x14ac:dyDescent="0.4">
      <c r="A11" s="310" t="s">
        <v>162</v>
      </c>
      <c r="B11" s="354" t="s">
        <v>37</v>
      </c>
      <c r="C11" s="326"/>
      <c r="D11" s="327">
        <f>'BS（org）'!E9</f>
        <v>34.012999999999998</v>
      </c>
      <c r="E11" s="327">
        <f>'BS（org）'!F9</f>
        <v>35.070999999999998</v>
      </c>
      <c r="F11" s="327">
        <f>'BS（org）'!G9</f>
        <v>41.258000000000003</v>
      </c>
      <c r="G11" s="327">
        <f>'BS（org）'!H9</f>
        <v>35.174999999999997</v>
      </c>
      <c r="H11" s="327">
        <f>'BS（org）'!I9</f>
        <v>34.552</v>
      </c>
      <c r="I11" s="327">
        <f>'BS（org）'!J9</f>
        <v>29.236999999999998</v>
      </c>
      <c r="J11" s="327">
        <f>'BS（org）'!K9</f>
        <v>36.155999999999999</v>
      </c>
      <c r="K11" s="328">
        <f>'BS（org）'!L9</f>
        <v>48.756999999999998</v>
      </c>
      <c r="L11" s="328">
        <f>'BS（org）'!M9</f>
        <v>2104.9430000000002</v>
      </c>
      <c r="M11" s="328">
        <f>'BS（org）'!N9</f>
        <v>3800.1930000000002</v>
      </c>
      <c r="N11" s="328">
        <f>'BS（org）'!O9</f>
        <v>4070.3780000000002</v>
      </c>
      <c r="O11" s="328">
        <f>'BS（org）'!P9</f>
        <v>4570.74</v>
      </c>
      <c r="P11" s="328">
        <f>'BS（org）'!Q9</f>
        <v>5654.8649999999998</v>
      </c>
      <c r="Q11" s="328">
        <f>'BS（org）'!R9</f>
        <v>6300.683</v>
      </c>
      <c r="R11" s="328">
        <f>'BS（org）'!S9</f>
        <v>6829.83</v>
      </c>
      <c r="S11" s="328">
        <f>'BS（org）'!T9</f>
        <v>9347.2250000000004</v>
      </c>
      <c r="T11" s="328">
        <f>'BS（org）'!U9</f>
        <v>7482.5929999999998</v>
      </c>
      <c r="U11" s="328">
        <f>'BS（org）'!V9</f>
        <v>6116.3280000000004</v>
      </c>
      <c r="V11" s="328">
        <f>'BS（org）'!W9</f>
        <v>6049.5440000000008</v>
      </c>
      <c r="W11" s="328">
        <f>'BS（org）'!X9</f>
        <v>5585.9170000000004</v>
      </c>
      <c r="X11" s="329">
        <f>W11*1.03</f>
        <v>5753.4945100000004</v>
      </c>
      <c r="Y11" s="329">
        <f t="shared" ref="Y11:AC11" si="14">X11*1.03</f>
        <v>5926.099345300001</v>
      </c>
      <c r="Z11" s="329">
        <f t="shared" si="14"/>
        <v>6103.8823256590013</v>
      </c>
      <c r="AA11" s="329">
        <f t="shared" si="14"/>
        <v>6286.9987954287717</v>
      </c>
      <c r="AB11" s="329">
        <f t="shared" si="14"/>
        <v>6475.6087592916347</v>
      </c>
      <c r="AC11" s="329">
        <f t="shared" si="14"/>
        <v>6669.8770220703836</v>
      </c>
      <c r="AD11" s="329">
        <f t="shared" ref="AD11" si="15">AC11*1.03</f>
        <v>6869.9733327324957</v>
      </c>
      <c r="AE11" s="329">
        <f t="shared" ref="AE11" si="16">AD11*1.03</f>
        <v>7076.072532714471</v>
      </c>
      <c r="AF11" s="329">
        <f t="shared" ref="AF11:AG11" si="17">AE11*1.03</f>
        <v>7288.3547086959052</v>
      </c>
      <c r="AG11" s="329">
        <f t="shared" si="17"/>
        <v>7507.0053499567821</v>
      </c>
    </row>
    <row r="12" spans="1:33" x14ac:dyDescent="0.4">
      <c r="A12" s="310" t="s">
        <v>622</v>
      </c>
      <c r="B12" s="354" t="s">
        <v>38</v>
      </c>
      <c r="C12" s="326"/>
      <c r="D12" s="327">
        <f>'BS（org）'!E14</f>
        <v>23.786000000000001</v>
      </c>
      <c r="E12" s="327">
        <f>'BS（org）'!F14</f>
        <v>111.295</v>
      </c>
      <c r="F12" s="327">
        <f>'BS（org）'!G14</f>
        <v>98.168999999999997</v>
      </c>
      <c r="G12" s="327">
        <f>'BS（org）'!H14</f>
        <v>116.179</v>
      </c>
      <c r="H12" s="327">
        <f>'BS（org）'!I14</f>
        <v>396.95299999999997</v>
      </c>
      <c r="I12" s="327">
        <f>'BS（org）'!J14</f>
        <v>490.84199999999998</v>
      </c>
      <c r="J12" s="327">
        <f>'BS（org）'!K14</f>
        <v>497.86099999999999</v>
      </c>
      <c r="K12" s="328">
        <f>'BS（org）'!L14</f>
        <v>543.64200000000005</v>
      </c>
      <c r="L12" s="328">
        <f>'BS（org）'!M14</f>
        <v>453.286</v>
      </c>
      <c r="M12" s="328">
        <f>'BS（org）'!N14</f>
        <v>239.50299999999999</v>
      </c>
      <c r="N12" s="328">
        <f>'BS（org）'!O14</f>
        <v>228.37</v>
      </c>
      <c r="O12" s="328">
        <f>'BS（org）'!P14</f>
        <v>411.23399999999998</v>
      </c>
      <c r="P12" s="328">
        <f>'BS（org）'!Q14</f>
        <v>0</v>
      </c>
      <c r="Q12" s="328">
        <f>'BS（org）'!R14</f>
        <v>0</v>
      </c>
      <c r="R12" s="328">
        <f>'BS（org）'!S14</f>
        <v>0</v>
      </c>
      <c r="S12" s="328">
        <f>'BS（org）'!T14</f>
        <v>0</v>
      </c>
      <c r="T12" s="328">
        <f>'BS（org）'!U14</f>
        <v>0</v>
      </c>
      <c r="U12" s="328">
        <f>'BS（org）'!V14</f>
        <v>0</v>
      </c>
      <c r="V12" s="328">
        <f>'BS（org）'!W14</f>
        <v>0</v>
      </c>
      <c r="W12" s="328">
        <f>'BS（org）'!X14</f>
        <v>0</v>
      </c>
      <c r="X12" s="329">
        <f t="shared" ref="X12:AC12" si="18">W12</f>
        <v>0</v>
      </c>
      <c r="Y12" s="329">
        <f t="shared" si="18"/>
        <v>0</v>
      </c>
      <c r="Z12" s="329">
        <f t="shared" si="18"/>
        <v>0</v>
      </c>
      <c r="AA12" s="329">
        <f t="shared" si="18"/>
        <v>0</v>
      </c>
      <c r="AB12" s="329">
        <f t="shared" si="18"/>
        <v>0</v>
      </c>
      <c r="AC12" s="329">
        <f t="shared" si="18"/>
        <v>0</v>
      </c>
      <c r="AD12" s="329">
        <f t="shared" ref="AD12" si="19">AC12</f>
        <v>0</v>
      </c>
      <c r="AE12" s="329">
        <f t="shared" ref="AE12" si="20">AD12</f>
        <v>0</v>
      </c>
      <c r="AF12" s="329">
        <f t="shared" ref="AF12:AG12" si="21">AE12</f>
        <v>0</v>
      </c>
      <c r="AG12" s="329">
        <f t="shared" si="21"/>
        <v>0</v>
      </c>
    </row>
    <row r="13" spans="1:33" x14ac:dyDescent="0.4">
      <c r="A13" s="310" t="s">
        <v>623</v>
      </c>
      <c r="B13" s="1677" t="s">
        <v>39</v>
      </c>
      <c r="C13" s="326"/>
      <c r="D13" s="327">
        <f>'BS（org）'!E15</f>
        <v>10.909000000000001</v>
      </c>
      <c r="E13" s="327">
        <f>'BS（org）'!F15</f>
        <v>146.77199999999999</v>
      </c>
      <c r="F13" s="327">
        <f>'BS（org）'!G15</f>
        <v>181.94</v>
      </c>
      <c r="G13" s="327">
        <f>'BS（org）'!H15</f>
        <v>250.142</v>
      </c>
      <c r="H13" s="327">
        <f>'BS（org）'!I15</f>
        <v>362.24700000000001</v>
      </c>
      <c r="I13" s="327">
        <f>'BS（org）'!J15</f>
        <v>356.08499999999998</v>
      </c>
      <c r="J13" s="327">
        <f>'BS（org）'!K15</f>
        <v>361.471</v>
      </c>
      <c r="K13" s="328">
        <f>'BS（org）'!L15</f>
        <v>399.64499999999998</v>
      </c>
      <c r="L13" s="328">
        <f>'BS（org）'!M15</f>
        <v>411.83800000000002</v>
      </c>
      <c r="M13" s="328">
        <f>'BS（org）'!N15</f>
        <v>281.858</v>
      </c>
      <c r="N13" s="328">
        <f>'BS（org）'!O15</f>
        <v>196.81800000000001</v>
      </c>
      <c r="O13" s="328">
        <f>'BS（org）'!P15</f>
        <v>204.06100000000001</v>
      </c>
      <c r="P13" s="328">
        <f>'BS（org）'!Q15</f>
        <v>211.80600000000001</v>
      </c>
      <c r="Q13" s="328">
        <f>'BS（org）'!R15</f>
        <v>211.80600000000001</v>
      </c>
      <c r="R13" s="328">
        <f>'BS（org）'!S15</f>
        <v>211.80600000000001</v>
      </c>
      <c r="S13" s="328">
        <f>'BS（org）'!T15</f>
        <v>211.80600000000001</v>
      </c>
      <c r="T13" s="328">
        <f>'BS（org）'!U15</f>
        <v>231.48099999999999</v>
      </c>
      <c r="U13" s="328">
        <f>'BS（org）'!V15</f>
        <v>222.047</v>
      </c>
      <c r="V13" s="328">
        <f>'BS（org）'!W15</f>
        <v>13.632</v>
      </c>
      <c r="W13" s="328">
        <f>'BS（org）'!X15</f>
        <v>13.193</v>
      </c>
      <c r="X13" s="330">
        <f>WC!X69</f>
        <v>13.601727721986014</v>
      </c>
      <c r="Y13" s="330">
        <f>WC!Y69</f>
        <v>14.99845717664537</v>
      </c>
      <c r="Z13" s="330">
        <f>WC!Z69</f>
        <v>16.140049637124463</v>
      </c>
      <c r="AA13" s="330">
        <f>WC!AA69</f>
        <v>17.709901106266429</v>
      </c>
      <c r="AB13" s="330">
        <f>WC!AB69</f>
        <v>19.189178372749051</v>
      </c>
      <c r="AC13" s="330">
        <f>WC!AC69</f>
        <v>20.595100297239</v>
      </c>
      <c r="AD13" s="330">
        <f>WC!AD69</f>
        <v>21.941831723787843</v>
      </c>
      <c r="AE13" s="330">
        <f>WC!AE69</f>
        <v>23.241035286031458</v>
      </c>
      <c r="AF13" s="330">
        <f>WC!AF69</f>
        <v>24.502329678864058</v>
      </c>
      <c r="AG13" s="330">
        <f>WC!AG69</f>
        <v>25.733671266509919</v>
      </c>
    </row>
    <row r="14" spans="1:33" x14ac:dyDescent="0.35">
      <c r="A14" s="331" t="s">
        <v>627</v>
      </c>
      <c r="B14" s="1677" t="s">
        <v>3119</v>
      </c>
      <c r="C14" s="332"/>
      <c r="D14" s="328">
        <f>'BS（org）'!E16</f>
        <v>0</v>
      </c>
      <c r="E14" s="328">
        <f>'BS（org）'!F16</f>
        <v>0</v>
      </c>
      <c r="F14" s="328">
        <f>'BS（org）'!G16</f>
        <v>0</v>
      </c>
      <c r="G14" s="328">
        <f>'BS（org）'!H16</f>
        <v>0</v>
      </c>
      <c r="H14" s="328">
        <f>'BS（org）'!I16</f>
        <v>0</v>
      </c>
      <c r="I14" s="328">
        <f>'BS（org）'!J16</f>
        <v>919.47299999999996</v>
      </c>
      <c r="J14" s="328">
        <f>'BS（org）'!K16</f>
        <v>3186.846</v>
      </c>
      <c r="K14" s="328">
        <f>'BS（org）'!L16</f>
        <v>8141.1670000000004</v>
      </c>
      <c r="L14" s="328">
        <f>'BS（org）'!M16</f>
        <v>12901.281999999999</v>
      </c>
      <c r="M14" s="328">
        <f>'BS（org）'!N16</f>
        <v>17949.960999999999</v>
      </c>
      <c r="N14" s="328">
        <f>'BS（org）'!O16</f>
        <v>21820.298999999999</v>
      </c>
      <c r="O14" s="328">
        <f>'BS（org）'!P16</f>
        <v>29094.86</v>
      </c>
      <c r="P14" s="328">
        <f>'BS（org）'!Q16</f>
        <v>38047.726999999999</v>
      </c>
      <c r="Q14" s="328">
        <f>'BS（org）'!R16</f>
        <v>44317.072</v>
      </c>
      <c r="R14" s="328">
        <f>'BS（org）'!S16</f>
        <v>53729.652999999998</v>
      </c>
      <c r="S14" s="328">
        <f>'BS（org）'!T16</f>
        <v>54434.752999999997</v>
      </c>
      <c r="T14" s="328">
        <f>'BS（org）'!U16</f>
        <v>53285.839</v>
      </c>
      <c r="U14" s="328">
        <f>'BS（org）'!V16</f>
        <v>55600.845999999998</v>
      </c>
      <c r="V14" s="328">
        <f>'BS（org）'!W16</f>
        <v>50405.362999999998</v>
      </c>
      <c r="W14" s="328">
        <f>'BS（org）'!X16</f>
        <v>53621.83</v>
      </c>
      <c r="X14" s="328">
        <f>WC!X60</f>
        <v>56417.978323428979</v>
      </c>
      <c r="Y14" s="328">
        <f>WC!Y60</f>
        <v>60959.957628163276</v>
      </c>
      <c r="Z14" s="328">
        <f>WC!Z60</f>
        <v>65263.187604309554</v>
      </c>
      <c r="AA14" s="328">
        <f>WC!AA60</f>
        <v>71241.546907289056</v>
      </c>
      <c r="AB14" s="328">
        <f>WC!AB60</f>
        <v>76791.949974914547</v>
      </c>
      <c r="AC14" s="328">
        <f>WC!AC60</f>
        <v>82418.219323027384</v>
      </c>
      <c r="AD14" s="328">
        <f>WC!AD60</f>
        <v>87349.919047282514</v>
      </c>
      <c r="AE14" s="328">
        <f>WC!AE60</f>
        <v>92037.218175761969</v>
      </c>
      <c r="AF14" s="328">
        <f>WC!AF60</f>
        <v>96520.981466630183</v>
      </c>
      <c r="AG14" s="328">
        <f>WC!AG60</f>
        <v>100834.7574349764</v>
      </c>
    </row>
    <row r="15" spans="1:33" x14ac:dyDescent="0.4">
      <c r="A15" s="312" t="s">
        <v>2265</v>
      </c>
      <c r="B15" s="1677" t="s">
        <v>2318</v>
      </c>
      <c r="C15" s="332"/>
      <c r="D15" s="328">
        <f>'BS（org）'!E18</f>
        <v>0</v>
      </c>
      <c r="E15" s="328">
        <f>'BS（org）'!F18</f>
        <v>0</v>
      </c>
      <c r="F15" s="328">
        <f>'BS（org）'!G18</f>
        <v>0</v>
      </c>
      <c r="G15" s="328">
        <f>'BS（org）'!H18</f>
        <v>0</v>
      </c>
      <c r="H15" s="328">
        <f>'BS（org）'!I18</f>
        <v>0</v>
      </c>
      <c r="I15" s="328">
        <f>'BS（org）'!J18</f>
        <v>0</v>
      </c>
      <c r="J15" s="328">
        <f>'BS（org）'!K18</f>
        <v>0</v>
      </c>
      <c r="K15" s="328">
        <f>'BS（org）'!L18</f>
        <v>151.02699999999999</v>
      </c>
      <c r="L15" s="328">
        <f>'BS（org）'!M18</f>
        <v>187.32</v>
      </c>
      <c r="M15" s="328">
        <f>'BS（org）'!N18</f>
        <v>280.95100000000002</v>
      </c>
      <c r="N15" s="328">
        <f>'BS（org）'!O18</f>
        <v>225.006</v>
      </c>
      <c r="O15" s="328">
        <f>'BS（org）'!P18</f>
        <v>222.58</v>
      </c>
      <c r="P15" s="328">
        <f>'BS（org）'!Q18</f>
        <v>198.83</v>
      </c>
      <c r="Q15" s="328">
        <f>'BS（org）'!R18</f>
        <v>157.833</v>
      </c>
      <c r="R15" s="328">
        <f>'BS（org）'!S18</f>
        <v>177.691</v>
      </c>
      <c r="S15" s="328">
        <f>'BS（org）'!T18</f>
        <v>173.76400000000001</v>
      </c>
      <c r="T15" s="328">
        <f>'BS（org）'!U18</f>
        <v>119.69799999999999</v>
      </c>
      <c r="U15" s="328">
        <f>'BS（org）'!V18</f>
        <v>123.17</v>
      </c>
      <c r="V15" s="328">
        <f>'BS（org）'!W18</f>
        <v>104.37899999999999</v>
      </c>
      <c r="W15" s="328">
        <f>'BS（org）'!X18</f>
        <v>114.67</v>
      </c>
      <c r="X15" s="328">
        <f>WC!X75</f>
        <v>118.22255119230928</v>
      </c>
      <c r="Y15" s="328">
        <f>WC!Y75</f>
        <v>130.36254714211512</v>
      </c>
      <c r="Z15" s="328">
        <f>WC!Z75</f>
        <v>140.28496110733437</v>
      </c>
      <c r="AA15" s="328">
        <f>WC!AA75</f>
        <v>153.92968694425616</v>
      </c>
      <c r="AB15" s="328">
        <f>WC!AB75</f>
        <v>166.78716622475054</v>
      </c>
      <c r="AC15" s="328">
        <f>WC!AC75</f>
        <v>179.00706064461428</v>
      </c>
      <c r="AD15" s="328">
        <f>WC!AD75</f>
        <v>190.71248721039581</v>
      </c>
      <c r="AE15" s="328">
        <f>WC!AE75</f>
        <v>202.00481439014834</v>
      </c>
      <c r="AF15" s="328">
        <f>WC!AF75</f>
        <v>212.96764528729949</v>
      </c>
      <c r="AG15" s="328">
        <f>WC!AG75</f>
        <v>223.67013447515293</v>
      </c>
    </row>
    <row r="16" spans="1:33" x14ac:dyDescent="0.4">
      <c r="A16" s="312"/>
      <c r="B16" s="1677" t="s">
        <v>1817</v>
      </c>
      <c r="C16" s="332"/>
      <c r="D16" s="328"/>
      <c r="E16" s="328"/>
      <c r="F16" s="328"/>
      <c r="G16" s="328"/>
      <c r="H16" s="328"/>
      <c r="I16" s="328"/>
      <c r="J16" s="328"/>
      <c r="K16" s="328"/>
      <c r="L16" s="328"/>
      <c r="M16" s="328"/>
      <c r="N16" s="328"/>
      <c r="O16" s="328"/>
      <c r="P16" s="328">
        <f>'BS（org）'!Q19</f>
        <v>505.416</v>
      </c>
      <c r="Q16" s="328">
        <f>'BS（org）'!R19</f>
        <v>658.35500000000002</v>
      </c>
      <c r="R16" s="328">
        <f>'BS（org）'!S19</f>
        <v>689.95799999999997</v>
      </c>
      <c r="S16" s="328">
        <f>'BS（org）'!T19</f>
        <v>693.39</v>
      </c>
      <c r="T16" s="328">
        <f>'BS（org）'!U19</f>
        <v>545.88599999999997</v>
      </c>
      <c r="U16" s="328">
        <f>'BS（org）'!V19</f>
        <v>388.709</v>
      </c>
      <c r="V16" s="328">
        <f>'BS（org）'!W19</f>
        <v>227.92800000000003</v>
      </c>
      <c r="W16" s="328">
        <f>'BS（org）'!X19</f>
        <v>496.31</v>
      </c>
      <c r="X16" s="333">
        <f t="shared" ref="X16:AC16" si="22">W16</f>
        <v>496.31</v>
      </c>
      <c r="Y16" s="333">
        <f t="shared" si="22"/>
        <v>496.31</v>
      </c>
      <c r="Z16" s="333">
        <f t="shared" si="22"/>
        <v>496.31</v>
      </c>
      <c r="AA16" s="333">
        <f t="shared" si="22"/>
        <v>496.31</v>
      </c>
      <c r="AB16" s="333">
        <f t="shared" si="22"/>
        <v>496.31</v>
      </c>
      <c r="AC16" s="333">
        <f t="shared" si="22"/>
        <v>496.31</v>
      </c>
      <c r="AD16" s="333">
        <f t="shared" ref="AD16:AD17" si="23">AC16</f>
        <v>496.31</v>
      </c>
      <c r="AE16" s="333">
        <f t="shared" ref="AE16:AE17" si="24">AD16</f>
        <v>496.31</v>
      </c>
      <c r="AF16" s="333">
        <f t="shared" ref="AF16:AG17" si="25">AE16</f>
        <v>496.31</v>
      </c>
      <c r="AG16" s="333">
        <f t="shared" si="25"/>
        <v>496.31</v>
      </c>
    </row>
    <row r="17" spans="1:54" x14ac:dyDescent="0.35">
      <c r="A17" s="331" t="s">
        <v>1634</v>
      </c>
      <c r="B17" s="1677" t="s">
        <v>3084</v>
      </c>
      <c r="C17" s="332"/>
      <c r="D17" s="328">
        <f>'BS（org）'!E20</f>
        <v>0</v>
      </c>
      <c r="E17" s="328">
        <f>'BS（org）'!F20</f>
        <v>0</v>
      </c>
      <c r="F17" s="328">
        <f>'BS（org）'!G20</f>
        <v>0</v>
      </c>
      <c r="G17" s="328">
        <f>'BS（org）'!H20</f>
        <v>0</v>
      </c>
      <c r="H17" s="328">
        <f>'BS（org）'!I20</f>
        <v>0</v>
      </c>
      <c r="I17" s="328">
        <f>'BS（org）'!J20</f>
        <v>0</v>
      </c>
      <c r="J17" s="328">
        <f>'BS（org）'!K20</f>
        <v>0</v>
      </c>
      <c r="K17" s="328">
        <f>'BS（org）'!L20</f>
        <v>500</v>
      </c>
      <c r="L17" s="328">
        <f>'BS（org）'!M20</f>
        <v>0</v>
      </c>
      <c r="M17" s="328">
        <f>'BS（org）'!N20</f>
        <v>108.04300000000001</v>
      </c>
      <c r="N17" s="328">
        <f>'BS（org）'!O20</f>
        <v>0</v>
      </c>
      <c r="O17" s="328">
        <f>'BS（org）'!P20</f>
        <v>0</v>
      </c>
      <c r="P17" s="328">
        <f>'BS（org）'!Q20</f>
        <v>0</v>
      </c>
      <c r="Q17" s="328">
        <f>'BS（org）'!R20</f>
        <v>0</v>
      </c>
      <c r="R17" s="328">
        <f>'BS（org）'!S20</f>
        <v>0</v>
      </c>
      <c r="S17" s="328">
        <f>'BS（org）'!T20</f>
        <v>0</v>
      </c>
      <c r="T17" s="328">
        <f>'BS（org）'!U20</f>
        <v>0</v>
      </c>
      <c r="U17" s="328">
        <f>'BS（org）'!V20</f>
        <v>0</v>
      </c>
      <c r="V17" s="328">
        <f>'BS（org）'!W20</f>
        <v>0</v>
      </c>
      <c r="W17" s="328">
        <f>'BS（org）'!X20</f>
        <v>0</v>
      </c>
      <c r="X17" s="333">
        <f t="shared" ref="X17:AC17" si="26">W17</f>
        <v>0</v>
      </c>
      <c r="Y17" s="333">
        <f t="shared" si="26"/>
        <v>0</v>
      </c>
      <c r="Z17" s="333">
        <f t="shared" si="26"/>
        <v>0</v>
      </c>
      <c r="AA17" s="333">
        <f t="shared" si="26"/>
        <v>0</v>
      </c>
      <c r="AB17" s="333">
        <f t="shared" si="26"/>
        <v>0</v>
      </c>
      <c r="AC17" s="333">
        <f t="shared" si="26"/>
        <v>0</v>
      </c>
      <c r="AD17" s="333">
        <f t="shared" si="23"/>
        <v>0</v>
      </c>
      <c r="AE17" s="333">
        <f t="shared" si="24"/>
        <v>0</v>
      </c>
      <c r="AF17" s="333">
        <f t="shared" si="25"/>
        <v>0</v>
      </c>
      <c r="AG17" s="333">
        <f t="shared" si="25"/>
        <v>0</v>
      </c>
    </row>
    <row r="18" spans="1:54" s="334" customFormat="1" x14ac:dyDescent="0.4">
      <c r="A18" s="312" t="s">
        <v>2266</v>
      </c>
      <c r="B18" s="1677" t="s">
        <v>3085</v>
      </c>
      <c r="C18" s="332"/>
      <c r="D18" s="328">
        <f>'BS（org）'!E21</f>
        <v>0</v>
      </c>
      <c r="E18" s="328">
        <f>'BS（org）'!F21</f>
        <v>0</v>
      </c>
      <c r="F18" s="328">
        <f>'BS（org）'!G21</f>
        <v>0</v>
      </c>
      <c r="G18" s="328">
        <f>'BS（org）'!H21</f>
        <v>0</v>
      </c>
      <c r="H18" s="328">
        <f>'BS（org）'!I21</f>
        <v>0</v>
      </c>
      <c r="I18" s="328">
        <f>'BS（org）'!J21</f>
        <v>0</v>
      </c>
      <c r="J18" s="328">
        <f>'BS（org）'!K21</f>
        <v>0</v>
      </c>
      <c r="K18" s="328">
        <f>'BS（org）'!L21</f>
        <v>127.55</v>
      </c>
      <c r="L18" s="328">
        <f>'BS（org）'!M21</f>
        <v>804.91800000000001</v>
      </c>
      <c r="M18" s="328">
        <f>'BS（org）'!N21</f>
        <v>0</v>
      </c>
      <c r="N18" s="328">
        <f>'BS（org）'!O21</f>
        <v>0</v>
      </c>
      <c r="O18" s="328">
        <f>'BS（org）'!P21</f>
        <v>0</v>
      </c>
      <c r="P18" s="328">
        <f>'BS（org）'!Q21</f>
        <v>1612.3969999999999</v>
      </c>
      <c r="Q18" s="328">
        <f>'BS（org）'!R21</f>
        <v>1020.307</v>
      </c>
      <c r="R18" s="328">
        <f>'BS（org）'!S21</f>
        <v>295.76100000000002</v>
      </c>
      <c r="S18" s="328">
        <f>'BS（org）'!T21</f>
        <v>898.75400000000002</v>
      </c>
      <c r="T18" s="328">
        <f>'BS（org）'!U21</f>
        <v>827.673</v>
      </c>
      <c r="U18" s="328">
        <f>'BS（org）'!V21</f>
        <v>1283.721</v>
      </c>
      <c r="V18" s="328">
        <f>'BS（org）'!W21</f>
        <v>999.49699999999996</v>
      </c>
      <c r="W18" s="328">
        <f>'BS（org）'!X21</f>
        <v>1021.85</v>
      </c>
      <c r="X18" s="328">
        <f>WC!X72</f>
        <v>1053.5075777087402</v>
      </c>
      <c r="Y18" s="328">
        <f>WC!Y72</f>
        <v>1161.6897950394205</v>
      </c>
      <c r="Z18" s="328">
        <f>WC!Z72</f>
        <v>1250.1106436516056</v>
      </c>
      <c r="AA18" s="328">
        <f>WC!AA72</f>
        <v>1371.7018453299745</v>
      </c>
      <c r="AB18" s="328">
        <f>WC!AB72</f>
        <v>1486.2777169857968</v>
      </c>
      <c r="AC18" s="328">
        <f>WC!AC72</f>
        <v>1595.1719274413456</v>
      </c>
      <c r="AD18" s="328">
        <f>WC!AD72</f>
        <v>1699.4815998599718</v>
      </c>
      <c r="AE18" s="328">
        <f>WC!AE72</f>
        <v>1800.1100513174597</v>
      </c>
      <c r="AF18" s="328">
        <f>WC!AF72</f>
        <v>1897.8022877546607</v>
      </c>
      <c r="AG18" s="328">
        <f>WC!AG72</f>
        <v>1993.1745610310893</v>
      </c>
    </row>
    <row r="19" spans="1:54" x14ac:dyDescent="0.4">
      <c r="A19" s="312" t="s">
        <v>2017</v>
      </c>
      <c r="B19" s="1677" t="s">
        <v>3086</v>
      </c>
      <c r="C19" s="332"/>
      <c r="D19" s="328">
        <f>'BS（org）'!E23</f>
        <v>0</v>
      </c>
      <c r="E19" s="328">
        <f>'BS（org）'!F23</f>
        <v>0</v>
      </c>
      <c r="F19" s="328">
        <f>'BS（org）'!G23</f>
        <v>0</v>
      </c>
      <c r="G19" s="328">
        <f>'BS（org）'!H23</f>
        <v>0</v>
      </c>
      <c r="H19" s="328">
        <f>'BS（org）'!I23</f>
        <v>219.68600000000001</v>
      </c>
      <c r="I19" s="328">
        <f>'BS（org）'!J23</f>
        <v>240</v>
      </c>
      <c r="J19" s="328">
        <f>'BS（org）'!K23</f>
        <v>296.827</v>
      </c>
      <c r="K19" s="328">
        <f>'BS（org）'!L23</f>
        <v>0</v>
      </c>
      <c r="L19" s="328">
        <f>'BS（org）'!M23</f>
        <v>0</v>
      </c>
      <c r="M19" s="328">
        <f>'BS（org）'!N23</f>
        <v>0</v>
      </c>
      <c r="N19" s="328">
        <f>'BS（org）'!O23</f>
        <v>0</v>
      </c>
      <c r="O19" s="328">
        <f>'BS（org）'!P23</f>
        <v>0</v>
      </c>
      <c r="P19" s="328">
        <f>'BS（org）'!Q23</f>
        <v>0</v>
      </c>
      <c r="Q19" s="328">
        <f>'BS（org）'!R23</f>
        <v>0</v>
      </c>
      <c r="R19" s="328">
        <f>'BS（org）'!S23</f>
        <v>0</v>
      </c>
      <c r="S19" s="328">
        <f>'BS（org）'!T23</f>
        <v>0</v>
      </c>
      <c r="T19" s="328">
        <f>'BS（org）'!U23</f>
        <v>0</v>
      </c>
      <c r="U19" s="328">
        <f>'BS（org）'!V23</f>
        <v>0</v>
      </c>
      <c r="V19" s="328">
        <f>'BS（org）'!W23</f>
        <v>0</v>
      </c>
      <c r="W19" s="328">
        <f>'BS（org）'!X23</f>
        <v>0</v>
      </c>
      <c r="X19" s="333">
        <f t="shared" ref="X19:AC19" si="27">W19</f>
        <v>0</v>
      </c>
      <c r="Y19" s="333">
        <f t="shared" si="27"/>
        <v>0</v>
      </c>
      <c r="Z19" s="333">
        <f t="shared" si="27"/>
        <v>0</v>
      </c>
      <c r="AA19" s="333">
        <f t="shared" si="27"/>
        <v>0</v>
      </c>
      <c r="AB19" s="333">
        <f t="shared" si="27"/>
        <v>0</v>
      </c>
      <c r="AC19" s="333">
        <f t="shared" si="27"/>
        <v>0</v>
      </c>
      <c r="AD19" s="333">
        <f t="shared" ref="AD19" si="28">AC19</f>
        <v>0</v>
      </c>
      <c r="AE19" s="333">
        <f t="shared" ref="AE19" si="29">AD19</f>
        <v>0</v>
      </c>
      <c r="AF19" s="333">
        <f t="shared" ref="AF19:AG19" si="30">AE19</f>
        <v>0</v>
      </c>
      <c r="AG19" s="333">
        <f t="shared" si="30"/>
        <v>0</v>
      </c>
      <c r="AH19" s="335"/>
      <c r="AI19" s="335"/>
      <c r="AJ19" s="335"/>
      <c r="AK19" s="335"/>
      <c r="AL19" s="335"/>
      <c r="AM19" s="335"/>
      <c r="AN19" s="335"/>
      <c r="AO19" s="335"/>
      <c r="AP19" s="335"/>
      <c r="AQ19" s="335"/>
      <c r="AR19" s="335"/>
      <c r="AS19" s="335"/>
      <c r="AT19" s="335"/>
      <c r="AU19" s="335"/>
      <c r="AV19" s="335"/>
      <c r="AW19" s="335"/>
      <c r="AX19" s="335"/>
      <c r="AY19" s="335"/>
      <c r="AZ19" s="335"/>
      <c r="BA19" s="335"/>
      <c r="BB19" s="335"/>
    </row>
    <row r="20" spans="1:54" x14ac:dyDescent="0.4">
      <c r="A20" s="310" t="s">
        <v>2267</v>
      </c>
      <c r="B20" s="354" t="s">
        <v>3082</v>
      </c>
      <c r="C20" s="326"/>
      <c r="D20" s="327">
        <f>'BS（org）'!E12</f>
        <v>0</v>
      </c>
      <c r="E20" s="327">
        <f>'BS（org）'!F12</f>
        <v>0</v>
      </c>
      <c r="F20" s="327">
        <f>'BS（org）'!G12</f>
        <v>0</v>
      </c>
      <c r="G20" s="327">
        <f>'BS（org）'!H12</f>
        <v>0</v>
      </c>
      <c r="H20" s="327">
        <f>'BS（org）'!I12</f>
        <v>4046.058</v>
      </c>
      <c r="I20" s="327">
        <f>'BS（org）'!J12</f>
        <v>4926.4650000000001</v>
      </c>
      <c r="J20" s="327">
        <f>'BS（org）'!K12</f>
        <v>5501.701</v>
      </c>
      <c r="K20" s="327">
        <f>'BS（org）'!L12</f>
        <v>6353.8329999999996</v>
      </c>
      <c r="L20" s="327">
        <f>'BS（org）'!M12</f>
        <v>6530.9920000000002</v>
      </c>
      <c r="M20" s="327">
        <f>'BS（org）'!N12</f>
        <v>6044.2020000000002</v>
      </c>
      <c r="N20" s="327">
        <f>'BS（org）'!O12</f>
        <v>5234.34</v>
      </c>
      <c r="O20" s="327">
        <f>'BS（org）'!P12</f>
        <v>5414.2820000000002</v>
      </c>
      <c r="P20" s="327">
        <f>'BS（org）'!Q12</f>
        <v>4154.8</v>
      </c>
      <c r="Q20" s="327">
        <f>'BS（org）'!R12</f>
        <v>3837.846</v>
      </c>
      <c r="R20" s="327">
        <f>'BS（org）'!S12</f>
        <v>3812.5259999999998</v>
      </c>
      <c r="S20" s="327">
        <f>'BS（org）'!T12</f>
        <v>3784.7719999999999</v>
      </c>
      <c r="T20" s="327">
        <f>'BS（org）'!U12</f>
        <v>3328.0659999999998</v>
      </c>
      <c r="U20" s="327">
        <f>'BS（org）'!V12</f>
        <v>3066.2570000000001</v>
      </c>
      <c r="V20" s="327">
        <f>'BS（org）'!W12</f>
        <v>2639.6239999999998</v>
      </c>
      <c r="W20" s="327">
        <f>'BS（org）'!X12</f>
        <v>2411.087</v>
      </c>
      <c r="X20" s="330">
        <f>CAPEX!X118</f>
        <v>2378.2857693712949</v>
      </c>
      <c r="Y20" s="330">
        <f>CAPEX!Y118</f>
        <v>2153.9938094362988</v>
      </c>
      <c r="Z20" s="330">
        <f>CAPEX!Z118</f>
        <v>1934.702676529771</v>
      </c>
      <c r="AA20" s="330">
        <f>CAPEX!AA118</f>
        <v>1718.78743898635</v>
      </c>
      <c r="AB20" s="330">
        <f>CAPEX!AB118</f>
        <v>1507.039389387709</v>
      </c>
      <c r="AC20" s="330">
        <f>CAPEX!AC118</f>
        <v>1299.073468068515</v>
      </c>
      <c r="AD20" s="330">
        <f>CAPEX!AD118</f>
        <v>1095.0769115486823</v>
      </c>
      <c r="AE20" s="330">
        <f>CAPEX!AE118</f>
        <v>894.9587482246302</v>
      </c>
      <c r="AF20" s="330">
        <f>CAPEX!AF118</f>
        <v>698.7631405699608</v>
      </c>
      <c r="AG20" s="330">
        <f>CAPEX!AG118</f>
        <v>506.46866901196699</v>
      </c>
      <c r="AH20" s="336"/>
      <c r="AI20" s="336"/>
      <c r="AJ20" s="336"/>
      <c r="AK20" s="336"/>
      <c r="AL20" s="336"/>
      <c r="AM20" s="336"/>
      <c r="AN20" s="336"/>
      <c r="AO20" s="336"/>
      <c r="AP20" s="336"/>
      <c r="AQ20" s="336"/>
      <c r="AR20" s="336"/>
      <c r="AS20" s="336"/>
      <c r="AT20" s="336"/>
      <c r="AU20" s="336"/>
      <c r="AV20" s="336"/>
      <c r="AW20" s="336"/>
      <c r="AX20" s="336"/>
      <c r="AY20" s="336"/>
      <c r="AZ20" s="336"/>
      <c r="BA20" s="336"/>
      <c r="BB20" s="336"/>
    </row>
    <row r="21" spans="1:54" x14ac:dyDescent="0.4">
      <c r="B21" s="354" t="s">
        <v>2485</v>
      </c>
      <c r="C21" s="326"/>
      <c r="D21" s="327"/>
      <c r="E21" s="327"/>
      <c r="F21" s="327"/>
      <c r="G21" s="327"/>
      <c r="H21" s="327"/>
      <c r="I21" s="327"/>
      <c r="J21" s="327"/>
      <c r="K21" s="327"/>
      <c r="L21" s="327"/>
      <c r="M21" s="327"/>
      <c r="N21" s="327">
        <f>'BS（org）'!O24</f>
        <v>0</v>
      </c>
      <c r="O21" s="327">
        <f>'BS（org）'!P24</f>
        <v>0</v>
      </c>
      <c r="P21" s="327">
        <f>'BS（org）'!Q24</f>
        <v>0</v>
      </c>
      <c r="Q21" s="327">
        <f>'BS（org）'!R24</f>
        <v>0</v>
      </c>
      <c r="R21" s="327">
        <f>'BS（org）'!S24</f>
        <v>0</v>
      </c>
      <c r="S21" s="327">
        <f>'BS（org）'!T24</f>
        <v>0</v>
      </c>
      <c r="T21" s="327">
        <f>'BS（org）'!U24</f>
        <v>0</v>
      </c>
      <c r="U21" s="327">
        <f>'BS（org）'!V24</f>
        <v>600.33199999999999</v>
      </c>
      <c r="V21" s="327">
        <f>'BS（org）'!W24</f>
        <v>645.77800000000002</v>
      </c>
      <c r="W21" s="327">
        <f>'BS（org）'!X24</f>
        <v>799.49699999999996</v>
      </c>
      <c r="X21" s="329">
        <f t="shared" ref="X21:AC21" si="31">W21</f>
        <v>799.49699999999996</v>
      </c>
      <c r="Y21" s="329">
        <f t="shared" si="31"/>
        <v>799.49699999999996</v>
      </c>
      <c r="Z21" s="329">
        <f t="shared" si="31"/>
        <v>799.49699999999996</v>
      </c>
      <c r="AA21" s="329">
        <f t="shared" si="31"/>
        <v>799.49699999999996</v>
      </c>
      <c r="AB21" s="329">
        <f t="shared" si="31"/>
        <v>799.49699999999996</v>
      </c>
      <c r="AC21" s="329">
        <f t="shared" si="31"/>
        <v>799.49699999999996</v>
      </c>
      <c r="AD21" s="329">
        <f t="shared" ref="AD21:AD22" si="32">AC21</f>
        <v>799.49699999999996</v>
      </c>
      <c r="AE21" s="329">
        <f t="shared" ref="AE21:AE22" si="33">AD21</f>
        <v>799.49699999999996</v>
      </c>
      <c r="AF21" s="329">
        <f t="shared" ref="AF21:AG22" si="34">AE21</f>
        <v>799.49699999999996</v>
      </c>
      <c r="AG21" s="329">
        <f t="shared" si="34"/>
        <v>799.49699999999996</v>
      </c>
      <c r="AH21" s="336"/>
      <c r="AI21" s="336"/>
      <c r="AJ21" s="336"/>
      <c r="AK21" s="336"/>
      <c r="AL21" s="336"/>
      <c r="AM21" s="336"/>
      <c r="AN21" s="336"/>
      <c r="AO21" s="336"/>
      <c r="AP21" s="336"/>
      <c r="AQ21" s="336"/>
      <c r="AR21" s="336"/>
      <c r="AS21" s="336"/>
      <c r="AT21" s="336"/>
      <c r="AU21" s="336"/>
      <c r="AV21" s="336"/>
      <c r="AW21" s="336"/>
      <c r="AX21" s="336"/>
      <c r="AY21" s="336"/>
      <c r="AZ21" s="336"/>
      <c r="BA21" s="336"/>
      <c r="BB21" s="336"/>
    </row>
    <row r="22" spans="1:54" s="335" customFormat="1" x14ac:dyDescent="0.4">
      <c r="A22" s="310" t="s">
        <v>2268</v>
      </c>
      <c r="B22" s="354" t="s">
        <v>3083</v>
      </c>
      <c r="C22" s="326"/>
      <c r="D22" s="327">
        <f>'BS（org）'!E17</f>
        <v>0</v>
      </c>
      <c r="E22" s="327">
        <f>'BS（org）'!F17</f>
        <v>0</v>
      </c>
      <c r="F22" s="327">
        <f>'BS（org）'!G17</f>
        <v>0</v>
      </c>
      <c r="G22" s="327">
        <f>'BS（org）'!H17</f>
        <v>0</v>
      </c>
      <c r="H22" s="327">
        <f>'BS（org）'!I17</f>
        <v>0</v>
      </c>
      <c r="I22" s="327">
        <f>'BS（org）'!J17</f>
        <v>0</v>
      </c>
      <c r="J22" s="327">
        <f>'BS（org）'!K17</f>
        <v>577.66399999999999</v>
      </c>
      <c r="K22" s="327">
        <f>'BS（org）'!L17</f>
        <v>577.66399999999999</v>
      </c>
      <c r="L22" s="327">
        <f>'BS（org）'!M17</f>
        <v>577.66399999999999</v>
      </c>
      <c r="M22" s="327">
        <f>'BS（org）'!N17</f>
        <v>577.66399999999999</v>
      </c>
      <c r="N22" s="327">
        <f>'BS（org）'!O17</f>
        <v>577.66399999999999</v>
      </c>
      <c r="O22" s="327">
        <f>'BS（org）'!P17</f>
        <v>577.66399999999999</v>
      </c>
      <c r="P22" s="327">
        <f>'BS（org）'!Q17</f>
        <v>577.66399999999999</v>
      </c>
      <c r="Q22" s="327">
        <f>'BS（org）'!R17</f>
        <v>577.66399999999999</v>
      </c>
      <c r="R22" s="327">
        <f>'BS（org）'!S17</f>
        <v>577.66399999999999</v>
      </c>
      <c r="S22" s="327">
        <f>'BS（org）'!T17</f>
        <v>577.66399999999999</v>
      </c>
      <c r="T22" s="327">
        <f>'BS（org）'!U17</f>
        <v>577.66399999999999</v>
      </c>
      <c r="U22" s="327">
        <f>'BS（org）'!V17</f>
        <v>577.66399999999999</v>
      </c>
      <c r="V22" s="327">
        <f>'BS（org）'!W17</f>
        <v>537.22799999999995</v>
      </c>
      <c r="W22" s="327">
        <f>'BS（org）'!X17</f>
        <v>519.9</v>
      </c>
      <c r="X22" s="329">
        <f t="shared" ref="X22:AC22" si="35">W22</f>
        <v>519.9</v>
      </c>
      <c r="Y22" s="329">
        <f t="shared" si="35"/>
        <v>519.9</v>
      </c>
      <c r="Z22" s="329">
        <f t="shared" si="35"/>
        <v>519.9</v>
      </c>
      <c r="AA22" s="329">
        <f t="shared" si="35"/>
        <v>519.9</v>
      </c>
      <c r="AB22" s="329">
        <f t="shared" si="35"/>
        <v>519.9</v>
      </c>
      <c r="AC22" s="329">
        <f t="shared" si="35"/>
        <v>519.9</v>
      </c>
      <c r="AD22" s="329">
        <f t="shared" si="32"/>
        <v>519.9</v>
      </c>
      <c r="AE22" s="329">
        <f t="shared" si="33"/>
        <v>519.9</v>
      </c>
      <c r="AF22" s="329">
        <f t="shared" si="34"/>
        <v>519.9</v>
      </c>
      <c r="AG22" s="329">
        <f t="shared" si="34"/>
        <v>519.9</v>
      </c>
    </row>
    <row r="23" spans="1:54" s="335" customFormat="1" x14ac:dyDescent="0.4">
      <c r="A23" s="310"/>
      <c r="B23" s="354" t="s">
        <v>3141</v>
      </c>
      <c r="C23" s="326"/>
      <c r="D23" s="327"/>
      <c r="E23" s="327"/>
      <c r="F23" s="327"/>
      <c r="G23" s="327"/>
      <c r="H23" s="327"/>
      <c r="I23" s="327"/>
      <c r="J23" s="327"/>
      <c r="K23" s="327"/>
      <c r="L23" s="327"/>
      <c r="M23" s="327"/>
      <c r="N23" s="327">
        <f>'BS（org）'!O22</f>
        <v>0</v>
      </c>
      <c r="O23" s="327">
        <f>'BS（org）'!P22</f>
        <v>0</v>
      </c>
      <c r="P23" s="327">
        <f>'BS（org）'!Q22</f>
        <v>0</v>
      </c>
      <c r="Q23" s="327">
        <f>'BS（org）'!R22</f>
        <v>0</v>
      </c>
      <c r="R23" s="327">
        <f>'BS（org）'!S22</f>
        <v>0</v>
      </c>
      <c r="S23" s="327">
        <f>'BS（org）'!T22</f>
        <v>0</v>
      </c>
      <c r="T23" s="327">
        <f>'BS（org）'!U22</f>
        <v>0</v>
      </c>
      <c r="U23" s="327">
        <f>'BS（org）'!V22</f>
        <v>0</v>
      </c>
      <c r="V23" s="327">
        <f>'BS（org）'!W22</f>
        <v>0</v>
      </c>
      <c r="W23" s="327">
        <f>'BS（org）'!X22</f>
        <v>37.53</v>
      </c>
      <c r="X23" s="328">
        <f>WC!X78</f>
        <v>38.69270381309294</v>
      </c>
      <c r="Y23" s="328">
        <f>WC!Y78</f>
        <v>42.665966636815035</v>
      </c>
      <c r="Z23" s="328">
        <f>WC!Z78</f>
        <v>45.913443711155999</v>
      </c>
      <c r="AA23" s="328">
        <f>WC!AA78</f>
        <v>50.379185061637159</v>
      </c>
      <c r="AB23" s="328">
        <f>WC!AB78</f>
        <v>54.587270850395804</v>
      </c>
      <c r="AC23" s="328">
        <f>WC!AC78</f>
        <v>58.586683404485697</v>
      </c>
      <c r="AD23" s="328">
        <f>WC!AD78</f>
        <v>62.417717319317653</v>
      </c>
      <c r="AE23" s="328">
        <f>WC!AE78</f>
        <v>66.113549176439065</v>
      </c>
      <c r="AF23" s="328">
        <f>WC!AF78</f>
        <v>69.70154118455001</v>
      </c>
      <c r="AG23" s="328">
        <f>WC!AG78</f>
        <v>73.204326736308445</v>
      </c>
    </row>
    <row r="24" spans="1:54" x14ac:dyDescent="0.4">
      <c r="A24" s="337" t="s">
        <v>496</v>
      </c>
      <c r="B24" s="1679" t="s">
        <v>458</v>
      </c>
      <c r="C24" s="338"/>
      <c r="D24" s="339">
        <f t="shared" ref="D24:V24" si="36">SUM(D4:D22)</f>
        <v>187.79999999999998</v>
      </c>
      <c r="E24" s="339">
        <f t="shared" si="36"/>
        <v>1335.123</v>
      </c>
      <c r="F24" s="339">
        <f t="shared" si="36"/>
        <v>2068.5600000000004</v>
      </c>
      <c r="G24" s="339">
        <f t="shared" si="36"/>
        <v>2702.3919999999998</v>
      </c>
      <c r="H24" s="339">
        <f t="shared" si="36"/>
        <v>9762.6549999999988</v>
      </c>
      <c r="I24" s="339">
        <f t="shared" si="36"/>
        <v>12326.397000000001</v>
      </c>
      <c r="J24" s="339">
        <f t="shared" si="36"/>
        <v>16774.904999999999</v>
      </c>
      <c r="K24" s="339">
        <f t="shared" si="36"/>
        <v>23397.291000000001</v>
      </c>
      <c r="L24" s="339">
        <f t="shared" si="36"/>
        <v>32249.500000000004</v>
      </c>
      <c r="M24" s="339">
        <f t="shared" si="36"/>
        <v>40685.633999999998</v>
      </c>
      <c r="N24" s="339">
        <f t="shared" si="36"/>
        <v>46030.724999999999</v>
      </c>
      <c r="O24" s="339">
        <f t="shared" si="36"/>
        <v>63040.635999999999</v>
      </c>
      <c r="P24" s="339">
        <f t="shared" si="36"/>
        <v>75859.422999999995</v>
      </c>
      <c r="Q24" s="339">
        <f t="shared" si="36"/>
        <v>85924.262000000002</v>
      </c>
      <c r="R24" s="339">
        <f t="shared" si="36"/>
        <v>98804.266000000003</v>
      </c>
      <c r="S24" s="339">
        <f t="shared" si="36"/>
        <v>105327.52199999998</v>
      </c>
      <c r="T24" s="339">
        <f t="shared" si="36"/>
        <v>100669.76600000002</v>
      </c>
      <c r="U24" s="339">
        <f t="shared" si="36"/>
        <v>101351.405</v>
      </c>
      <c r="V24" s="339">
        <f t="shared" si="36"/>
        <v>92779.24</v>
      </c>
      <c r="W24" s="339">
        <f>SUM(W4:W23)</f>
        <v>97622.021999999997</v>
      </c>
      <c r="X24" s="339">
        <f ca="1">SUM(X4:X23)</f>
        <v>101616.36666499903</v>
      </c>
      <c r="Y24" s="339">
        <f t="shared" ref="Y24:AG24" ca="1" si="37">SUM(Y4:Y23)</f>
        <v>107266.96420888996</v>
      </c>
      <c r="Z24" s="339">
        <f t="shared" ca="1" si="37"/>
        <v>112679.00421043787</v>
      </c>
      <c r="AA24" s="339">
        <f t="shared" ca="1" si="37"/>
        <v>119847.87408258687</v>
      </c>
      <c r="AB24" s="339">
        <f t="shared" ca="1" si="37"/>
        <v>126612.2934884859</v>
      </c>
      <c r="AC24" s="339">
        <f t="shared" ca="1" si="37"/>
        <v>133466.87889062922</v>
      </c>
      <c r="AD24" s="339">
        <f t="shared" ca="1" si="37"/>
        <v>139633.88439749888</v>
      </c>
      <c r="AE24" s="339">
        <f t="shared" ca="1" si="37"/>
        <v>145557.00083438409</v>
      </c>
      <c r="AF24" s="339">
        <f t="shared" ca="1" si="37"/>
        <v>151271.68937040176</v>
      </c>
      <c r="AG24" s="339">
        <f t="shared" ca="1" si="37"/>
        <v>156806.83344826504</v>
      </c>
      <c r="AH24" s="336"/>
      <c r="AI24" s="336"/>
      <c r="AJ24" s="336"/>
      <c r="AK24" s="336"/>
      <c r="AL24" s="336"/>
      <c r="AM24" s="336"/>
      <c r="AN24" s="336"/>
      <c r="AO24" s="336"/>
      <c r="AP24" s="336"/>
      <c r="AQ24" s="336"/>
      <c r="AR24" s="336"/>
      <c r="AS24" s="336"/>
      <c r="AT24" s="336"/>
      <c r="AU24" s="336"/>
      <c r="AV24" s="336"/>
      <c r="AW24" s="336"/>
      <c r="AX24" s="336"/>
      <c r="AY24" s="336"/>
      <c r="AZ24" s="336"/>
      <c r="BA24" s="336"/>
      <c r="BB24" s="336"/>
    </row>
    <row r="25" spans="1:54" x14ac:dyDescent="0.4">
      <c r="A25" s="323" t="s">
        <v>498</v>
      </c>
      <c r="B25" s="1678" t="s">
        <v>187</v>
      </c>
      <c r="C25" s="340"/>
      <c r="D25" s="340"/>
      <c r="E25" s="340"/>
      <c r="F25" s="340"/>
      <c r="G25" s="340"/>
      <c r="H25" s="340"/>
      <c r="I25" s="340"/>
      <c r="J25" s="340"/>
      <c r="K25" s="340"/>
      <c r="Q25" s="325"/>
      <c r="R25" s="325"/>
      <c r="S25" s="325"/>
    </row>
    <row r="26" spans="1:54" x14ac:dyDescent="0.4">
      <c r="A26" s="310" t="s">
        <v>625</v>
      </c>
      <c r="B26" s="354" t="s">
        <v>3120</v>
      </c>
      <c r="C26" s="340"/>
      <c r="D26" s="341">
        <f>+'BS（org）'!E32</f>
        <v>20.408000000000001</v>
      </c>
      <c r="E26" s="341">
        <f>+'BS（org）'!F32</f>
        <v>20.408000000000001</v>
      </c>
      <c r="F26" s="341">
        <f>+'BS（org）'!G32</f>
        <v>9.3089999999999993</v>
      </c>
      <c r="G26" s="341">
        <f>+'BS（org）'!H32</f>
        <v>7.859</v>
      </c>
      <c r="H26" s="341">
        <f>+'BS（org）'!I32</f>
        <v>8.1300000000000008</v>
      </c>
      <c r="I26" s="341">
        <f>+'BS（org）'!J32</f>
        <v>158.608</v>
      </c>
      <c r="J26" s="341">
        <f>+'BS（org）'!K32</f>
        <v>158.608</v>
      </c>
      <c r="K26" s="342">
        <f>+'BS（org）'!L32</f>
        <v>152.905</v>
      </c>
      <c r="L26" s="342">
        <f>+'BS（org）'!M32</f>
        <v>66.543999999999997</v>
      </c>
      <c r="M26" s="342">
        <f>+'BS（org）'!N32</f>
        <v>418.91500000000002</v>
      </c>
      <c r="N26" s="342">
        <f>+'BS（org）'!O32</f>
        <v>414.209</v>
      </c>
      <c r="O26" s="342">
        <f>+'BS（org）'!P32</f>
        <v>414.36700000000002</v>
      </c>
      <c r="P26" s="342">
        <f>+'BS（org）'!Q32</f>
        <v>710.27499999999998</v>
      </c>
      <c r="Q26" s="342">
        <f>+'BS（org）'!R32</f>
        <v>1716.9190000000001</v>
      </c>
      <c r="R26" s="342">
        <f>+'BS（org）'!S32</f>
        <v>1431.4469999999999</v>
      </c>
      <c r="S26" s="342">
        <f>+'BS（org）'!T32</f>
        <v>1256.0309999999999</v>
      </c>
      <c r="T26" s="342">
        <f>+'BS（org）'!U32</f>
        <v>1567.758</v>
      </c>
      <c r="U26" s="342">
        <f>+'BS（org）'!V32</f>
        <v>4078.9859999999999</v>
      </c>
      <c r="V26" s="342">
        <f>+'BS（org）'!W32</f>
        <v>3580.7389999999996</v>
      </c>
      <c r="W26" s="342">
        <f>+'BS（org）'!X32</f>
        <v>4045.72</v>
      </c>
      <c r="X26" s="341">
        <f>WC!X32</f>
        <v>4045.72</v>
      </c>
      <c r="Y26" s="341">
        <f>WC!Y32</f>
        <v>4045.72</v>
      </c>
      <c r="Z26" s="341">
        <f>WC!Z32</f>
        <v>4045.72</v>
      </c>
      <c r="AA26" s="341">
        <f>WC!AA32</f>
        <v>4045.72</v>
      </c>
      <c r="AB26" s="341">
        <f>WC!AB32</f>
        <v>4045.72</v>
      </c>
      <c r="AC26" s="341">
        <f>WC!AC32</f>
        <v>4045.72</v>
      </c>
      <c r="AD26" s="341">
        <f>WC!AD32</f>
        <v>4045.72</v>
      </c>
      <c r="AE26" s="341">
        <f>WC!AE32</f>
        <v>4045.72</v>
      </c>
      <c r="AF26" s="341">
        <f>WC!AF32</f>
        <v>4045.72</v>
      </c>
      <c r="AG26" s="341">
        <f>WC!AG32</f>
        <v>4045.72</v>
      </c>
    </row>
    <row r="27" spans="1:54" x14ac:dyDescent="0.4">
      <c r="A27" s="310" t="s">
        <v>2269</v>
      </c>
      <c r="B27" s="354" t="s">
        <v>239</v>
      </c>
      <c r="C27" s="340"/>
      <c r="D27" s="341">
        <f>'BS（org）'!E30</f>
        <v>8.7149999999999999</v>
      </c>
      <c r="E27" s="341">
        <f>'BS（org）'!F30</f>
        <v>54.485999999999997</v>
      </c>
      <c r="F27" s="341">
        <f>'BS（org）'!G30</f>
        <v>55.509</v>
      </c>
      <c r="G27" s="341">
        <f>'BS（org）'!H30</f>
        <v>46.883000000000003</v>
      </c>
      <c r="H27" s="341">
        <f>'BS（org）'!I30</f>
        <v>117.711</v>
      </c>
      <c r="I27" s="341">
        <f>'BS（org）'!J30</f>
        <v>149.559</v>
      </c>
      <c r="J27" s="341">
        <f>'BS（org）'!K30</f>
        <v>185.374</v>
      </c>
      <c r="K27" s="342">
        <f>'BS（org）'!L30</f>
        <v>163.42699999999999</v>
      </c>
      <c r="L27" s="342">
        <f>'BS（org）'!M30</f>
        <v>160.28899999999999</v>
      </c>
      <c r="M27" s="342">
        <f>'BS（org）'!N30</f>
        <v>108.83499999999999</v>
      </c>
      <c r="N27" s="342">
        <f>'BS（org）'!O30</f>
        <v>131.36500000000001</v>
      </c>
      <c r="O27" s="342">
        <f>'BS（org）'!P30</f>
        <v>214.03900000000002</v>
      </c>
      <c r="P27" s="342">
        <f>'BS（org）'!Q30</f>
        <v>280.20400000000001</v>
      </c>
      <c r="Q27" s="342">
        <f>'BS（org）'!R30</f>
        <v>259.81099999999998</v>
      </c>
      <c r="R27" s="342">
        <f>'BS（org）'!S30</f>
        <v>410.072</v>
      </c>
      <c r="S27" s="342">
        <f>'BS（org）'!T30</f>
        <v>366.96699999999998</v>
      </c>
      <c r="T27" s="342">
        <f>'BS（org）'!U30</f>
        <v>590.24599999999998</v>
      </c>
      <c r="U27" s="342">
        <f>'BS（org）'!V30</f>
        <v>522.85199999999998</v>
      </c>
      <c r="V27" s="342">
        <f>'BS（org）'!W30</f>
        <v>421.71400000000006</v>
      </c>
      <c r="W27" s="342">
        <f>'BS（org）'!X30</f>
        <v>460.09</v>
      </c>
      <c r="X27" s="341">
        <f>WC!X20</f>
        <v>542.18191309240899</v>
      </c>
      <c r="Y27" s="341">
        <f>WC!Y20</f>
        <v>599.57459485104562</v>
      </c>
      <c r="Z27" s="341">
        <f>WC!Z20</f>
        <v>647.8850464774489</v>
      </c>
      <c r="AA27" s="341">
        <f>WC!AA20</f>
        <v>709.72530022256387</v>
      </c>
      <c r="AB27" s="341">
        <f>WC!AB20</f>
        <v>768.15943817443224</v>
      </c>
      <c r="AC27" s="341">
        <f>WC!AC20</f>
        <v>823.87423572062437</v>
      </c>
      <c r="AD27" s="341">
        <f>WC!AD20</f>
        <v>877.4351521104777</v>
      </c>
      <c r="AE27" s="341">
        <f>WC!AE20</f>
        <v>929.30855888505926</v>
      </c>
      <c r="AF27" s="341">
        <f>WC!AF20</f>
        <v>979.88013734722847</v>
      </c>
      <c r="AG27" s="341">
        <f>WC!AG20</f>
        <v>1029.4701458136581</v>
      </c>
    </row>
    <row r="28" spans="1:54" x14ac:dyDescent="0.35">
      <c r="A28" s="331" t="s">
        <v>2609</v>
      </c>
      <c r="B28" s="354" t="s">
        <v>2018</v>
      </c>
      <c r="C28" s="340"/>
      <c r="D28" s="341"/>
      <c r="E28" s="341"/>
      <c r="F28" s="341"/>
      <c r="G28" s="341"/>
      <c r="H28" s="341"/>
      <c r="I28" s="341"/>
      <c r="J28" s="341"/>
      <c r="K28" s="342"/>
      <c r="L28" s="342"/>
      <c r="M28" s="342"/>
      <c r="N28" s="342"/>
      <c r="O28" s="342"/>
      <c r="P28" s="342">
        <f>'BS（org）'!Q31</f>
        <v>2349.5100000000002</v>
      </c>
      <c r="Q28" s="342">
        <f>'BS（org）'!R31</f>
        <v>1810.383</v>
      </c>
      <c r="R28" s="342">
        <f>'BS（org）'!S31</f>
        <v>4311.6909999999998</v>
      </c>
      <c r="S28" s="342">
        <f>'BS（org）'!T31</f>
        <v>6312.4340000000002</v>
      </c>
      <c r="T28" s="342">
        <f>'BS（org）'!U31</f>
        <v>6827.8509999999997</v>
      </c>
      <c r="U28" s="342">
        <f>'BS（org）'!V31</f>
        <v>6289.7370000000001</v>
      </c>
      <c r="V28" s="342">
        <f>'BS（org）'!W31</f>
        <v>7029.2659999999996</v>
      </c>
      <c r="W28" s="342">
        <f>'BS（org）'!X31</f>
        <v>6690.65</v>
      </c>
      <c r="X28" s="341">
        <f>WC!X34</f>
        <v>6891.3694999999998</v>
      </c>
      <c r="Y28" s="341">
        <f>WC!Y34</f>
        <v>7098.1105850000004</v>
      </c>
      <c r="Z28" s="341">
        <f>WC!Z34</f>
        <v>7311.0539025500002</v>
      </c>
      <c r="AA28" s="341">
        <f>WC!AA34</f>
        <v>7530.3855196265004</v>
      </c>
      <c r="AB28" s="341">
        <f>WC!AB34</f>
        <v>7756.2970852152957</v>
      </c>
      <c r="AC28" s="341">
        <f>WC!AC34</f>
        <v>7988.9859977717551</v>
      </c>
      <c r="AD28" s="341">
        <f>WC!AD34</f>
        <v>8228.6555777049089</v>
      </c>
      <c r="AE28" s="341">
        <f>WC!AE34</f>
        <v>8475.5152450360565</v>
      </c>
      <c r="AF28" s="341">
        <f>WC!AF34</f>
        <v>8729.7807023871392</v>
      </c>
      <c r="AG28" s="341">
        <f>WC!AG34</f>
        <v>8991.6741234587535</v>
      </c>
    </row>
    <row r="29" spans="1:54" x14ac:dyDescent="0.35">
      <c r="A29" s="331" t="s">
        <v>627</v>
      </c>
      <c r="B29" s="1677" t="s">
        <v>3121</v>
      </c>
      <c r="C29" s="332"/>
      <c r="D29" s="328">
        <f>'BS（org）'!E34</f>
        <v>2682.6880000000001</v>
      </c>
      <c r="E29" s="328">
        <f>'BS（org）'!F34</f>
        <v>3339.2040000000002</v>
      </c>
      <c r="F29" s="328">
        <f>'BS（org）'!G34</f>
        <v>3703.163</v>
      </c>
      <c r="G29" s="328">
        <f>'BS（org）'!H34</f>
        <v>3398.3249999999998</v>
      </c>
      <c r="H29" s="328">
        <f>'BS（org）'!I34</f>
        <v>4163.43</v>
      </c>
      <c r="I29" s="328">
        <f>'BS（org）'!J34</f>
        <v>4736.1909999999998</v>
      </c>
      <c r="J29" s="328">
        <f>'BS（org）'!K34</f>
        <v>6559.777</v>
      </c>
      <c r="K29" s="328">
        <f>'BS（org）'!L34</f>
        <v>10023.98</v>
      </c>
      <c r="L29" s="328">
        <f>'BS（org）'!M34</f>
        <v>12542.066999999999</v>
      </c>
      <c r="M29" s="328">
        <f>'BS（org）'!N34</f>
        <v>18173.525000000001</v>
      </c>
      <c r="N29" s="328">
        <f>'BS（org）'!O34</f>
        <v>17643.865000000002</v>
      </c>
      <c r="O29" s="328">
        <f>'BS（org）'!P34</f>
        <v>22136.148000000001</v>
      </c>
      <c r="P29" s="328">
        <f>'BS（org）'!Q34</f>
        <v>25321.39</v>
      </c>
      <c r="Q29" s="328">
        <f>'BS（org）'!R34</f>
        <v>30601.279000000002</v>
      </c>
      <c r="R29" s="328">
        <f>'BS（org）'!S34</f>
        <v>38160.275999999998</v>
      </c>
      <c r="S29" s="328">
        <f>'BS（org）'!T34</f>
        <v>59239.65</v>
      </c>
      <c r="T29" s="328">
        <f>'BS（org）'!U34</f>
        <v>65830.023000000001</v>
      </c>
      <c r="U29" s="328">
        <f>'BS（org）'!V34</f>
        <v>75414.12</v>
      </c>
      <c r="V29" s="328">
        <f>'BS（org）'!W34</f>
        <v>96355.320999999996</v>
      </c>
      <c r="W29" s="328">
        <f>'BS（org）'!X34</f>
        <v>102867.31</v>
      </c>
      <c r="X29" s="328">
        <f>WC!X11</f>
        <v>106905.38804046935</v>
      </c>
      <c r="Y29" s="328">
        <f>WC!Y11</f>
        <v>118821.83882943769</v>
      </c>
      <c r="Z29" s="328">
        <f>WC!Z11</f>
        <v>128539.19499703016</v>
      </c>
      <c r="AA29" s="328">
        <f>WC!AA11</f>
        <v>141780.3212016586</v>
      </c>
      <c r="AB29" s="328">
        <f>WC!AB11</f>
        <v>154423.54418339932</v>
      </c>
      <c r="AC29" s="328">
        <f>WC!AC11</f>
        <v>166596.81377676837</v>
      </c>
      <c r="AD29" s="328">
        <f>WC!AD11</f>
        <v>178863.82039031692</v>
      </c>
      <c r="AE29" s="328">
        <f>WC!AE11</f>
        <v>189454.57304638028</v>
      </c>
      <c r="AF29" s="328">
        <f>WC!AF11</f>
        <v>199736.3005055488</v>
      </c>
      <c r="AG29" s="328">
        <f>WC!AG11</f>
        <v>209773.86087627412</v>
      </c>
    </row>
    <row r="30" spans="1:54" x14ac:dyDescent="0.35">
      <c r="A30" s="331" t="s">
        <v>626</v>
      </c>
      <c r="B30" s="354" t="s">
        <v>2270</v>
      </c>
      <c r="C30" s="326"/>
      <c r="D30" s="327">
        <f>'BS（org）'!E33</f>
        <v>224.77199999999999</v>
      </c>
      <c r="E30" s="327">
        <f>'BS（org）'!F33</f>
        <v>595.03700000000003</v>
      </c>
      <c r="F30" s="327">
        <f>'BS（org）'!G33</f>
        <v>506.38499999999999</v>
      </c>
      <c r="G30" s="327">
        <f>'BS（org）'!H33</f>
        <v>539.29399999999998</v>
      </c>
      <c r="H30" s="327">
        <f>'BS（org）'!I33</f>
        <v>194.28100000000001</v>
      </c>
      <c r="I30" s="327">
        <f>'BS（org）'!J33</f>
        <v>2937.9</v>
      </c>
      <c r="J30" s="327">
        <f>'BS（org）'!K33</f>
        <v>5458.6819999999998</v>
      </c>
      <c r="K30" s="328">
        <f>'BS（org）'!L33</f>
        <v>1075.2670000000001</v>
      </c>
      <c r="L30" s="328">
        <f>'BS（org）'!M33</f>
        <v>1354.1479999999999</v>
      </c>
      <c r="M30" s="328">
        <f>'BS（org）'!N33</f>
        <v>2421.7150000000001</v>
      </c>
      <c r="N30" s="328">
        <f>'BS（org）'!O33</f>
        <v>6485.5360000000001</v>
      </c>
      <c r="O30" s="328">
        <f>'BS（org）'!P33</f>
        <v>10979.356</v>
      </c>
      <c r="P30" s="328">
        <f>'BS（org）'!Q33</f>
        <v>9081.81</v>
      </c>
      <c r="Q30" s="328">
        <f>'BS（org）'!R33</f>
        <v>12115.947</v>
      </c>
      <c r="R30" s="328">
        <f>'BS（org）'!S33</f>
        <v>11981.742</v>
      </c>
      <c r="S30" s="328">
        <f>'BS（org）'!T33</f>
        <v>13467.619000000001</v>
      </c>
      <c r="T30" s="328">
        <f>'BS（org）'!U33</f>
        <v>18777.148000000001</v>
      </c>
      <c r="U30" s="328">
        <f>'BS（org）'!V33</f>
        <v>21593.654999999999</v>
      </c>
      <c r="V30" s="328">
        <f>'BS（org）'!W33</f>
        <v>26241.434000000005</v>
      </c>
      <c r="W30" s="328">
        <f>'BS（org）'!X33</f>
        <v>30752.5</v>
      </c>
      <c r="X30" s="341">
        <f>WC!X14</f>
        <v>31988.959741678864</v>
      </c>
      <c r="Y30" s="341">
        <f>WC!Y14</f>
        <v>35586.693416696427</v>
      </c>
      <c r="Z30" s="341">
        <f>WC!Z14</f>
        <v>38632.014536121511</v>
      </c>
      <c r="AA30" s="341">
        <f>WC!AA14</f>
        <v>42758.954744848823</v>
      </c>
      <c r="AB30" s="341">
        <f>WC!AB14</f>
        <v>46730.815491669564</v>
      </c>
      <c r="AC30" s="341">
        <f>WC!AC14</f>
        <v>50584.220478772106</v>
      </c>
      <c r="AD30" s="341">
        <f>WC!AD14</f>
        <v>54349.66536190531</v>
      </c>
      <c r="AE30" s="341">
        <f>WC!AE14</f>
        <v>58052.577549889058</v>
      </c>
      <c r="AF30" s="341">
        <f>WC!AF14</f>
        <v>61714.209480890939</v>
      </c>
      <c r="AG30" s="341">
        <f>WC!AG14</f>
        <v>65352.394562633701</v>
      </c>
    </row>
    <row r="31" spans="1:54" x14ac:dyDescent="0.4">
      <c r="A31" s="310" t="s">
        <v>2019</v>
      </c>
      <c r="B31" s="354" t="s">
        <v>722</v>
      </c>
      <c r="C31" s="340"/>
      <c r="D31" s="342">
        <f>'BS（org）'!E35+'BS（org）'!E36+'BS（org）'!E37+'BS（org）'!E38+'BS（org）'!E39+'BS（org）'!E40+'BS（org）'!E41</f>
        <v>519.74599999999998</v>
      </c>
      <c r="E31" s="342">
        <f>'BS（org）'!F35+'BS（org）'!F36+'BS（org）'!F37+'BS（org）'!F38+'BS（org）'!F39+'BS（org）'!F40+'BS（org）'!F41</f>
        <v>662.53200000000004</v>
      </c>
      <c r="F31" s="342">
        <f>'BS（org）'!G35+'BS（org）'!G36+'BS（org）'!G37+'BS（org）'!G38+'BS（org）'!G39+'BS（org）'!G40+'BS（org）'!G41</f>
        <v>703.26800000000003</v>
      </c>
      <c r="G31" s="342">
        <f>'BS（org）'!H35+'BS（org）'!H36+'BS（org）'!H37+'BS（org）'!H38+'BS（org）'!H39+'BS（org）'!H40+'BS（org）'!H41</f>
        <v>678.92200000000003</v>
      </c>
      <c r="H31" s="342">
        <f>'BS（org）'!I35+'BS（org）'!I36+'BS（org）'!I37+'BS（org）'!I38+'BS（org）'!I39+'BS（org）'!I40+'BS（org）'!I41</f>
        <v>669.47299999999996</v>
      </c>
      <c r="I31" s="342">
        <f>'BS（org）'!J35+'BS（org）'!J36+'BS（org）'!J37+'BS（org）'!J38+'BS（org）'!J39+'BS（org）'!J40+'BS（org）'!J41</f>
        <v>926.34899999999993</v>
      </c>
      <c r="J31" s="342">
        <f>'BS（org）'!K35+'BS（org）'!K36+'BS（org）'!K37+'BS（org）'!K38+'BS（org）'!K39+'BS（org）'!K40+'BS（org）'!K41</f>
        <v>1333.1690000000001</v>
      </c>
      <c r="K31" s="342">
        <f>'BS（org）'!L35+'BS（org）'!L36+'BS（org）'!L37+'BS（org）'!L38+'BS（org）'!L39+'BS（org）'!L40+'BS（org）'!L41</f>
        <v>312.57599999999996</v>
      </c>
      <c r="L31" s="342">
        <f>'BS（org）'!M35+'BS（org）'!M36+'BS（org）'!M37+'BS（org）'!M38+'BS（org）'!M39+'BS（org）'!M40+'BS（org）'!M41</f>
        <v>1803.6100000000001</v>
      </c>
      <c r="M31" s="342">
        <f>'BS（org）'!N35+'BS（org）'!N36+'BS（org）'!N37+'BS（org）'!N38+'BS（org）'!N39+'BS（org）'!N40+'BS（org）'!N41</f>
        <v>2088.0770000000002</v>
      </c>
      <c r="N31" s="342">
        <f>'BS（org）'!O35+'BS（org）'!O36+'BS（org）'!O37+'BS（org）'!O38+'BS（org）'!O39+'BS（org）'!O40+'BS（org）'!O41</f>
        <v>3275.973</v>
      </c>
      <c r="O31" s="342">
        <f>'BS（org）'!P35+'BS（org）'!P36+'BS（org）'!P37+'BS（org）'!P38+'BS（org）'!P39+'BS（org）'!P40+'BS（org）'!P41</f>
        <v>4026.8670000000002</v>
      </c>
      <c r="P31" s="342">
        <f>'BS（org）'!Q35+'BS（org）'!Q36+'BS（org）'!Q37+'BS（org）'!Q38+'BS（org）'!Q39+'BS（org）'!Q40+'BS（org）'!Q41</f>
        <v>4152.0349999999999</v>
      </c>
      <c r="Q31" s="342">
        <f>'BS（org）'!R35+'BS（org）'!R36+'BS（org）'!R37+'BS（org）'!R38+'BS（org）'!R39+'BS（org）'!R40+'BS（org）'!R41</f>
        <v>5979.6180000000004</v>
      </c>
      <c r="R31" s="342">
        <f>'BS（org）'!S35+'BS（org）'!S36+'BS（org）'!S37+'BS（org）'!S38+'BS（org）'!S39+'BS（org）'!S40+'BS（org）'!S41</f>
        <v>8804.1440000000002</v>
      </c>
      <c r="S31" s="342">
        <f>'BS（org）'!T35+'BS（org）'!T36+'BS（org）'!T37+'BS（org）'!T38+'BS（org）'!T39+'BS（org）'!T40+'BS（org）'!T41</f>
        <v>8092.19</v>
      </c>
      <c r="T31" s="342">
        <f>'BS（org）'!U35+'BS（org）'!U36+'BS（org）'!U37+'BS（org）'!U38+'BS（org）'!U39+'BS（org）'!U40+'BS（org）'!U41</f>
        <v>9704.5929999999989</v>
      </c>
      <c r="U31" s="342">
        <f>'BS（org）'!V35+'BS（org）'!V36+'BS（org）'!V37+'BS（org）'!V38+'BS（org）'!V39+'BS（org）'!V40+'BS（org）'!V41</f>
        <v>10630.892</v>
      </c>
      <c r="V31" s="342">
        <f>'BS（org）'!W35+'BS（org）'!W36+'BS（org）'!W37+'BS（org）'!W38+'BS（org）'!W39+'BS（org）'!W40+'BS（org）'!W41</f>
        <v>7283.7650000000003</v>
      </c>
      <c r="W31" s="342">
        <f>'BS（org）'!X35+'BS（org）'!X36+'BS（org）'!X37+'BS（org）'!X38+'BS（org）'!X39+'BS（org）'!X40+'BS（org）'!X41</f>
        <v>6759.84</v>
      </c>
      <c r="X31" s="341">
        <f>WC!X17</f>
        <v>6969.2642404449289</v>
      </c>
      <c r="Y31" s="341">
        <f>WC!Y17</f>
        <v>7684.9216069866179</v>
      </c>
      <c r="Z31" s="341">
        <f>WC!Z17</f>
        <v>8269.8516742984484</v>
      </c>
      <c r="AA31" s="341">
        <f>WC!AA17</f>
        <v>9074.213438504059</v>
      </c>
      <c r="AB31" s="341">
        <f>WC!AB17</f>
        <v>9832.166719566736</v>
      </c>
      <c r="AC31" s="341">
        <f>WC!AC17</f>
        <v>10552.53413122778</v>
      </c>
      <c r="AD31" s="341">
        <f>WC!AD17</f>
        <v>11242.573467727583</v>
      </c>
      <c r="AE31" s="341">
        <f>WC!AE17</f>
        <v>11908.260438711959</v>
      </c>
      <c r="AF31" s="341">
        <f>WC!AF17</f>
        <v>12554.523478842752</v>
      </c>
      <c r="AG31" s="341">
        <f>WC!AG17</f>
        <v>13185.439276449966</v>
      </c>
    </row>
    <row r="32" spans="1:54" x14ac:dyDescent="0.4">
      <c r="A32" s="310" t="s">
        <v>2271</v>
      </c>
      <c r="B32" s="354" t="s">
        <v>3094</v>
      </c>
      <c r="C32" s="340"/>
      <c r="D32" s="342">
        <f>'BS（org）'!E49</f>
        <v>0</v>
      </c>
      <c r="E32" s="342">
        <f>'BS（org）'!F49</f>
        <v>0</v>
      </c>
      <c r="F32" s="342">
        <f>'BS（org）'!G49</f>
        <v>0</v>
      </c>
      <c r="G32" s="342">
        <f>'BS（org）'!H49</f>
        <v>0</v>
      </c>
      <c r="H32" s="342">
        <f>'BS（org）'!I49</f>
        <v>0</v>
      </c>
      <c r="I32" s="342">
        <f>'BS（org）'!J49</f>
        <v>0</v>
      </c>
      <c r="J32" s="342">
        <f>'BS（org）'!K49</f>
        <v>0</v>
      </c>
      <c r="K32" s="342">
        <f>'BS（org）'!L49</f>
        <v>9169.3189999999995</v>
      </c>
      <c r="L32" s="342">
        <f>'BS（org）'!M49</f>
        <v>10921.766</v>
      </c>
      <c r="M32" s="342">
        <f>'BS（org）'!N49</f>
        <v>0</v>
      </c>
      <c r="N32" s="342">
        <f>'BS（org）'!O49</f>
        <v>0</v>
      </c>
      <c r="O32" s="342">
        <f>'BS（org）'!P49</f>
        <v>38.996000000000002</v>
      </c>
      <c r="P32" s="342">
        <f>'BS（org）'!Q49</f>
        <v>0</v>
      </c>
      <c r="Q32" s="342">
        <f>'BS（org）'!R49</f>
        <v>0</v>
      </c>
      <c r="R32" s="342">
        <f>'BS（org）'!S49</f>
        <v>0</v>
      </c>
      <c r="S32" s="342">
        <f>'BS（org）'!T49</f>
        <v>0</v>
      </c>
      <c r="T32" s="342">
        <f>'BS（org）'!U49</f>
        <v>0</v>
      </c>
      <c r="U32" s="342">
        <f>'BS（org）'!V49</f>
        <v>0</v>
      </c>
      <c r="V32" s="342">
        <f>'BS（org）'!W49</f>
        <v>0</v>
      </c>
      <c r="W32" s="342">
        <f>'BS（org）'!X49</f>
        <v>7.7919999999999998</v>
      </c>
      <c r="X32" s="343">
        <f t="shared" ref="X32:AC32" si="38">W32*1.02</f>
        <v>7.9478400000000002</v>
      </c>
      <c r="Y32" s="343">
        <f t="shared" si="38"/>
        <v>8.1067967999999997</v>
      </c>
      <c r="Z32" s="343">
        <f t="shared" si="38"/>
        <v>8.268932736</v>
      </c>
      <c r="AA32" s="343">
        <f t="shared" si="38"/>
        <v>8.4343113907199996</v>
      </c>
      <c r="AB32" s="343">
        <f t="shared" si="38"/>
        <v>8.602997618534399</v>
      </c>
      <c r="AC32" s="343">
        <f t="shared" si="38"/>
        <v>8.7750575709050871</v>
      </c>
      <c r="AD32" s="343">
        <f t="shared" ref="AD32" si="39">AC32*1.02</f>
        <v>8.9505587223231888</v>
      </c>
      <c r="AE32" s="343">
        <f t="shared" ref="AE32" si="40">AD32*1.02</f>
        <v>9.1295698967696524</v>
      </c>
      <c r="AF32" s="343">
        <f t="shared" ref="AF32:AG32" si="41">AE32*1.02</f>
        <v>9.3121612947050458</v>
      </c>
      <c r="AG32" s="343">
        <f t="shared" si="41"/>
        <v>9.4984045205991467</v>
      </c>
    </row>
    <row r="33" spans="1:33" x14ac:dyDescent="0.4">
      <c r="A33" s="337" t="s">
        <v>125</v>
      </c>
      <c r="B33" s="1679" t="s">
        <v>460</v>
      </c>
      <c r="C33" s="338"/>
      <c r="D33" s="339">
        <f>SUM(D29:D32)</f>
        <v>3427.2060000000001</v>
      </c>
      <c r="E33" s="339">
        <f>SUM(E29:E32)</f>
        <v>4596.7730000000001</v>
      </c>
      <c r="F33" s="339">
        <f t="shared" ref="F33:T33" si="42">SUM(F30:F32)+F29</f>
        <v>4912.8159999999998</v>
      </c>
      <c r="G33" s="339">
        <f t="shared" si="42"/>
        <v>4616.5409999999993</v>
      </c>
      <c r="H33" s="339">
        <f t="shared" si="42"/>
        <v>5027.1840000000002</v>
      </c>
      <c r="I33" s="339">
        <f t="shared" si="42"/>
        <v>8600.4399999999987</v>
      </c>
      <c r="J33" s="339">
        <f t="shared" si="42"/>
        <v>13351.628000000001</v>
      </c>
      <c r="K33" s="339">
        <f t="shared" si="42"/>
        <v>20581.142</v>
      </c>
      <c r="L33" s="339">
        <f t="shared" si="42"/>
        <v>26621.591</v>
      </c>
      <c r="M33" s="339">
        <f t="shared" si="42"/>
        <v>22683.317000000003</v>
      </c>
      <c r="N33" s="339">
        <f t="shared" si="42"/>
        <v>27405.374000000003</v>
      </c>
      <c r="O33" s="339">
        <f t="shared" si="42"/>
        <v>37181.366999999998</v>
      </c>
      <c r="P33" s="339">
        <f t="shared" si="42"/>
        <v>38555.235000000001</v>
      </c>
      <c r="Q33" s="339">
        <f t="shared" si="42"/>
        <v>48696.844000000005</v>
      </c>
      <c r="R33" s="339">
        <f t="shared" si="42"/>
        <v>58946.161999999997</v>
      </c>
      <c r="S33" s="339">
        <f t="shared" si="42"/>
        <v>80799.459000000003</v>
      </c>
      <c r="T33" s="339">
        <f t="shared" si="42"/>
        <v>94311.763999999996</v>
      </c>
      <c r="U33" s="339">
        <f t="shared" ref="U33" si="43">SUM(U30:U32)+U29</f>
        <v>107638.66699999999</v>
      </c>
      <c r="V33" s="339">
        <f t="shared" ref="V33" si="44">SUM(V30:V32)+V29</f>
        <v>129880.52</v>
      </c>
      <c r="W33" s="339">
        <f>SUM(W30:W32)+W29</f>
        <v>140387.44199999998</v>
      </c>
      <c r="X33" s="339">
        <f>SUM(X29:X32)</f>
        <v>145871.55986259316</v>
      </c>
      <c r="Y33" s="339">
        <f>SUM(Y29:Y32)</f>
        <v>162101.56064992075</v>
      </c>
      <c r="Z33" s="339">
        <f t="shared" ref="Z33:AC33" si="45">SUM(Z29:Z32)</f>
        <v>175449.33014018612</v>
      </c>
      <c r="AA33" s="339">
        <f t="shared" si="45"/>
        <v>193621.9236964022</v>
      </c>
      <c r="AB33" s="339">
        <f t="shared" si="45"/>
        <v>210995.12939225414</v>
      </c>
      <c r="AC33" s="339">
        <f t="shared" si="45"/>
        <v>227742.34344433915</v>
      </c>
      <c r="AD33" s="339">
        <f t="shared" ref="AD33:AF33" si="46">SUM(AD29:AD32)</f>
        <v>244465.00977867213</v>
      </c>
      <c r="AE33" s="339">
        <f t="shared" si="46"/>
        <v>259424.54060487807</v>
      </c>
      <c r="AF33" s="339">
        <f t="shared" si="46"/>
        <v>274014.34562657721</v>
      </c>
      <c r="AG33" s="339">
        <f t="shared" ref="AG33" si="47">SUM(AG29:AG32)</f>
        <v>288321.19311987842</v>
      </c>
    </row>
    <row r="34" spans="1:33" x14ac:dyDescent="0.4">
      <c r="A34" s="310" t="s">
        <v>2272</v>
      </c>
      <c r="B34" s="1677" t="s">
        <v>3122</v>
      </c>
      <c r="C34" s="326"/>
      <c r="D34" s="327">
        <f>+'BS（org）'!E28+'BS（org）'!E29</f>
        <v>0.42699999999999999</v>
      </c>
      <c r="E34" s="327">
        <f>+'BS（org）'!F28+'BS（org）'!F29</f>
        <v>1.6120000000000001</v>
      </c>
      <c r="F34" s="327">
        <f>+'BS（org）'!G28+'BS（org）'!G29</f>
        <v>18.02</v>
      </c>
      <c r="G34" s="327">
        <f>+'BS（org）'!H28+'BS（org）'!H29</f>
        <v>18.050999999999998</v>
      </c>
      <c r="H34" s="327">
        <f>+'BS（org）'!I28+'BS（org）'!I29</f>
        <v>23.48</v>
      </c>
      <c r="I34" s="327">
        <f>+'BS（org）'!J28+'BS（org）'!J29</f>
        <v>28.270999999999997</v>
      </c>
      <c r="J34" s="327">
        <f>+'BS（org）'!K28+'BS（org）'!K29</f>
        <v>8.5060000000000002</v>
      </c>
      <c r="K34" s="327">
        <f>+'BS（org）'!L28+'BS（org）'!L29</f>
        <v>10.566000000000001</v>
      </c>
      <c r="L34" s="327">
        <f>+'BS（org）'!M28+'BS（org）'!M29</f>
        <v>17.175999999999998</v>
      </c>
      <c r="M34" s="327">
        <f>+'BS（org）'!N28+'BS（org）'!N29</f>
        <v>35.817</v>
      </c>
      <c r="N34" s="327">
        <f>+'BS（org）'!O28+'BS（org）'!O29</f>
        <v>37.040999999999997</v>
      </c>
      <c r="O34" s="327">
        <f>+'BS（org）'!P28+'BS（org）'!P29</f>
        <v>44.346000000000004</v>
      </c>
      <c r="P34" s="327">
        <f>+'BS（org）'!Q28+'BS（org）'!Q29</f>
        <v>45.811</v>
      </c>
      <c r="Q34" s="327">
        <f>+'BS（org）'!R28+'BS（org）'!R29</f>
        <v>52.053000000000004</v>
      </c>
      <c r="R34" s="327">
        <f>+'BS（org）'!S28+'BS（org）'!S29</f>
        <v>62.142000000000003</v>
      </c>
      <c r="S34" s="327">
        <f>+'BS（org）'!T28+'BS（org）'!T29</f>
        <v>72.751999999999995</v>
      </c>
      <c r="T34" s="327">
        <f>+'BS（org）'!U28+'BS（org）'!U29</f>
        <v>471.69299999999998</v>
      </c>
      <c r="U34" s="327">
        <f>+'BS（org）'!V28+'BS（org）'!V29+'BS（org）'!V42+'BS（org）'!V43</f>
        <v>525.58900000000006</v>
      </c>
      <c r="V34" s="327">
        <f>+'BS（org）'!W28+'BS（org）'!W29+'BS（org）'!W42+'BS（org）'!W43</f>
        <v>612.49199999999996</v>
      </c>
      <c r="W34" s="327">
        <f>+'BS（org）'!X28+'BS（org）'!X29+'BS（org）'!X42+'BS（org）'!X43</f>
        <v>228.81200000000001</v>
      </c>
      <c r="X34" s="327">
        <f>WC!X29</f>
        <v>235.90074460115699</v>
      </c>
      <c r="Y34" s="327">
        <f>WC!Y29</f>
        <v>594.43889377735582</v>
      </c>
      <c r="Z34" s="327">
        <f>WC!Z29</f>
        <v>639.68401141575157</v>
      </c>
      <c r="AA34" s="327">
        <f>WC!AA29</f>
        <v>664.9602274122218</v>
      </c>
      <c r="AB34" s="327">
        <f>WC!AB29</f>
        <v>720.50319976557716</v>
      </c>
      <c r="AC34" s="327">
        <f>WC!AC29</f>
        <v>773.2918718774655</v>
      </c>
      <c r="AD34" s="327">
        <f>WC!AD29</f>
        <v>823.85809640280934</v>
      </c>
      <c r="AE34" s="327">
        <f>WC!AE29</f>
        <v>872.63977457370515</v>
      </c>
      <c r="AF34" s="327">
        <f>WC!AF29</f>
        <v>919.99806309599182</v>
      </c>
      <c r="AG34" s="327">
        <f>WC!AG29</f>
        <v>966.23170252909949</v>
      </c>
    </row>
    <row r="35" spans="1:33" x14ac:dyDescent="0.4">
      <c r="A35" s="310" t="str">
        <f>+'BS（org）'!A44</f>
        <v>Tax recoverable</v>
      </c>
      <c r="B35" s="1677" t="s">
        <v>2030</v>
      </c>
      <c r="C35" s="326"/>
      <c r="D35" s="327">
        <f>+'BS（org）'!E44</f>
        <v>20.696999999999999</v>
      </c>
      <c r="E35" s="327">
        <f>+'BS（org）'!F44</f>
        <v>31.146000000000001</v>
      </c>
      <c r="F35" s="327">
        <f>+'BS（org）'!G44</f>
        <v>2.4140000000000001</v>
      </c>
      <c r="G35" s="327">
        <f>+'BS（org）'!H44</f>
        <v>4.8319999999999999</v>
      </c>
      <c r="H35" s="327">
        <f>+'BS（org）'!I44</f>
        <v>4.0990000000000002</v>
      </c>
      <c r="I35" s="327">
        <f>+'BS（org）'!J44</f>
        <v>6.2169999999999996</v>
      </c>
      <c r="J35" s="327">
        <f>+'BS（org）'!K44</f>
        <v>15.054</v>
      </c>
      <c r="K35" s="327">
        <f>+'BS（org）'!L44</f>
        <v>18.696999999999999</v>
      </c>
      <c r="L35" s="327">
        <f>+'BS（org）'!M44</f>
        <v>11.558999999999999</v>
      </c>
      <c r="M35" s="327">
        <f>+'BS（org）'!N44</f>
        <v>41.271000000000001</v>
      </c>
      <c r="N35" s="327">
        <f>+'BS（org）'!O44</f>
        <v>42.262999999999998</v>
      </c>
      <c r="O35" s="327">
        <f>+'BS（org）'!P44</f>
        <v>30.315000000000001</v>
      </c>
      <c r="P35" s="327">
        <f>+'BS（org）'!Q44</f>
        <v>57.901000000000003</v>
      </c>
      <c r="Q35" s="327">
        <f>+'BS（org）'!R44</f>
        <v>12.127000000000001</v>
      </c>
      <c r="R35" s="327">
        <f>+'BS（org）'!S44</f>
        <v>47.942999999999998</v>
      </c>
      <c r="S35" s="327">
        <f>+'BS（org）'!T44</f>
        <v>122.94199999999999</v>
      </c>
      <c r="T35" s="327">
        <f>+'BS（org）'!U44</f>
        <v>188.82499999999999</v>
      </c>
      <c r="U35" s="327">
        <f>+'BS（org）'!V44</f>
        <v>404.56</v>
      </c>
      <c r="V35" s="327">
        <f>+'BS（org）'!W44</f>
        <v>537.58799999999997</v>
      </c>
      <c r="W35" s="327">
        <f>+'BS（org）'!X44</f>
        <v>913.65</v>
      </c>
      <c r="X35" s="327">
        <f>WC!X26</f>
        <v>935.50649699169401</v>
      </c>
      <c r="Y35" s="327">
        <f>WC!Y26</f>
        <v>1034.5345637133335</v>
      </c>
      <c r="Z35" s="327">
        <f>WC!Z26</f>
        <v>1117.8917179779028</v>
      </c>
      <c r="AA35" s="327">
        <f>WC!AA26</f>
        <v>1224.5938372430096</v>
      </c>
      <c r="AB35" s="327">
        <f>WC!AB26</f>
        <v>1325.4188820850436</v>
      </c>
      <c r="AC35" s="327">
        <f>WC!AC26</f>
        <v>1421.551847468852</v>
      </c>
      <c r="AD35" s="327">
        <f>WC!AD26</f>
        <v>1513.9684037160844</v>
      </c>
      <c r="AE35" s="327">
        <f>WC!AE26</f>
        <v>1603.4732504969893</v>
      </c>
      <c r="AF35" s="327">
        <f>WC!AF26</f>
        <v>1690.7318607015334</v>
      </c>
      <c r="AG35" s="327">
        <f>WC!AG26</f>
        <v>1776.2968232832177</v>
      </c>
    </row>
    <row r="36" spans="1:33" x14ac:dyDescent="0.4">
      <c r="A36" s="310" t="s">
        <v>633</v>
      </c>
      <c r="B36" s="354" t="s">
        <v>726</v>
      </c>
      <c r="C36" s="326"/>
      <c r="D36" s="327">
        <f>'BS（org）'!E45</f>
        <v>41.783000000000001</v>
      </c>
      <c r="E36" s="327">
        <f>'BS（org）'!F45</f>
        <v>17.654</v>
      </c>
      <c r="F36" s="327">
        <f>'BS（org）'!G45</f>
        <v>16.690000000000001</v>
      </c>
      <c r="G36" s="327">
        <f>'BS（org）'!H45</f>
        <v>14.904999999999999</v>
      </c>
      <c r="H36" s="327">
        <f>'BS（org）'!I45</f>
        <v>6.42</v>
      </c>
      <c r="I36" s="327">
        <f>'BS（org）'!J45</f>
        <v>4.992</v>
      </c>
      <c r="J36" s="327">
        <f>'BS（org）'!K45</f>
        <v>1.2909999999999999</v>
      </c>
      <c r="K36" s="327">
        <f>'BS（org）'!L45</f>
        <v>0.29099999999999998</v>
      </c>
      <c r="L36" s="327">
        <f>'BS（org）'!M45</f>
        <v>0</v>
      </c>
      <c r="M36" s="327">
        <f>'BS（org）'!N45</f>
        <v>0</v>
      </c>
      <c r="N36" s="327">
        <f>'BS（org）'!O45</f>
        <v>0</v>
      </c>
      <c r="O36" s="327">
        <f>'BS（org）'!P45</f>
        <v>0</v>
      </c>
      <c r="P36" s="327">
        <f>'BS（org）'!Q45</f>
        <v>0</v>
      </c>
      <c r="Q36" s="327">
        <f>'BS（org）'!R45</f>
        <v>0</v>
      </c>
      <c r="R36" s="327">
        <f>'BS（org）'!S45</f>
        <v>0</v>
      </c>
      <c r="S36" s="327">
        <f>'BS（org）'!T45</f>
        <v>0</v>
      </c>
      <c r="T36" s="327">
        <f>'BS（org）'!U45</f>
        <v>0</v>
      </c>
      <c r="U36" s="327">
        <f>'BS（org）'!V45</f>
        <v>0</v>
      </c>
      <c r="V36" s="327">
        <f>'BS（org）'!W45</f>
        <v>0</v>
      </c>
      <c r="W36" s="327">
        <f>'BS（org）'!X45</f>
        <v>0</v>
      </c>
      <c r="X36" s="327">
        <f>Financing!X53</f>
        <v>0</v>
      </c>
      <c r="Y36" s="327">
        <f>Financing!Y53</f>
        <v>0</v>
      </c>
      <c r="Z36" s="327">
        <f>Financing!Z53</f>
        <v>0</v>
      </c>
      <c r="AA36" s="327">
        <f>Financing!AA53</f>
        <v>0</v>
      </c>
      <c r="AB36" s="327">
        <f>Financing!AB53</f>
        <v>0</v>
      </c>
      <c r="AC36" s="327">
        <f>Financing!AC53</f>
        <v>0</v>
      </c>
      <c r="AD36" s="327">
        <f>Financing!AD53</f>
        <v>0</v>
      </c>
      <c r="AE36" s="327">
        <f>Financing!AE53</f>
        <v>0</v>
      </c>
      <c r="AF36" s="327">
        <f>Financing!AF53</f>
        <v>0</v>
      </c>
      <c r="AG36" s="327">
        <f>Financing!AG53</f>
        <v>0</v>
      </c>
    </row>
    <row r="37" spans="1:33" x14ac:dyDescent="0.4">
      <c r="B37" s="354" t="s">
        <v>1817</v>
      </c>
      <c r="C37" s="326"/>
      <c r="D37" s="327"/>
      <c r="E37" s="327"/>
      <c r="F37" s="327"/>
      <c r="G37" s="327"/>
      <c r="H37" s="327"/>
      <c r="I37" s="327"/>
      <c r="J37" s="327"/>
      <c r="K37" s="327"/>
      <c r="L37" s="327"/>
      <c r="M37" s="327"/>
      <c r="N37" s="327">
        <f>'BS（org）'!O46</f>
        <v>0</v>
      </c>
      <c r="O37" s="327">
        <f>'BS（org）'!P46</f>
        <v>0</v>
      </c>
      <c r="P37" s="327">
        <f>'BS（org）'!Q46</f>
        <v>0</v>
      </c>
      <c r="Q37" s="327">
        <f>'BS（org）'!R46</f>
        <v>0</v>
      </c>
      <c r="R37" s="327">
        <f>'BS（org）'!S46</f>
        <v>0</v>
      </c>
      <c r="S37" s="327">
        <f>'BS（org）'!T46</f>
        <v>0</v>
      </c>
      <c r="T37" s="327">
        <f>'BS（org）'!U46</f>
        <v>0</v>
      </c>
      <c r="U37" s="327">
        <f>'BS（org）'!V46</f>
        <v>0</v>
      </c>
      <c r="V37" s="327">
        <f>'BS（org）'!W46</f>
        <v>7.165</v>
      </c>
      <c r="W37" s="327">
        <f>'BS（org）'!X46</f>
        <v>0</v>
      </c>
      <c r="X37" s="344">
        <f t="shared" ref="X37:AC38" si="48">W37</f>
        <v>0</v>
      </c>
      <c r="Y37" s="344">
        <f t="shared" ref="Y37" si="49">X37</f>
        <v>0</v>
      </c>
      <c r="Z37" s="344">
        <f t="shared" ref="Z37" si="50">Y37</f>
        <v>0</v>
      </c>
      <c r="AA37" s="344">
        <f t="shared" ref="AA37" si="51">Z37</f>
        <v>0</v>
      </c>
      <c r="AB37" s="344">
        <f t="shared" ref="AB37" si="52">AA37</f>
        <v>0</v>
      </c>
      <c r="AC37" s="344">
        <f t="shared" ref="AC37" si="53">AB37</f>
        <v>0</v>
      </c>
      <c r="AD37" s="344">
        <f t="shared" ref="AD37" si="54">AC37</f>
        <v>0</v>
      </c>
      <c r="AE37" s="344">
        <f t="shared" ref="AE37" si="55">AD37</f>
        <v>0</v>
      </c>
      <c r="AF37" s="344">
        <f t="shared" ref="AF37" si="56">AE37</f>
        <v>0</v>
      </c>
      <c r="AG37" s="344">
        <f t="shared" ref="AG37" si="57">AF37</f>
        <v>0</v>
      </c>
    </row>
    <row r="38" spans="1:33" x14ac:dyDescent="0.4">
      <c r="A38" s="310" t="s">
        <v>727</v>
      </c>
      <c r="B38" s="354" t="s">
        <v>728</v>
      </c>
      <c r="C38" s="326"/>
      <c r="D38" s="327">
        <f>'BS（org）'!E47</f>
        <v>0</v>
      </c>
      <c r="E38" s="327">
        <f>'BS（org）'!F47</f>
        <v>5.3049999999999997</v>
      </c>
      <c r="F38" s="327">
        <f>'BS（org）'!G47</f>
        <v>0.17699999999999999</v>
      </c>
      <c r="G38" s="327">
        <f>'BS（org）'!H47</f>
        <v>1.446</v>
      </c>
      <c r="H38" s="327">
        <f>'BS（org）'!I47</f>
        <v>1.639</v>
      </c>
      <c r="I38" s="327">
        <f>'BS（org）'!J47</f>
        <v>0.84799999999999998</v>
      </c>
      <c r="J38" s="327">
        <f>'BS（org）'!K47</f>
        <v>0.51600000000000001</v>
      </c>
      <c r="K38" s="327">
        <f>'BS（org）'!L47</f>
        <v>0.16200000000000001</v>
      </c>
      <c r="L38" s="327">
        <f>'BS（org）'!M47</f>
        <v>0</v>
      </c>
      <c r="M38" s="327">
        <f>'BS（org）'!N47</f>
        <v>0</v>
      </c>
      <c r="N38" s="327">
        <f>'BS（org）'!O47</f>
        <v>0</v>
      </c>
      <c r="O38" s="327">
        <f>'BS（org）'!P47</f>
        <v>0</v>
      </c>
      <c r="P38" s="327">
        <f>'BS（org）'!Q47</f>
        <v>0</v>
      </c>
      <c r="Q38" s="327">
        <f>'BS（org）'!R47</f>
        <v>0</v>
      </c>
      <c r="R38" s="327">
        <f>'BS（org）'!S47</f>
        <v>0</v>
      </c>
      <c r="S38" s="327">
        <f>'BS（org）'!T47</f>
        <v>0</v>
      </c>
      <c r="T38" s="327">
        <f>'BS（org）'!U47</f>
        <v>0</v>
      </c>
      <c r="U38" s="327">
        <f>'BS（org）'!V47</f>
        <v>0</v>
      </c>
      <c r="V38" s="327">
        <f>'BS（org）'!W47</f>
        <v>0</v>
      </c>
      <c r="W38" s="327">
        <f>'BS（org）'!X47</f>
        <v>0</v>
      </c>
      <c r="X38" s="344">
        <f t="shared" si="48"/>
        <v>0</v>
      </c>
      <c r="Y38" s="344">
        <f t="shared" si="48"/>
        <v>0</v>
      </c>
      <c r="Z38" s="344">
        <f t="shared" si="48"/>
        <v>0</v>
      </c>
      <c r="AA38" s="344">
        <f t="shared" si="48"/>
        <v>0</v>
      </c>
      <c r="AB38" s="344">
        <f t="shared" si="48"/>
        <v>0</v>
      </c>
      <c r="AC38" s="344">
        <f t="shared" si="48"/>
        <v>0</v>
      </c>
      <c r="AD38" s="344">
        <f t="shared" ref="AD38" si="58">AC38</f>
        <v>0</v>
      </c>
      <c r="AE38" s="344">
        <f t="shared" ref="AE38" si="59">AD38</f>
        <v>0</v>
      </c>
      <c r="AF38" s="344">
        <f t="shared" ref="AF38:AG38" si="60">AE38</f>
        <v>0</v>
      </c>
      <c r="AG38" s="344">
        <f t="shared" si="60"/>
        <v>0</v>
      </c>
    </row>
    <row r="39" spans="1:33" x14ac:dyDescent="0.4">
      <c r="A39" s="310" t="s">
        <v>634</v>
      </c>
      <c r="B39" s="354" t="s">
        <v>729</v>
      </c>
      <c r="C39" s="326"/>
      <c r="D39" s="327">
        <f>'BS（org）'!E48</f>
        <v>1701.104</v>
      </c>
      <c r="E39" s="327">
        <f>'BS（org）'!F48</f>
        <v>1545</v>
      </c>
      <c r="F39" s="327">
        <f>'BS（org）'!G48</f>
        <v>1900.1690000000001</v>
      </c>
      <c r="G39" s="327">
        <f>'BS（org）'!H48</f>
        <v>5746.5730000000003</v>
      </c>
      <c r="H39" s="327">
        <f>'BS（org）'!I48</f>
        <v>3728.1039999999998</v>
      </c>
      <c r="I39" s="327">
        <f>'BS（org）'!J48</f>
        <v>5457.8119999999999</v>
      </c>
      <c r="J39" s="327">
        <f>'BS（org）'!K48</f>
        <v>6716.9129999999996</v>
      </c>
      <c r="K39" s="327">
        <f>'BS（org）'!L48</f>
        <v>8126.183</v>
      </c>
      <c r="L39" s="327">
        <f>'BS（org）'!M48</f>
        <v>7452.4480000000003</v>
      </c>
      <c r="M39" s="327">
        <f>'BS（org）'!N48</f>
        <v>8026.2240000000002</v>
      </c>
      <c r="N39" s="327">
        <f>'BS（org）'!O48</f>
        <v>11484.652</v>
      </c>
      <c r="O39" s="327">
        <f>'BS（org）'!P48</f>
        <v>17593.203000000001</v>
      </c>
      <c r="P39" s="327">
        <f>'BS（org）'!Q48</f>
        <v>17925.707999999999</v>
      </c>
      <c r="Q39" s="327">
        <f>'BS（org）'!R48</f>
        <v>22623.620999999999</v>
      </c>
      <c r="R39" s="327">
        <f>'BS（org）'!S48</f>
        <v>22455.362000000001</v>
      </c>
      <c r="S39" s="327">
        <f>'BS（org）'!T48</f>
        <v>24407.419000000002</v>
      </c>
      <c r="T39" s="327">
        <f>'BS（org）'!U48</f>
        <v>23881.499</v>
      </c>
      <c r="U39" s="327">
        <f>'BS（org）'!V48</f>
        <v>28462.888999999999</v>
      </c>
      <c r="V39" s="327">
        <f>'BS（org）'!W48</f>
        <v>28589.158000000003</v>
      </c>
      <c r="W39" s="327">
        <f>'BS（org）'!X48</f>
        <v>30328.6</v>
      </c>
      <c r="X39" s="327">
        <f ca="1">CF!X36</f>
        <v>31766.567092227957</v>
      </c>
      <c r="Y39" s="327">
        <f ca="1">CF!Y36</f>
        <v>31330.235032460849</v>
      </c>
      <c r="Z39" s="327">
        <f ca="1">CF!Z36</f>
        <v>32454.597221129356</v>
      </c>
      <c r="AA39" s="327">
        <f ca="1">CF!AA36</f>
        <v>30543.195027620815</v>
      </c>
      <c r="AB39" s="327">
        <f ca="1">CF!AB36</f>
        <v>29565.248869291252</v>
      </c>
      <c r="AC39" s="327">
        <f ca="1">CF!AC36</f>
        <v>29016.878187537852</v>
      </c>
      <c r="AD39" s="327">
        <f ca="1">CF!AD36</f>
        <v>29170.609031906384</v>
      </c>
      <c r="AE39" s="327">
        <f ca="1">CF!AE36</f>
        <v>31407.594164965984</v>
      </c>
      <c r="AF39" s="327">
        <f ca="1">CF!AF36</f>
        <v>34353.970887645366</v>
      </c>
      <c r="AG39" s="327">
        <f ca="1">CF!AG36</f>
        <v>37939.176435123612</v>
      </c>
    </row>
    <row r="40" spans="1:33" x14ac:dyDescent="0.35">
      <c r="A40" s="331" t="s">
        <v>2273</v>
      </c>
      <c r="B40" s="1677" t="s">
        <v>3123</v>
      </c>
      <c r="C40" s="326"/>
      <c r="D40" s="327">
        <f>'BS（org）'!E50</f>
        <v>0</v>
      </c>
      <c r="E40" s="327">
        <f>'BS（org）'!F50</f>
        <v>0</v>
      </c>
      <c r="F40" s="327">
        <f>'BS（org）'!G50</f>
        <v>0</v>
      </c>
      <c r="G40" s="327">
        <f>'BS（org）'!H50</f>
        <v>0</v>
      </c>
      <c r="H40" s="327">
        <f>'BS（org）'!I50</f>
        <v>0</v>
      </c>
      <c r="I40" s="327">
        <f>'BS（org）'!J50</f>
        <v>0</v>
      </c>
      <c r="J40" s="327">
        <f>'BS（org）'!K50</f>
        <v>0</v>
      </c>
      <c r="K40" s="327">
        <f>'BS（org）'!L50</f>
        <v>0</v>
      </c>
      <c r="L40" s="327">
        <f>'BS（org）'!M50</f>
        <v>0</v>
      </c>
      <c r="M40" s="327">
        <f>'BS（org）'!N50</f>
        <v>1104.0820000000001</v>
      </c>
      <c r="N40" s="327">
        <f>'BS（org）'!O50</f>
        <v>628.81600000000003</v>
      </c>
      <c r="O40" s="327">
        <f>'BS（org）'!P50</f>
        <v>0</v>
      </c>
      <c r="P40" s="327">
        <f>'BS（org）'!Q50</f>
        <v>338.024</v>
      </c>
      <c r="Q40" s="327">
        <f>'BS（org）'!R50</f>
        <v>327.88299999999998</v>
      </c>
      <c r="R40" s="327">
        <f>'BS（org）'!S50</f>
        <v>342.22199999999998</v>
      </c>
      <c r="S40" s="327">
        <f>'BS（org）'!T50</f>
        <v>618.899</v>
      </c>
      <c r="T40" s="327">
        <f>'BS（org）'!U50</f>
        <v>340.72699999999998</v>
      </c>
      <c r="U40" s="327">
        <f>'BS（org）'!V50</f>
        <v>0</v>
      </c>
      <c r="V40" s="327">
        <f>'BS（org）'!W50</f>
        <v>0</v>
      </c>
      <c r="W40" s="327">
        <f>'BS（org）'!X50</f>
        <v>12.34</v>
      </c>
      <c r="X40" s="327">
        <f>WC!X23</f>
        <v>12.722301227113425</v>
      </c>
      <c r="Y40" s="327">
        <f>WC!Y23</f>
        <v>14.028724441734548</v>
      </c>
      <c r="Z40" s="327">
        <f>WC!Z23</f>
        <v>15.096506671880231</v>
      </c>
      <c r="AA40" s="327">
        <f>WC!AA23</f>
        <v>16.564858610727487</v>
      </c>
      <c r="AB40" s="327">
        <f>WC!AB23</f>
        <v>17.948492467196491</v>
      </c>
      <c r="AC40" s="327">
        <f>WC!AC23</f>
        <v>19.263513807923086</v>
      </c>
      <c r="AD40" s="327">
        <f>WC!AD23</f>
        <v>20.52317164189661</v>
      </c>
      <c r="AE40" s="327">
        <f>WC!AE23</f>
        <v>21.738374549354067</v>
      </c>
      <c r="AF40" s="327">
        <f>WC!AF23</f>
        <v>22.918119323670318</v>
      </c>
      <c r="AG40" s="327">
        <f>WC!AG23</f>
        <v>24.069847906369471</v>
      </c>
    </row>
    <row r="41" spans="1:33" x14ac:dyDescent="0.4">
      <c r="A41" s="337" t="s">
        <v>119</v>
      </c>
      <c r="B41" s="1679" t="s">
        <v>457</v>
      </c>
      <c r="C41" s="338"/>
      <c r="D41" s="339">
        <f t="shared" ref="D41:T41" si="61">SUM(D26:D40)-D33</f>
        <v>5220.34</v>
      </c>
      <c r="E41" s="339">
        <f t="shared" si="61"/>
        <v>6272.3840000000009</v>
      </c>
      <c r="F41" s="339">
        <f t="shared" si="61"/>
        <v>6915.1040000000021</v>
      </c>
      <c r="G41" s="339">
        <f t="shared" si="61"/>
        <v>10457.09</v>
      </c>
      <c r="H41" s="339">
        <f t="shared" si="61"/>
        <v>8916.7669999999998</v>
      </c>
      <c r="I41" s="339">
        <f t="shared" si="61"/>
        <v>14406.746999999999</v>
      </c>
      <c r="J41" s="339">
        <f t="shared" si="61"/>
        <v>20437.889999999996</v>
      </c>
      <c r="K41" s="339">
        <f t="shared" si="61"/>
        <v>29053.372999999985</v>
      </c>
      <c r="L41" s="339">
        <f t="shared" si="61"/>
        <v>34329.607000000004</v>
      </c>
      <c r="M41" s="339">
        <f t="shared" si="61"/>
        <v>32418.46100000001</v>
      </c>
      <c r="N41" s="339">
        <f t="shared" si="61"/>
        <v>40143.720000000008</v>
      </c>
      <c r="O41" s="339">
        <f t="shared" si="61"/>
        <v>55477.637000000017</v>
      </c>
      <c r="P41" s="339">
        <f t="shared" si="61"/>
        <v>60262.668000000005</v>
      </c>
      <c r="Q41" s="339">
        <f t="shared" si="61"/>
        <v>75499.641000000003</v>
      </c>
      <c r="R41" s="339">
        <f t="shared" si="61"/>
        <v>88007.041000000012</v>
      </c>
      <c r="S41" s="339">
        <f t="shared" si="61"/>
        <v>113956.90300000002</v>
      </c>
      <c r="T41" s="339">
        <f t="shared" si="61"/>
        <v>128180.36300000001</v>
      </c>
      <c r="U41" s="339">
        <f t="shared" ref="U41" si="62">SUM(U26:U40)-U33</f>
        <v>147923.28</v>
      </c>
      <c r="V41" s="339">
        <f>SUM(V26:V40)-V33</f>
        <v>170658.64199999999</v>
      </c>
      <c r="W41" s="339">
        <f>SUM(W26:W40)-W33</f>
        <v>183067.30399999995</v>
      </c>
      <c r="X41" s="339">
        <f ca="1">SUM(X26:X40)-X33</f>
        <v>190301.52791073351</v>
      </c>
      <c r="Y41" s="339">
        <f t="shared" ref="Y41:AC41" ca="1" si="63">SUM(Y26:Y40)-Y33</f>
        <v>206818.20304416507</v>
      </c>
      <c r="Z41" s="339">
        <f ca="1">SUM(Z26:Z40)-Z33</f>
        <v>221681.25854640838</v>
      </c>
      <c r="AA41" s="339">
        <f t="shared" ca="1" si="63"/>
        <v>238357.06846713807</v>
      </c>
      <c r="AB41" s="339">
        <f t="shared" ca="1" si="63"/>
        <v>255194.42535925299</v>
      </c>
      <c r="AC41" s="339">
        <f t="shared" ca="1" si="63"/>
        <v>271831.90909852355</v>
      </c>
      <c r="AD41" s="339">
        <f t="shared" ref="AD41:AF41" ca="1" si="64">SUM(AD26:AD40)-AD33</f>
        <v>289145.77921215468</v>
      </c>
      <c r="AE41" s="339">
        <f t="shared" ca="1" si="64"/>
        <v>306780.52997338527</v>
      </c>
      <c r="AF41" s="339">
        <f t="shared" ca="1" si="64"/>
        <v>324757.34539707814</v>
      </c>
      <c r="AG41" s="339">
        <f t="shared" ref="AG41" ca="1" si="65">SUM(AG26:AG40)-AG33</f>
        <v>343093.83219799318</v>
      </c>
    </row>
    <row r="42" spans="1:33" x14ac:dyDescent="0.4">
      <c r="A42" s="323"/>
      <c r="B42" s="1678"/>
      <c r="C42" s="345"/>
      <c r="D42" s="345"/>
      <c r="E42" s="345"/>
      <c r="F42" s="345"/>
      <c r="G42" s="345"/>
      <c r="H42" s="345"/>
      <c r="I42" s="345"/>
      <c r="J42" s="345"/>
      <c r="K42" s="345"/>
      <c r="L42" s="345"/>
      <c r="M42" s="345"/>
      <c r="N42" s="345"/>
      <c r="O42" s="345"/>
      <c r="P42" s="345"/>
      <c r="Q42" s="345"/>
      <c r="R42" s="345"/>
      <c r="S42" s="345"/>
      <c r="T42" s="345"/>
      <c r="U42" s="345"/>
      <c r="V42" s="345"/>
      <c r="W42" s="345"/>
      <c r="X42" s="345"/>
      <c r="Y42" s="345"/>
      <c r="Z42" s="345"/>
      <c r="AA42" s="345"/>
      <c r="AB42" s="345"/>
      <c r="AC42" s="345"/>
      <c r="AD42" s="345"/>
      <c r="AE42" s="345"/>
      <c r="AF42" s="345"/>
      <c r="AG42" s="345"/>
    </row>
    <row r="43" spans="1:33" s="346" customFormat="1" x14ac:dyDescent="0.4">
      <c r="A43" s="337" t="s">
        <v>118</v>
      </c>
      <c r="B43" s="1679" t="s">
        <v>89</v>
      </c>
      <c r="C43" s="338"/>
      <c r="D43" s="339">
        <f t="shared" ref="D43:T43" si="66">D24+D41</f>
        <v>5408.14</v>
      </c>
      <c r="E43" s="339">
        <f t="shared" si="66"/>
        <v>7607.5070000000014</v>
      </c>
      <c r="F43" s="339">
        <f t="shared" si="66"/>
        <v>8983.6640000000025</v>
      </c>
      <c r="G43" s="339">
        <f t="shared" si="66"/>
        <v>13159.482</v>
      </c>
      <c r="H43" s="339">
        <f t="shared" si="66"/>
        <v>18679.421999999999</v>
      </c>
      <c r="I43" s="339">
        <f t="shared" si="66"/>
        <v>26733.144</v>
      </c>
      <c r="J43" s="339">
        <f t="shared" si="66"/>
        <v>37212.794999999998</v>
      </c>
      <c r="K43" s="339">
        <f t="shared" si="66"/>
        <v>52450.66399999999</v>
      </c>
      <c r="L43" s="339">
        <f t="shared" si="66"/>
        <v>66579.107000000004</v>
      </c>
      <c r="M43" s="339">
        <f t="shared" si="66"/>
        <v>73104.095000000001</v>
      </c>
      <c r="N43" s="339">
        <f t="shared" si="66"/>
        <v>86174.445000000007</v>
      </c>
      <c r="O43" s="339">
        <f t="shared" si="66"/>
        <v>118518.27300000002</v>
      </c>
      <c r="P43" s="339">
        <f t="shared" si="66"/>
        <v>136122.09100000001</v>
      </c>
      <c r="Q43" s="339">
        <f t="shared" si="66"/>
        <v>161423.90299999999</v>
      </c>
      <c r="R43" s="339">
        <f t="shared" si="66"/>
        <v>186811.30700000003</v>
      </c>
      <c r="S43" s="339">
        <f t="shared" si="66"/>
        <v>219284.42499999999</v>
      </c>
      <c r="T43" s="339">
        <f t="shared" si="66"/>
        <v>228850.12900000002</v>
      </c>
      <c r="U43" s="339">
        <f t="shared" ref="U43:V43" si="67">U24+U41</f>
        <v>249274.685</v>
      </c>
      <c r="V43" s="339">
        <f t="shared" si="67"/>
        <v>263437.88199999998</v>
      </c>
      <c r="W43" s="339">
        <f>W24+W41</f>
        <v>280689.32599999994</v>
      </c>
      <c r="X43" s="339">
        <f ca="1">X24+X41</f>
        <v>291917.89457573253</v>
      </c>
      <c r="Y43" s="339">
        <f t="shared" ref="Y43:AC43" ca="1" si="68">Y24+Y41</f>
        <v>314085.16725305503</v>
      </c>
      <c r="Z43" s="339">
        <f t="shared" ca="1" si="68"/>
        <v>334360.26275684626</v>
      </c>
      <c r="AA43" s="339">
        <f t="shared" ca="1" si="68"/>
        <v>358204.94254972495</v>
      </c>
      <c r="AB43" s="339">
        <f t="shared" ca="1" si="68"/>
        <v>381806.71884773887</v>
      </c>
      <c r="AC43" s="339">
        <f t="shared" ca="1" si="68"/>
        <v>405298.78798915277</v>
      </c>
      <c r="AD43" s="339">
        <f t="shared" ref="AD43:AF43" ca="1" si="69">AD24+AD41</f>
        <v>428779.66360965359</v>
      </c>
      <c r="AE43" s="339">
        <f t="shared" ca="1" si="69"/>
        <v>452337.53080776939</v>
      </c>
      <c r="AF43" s="339">
        <f t="shared" ca="1" si="69"/>
        <v>476029.03476747987</v>
      </c>
      <c r="AG43" s="339">
        <f t="shared" ref="AG43" ca="1" si="70">AG24+AG41</f>
        <v>499900.66564625822</v>
      </c>
    </row>
    <row r="44" spans="1:33" s="347" customFormat="1" x14ac:dyDescent="0.4">
      <c r="A44" s="348" t="s">
        <v>749</v>
      </c>
      <c r="B44" s="1701" t="s">
        <v>749</v>
      </c>
      <c r="C44" s="349"/>
      <c r="D44" s="349"/>
      <c r="E44" s="349">
        <f t="shared" ref="E44:AC44" si="71">E43/D43-1</f>
        <v>0.40667715702626062</v>
      </c>
      <c r="F44" s="349">
        <f t="shared" si="71"/>
        <v>0.18089460844400151</v>
      </c>
      <c r="G44" s="349">
        <f t="shared" si="71"/>
        <v>0.46482348404837892</v>
      </c>
      <c r="H44" s="349">
        <f t="shared" si="71"/>
        <v>0.41946483911752752</v>
      </c>
      <c r="I44" s="349">
        <f t="shared" si="71"/>
        <v>0.43115477555997184</v>
      </c>
      <c r="J44" s="349">
        <f t="shared" si="71"/>
        <v>0.39200967158969391</v>
      </c>
      <c r="K44" s="349">
        <f t="shared" si="71"/>
        <v>0.40947929334520539</v>
      </c>
      <c r="L44" s="349">
        <f t="shared" si="71"/>
        <v>0.26936633252154851</v>
      </c>
      <c r="M44" s="349">
        <f t="shared" si="71"/>
        <v>9.800353735594558E-2</v>
      </c>
      <c r="N44" s="349">
        <f t="shared" si="71"/>
        <v>0.17879094187541766</v>
      </c>
      <c r="O44" s="349">
        <f t="shared" si="71"/>
        <v>0.37532969315903353</v>
      </c>
      <c r="P44" s="349">
        <f t="shared" si="71"/>
        <v>0.14853252206940271</v>
      </c>
      <c r="Q44" s="349">
        <f t="shared" si="71"/>
        <v>0.18587586933262701</v>
      </c>
      <c r="R44" s="349">
        <f t="shared" si="71"/>
        <v>0.15727165263746623</v>
      </c>
      <c r="S44" s="349">
        <f t="shared" si="71"/>
        <v>0.17382843962437433</v>
      </c>
      <c r="T44" s="349">
        <f t="shared" si="71"/>
        <v>4.3622359408334699E-2</v>
      </c>
      <c r="U44" s="349">
        <f t="shared" si="71"/>
        <v>8.9248610386406968E-2</v>
      </c>
      <c r="V44" s="349">
        <f t="shared" si="71"/>
        <v>5.6817630719300682E-2</v>
      </c>
      <c r="W44" s="349">
        <f t="shared" si="71"/>
        <v>6.5485813463987519E-2</v>
      </c>
      <c r="X44" s="349">
        <f t="shared" ca="1" si="71"/>
        <v>4.0003546753083929E-2</v>
      </c>
      <c r="Y44" s="349">
        <f t="shared" ca="1" si="71"/>
        <v>7.5936669485575647E-2</v>
      </c>
      <c r="Z44" s="349">
        <f t="shared" ca="1" si="71"/>
        <v>6.455285896215468E-2</v>
      </c>
      <c r="AA44" s="349">
        <f t="shared" ca="1" si="71"/>
        <v>7.1314335011810392E-2</v>
      </c>
      <c r="AB44" s="349">
        <f t="shared" ca="1" si="71"/>
        <v>6.588903025741355E-2</v>
      </c>
      <c r="AC44" s="349">
        <f t="shared" ca="1" si="71"/>
        <v>6.1528694969829267E-2</v>
      </c>
      <c r="AD44" s="349">
        <f t="shared" ref="AD44" ca="1" si="72">AD43/AC43-1</f>
        <v>5.793472943010447E-2</v>
      </c>
      <c r="AE44" s="349">
        <f t="shared" ref="AE44" ca="1" si="73">AE43/AD43-1</f>
        <v>5.4941661644573925E-2</v>
      </c>
      <c r="AF44" s="349">
        <f t="shared" ref="AF44:AG44" ca="1" si="74">AF43/AE43-1</f>
        <v>5.2375720222469724E-2</v>
      </c>
      <c r="AG44" s="349">
        <f t="shared" ca="1" si="74"/>
        <v>5.0147426176301746E-2</v>
      </c>
    </row>
    <row r="45" spans="1:33" s="350" customFormat="1" x14ac:dyDescent="0.4">
      <c r="A45" s="351"/>
      <c r="B45" s="1719"/>
      <c r="C45" s="352"/>
      <c r="D45" s="352"/>
      <c r="E45" s="352"/>
      <c r="F45" s="352"/>
      <c r="G45" s="352"/>
      <c r="H45" s="352"/>
      <c r="I45" s="352"/>
      <c r="J45" s="352"/>
      <c r="K45" s="352"/>
      <c r="L45" s="351"/>
      <c r="M45" s="351"/>
      <c r="N45" s="351"/>
      <c r="O45" s="351"/>
      <c r="P45" s="351"/>
      <c r="Q45" s="351"/>
      <c r="R45" s="351"/>
      <c r="S45" s="351"/>
      <c r="T45" s="351"/>
      <c r="U45" s="351"/>
      <c r="V45" s="351"/>
      <c r="W45" s="351"/>
      <c r="X45" s="351"/>
      <c r="Y45" s="351"/>
      <c r="Z45" s="351"/>
      <c r="AA45" s="351"/>
      <c r="AB45" s="351"/>
      <c r="AC45" s="351"/>
      <c r="AD45" s="351"/>
      <c r="AE45" s="351"/>
      <c r="AF45" s="351"/>
      <c r="AG45" s="351"/>
    </row>
    <row r="46" spans="1:33" x14ac:dyDescent="0.4">
      <c r="A46" s="323" t="s">
        <v>557</v>
      </c>
      <c r="B46" s="1678" t="s">
        <v>120</v>
      </c>
      <c r="C46" s="324"/>
      <c r="D46" s="324"/>
      <c r="E46" s="324"/>
      <c r="F46" s="324"/>
      <c r="G46" s="324"/>
      <c r="H46" s="324"/>
      <c r="I46" s="324"/>
      <c r="J46" s="324"/>
      <c r="K46" s="324"/>
    </row>
    <row r="47" spans="1:33" outlineLevel="1" x14ac:dyDescent="0.4">
      <c r="A47" s="312" t="s">
        <v>41</v>
      </c>
      <c r="B47" s="1677" t="s">
        <v>40</v>
      </c>
      <c r="C47" s="332"/>
      <c r="D47" s="328">
        <f>'BS（org）'!E57</f>
        <v>0</v>
      </c>
      <c r="E47" s="328">
        <f>'BS（org）'!F57</f>
        <v>118.593</v>
      </c>
      <c r="F47" s="328">
        <f>'BS（org）'!G57</f>
        <v>165.32</v>
      </c>
      <c r="G47" s="328">
        <f>'BS（org）'!H57</f>
        <v>180.48</v>
      </c>
      <c r="H47" s="328">
        <f>'BS（org）'!I57</f>
        <v>244.047</v>
      </c>
      <c r="I47" s="328">
        <f>'BS（org）'!J57</f>
        <v>421.93799999999999</v>
      </c>
      <c r="J47" s="328">
        <f>'BS（org）'!K57</f>
        <v>520.79100000000005</v>
      </c>
      <c r="K47" s="328">
        <f>'BS（org）'!L57</f>
        <v>638.80200000000002</v>
      </c>
      <c r="L47" s="328">
        <f>'BS（org）'!M57</f>
        <v>735.80799999999999</v>
      </c>
      <c r="M47" s="328">
        <f>'BS（org）'!N57</f>
        <v>738.61</v>
      </c>
      <c r="N47" s="328">
        <f>'BS（org）'!O57</f>
        <v>699.08799999999997</v>
      </c>
      <c r="O47" s="328">
        <f>'BS（org）'!P57</f>
        <v>0</v>
      </c>
      <c r="P47" s="328">
        <f>'BS（org）'!Q57</f>
        <v>0</v>
      </c>
      <c r="Q47" s="328">
        <f>'BS（org）'!R57</f>
        <v>0</v>
      </c>
      <c r="R47" s="328">
        <f>'BS（org）'!S57</f>
        <v>0</v>
      </c>
      <c r="S47" s="328">
        <f>'BS（org）'!T57</f>
        <v>0</v>
      </c>
      <c r="T47" s="328">
        <f>'BS（org）'!U57</f>
        <v>0</v>
      </c>
      <c r="U47" s="328">
        <f>'BS（org）'!V57</f>
        <v>0</v>
      </c>
      <c r="V47" s="328">
        <f>'BS（org）'!W57</f>
        <v>0</v>
      </c>
      <c r="W47" s="328">
        <f>'BS（org）'!X57</f>
        <v>0</v>
      </c>
      <c r="X47" s="333"/>
      <c r="Y47" s="333"/>
      <c r="Z47" s="333"/>
      <c r="AA47" s="333"/>
      <c r="AB47" s="333"/>
      <c r="AC47" s="333"/>
      <c r="AD47" s="333"/>
      <c r="AE47" s="333"/>
      <c r="AF47" s="333"/>
      <c r="AG47" s="333"/>
    </row>
    <row r="48" spans="1:33" x14ac:dyDescent="0.4">
      <c r="A48" s="312"/>
      <c r="B48" s="1677" t="s">
        <v>2020</v>
      </c>
      <c r="C48" s="332"/>
      <c r="D48" s="328"/>
      <c r="E48" s="328"/>
      <c r="F48" s="328"/>
      <c r="G48" s="328"/>
      <c r="H48" s="328"/>
      <c r="I48" s="328"/>
      <c r="J48" s="328"/>
      <c r="K48" s="328"/>
      <c r="L48" s="328"/>
      <c r="M48" s="328"/>
      <c r="N48" s="328"/>
      <c r="O48" s="328"/>
      <c r="P48" s="328">
        <f>'BS（org）'!Q60</f>
        <v>740.01</v>
      </c>
      <c r="Q48" s="328">
        <f>'BS（org）'!R60</f>
        <v>688.21</v>
      </c>
      <c r="R48" s="328">
        <f>'BS（org）'!S60</f>
        <v>656.125</v>
      </c>
      <c r="S48" s="328">
        <f>'BS（org）'!T60</f>
        <v>667.10599999999999</v>
      </c>
      <c r="T48" s="328">
        <f>'BS（org）'!U60</f>
        <v>663.89800000000002</v>
      </c>
      <c r="U48" s="328">
        <f>'BS（org）'!V60</f>
        <v>591.47299999999996</v>
      </c>
      <c r="V48" s="328">
        <f>'BS（org）'!W60</f>
        <v>486.41400000000004</v>
      </c>
      <c r="W48" s="328">
        <f>'BS（org）'!X60</f>
        <v>391.48</v>
      </c>
      <c r="X48" s="328">
        <f>WC!X47</f>
        <v>337.06923442183046</v>
      </c>
      <c r="Y48" s="328">
        <f>WC!Y47</f>
        <v>372.74970777340491</v>
      </c>
      <c r="Z48" s="328">
        <f>WC!Z47</f>
        <v>402.78384677927261</v>
      </c>
      <c r="AA48" s="328">
        <f>WC!AA47</f>
        <v>441.22933247876495</v>
      </c>
      <c r="AB48" s="328">
        <f>WC!AB47</f>
        <v>477.55726904012141</v>
      </c>
      <c r="AC48" s="328">
        <f>WC!AC47</f>
        <v>512.19461805781441</v>
      </c>
      <c r="AD48" s="328">
        <f>WC!AD47</f>
        <v>545.49292006034261</v>
      </c>
      <c r="AE48" s="328">
        <f>WC!AE47</f>
        <v>577.74211370944954</v>
      </c>
      <c r="AF48" s="328">
        <f>WC!AF47</f>
        <v>609.18197332874593</v>
      </c>
      <c r="AG48" s="328">
        <f>WC!AG47</f>
        <v>640.0116004061482</v>
      </c>
    </row>
    <row r="49" spans="1:33" x14ac:dyDescent="0.4">
      <c r="A49" s="310" t="s">
        <v>2021</v>
      </c>
      <c r="B49" s="354" t="s">
        <v>42</v>
      </c>
      <c r="C49" s="326"/>
      <c r="D49" s="327">
        <f>'BS（org）'!E58</f>
        <v>0</v>
      </c>
      <c r="E49" s="327">
        <f>'BS（org）'!F58</f>
        <v>67.436999999999998</v>
      </c>
      <c r="F49" s="327">
        <f>'BS（org）'!G58</f>
        <v>71.132999999999996</v>
      </c>
      <c r="G49" s="327">
        <f>'BS（org）'!H58</f>
        <v>93.218999999999994</v>
      </c>
      <c r="H49" s="327">
        <f>'BS（org）'!I58</f>
        <v>228.81299999999999</v>
      </c>
      <c r="I49" s="327">
        <f>'BS（org）'!J58</f>
        <v>276.01400000000001</v>
      </c>
      <c r="J49" s="327">
        <f>'BS（org）'!K58</f>
        <v>362.26499999999999</v>
      </c>
      <c r="K49" s="327">
        <f>'BS（org）'!L58</f>
        <v>398.32</v>
      </c>
      <c r="L49" s="327">
        <f>'BS（org）'!M58</f>
        <v>389.47699999999998</v>
      </c>
      <c r="M49" s="327">
        <f>'BS（org）'!N58</f>
        <v>406.26499999999999</v>
      </c>
      <c r="N49" s="327">
        <f>'BS（org）'!O58</f>
        <v>348.89100000000002</v>
      </c>
      <c r="O49" s="327">
        <f>'BS（org）'!P58</f>
        <v>446.65500000000003</v>
      </c>
      <c r="P49" s="327">
        <f>'BS（org）'!Q58</f>
        <v>427.08699999999999</v>
      </c>
      <c r="Q49" s="327">
        <f>'BS（org）'!R58</f>
        <v>403.67500000000001</v>
      </c>
      <c r="R49" s="327">
        <f>'BS（org）'!S58</f>
        <v>399.89800000000002</v>
      </c>
      <c r="S49" s="327">
        <f>'BS（org）'!T58</f>
        <v>520.72799999999995</v>
      </c>
      <c r="T49" s="327">
        <f>'BS（org）'!U58</f>
        <v>508.20800000000003</v>
      </c>
      <c r="U49" s="327">
        <f>'BS（org）'!V58</f>
        <v>590.73599999999999</v>
      </c>
      <c r="V49" s="327">
        <f>'BS（org）'!W58</f>
        <v>585.125</v>
      </c>
      <c r="W49" s="327">
        <f>'BS（org）'!X58</f>
        <v>592.59</v>
      </c>
      <c r="X49" s="344">
        <f t="shared" ref="X49:AA49" si="75">W49*1.02</f>
        <v>604.44180000000006</v>
      </c>
      <c r="Y49" s="344">
        <f t="shared" si="75"/>
        <v>616.53063600000007</v>
      </c>
      <c r="Z49" s="344">
        <f t="shared" si="75"/>
        <v>628.86124872000005</v>
      </c>
      <c r="AA49" s="344">
        <f t="shared" si="75"/>
        <v>641.43847369440005</v>
      </c>
      <c r="AB49" s="344">
        <f>AA49</f>
        <v>641.43847369440005</v>
      </c>
      <c r="AC49" s="344">
        <f t="shared" ref="AC49:AG49" si="76">AB49</f>
        <v>641.43847369440005</v>
      </c>
      <c r="AD49" s="344">
        <f t="shared" si="76"/>
        <v>641.43847369440005</v>
      </c>
      <c r="AE49" s="344">
        <f t="shared" si="76"/>
        <v>641.43847369440005</v>
      </c>
      <c r="AF49" s="344">
        <f t="shared" si="76"/>
        <v>641.43847369440005</v>
      </c>
      <c r="AG49" s="344">
        <f t="shared" si="76"/>
        <v>641.43847369440005</v>
      </c>
    </row>
    <row r="50" spans="1:33" x14ac:dyDescent="0.4">
      <c r="A50" s="310" t="s">
        <v>124</v>
      </c>
      <c r="B50" s="354" t="s">
        <v>44</v>
      </c>
      <c r="C50" s="326"/>
      <c r="D50" s="327">
        <f>'BS（org）'!E59</f>
        <v>0</v>
      </c>
      <c r="E50" s="327">
        <f>'BS（org）'!F59</f>
        <v>21.164999999999999</v>
      </c>
      <c r="F50" s="327">
        <f>'BS（org）'!G59</f>
        <v>1000</v>
      </c>
      <c r="G50" s="327">
        <f>'BS（org）'!H59</f>
        <v>1601.931</v>
      </c>
      <c r="H50" s="327">
        <f>'BS（org）'!I59</f>
        <v>2880.3620000000001</v>
      </c>
      <c r="I50" s="327">
        <f>'BS（org）'!J59</f>
        <v>4961.268</v>
      </c>
      <c r="J50" s="327">
        <f>'BS（org）'!K59</f>
        <v>9996.3590000000004</v>
      </c>
      <c r="K50" s="327">
        <f>'BS（org）'!L59</f>
        <v>8600.2579999999998</v>
      </c>
      <c r="L50" s="327">
        <f>'BS（org）'!M59</f>
        <v>10361.804</v>
      </c>
      <c r="M50" s="327">
        <f>'BS（org）'!N59</f>
        <v>13085.694</v>
      </c>
      <c r="N50" s="327">
        <f>'BS（org）'!O59</f>
        <v>15849.056</v>
      </c>
      <c r="O50" s="327">
        <f>'BS（org）'!P59</f>
        <v>20592.442999999999</v>
      </c>
      <c r="P50" s="327">
        <f>'BS（org）'!Q59</f>
        <v>32033.95</v>
      </c>
      <c r="Q50" s="327">
        <f>'BS（org）'!R59</f>
        <v>29347.618000000002</v>
      </c>
      <c r="R50" s="327">
        <f>'BS（org）'!S59</f>
        <v>35488.760999999999</v>
      </c>
      <c r="S50" s="327">
        <f>'BS（org）'!T59</f>
        <v>47848.334999999999</v>
      </c>
      <c r="T50" s="327">
        <f>'BS（org）'!U59</f>
        <v>45457.207000000002</v>
      </c>
      <c r="U50" s="327">
        <f>'BS（org）'!V59</f>
        <v>51310.455999999998</v>
      </c>
      <c r="V50" s="327">
        <f>'BS（org）'!W59</f>
        <v>54780.475999999995</v>
      </c>
      <c r="W50" s="327">
        <f>'BS（org）'!X59</f>
        <v>57061.599999999999</v>
      </c>
      <c r="X50" s="327">
        <f>Financing!X8</f>
        <v>59388.34648</v>
      </c>
      <c r="Y50" s="327">
        <f>Financing!Y8</f>
        <v>61761.6278896</v>
      </c>
      <c r="Z50" s="327">
        <f>Financing!Z8</f>
        <v>64182.374927392004</v>
      </c>
      <c r="AA50" s="327">
        <f>Financing!AA8</f>
        <v>66651.536905939851</v>
      </c>
      <c r="AB50" s="327">
        <f>Financing!AB8</f>
        <v>69170.082124058652</v>
      </c>
      <c r="AC50" s="327">
        <f>Financing!AC8</f>
        <v>71738.998246539835</v>
      </c>
      <c r="AD50" s="327">
        <f>Financing!AD8</f>
        <v>74359.292691470633</v>
      </c>
      <c r="AE50" s="327">
        <f>Financing!AE8</f>
        <v>77031.993025300049</v>
      </c>
      <c r="AF50" s="327">
        <f>Financing!AF8</f>
        <v>79758.147365806057</v>
      </c>
      <c r="AG50" s="327">
        <f>Financing!AG8</f>
        <v>82538.824793122185</v>
      </c>
    </row>
    <row r="51" spans="1:33" x14ac:dyDescent="0.4">
      <c r="A51" s="310" t="s">
        <v>47</v>
      </c>
      <c r="B51" s="354" t="s">
        <v>46</v>
      </c>
      <c r="C51" s="326"/>
      <c r="D51" s="327">
        <f>'BS（org）'!E61</f>
        <v>0.27800000000000002</v>
      </c>
      <c r="E51" s="327">
        <f>'BS（org）'!F61</f>
        <v>0.10299999999999999</v>
      </c>
      <c r="F51" s="327">
        <f>'BS（org）'!G61</f>
        <v>7.3999999999999996E-2</v>
      </c>
      <c r="G51" s="327">
        <f>'BS（org）'!H61</f>
        <v>0</v>
      </c>
      <c r="H51" s="327">
        <f>'BS（org）'!I61</f>
        <v>0</v>
      </c>
      <c r="I51" s="327">
        <f>'BS（org）'!J61</f>
        <v>0</v>
      </c>
      <c r="J51" s="327">
        <f>'BS（org）'!K61</f>
        <v>4.9379999999999997</v>
      </c>
      <c r="K51" s="327">
        <f>'BS（org）'!L61</f>
        <v>4.28</v>
      </c>
      <c r="L51" s="327">
        <f>'BS（org）'!M61</f>
        <v>3.48</v>
      </c>
      <c r="M51" s="327">
        <f>'BS（org）'!N61</f>
        <v>2.7189999999999999</v>
      </c>
      <c r="N51" s="327">
        <f>'BS（org）'!O61</f>
        <v>2.1389999999999998</v>
      </c>
      <c r="O51" s="327">
        <f>'BS（org）'!P61</f>
        <v>2.4990000000000001</v>
      </c>
      <c r="P51" s="327">
        <f>'BS（org）'!Q61</f>
        <v>1.8420000000000001</v>
      </c>
      <c r="Q51" s="327">
        <f>'BS（org）'!R61</f>
        <v>43.152000000000001</v>
      </c>
      <c r="R51" s="327">
        <f>'BS（org）'!S61</f>
        <v>24.882000000000001</v>
      </c>
      <c r="S51" s="327">
        <f>'BS（org）'!T61</f>
        <v>58.454000000000001</v>
      </c>
      <c r="T51" s="327">
        <f>'BS（org）'!U61</f>
        <v>112.19499999999999</v>
      </c>
      <c r="U51" s="327">
        <f>'BS（org）'!V61</f>
        <v>116.76</v>
      </c>
      <c r="V51" s="327">
        <f>'BS（org）'!W61</f>
        <v>181.65099999999998</v>
      </c>
      <c r="W51" s="327">
        <f>'BS（org）'!X61</f>
        <v>203.13</v>
      </c>
      <c r="X51" s="344">
        <f t="shared" ref="X51:AC51" si="77">W51*0.99</f>
        <v>201.09869999999998</v>
      </c>
      <c r="Y51" s="344">
        <f t="shared" si="77"/>
        <v>199.08771299999998</v>
      </c>
      <c r="Z51" s="344">
        <f t="shared" si="77"/>
        <v>197.09683586999998</v>
      </c>
      <c r="AA51" s="344">
        <f t="shared" si="77"/>
        <v>195.12586751129999</v>
      </c>
      <c r="AB51" s="344">
        <f t="shared" si="77"/>
        <v>193.17460883618699</v>
      </c>
      <c r="AC51" s="344">
        <f t="shared" si="77"/>
        <v>191.24286274782511</v>
      </c>
      <c r="AD51" s="344">
        <f t="shared" ref="AD51" si="78">AC51*0.99</f>
        <v>189.33043412034687</v>
      </c>
      <c r="AE51" s="344">
        <f t="shared" ref="AE51" si="79">AD51*0.99</f>
        <v>187.43712977914339</v>
      </c>
      <c r="AF51" s="344">
        <f t="shared" ref="AF51:AG51" si="80">AE51*0.99</f>
        <v>185.56275848135195</v>
      </c>
      <c r="AG51" s="344">
        <f t="shared" si="80"/>
        <v>183.70713089653842</v>
      </c>
    </row>
    <row r="52" spans="1:33" x14ac:dyDescent="0.4">
      <c r="A52" s="310" t="s">
        <v>2274</v>
      </c>
      <c r="B52" s="354" t="s">
        <v>3065</v>
      </c>
      <c r="C52" s="326"/>
      <c r="D52" s="327">
        <f>'BS（org）'!E62</f>
        <v>0</v>
      </c>
      <c r="E52" s="327">
        <f>'BS（org）'!F62</f>
        <v>0</v>
      </c>
      <c r="F52" s="327">
        <f>'BS（org）'!G62</f>
        <v>0</v>
      </c>
      <c r="G52" s="327">
        <f>'BS（org）'!H62</f>
        <v>1703.578</v>
      </c>
      <c r="H52" s="327">
        <f>'BS（org）'!I62</f>
        <v>2470.5369999999998</v>
      </c>
      <c r="I52" s="327">
        <f>'BS（org）'!J62</f>
        <v>0</v>
      </c>
      <c r="J52" s="327">
        <f>'BS（org）'!K62</f>
        <v>0</v>
      </c>
      <c r="K52" s="327">
        <f>'BS（org）'!L62</f>
        <v>0</v>
      </c>
      <c r="L52" s="327">
        <f>'BS（org）'!M62</f>
        <v>0</v>
      </c>
      <c r="M52" s="327">
        <f>'BS（org）'!N62</f>
        <v>0</v>
      </c>
      <c r="N52" s="327">
        <f>'BS（org）'!O62</f>
        <v>0</v>
      </c>
      <c r="O52" s="327">
        <f>'BS（org）'!P62</f>
        <v>0</v>
      </c>
      <c r="P52" s="327">
        <f>'BS（org）'!Q62</f>
        <v>0</v>
      </c>
      <c r="Q52" s="327">
        <f>'BS（org）'!R62</f>
        <v>2711.864</v>
      </c>
      <c r="R52" s="327">
        <f>'BS（org）'!S62</f>
        <v>2843.6019999999999</v>
      </c>
      <c r="S52" s="327">
        <f>'BS（org）'!T62</f>
        <v>2955.665</v>
      </c>
      <c r="T52" s="327">
        <f>'BS（org）'!U62</f>
        <v>2727.2730000000001</v>
      </c>
      <c r="U52" s="327">
        <f>'BS（org）'!V62</f>
        <v>0</v>
      </c>
      <c r="V52" s="327">
        <f>'BS（org）'!W62</f>
        <v>0</v>
      </c>
      <c r="W52" s="327">
        <f>'BS（org）'!X62</f>
        <v>0</v>
      </c>
      <c r="X52" s="344">
        <f t="shared" ref="X52:AC52" si="81">W52</f>
        <v>0</v>
      </c>
      <c r="Y52" s="344">
        <f t="shared" si="81"/>
        <v>0</v>
      </c>
      <c r="Z52" s="344">
        <f t="shared" si="81"/>
        <v>0</v>
      </c>
      <c r="AA52" s="344">
        <f t="shared" si="81"/>
        <v>0</v>
      </c>
      <c r="AB52" s="344">
        <f t="shared" si="81"/>
        <v>0</v>
      </c>
      <c r="AC52" s="344">
        <f t="shared" si="81"/>
        <v>0</v>
      </c>
      <c r="AD52" s="344">
        <f t="shared" ref="AD52" si="82">AC52</f>
        <v>0</v>
      </c>
      <c r="AE52" s="344">
        <f t="shared" ref="AE52" si="83">AD52</f>
        <v>0</v>
      </c>
      <c r="AF52" s="344">
        <f t="shared" ref="AF52:AG52" si="84">AE52</f>
        <v>0</v>
      </c>
      <c r="AG52" s="344">
        <f t="shared" si="84"/>
        <v>0</v>
      </c>
    </row>
    <row r="53" spans="1:33" x14ac:dyDescent="0.35">
      <c r="A53" s="331" t="s">
        <v>2275</v>
      </c>
      <c r="B53" s="354" t="s">
        <v>3066</v>
      </c>
      <c r="C53" s="326"/>
      <c r="D53" s="327">
        <f>'BS（org）'!E63</f>
        <v>0</v>
      </c>
      <c r="E53" s="327">
        <f>'BS（org）'!F63</f>
        <v>0</v>
      </c>
      <c r="F53" s="327">
        <f>'BS（org）'!G63</f>
        <v>0</v>
      </c>
      <c r="G53" s="327">
        <f>'BS（org）'!H63</f>
        <v>0</v>
      </c>
      <c r="H53" s="327">
        <f>'BS（org）'!I63</f>
        <v>0</v>
      </c>
      <c r="I53" s="327">
        <f>'BS（org）'!J63</f>
        <v>0</v>
      </c>
      <c r="J53" s="327">
        <f>'BS（org）'!K63</f>
        <v>0</v>
      </c>
      <c r="K53" s="327">
        <f>'BS（org）'!L63</f>
        <v>3860.2860000000001</v>
      </c>
      <c r="L53" s="327">
        <f>'BS（org）'!M63</f>
        <v>3869.8040000000001</v>
      </c>
      <c r="M53" s="327">
        <f>'BS（org）'!N63</f>
        <v>3879.3220000000001</v>
      </c>
      <c r="N53" s="327">
        <f>'BS（org）'!O63</f>
        <v>3888.8389999999999</v>
      </c>
      <c r="O53" s="327">
        <f>'BS（org）'!P63</f>
        <v>6206.0529999999999</v>
      </c>
      <c r="P53" s="327">
        <f>'BS（org）'!Q63</f>
        <v>6210.9629999999997</v>
      </c>
      <c r="Q53" s="327">
        <f>'BS（org）'!R63</f>
        <v>6216.049</v>
      </c>
      <c r="R53" s="327">
        <f>'BS（org）'!S63</f>
        <v>9179</v>
      </c>
      <c r="S53" s="327">
        <f>'BS（org）'!T63</f>
        <v>8095.4179999999997</v>
      </c>
      <c r="T53" s="327">
        <f>'BS（org）'!U63</f>
        <v>8760.2520000000004</v>
      </c>
      <c r="U53" s="327">
        <f>'BS（org）'!V63</f>
        <v>7008.5910000000003</v>
      </c>
      <c r="V53" s="327">
        <f>'BS（org）'!W63</f>
        <v>10342.598</v>
      </c>
      <c r="W53" s="327">
        <f>'BS（org）'!X63</f>
        <v>12144.64</v>
      </c>
      <c r="X53" s="353">
        <f>W53*1.05</f>
        <v>12751.871999999999</v>
      </c>
      <c r="Y53" s="353">
        <f t="shared" ref="Y53:AG53" si="85">X53*1.05</f>
        <v>13389.4656</v>
      </c>
      <c r="Z53" s="353">
        <f t="shared" si="85"/>
        <v>14058.93888</v>
      </c>
      <c r="AA53" s="353">
        <f t="shared" si="85"/>
        <v>14761.885824000001</v>
      </c>
      <c r="AB53" s="353">
        <f t="shared" si="85"/>
        <v>15499.980115200002</v>
      </c>
      <c r="AC53" s="353">
        <f t="shared" si="85"/>
        <v>16274.979120960003</v>
      </c>
      <c r="AD53" s="353">
        <f t="shared" si="85"/>
        <v>17088.728077008003</v>
      </c>
      <c r="AE53" s="353">
        <f t="shared" si="85"/>
        <v>17943.164480858406</v>
      </c>
      <c r="AF53" s="353">
        <f t="shared" si="85"/>
        <v>18840.322704901326</v>
      </c>
      <c r="AG53" s="353">
        <f t="shared" si="85"/>
        <v>19782.338840146393</v>
      </c>
    </row>
    <row r="54" spans="1:33" x14ac:dyDescent="0.35">
      <c r="A54" s="331"/>
      <c r="B54" s="354" t="s">
        <v>2872</v>
      </c>
      <c r="C54" s="326"/>
      <c r="D54" s="327"/>
      <c r="E54" s="327"/>
      <c r="F54" s="327"/>
      <c r="G54" s="327"/>
      <c r="H54" s="327"/>
      <c r="I54" s="327"/>
      <c r="J54" s="327"/>
      <c r="K54" s="327"/>
      <c r="L54" s="327"/>
      <c r="M54" s="327"/>
      <c r="N54" s="327">
        <f>'BS（org）'!O64</f>
        <v>0</v>
      </c>
      <c r="O54" s="327">
        <f>'BS（org）'!P64</f>
        <v>0</v>
      </c>
      <c r="P54" s="327">
        <f>'BS（org）'!Q64</f>
        <v>0</v>
      </c>
      <c r="Q54" s="327">
        <f>'BS（org）'!R64</f>
        <v>0</v>
      </c>
      <c r="R54" s="327">
        <f>'BS（org）'!S64</f>
        <v>0</v>
      </c>
      <c r="S54" s="327">
        <f>'BS（org）'!T64</f>
        <v>0</v>
      </c>
      <c r="T54" s="327">
        <f>'BS（org）'!U64</f>
        <v>0</v>
      </c>
      <c r="U54" s="327">
        <f>'BS（org）'!V64</f>
        <v>23.555</v>
      </c>
      <c r="V54" s="327">
        <f>'BS（org）'!W64</f>
        <v>28.036999999999999</v>
      </c>
      <c r="W54" s="327">
        <f>'BS（org）'!X64</f>
        <v>34.53</v>
      </c>
      <c r="X54" s="353">
        <f t="shared" ref="X54:AC54" si="86">W54</f>
        <v>34.53</v>
      </c>
      <c r="Y54" s="353">
        <f t="shared" si="86"/>
        <v>34.53</v>
      </c>
      <c r="Z54" s="353">
        <f t="shared" si="86"/>
        <v>34.53</v>
      </c>
      <c r="AA54" s="353">
        <f t="shared" si="86"/>
        <v>34.53</v>
      </c>
      <c r="AB54" s="353">
        <f t="shared" si="86"/>
        <v>34.53</v>
      </c>
      <c r="AC54" s="353">
        <f t="shared" si="86"/>
        <v>34.53</v>
      </c>
      <c r="AD54" s="353">
        <f t="shared" ref="AD54" si="87">AC54</f>
        <v>34.53</v>
      </c>
      <c r="AE54" s="353">
        <f t="shared" ref="AE54" si="88">AD54</f>
        <v>34.53</v>
      </c>
      <c r="AF54" s="353">
        <f t="shared" ref="AF54:AG54" si="89">AE54</f>
        <v>34.53</v>
      </c>
      <c r="AG54" s="353">
        <f t="shared" si="89"/>
        <v>34.53</v>
      </c>
    </row>
    <row r="55" spans="1:33" x14ac:dyDescent="0.35">
      <c r="A55" s="331"/>
      <c r="C55" s="326"/>
      <c r="D55" s="327"/>
      <c r="E55" s="327"/>
      <c r="F55" s="327"/>
      <c r="G55" s="327"/>
      <c r="H55" s="327"/>
      <c r="I55" s="327"/>
      <c r="J55" s="327"/>
      <c r="K55" s="327"/>
      <c r="L55" s="327"/>
      <c r="M55" s="327"/>
      <c r="N55" s="327"/>
      <c r="O55" s="327"/>
      <c r="P55" s="327"/>
      <c r="Q55" s="327"/>
      <c r="R55" s="327"/>
      <c r="S55" s="327"/>
      <c r="T55" s="327"/>
      <c r="U55" s="327"/>
      <c r="V55" s="327"/>
      <c r="W55" s="327"/>
      <c r="X55" s="353"/>
      <c r="Y55" s="353"/>
      <c r="Z55" s="353"/>
      <c r="AA55" s="353"/>
      <c r="AB55" s="353"/>
      <c r="AC55" s="353"/>
      <c r="AD55" s="353"/>
      <c r="AE55" s="353"/>
      <c r="AF55" s="353"/>
      <c r="AG55" s="353"/>
    </row>
    <row r="56" spans="1:33" x14ac:dyDescent="0.4">
      <c r="A56" s="337" t="s">
        <v>123</v>
      </c>
      <c r="B56" s="1679" t="s">
        <v>553</v>
      </c>
      <c r="C56" s="338"/>
      <c r="D56" s="339">
        <f t="shared" ref="D56:M56" si="90">SUM(D47:D53)</f>
        <v>0.27800000000000002</v>
      </c>
      <c r="E56" s="339">
        <f t="shared" si="90"/>
        <v>207.298</v>
      </c>
      <c r="F56" s="339">
        <f t="shared" si="90"/>
        <v>1236.527</v>
      </c>
      <c r="G56" s="339">
        <f t="shared" si="90"/>
        <v>3579.2080000000001</v>
      </c>
      <c r="H56" s="339">
        <f t="shared" si="90"/>
        <v>5823.759</v>
      </c>
      <c r="I56" s="339">
        <f t="shared" si="90"/>
        <v>5659.22</v>
      </c>
      <c r="J56" s="339">
        <f t="shared" si="90"/>
        <v>10884.353000000001</v>
      </c>
      <c r="K56" s="339">
        <f t="shared" si="90"/>
        <v>13501.946</v>
      </c>
      <c r="L56" s="339">
        <f t="shared" si="90"/>
        <v>15360.373</v>
      </c>
      <c r="M56" s="339">
        <f t="shared" si="90"/>
        <v>18112.61</v>
      </c>
      <c r="N56" s="339">
        <f>SUM(N47:N54)</f>
        <v>20788.012999999999</v>
      </c>
      <c r="O56" s="339">
        <f t="shared" ref="O56:AC56" si="91">SUM(O47:O54)</f>
        <v>27247.649999999998</v>
      </c>
      <c r="P56" s="339">
        <f t="shared" si="91"/>
        <v>39413.851999999999</v>
      </c>
      <c r="Q56" s="339">
        <f t="shared" si="91"/>
        <v>39410.567999999999</v>
      </c>
      <c r="R56" s="339">
        <f t="shared" si="91"/>
        <v>48592.267999999996</v>
      </c>
      <c r="S56" s="339">
        <f t="shared" si="91"/>
        <v>60145.705999999998</v>
      </c>
      <c r="T56" s="339">
        <f t="shared" si="91"/>
        <v>58229.033000000003</v>
      </c>
      <c r="U56" s="339">
        <f t="shared" si="91"/>
        <v>59641.571000000004</v>
      </c>
      <c r="V56" s="339">
        <f t="shared" ref="V56:W56" si="92">SUM(V47:V54)</f>
        <v>66404.300999999992</v>
      </c>
      <c r="W56" s="339">
        <f t="shared" si="92"/>
        <v>70427.97</v>
      </c>
      <c r="X56" s="339">
        <f t="shared" si="91"/>
        <v>73317.358214421838</v>
      </c>
      <c r="Y56" s="339">
        <f t="shared" si="91"/>
        <v>76373.991546373407</v>
      </c>
      <c r="Z56" s="339">
        <f t="shared" si="91"/>
        <v>79504.585738761278</v>
      </c>
      <c r="AA56" s="339">
        <f t="shared" si="91"/>
        <v>82725.746403624318</v>
      </c>
      <c r="AB56" s="339">
        <f t="shared" si="91"/>
        <v>86016.762590829356</v>
      </c>
      <c r="AC56" s="339">
        <f t="shared" si="91"/>
        <v>89393.383321999878</v>
      </c>
      <c r="AD56" s="339">
        <f t="shared" ref="AD56:AF56" si="93">SUM(AD47:AD54)</f>
        <v>92858.812596353731</v>
      </c>
      <c r="AE56" s="339">
        <f t="shared" si="93"/>
        <v>96416.305223341449</v>
      </c>
      <c r="AF56" s="339">
        <f t="shared" si="93"/>
        <v>100069.18327621187</v>
      </c>
      <c r="AG56" s="339">
        <f t="shared" ref="AG56" si="94">SUM(AG47:AG54)</f>
        <v>103820.85083826566</v>
      </c>
    </row>
    <row r="57" spans="1:33" x14ac:dyDescent="0.4">
      <c r="A57" s="323" t="s">
        <v>558</v>
      </c>
      <c r="B57" s="1678" t="s">
        <v>554</v>
      </c>
      <c r="C57" s="355"/>
      <c r="D57" s="355"/>
      <c r="E57" s="355"/>
      <c r="F57" s="355"/>
      <c r="G57" s="355"/>
      <c r="H57" s="355"/>
      <c r="I57" s="355"/>
      <c r="J57" s="355"/>
      <c r="K57" s="355"/>
      <c r="L57" s="355"/>
      <c r="M57" s="356"/>
      <c r="N57" s="356"/>
      <c r="O57" s="356"/>
      <c r="P57" s="356"/>
      <c r="Q57" s="356"/>
      <c r="R57" s="356"/>
      <c r="S57" s="356"/>
      <c r="T57" s="356"/>
      <c r="U57" s="356"/>
      <c r="V57" s="356"/>
      <c r="W57" s="356"/>
      <c r="X57" s="356"/>
      <c r="Y57" s="356"/>
      <c r="Z57" s="356"/>
      <c r="AA57" s="356"/>
      <c r="AB57" s="356"/>
      <c r="AC57" s="356"/>
      <c r="AD57" s="356"/>
      <c r="AE57" s="356"/>
      <c r="AF57" s="356"/>
      <c r="AG57" s="356"/>
    </row>
    <row r="58" spans="1:33" x14ac:dyDescent="0.35">
      <c r="A58" s="331" t="s">
        <v>2277</v>
      </c>
      <c r="B58" s="354" t="s">
        <v>555</v>
      </c>
      <c r="C58" s="355"/>
      <c r="D58" s="315">
        <f>+'BS（org）'!E70</f>
        <v>3440.2330000000002</v>
      </c>
      <c r="E58" s="315">
        <f>+'BS（org）'!F70</f>
        <v>3759.933</v>
      </c>
      <c r="F58" s="315">
        <f>+'BS（org）'!G70</f>
        <v>3690.4259999999999</v>
      </c>
      <c r="G58" s="315">
        <f>+'BS（org）'!H70</f>
        <v>3552.277</v>
      </c>
      <c r="H58" s="315">
        <f>+'BS（org）'!I70</f>
        <v>4116.9110000000001</v>
      </c>
      <c r="I58" s="315">
        <f>+'BS（org）'!J70</f>
        <v>5175.8879999999999</v>
      </c>
      <c r="J58" s="315">
        <f>+'BS（org）'!K70</f>
        <v>6498.27</v>
      </c>
      <c r="K58" s="357">
        <f>+'BS（org）'!L70</f>
        <v>13019.734</v>
      </c>
      <c r="L58" s="357">
        <f>+'BS（org）'!M70</f>
        <v>17261.317999999999</v>
      </c>
      <c r="M58" s="357">
        <f>+'BS（org）'!N70</f>
        <v>21926.977999999999</v>
      </c>
      <c r="N58" s="357">
        <f>+'BS（org）'!O70</f>
        <v>29000.144</v>
      </c>
      <c r="O58" s="358">
        <f>+'BS（org）'!P70</f>
        <v>33133.985999999997</v>
      </c>
      <c r="P58" s="358">
        <f>+'BS（org）'!Q70</f>
        <v>36714.715000000004</v>
      </c>
      <c r="Q58" s="358">
        <f>+'BS（org）'!R70</f>
        <v>44699.248</v>
      </c>
      <c r="R58" s="358">
        <f>+'BS（org）'!S70</f>
        <v>51288.245999999999</v>
      </c>
      <c r="S58" s="358">
        <f>+'BS（org）'!T70</f>
        <v>60561.364000000001</v>
      </c>
      <c r="T58" s="358">
        <f>+'BS（org）'!U70</f>
        <v>69736.718999999997</v>
      </c>
      <c r="U58" s="358">
        <f>+'BS（org）'!V70</f>
        <v>74884.548999999999</v>
      </c>
      <c r="V58" s="358">
        <f>+'BS（org）'!W70</f>
        <v>94119.227000000014</v>
      </c>
      <c r="W58" s="358">
        <f>+'BS（org）'!X70</f>
        <v>96447.27</v>
      </c>
      <c r="X58" s="341">
        <f>WC!X38</f>
        <v>97569.739350056654</v>
      </c>
      <c r="Y58" s="341">
        <f>WC!Y38</f>
        <v>106587.81482905462</v>
      </c>
      <c r="Z58" s="341">
        <f>WC!Z38</f>
        <v>113760.34120844443</v>
      </c>
      <c r="AA58" s="341">
        <f>WC!AA38</f>
        <v>123067.83012769149</v>
      </c>
      <c r="AB58" s="341">
        <f>WC!AB38</f>
        <v>131521.87162964392</v>
      </c>
      <c r="AC58" s="341">
        <f>WC!AC38</f>
        <v>139260.88136092242</v>
      </c>
      <c r="AD58" s="341">
        <f>WC!AD38</f>
        <v>146397.03090644517</v>
      </c>
      <c r="AE58" s="341">
        <f>WC!AE38</f>
        <v>153021.23343501796</v>
      </c>
      <c r="AF58" s="341">
        <f>WC!AF38</f>
        <v>159207.21546775478</v>
      </c>
      <c r="AG58" s="341">
        <f>WC!AG38</f>
        <v>165014.84569104866</v>
      </c>
    </row>
    <row r="59" spans="1:33" x14ac:dyDescent="0.35">
      <c r="A59" s="331" t="s">
        <v>2278</v>
      </c>
      <c r="B59" s="354" t="s">
        <v>3034</v>
      </c>
      <c r="C59" s="355"/>
      <c r="D59" s="315">
        <f>'BS（org）'!E72+'BS（org）'!E73+'BS（org）'!E74+'BS（org）'!E75+'BS（org）'!E76+'BS（org）'!E77</f>
        <v>235.76900000000003</v>
      </c>
      <c r="E59" s="315">
        <f>'BS（org）'!F72+'BS（org）'!F73+'BS（org）'!F74+'BS（org）'!F75+'BS（org）'!F76+'BS（org）'!F77</f>
        <v>325.34499999999997</v>
      </c>
      <c r="F59" s="315">
        <f>'BS（org）'!G72+'BS（org）'!G73+'BS（org）'!G74+'BS（org）'!G75+'BS（org）'!G76+'BS（org）'!G77</f>
        <v>456.69100000000003</v>
      </c>
      <c r="G59" s="315">
        <f>'BS（org）'!H72+'BS（org）'!H73+'BS（org）'!H74+'BS（org）'!H75+'BS（org）'!H76+'BS（org）'!H77</f>
        <v>379.88799999999998</v>
      </c>
      <c r="H59" s="315">
        <f>'BS（org）'!I72+'BS（org）'!I73+'BS（org）'!I74+'BS（org）'!I75+'BS（org）'!I76+'BS（org）'!I77</f>
        <v>2621.1799999999998</v>
      </c>
      <c r="I59" s="315">
        <f>'BS（org）'!J72+'BS（org）'!J73+'BS（org）'!J74+'BS（org）'!J75+'BS（org）'!J76+'BS（org）'!J77</f>
        <v>2807.3970000000004</v>
      </c>
      <c r="J59" s="315">
        <f>'BS（org）'!K72+'BS（org）'!K73+'BS（org）'!K74+'BS（org）'!K75+'BS（org）'!K76+'BS（org）'!K77</f>
        <v>2974.0480000000002</v>
      </c>
      <c r="K59" s="315">
        <f>'BS（org）'!L72+'BS（org）'!L73+'BS（org）'!L74+'BS（org）'!L75+'BS（org）'!L76+'BS（org）'!L77</f>
        <v>477.505</v>
      </c>
      <c r="L59" s="315">
        <f>'BS（org）'!M72+'BS（org）'!M73+'BS（org）'!M74+'BS（org）'!M75+'BS（org）'!M76+'BS（org）'!M77</f>
        <v>380.59100000000001</v>
      </c>
      <c r="M59" s="315">
        <f>'BS（org）'!N72+'BS（org）'!N73+'BS（org）'!N74+'BS（org）'!N75+'BS（org）'!N76+'BS（org）'!N77</f>
        <v>1563.386</v>
      </c>
      <c r="N59" s="315">
        <f>'BS（org）'!O72+'BS（org）'!O73+'BS（org）'!O74+'BS（org）'!O75+'BS（org）'!O76+'BS（org）'!O77</f>
        <v>735.03</v>
      </c>
      <c r="O59" s="315">
        <f>'BS（org）'!P72+'BS（org）'!P73+'BS（org）'!P74+'BS（org）'!P75+'BS（org）'!P76+'BS（org）'!P77</f>
        <v>2308.4560000000001</v>
      </c>
      <c r="P59" s="315">
        <f>'BS（org）'!Q72+'BS（org）'!Q73+'BS（org）'!Q74+'BS（org）'!Q75+'BS（org）'!Q76+'BS（org）'!Q77</f>
        <v>1166.7439999999999</v>
      </c>
      <c r="Q59" s="315">
        <f>'BS（org）'!R72+'BS（org）'!R73+'BS（org）'!R74+'BS（org）'!R75+'BS（org）'!R76+'BS（org）'!R77</f>
        <v>3693.8889999999997</v>
      </c>
      <c r="R59" s="315">
        <f>'BS（org）'!S72+'BS（org）'!S73+'BS（org）'!S74+'BS（org）'!S75+'BS（org）'!S76+'BS（org）'!S77</f>
        <v>4981.0859999999993</v>
      </c>
      <c r="S59" s="315">
        <f>'BS（org）'!T72+'BS（org）'!T73+'BS（org）'!T74+'BS（org）'!T75+'BS（org）'!T76+'BS（org）'!T77</f>
        <v>2618.5940000000001</v>
      </c>
      <c r="T59" s="315">
        <f>'BS（org）'!U72+'BS（org）'!U73+'BS（org）'!U74+'BS（org）'!U75+'BS（org）'!U76+'BS（org）'!U77</f>
        <v>2263.6330000000003</v>
      </c>
      <c r="U59" s="315">
        <f>'BS（org）'!V72+'BS（org）'!V73+'BS（org）'!V74+'BS（org）'!V75+'BS（org）'!V76+'BS（org）'!V77</f>
        <v>4975.4979999999987</v>
      </c>
      <c r="V59" s="315">
        <f>'BS（org）'!W72+'BS（org）'!W73+'BS（org）'!W74+'BS（org）'!W75+'BS（org）'!W76+'BS（org）'!W77</f>
        <v>1611.3500000000001</v>
      </c>
      <c r="W59" s="315">
        <f>'BS（org）'!X72+'BS（org）'!X73+'BS（org）'!X74+'BS（org）'!X75+'BS（org）'!X76+'BS（org）'!X77</f>
        <v>1706.99</v>
      </c>
      <c r="X59" s="341">
        <f>WC!X56</f>
        <v>1747.8249168717252</v>
      </c>
      <c r="Y59" s="341">
        <f>WC!Y56</f>
        <v>1932.8409729251061</v>
      </c>
      <c r="Z59" s="341">
        <f>WC!Z56</f>
        <v>2088.5787595590218</v>
      </c>
      <c r="AA59" s="341">
        <f>WC!AA56</f>
        <v>2287.9323966895913</v>
      </c>
      <c r="AB59" s="341">
        <f>WC!AB56</f>
        <v>2476.3057817877179</v>
      </c>
      <c r="AC59" s="341">
        <f>WC!AC56</f>
        <v>2655.9128639094356</v>
      </c>
      <c r="AD59" s="341">
        <f>WC!AD56</f>
        <v>2828.5765068235305</v>
      </c>
      <c r="AE59" s="341">
        <f>WC!AE56</f>
        <v>2995.8001465176553</v>
      </c>
      <c r="AF59" s="341">
        <f>WC!AF56</f>
        <v>3158.8270988878789</v>
      </c>
      <c r="AG59" s="341">
        <f>WC!AG56</f>
        <v>3318.6897765842718</v>
      </c>
    </row>
    <row r="60" spans="1:33" outlineLevel="1" x14ac:dyDescent="0.35">
      <c r="A60" s="331" t="s">
        <v>1617</v>
      </c>
      <c r="B60" s="354" t="s">
        <v>3032</v>
      </c>
      <c r="C60" s="326"/>
      <c r="D60" s="327">
        <f>+'BS（org）'!E68</f>
        <v>329.983</v>
      </c>
      <c r="E60" s="327">
        <f>+'BS（org）'!F68</f>
        <v>425.86399999999998</v>
      </c>
      <c r="F60" s="327">
        <f>+'BS（org）'!G68</f>
        <v>301.089</v>
      </c>
      <c r="G60" s="327">
        <f>+'BS（org）'!H68</f>
        <v>505.44900000000001</v>
      </c>
      <c r="H60" s="327">
        <f>+'BS（org）'!I68</f>
        <v>692.96500000000003</v>
      </c>
      <c r="I60" s="327">
        <f>+'BS（org）'!J68</f>
        <v>1282.0350000000001</v>
      </c>
      <c r="J60" s="327">
        <f>+'BS（org）'!K68</f>
        <v>1219.729</v>
      </c>
      <c r="K60" s="330">
        <f>+'BS（org）'!L68</f>
        <v>1903.3779999999999</v>
      </c>
      <c r="L60" s="330">
        <f>+'BS（org）'!M68</f>
        <v>3793.0520000000001</v>
      </c>
      <c r="M60" s="330">
        <f>+'BS（org）'!N68</f>
        <v>4669.0150000000003</v>
      </c>
      <c r="N60" s="330">
        <f>+'BS（org）'!O68</f>
        <v>5304.6710000000003</v>
      </c>
      <c r="O60" s="328">
        <f>+'BS（org）'!P68</f>
        <v>0</v>
      </c>
      <c r="P60" s="328">
        <f>+'BS（org）'!Q68</f>
        <v>0</v>
      </c>
      <c r="Q60" s="328">
        <f>+'BS（org）'!R68</f>
        <v>0</v>
      </c>
      <c r="R60" s="328">
        <f>+'BS（org）'!S68</f>
        <v>0</v>
      </c>
      <c r="S60" s="328">
        <f>+'BS（org）'!T68</f>
        <v>0</v>
      </c>
      <c r="T60" s="328">
        <f>+'BS（org）'!U68</f>
        <v>0</v>
      </c>
      <c r="U60" s="328">
        <f>+'BS（org）'!V68</f>
        <v>0</v>
      </c>
      <c r="V60" s="328">
        <f>+'BS（org）'!W68</f>
        <v>0</v>
      </c>
      <c r="W60" s="328">
        <f>+'BS（org）'!X68</f>
        <v>0</v>
      </c>
      <c r="X60" s="341"/>
      <c r="Y60" s="341"/>
      <c r="Z60" s="341"/>
      <c r="AA60" s="341"/>
      <c r="AB60" s="341"/>
      <c r="AC60" s="341"/>
      <c r="AD60" s="341"/>
      <c r="AE60" s="341"/>
      <c r="AF60" s="341"/>
      <c r="AG60" s="341"/>
    </row>
    <row r="61" spans="1:33" x14ac:dyDescent="0.35">
      <c r="A61" s="331"/>
      <c r="B61" s="354" t="s">
        <v>2020</v>
      </c>
      <c r="C61" s="326"/>
      <c r="D61" s="327"/>
      <c r="E61" s="327"/>
      <c r="F61" s="327"/>
      <c r="G61" s="327"/>
      <c r="H61" s="327"/>
      <c r="I61" s="327"/>
      <c r="J61" s="327"/>
      <c r="K61" s="330"/>
      <c r="L61" s="330"/>
      <c r="M61" s="330"/>
      <c r="N61" s="330"/>
      <c r="O61" s="328">
        <f>'BS（org）'!P69</f>
        <v>7604.5959999999995</v>
      </c>
      <c r="P61" s="328">
        <f>'BS（org）'!Q69</f>
        <v>9027.4860000000008</v>
      </c>
      <c r="Q61" s="328">
        <f>'BS（org）'!R69</f>
        <v>7830.567</v>
      </c>
      <c r="R61" s="328">
        <f>'BS（org）'!S69</f>
        <v>8547.2939999999999</v>
      </c>
      <c r="S61" s="328">
        <f>'BS（org）'!T69</f>
        <v>9662.8189999999995</v>
      </c>
      <c r="T61" s="328">
        <f>'BS（org）'!U69</f>
        <v>8503.09</v>
      </c>
      <c r="U61" s="328">
        <f>'BS（org）'!V69</f>
        <v>9926.7420000000002</v>
      </c>
      <c r="V61" s="328">
        <f>'BS（org）'!W69</f>
        <v>8324.6689999999999</v>
      </c>
      <c r="W61" s="328">
        <f>'BS（org）'!X69</f>
        <v>9001.1299999999992</v>
      </c>
      <c r="X61" s="341">
        <f>WC!X44</f>
        <v>7750.0868448742476</v>
      </c>
      <c r="Y61" s="341">
        <f>WC!Y44</f>
        <v>8308.4380988432331</v>
      </c>
      <c r="Z61" s="341">
        <f>WC!Z44</f>
        <v>8694.7390261970286</v>
      </c>
      <c r="AA61" s="341">
        <f>WC!AA44</f>
        <v>9214.4728499256344</v>
      </c>
      <c r="AB61" s="341">
        <f>WC!AB44</f>
        <v>9637.4205644313442</v>
      </c>
      <c r="AC61" s="341">
        <f>WC!AC44</f>
        <v>9976.3641560459437</v>
      </c>
      <c r="AD61" s="341">
        <f>WC!AD44</f>
        <v>10241.469026350414</v>
      </c>
      <c r="AE61" s="341">
        <f>WC!AE44</f>
        <v>10440.798825305974</v>
      </c>
      <c r="AF61" s="341">
        <f>WC!AF44</f>
        <v>10580.73063027786</v>
      </c>
      <c r="AG61" s="341">
        <f>WC!AG44</f>
        <v>10666.289451118491</v>
      </c>
    </row>
    <row r="62" spans="1:33" x14ac:dyDescent="0.35">
      <c r="A62" s="331" t="s">
        <v>2279</v>
      </c>
      <c r="B62" s="354" t="s">
        <v>3033</v>
      </c>
      <c r="C62" s="324"/>
      <c r="D62" s="327">
        <f>'BS（org）'!E78</f>
        <v>49.442999999999998</v>
      </c>
      <c r="E62" s="327">
        <f>'BS（org）'!F78</f>
        <v>101.52</v>
      </c>
      <c r="F62" s="327">
        <f>'BS（org）'!G78</f>
        <v>114.622</v>
      </c>
      <c r="G62" s="327">
        <f>'BS（org）'!H78</f>
        <v>134.047</v>
      </c>
      <c r="H62" s="327">
        <f>'BS（org）'!I78</f>
        <v>112.36199999999999</v>
      </c>
      <c r="I62" s="327">
        <f>'BS（org）'!J78</f>
        <v>313.78699999999998</v>
      </c>
      <c r="J62" s="327">
        <f>'BS（org）'!K78</f>
        <v>594.57000000000005</v>
      </c>
      <c r="K62" s="330">
        <f>'BS（org）'!L78</f>
        <v>608.63300000000004</v>
      </c>
      <c r="L62" s="330">
        <f>'BS（org）'!M78</f>
        <v>930.971</v>
      </c>
      <c r="M62" s="330">
        <f>'BS（org）'!N78</f>
        <v>2015.547</v>
      </c>
      <c r="N62" s="330">
        <f>'BS（org）'!O78</f>
        <v>2392.7080000000001</v>
      </c>
      <c r="O62" s="330">
        <f>'BS（org）'!P78</f>
        <v>3247.384</v>
      </c>
      <c r="P62" s="330">
        <f>'BS（org）'!Q78</f>
        <v>3885.6170000000002</v>
      </c>
      <c r="Q62" s="330">
        <f>'BS（org）'!R78</f>
        <v>4781.8919999999998</v>
      </c>
      <c r="R62" s="330">
        <f>'BS（org）'!S78</f>
        <v>5326.55</v>
      </c>
      <c r="S62" s="330">
        <f>'BS（org）'!T78</f>
        <v>5573.2089999999998</v>
      </c>
      <c r="T62" s="330">
        <f>'BS（org）'!U78</f>
        <v>5481.5240000000003</v>
      </c>
      <c r="U62" s="330">
        <f>'BS（org）'!V78</f>
        <v>6136.8310000000001</v>
      </c>
      <c r="V62" s="330">
        <f>'BS（org）'!W78</f>
        <v>5988.280999999999</v>
      </c>
      <c r="W62" s="330">
        <f>'BS（org）'!X78</f>
        <v>6230.03</v>
      </c>
      <c r="X62" s="341">
        <f>WC!X50</f>
        <v>5905.1621556176042</v>
      </c>
      <c r="Y62" s="341">
        <f>WC!Y50</f>
        <v>6006.1844459918393</v>
      </c>
      <c r="Z62" s="341">
        <f>WC!Z50</f>
        <v>5923.8346149625304</v>
      </c>
      <c r="AA62" s="341">
        <f>WC!AA50</f>
        <v>5868.9132139661315</v>
      </c>
      <c r="AB62" s="341">
        <f>WC!AB50</f>
        <v>5680.6977401676822</v>
      </c>
      <c r="AC62" s="341">
        <f>WC!AC50</f>
        <v>5372.5982791202287</v>
      </c>
      <c r="AD62" s="341">
        <f>WC!AD50</f>
        <v>4954.9386826499167</v>
      </c>
      <c r="AE62" s="341">
        <f>WC!AE50</f>
        <v>4435.5928578461262</v>
      </c>
      <c r="AF62" s="341">
        <f>WC!AF50</f>
        <v>3820.4895444631602</v>
      </c>
      <c r="AG62" s="341">
        <f>WC!AG50</f>
        <v>3114.0111400145292</v>
      </c>
    </row>
    <row r="63" spans="1:33" x14ac:dyDescent="0.35">
      <c r="A63" s="331" t="s">
        <v>2280</v>
      </c>
      <c r="B63" s="354" t="s">
        <v>49</v>
      </c>
      <c r="C63" s="326"/>
      <c r="D63" s="327">
        <f>'BS（org）'!E71+'BS（org）'!E81+'BS（org）'!E82</f>
        <v>378.23299999999995</v>
      </c>
      <c r="E63" s="327">
        <f>'BS（org）'!F71+'BS（org）'!F81+'BS（org）'!F82</f>
        <v>602.13499999999999</v>
      </c>
      <c r="F63" s="327">
        <f>'BS（org）'!G71+'BS（org）'!G81+'BS（org）'!G82</f>
        <v>623.92399999999998</v>
      </c>
      <c r="G63" s="327">
        <f>'BS（org）'!H71+'BS（org）'!H81+'BS（org）'!H82</f>
        <v>681.875</v>
      </c>
      <c r="H63" s="327">
        <f>'BS（org）'!I71+'BS（org）'!I81+'BS（org）'!I82</f>
        <v>688.84500000000003</v>
      </c>
      <c r="I63" s="327">
        <f>'BS（org）'!J71+'BS（org）'!J81+'BS（org）'!J82</f>
        <v>699.87400000000002</v>
      </c>
      <c r="J63" s="327">
        <f>'BS（org）'!K71+'BS（org）'!K81+'BS（org）'!K82</f>
        <v>1140.077</v>
      </c>
      <c r="K63" s="327">
        <f>'BS（org）'!L71+'BS（org）'!L81+'BS（org）'!L82</f>
        <v>1767.1320000000001</v>
      </c>
      <c r="L63" s="327">
        <f>'BS（org）'!M71+'BS（org）'!M81+'BS（org）'!M82</f>
        <v>829.7360000000001</v>
      </c>
      <c r="M63" s="327">
        <f>'BS（org）'!N71+'BS（org）'!N81+'BS（org）'!N82</f>
        <v>723.54600000000005</v>
      </c>
      <c r="N63" s="327">
        <f>'BS（org）'!O71+'BS（org）'!O81+'BS（org）'!O82</f>
        <v>827.94100000000003</v>
      </c>
      <c r="O63" s="328">
        <f>'BS（org）'!P71+'BS（org）'!P81+'BS（org）'!P82</f>
        <v>34.343000000000004</v>
      </c>
      <c r="P63" s="328">
        <f>'BS（org）'!Q71+'BS（org）'!Q81+'BS（org）'!Q82</f>
        <v>39.594999999999999</v>
      </c>
      <c r="Q63" s="328">
        <f>'BS（org）'!R71+'BS（org）'!R81+'BS（org）'!R82</f>
        <v>59.206000000000003</v>
      </c>
      <c r="R63" s="328">
        <f>'BS（org）'!S71+'BS（org）'!S81+'BS（org）'!S82</f>
        <v>88.825000000000003</v>
      </c>
      <c r="S63" s="328">
        <f>'BS（org）'!T71+'BS（org）'!T81+'BS（org）'!T82</f>
        <v>115.36199999999999</v>
      </c>
      <c r="T63" s="328">
        <f>'BS（org）'!U71+'BS（org）'!U81+'BS（org）'!U82</f>
        <v>139.83500000000001</v>
      </c>
      <c r="U63" s="328">
        <f>'BS（org）'!V71+'BS（org）'!V81+'BS（org）'!V82</f>
        <v>163.56399999999999</v>
      </c>
      <c r="V63" s="328">
        <f>'BS（org）'!W71+'BS（org）'!W81+'BS（org）'!W82</f>
        <v>161.27799999999996</v>
      </c>
      <c r="W63" s="328">
        <f>'BS（org）'!X71+'BS（org）'!X81+'BS（org）'!X82</f>
        <v>302.73</v>
      </c>
      <c r="X63" s="341">
        <f>WC!X53</f>
        <v>309.97196063513991</v>
      </c>
      <c r="Y63" s="341">
        <f>WC!Y53</f>
        <v>342.78405130294692</v>
      </c>
      <c r="Z63" s="341">
        <f>WC!Z53</f>
        <v>370.40372110047673</v>
      </c>
      <c r="AA63" s="341">
        <f>WC!AA53</f>
        <v>405.75854249283242</v>
      </c>
      <c r="AB63" s="341">
        <f>WC!AB53</f>
        <v>439.16604626892712</v>
      </c>
      <c r="AC63" s="341">
        <f>WC!AC53</f>
        <v>471.01887022847438</v>
      </c>
      <c r="AD63" s="341">
        <f>WC!AD53</f>
        <v>501.64029426691866</v>
      </c>
      <c r="AE63" s="341">
        <f>WC!AE53</f>
        <v>531.29694863783027</v>
      </c>
      <c r="AF63" s="341">
        <f>WC!AF53</f>
        <v>560.20933200916681</v>
      </c>
      <c r="AG63" s="341">
        <f>WC!AG53</f>
        <v>588.56053993600244</v>
      </c>
    </row>
    <row r="64" spans="1:33" x14ac:dyDescent="0.4">
      <c r="A64" s="310" t="s">
        <v>2281</v>
      </c>
      <c r="B64" s="354" t="s">
        <v>3124</v>
      </c>
      <c r="C64" s="326"/>
      <c r="D64" s="330">
        <f>'BS（org）'!E83</f>
        <v>0</v>
      </c>
      <c r="E64" s="330">
        <f>'BS（org）'!F83</f>
        <v>0</v>
      </c>
      <c r="F64" s="330">
        <f>'BS（org）'!G83</f>
        <v>0</v>
      </c>
      <c r="G64" s="330">
        <f>'BS（org）'!H83</f>
        <v>0</v>
      </c>
      <c r="H64" s="330">
        <f>'BS（org）'!I83</f>
        <v>0</v>
      </c>
      <c r="I64" s="330">
        <f>'BS（org）'!J83</f>
        <v>0</v>
      </c>
      <c r="J64" s="330">
        <f>'BS（org）'!K83</f>
        <v>0</v>
      </c>
      <c r="K64" s="330">
        <f>'BS（org）'!L83</f>
        <v>4723.1210000000001</v>
      </c>
      <c r="L64" s="330">
        <f>'BS（org）'!M83</f>
        <v>7438.1350000000002</v>
      </c>
      <c r="M64" s="330">
        <f>'BS（org）'!N83</f>
        <v>0</v>
      </c>
      <c r="N64" s="330">
        <f>'BS（org）'!O83</f>
        <v>0</v>
      </c>
      <c r="O64" s="330">
        <f>'BS（org）'!P83</f>
        <v>3898.357</v>
      </c>
      <c r="P64" s="330">
        <f>'BS（org）'!Q83</f>
        <v>0</v>
      </c>
      <c r="Q64" s="330">
        <f>'BS（org）'!R83</f>
        <v>0</v>
      </c>
      <c r="R64" s="330">
        <f>'BS（org）'!S83</f>
        <v>0</v>
      </c>
      <c r="S64" s="330">
        <f>'BS（org）'!T83</f>
        <v>0</v>
      </c>
      <c r="T64" s="330">
        <f>'BS（org）'!U83</f>
        <v>0</v>
      </c>
      <c r="U64" s="330">
        <f>'BS（org）'!V83</f>
        <v>0</v>
      </c>
      <c r="V64" s="330">
        <f>'BS（org）'!W83</f>
        <v>0</v>
      </c>
      <c r="W64" s="330">
        <f>'BS（org）'!X83</f>
        <v>0</v>
      </c>
      <c r="X64" s="343">
        <f t="shared" ref="X64:AC64" si="95">W64</f>
        <v>0</v>
      </c>
      <c r="Y64" s="343">
        <f t="shared" si="95"/>
        <v>0</v>
      </c>
      <c r="Z64" s="343">
        <f t="shared" si="95"/>
        <v>0</v>
      </c>
      <c r="AA64" s="343">
        <f t="shared" si="95"/>
        <v>0</v>
      </c>
      <c r="AB64" s="343">
        <f t="shared" si="95"/>
        <v>0</v>
      </c>
      <c r="AC64" s="343">
        <f t="shared" si="95"/>
        <v>0</v>
      </c>
      <c r="AD64" s="343">
        <f t="shared" ref="AD64" si="96">AC64</f>
        <v>0</v>
      </c>
      <c r="AE64" s="343">
        <f t="shared" ref="AE64" si="97">AD64</f>
        <v>0</v>
      </c>
      <c r="AF64" s="343">
        <f t="shared" ref="AF64:AG64" si="98">AE64</f>
        <v>0</v>
      </c>
      <c r="AG64" s="343">
        <f t="shared" si="98"/>
        <v>0</v>
      </c>
    </row>
    <row r="65" spans="1:33" s="346" customFormat="1" x14ac:dyDescent="0.4">
      <c r="A65" s="337" t="s">
        <v>575</v>
      </c>
      <c r="B65" s="1679" t="s">
        <v>459</v>
      </c>
      <c r="C65" s="338"/>
      <c r="D65" s="339">
        <f t="shared" ref="D65:AC65" si="99">SUM(D58:D64)</f>
        <v>4433.661000000001</v>
      </c>
      <c r="E65" s="339">
        <f t="shared" si="99"/>
        <v>5214.7970000000005</v>
      </c>
      <c r="F65" s="339">
        <f t="shared" si="99"/>
        <v>5186.7520000000004</v>
      </c>
      <c r="G65" s="339">
        <f t="shared" si="99"/>
        <v>5253.5359999999991</v>
      </c>
      <c r="H65" s="339">
        <f t="shared" si="99"/>
        <v>8232.2630000000008</v>
      </c>
      <c r="I65" s="339">
        <f t="shared" si="99"/>
        <v>10278.981</v>
      </c>
      <c r="J65" s="339">
        <f t="shared" si="99"/>
        <v>12426.694</v>
      </c>
      <c r="K65" s="339">
        <f t="shared" si="99"/>
        <v>22499.503000000001</v>
      </c>
      <c r="L65" s="339">
        <f t="shared" si="99"/>
        <v>30633.803</v>
      </c>
      <c r="M65" s="339">
        <f t="shared" si="99"/>
        <v>30898.471999999994</v>
      </c>
      <c r="N65" s="339">
        <f t="shared" si="99"/>
        <v>38260.493999999999</v>
      </c>
      <c r="O65" s="339">
        <f t="shared" si="99"/>
        <v>50227.121999999988</v>
      </c>
      <c r="P65" s="339">
        <f t="shared" si="99"/>
        <v>50834.157000000007</v>
      </c>
      <c r="Q65" s="339">
        <f t="shared" si="99"/>
        <v>61064.802000000003</v>
      </c>
      <c r="R65" s="339">
        <f t="shared" si="99"/>
        <v>70232.000999999989</v>
      </c>
      <c r="S65" s="339">
        <f t="shared" si="99"/>
        <v>78531.347999999998</v>
      </c>
      <c r="T65" s="339">
        <f t="shared" si="99"/>
        <v>86124.801000000007</v>
      </c>
      <c r="U65" s="339">
        <f t="shared" ref="U65" si="100">SUM(U58:U64)</f>
        <v>96087.183999999994</v>
      </c>
      <c r="V65" s="339">
        <f t="shared" ref="V65:W65" si="101">SUM(V58:V64)</f>
        <v>110204.80500000002</v>
      </c>
      <c r="W65" s="339">
        <f t="shared" si="101"/>
        <v>113688.15000000001</v>
      </c>
      <c r="X65" s="339">
        <f t="shared" si="99"/>
        <v>113282.78522805539</v>
      </c>
      <c r="Y65" s="339">
        <f t="shared" si="99"/>
        <v>123178.06239811775</v>
      </c>
      <c r="Z65" s="339">
        <f t="shared" si="99"/>
        <v>130837.89733026348</v>
      </c>
      <c r="AA65" s="339">
        <f t="shared" si="99"/>
        <v>140844.90713076567</v>
      </c>
      <c r="AB65" s="339">
        <f t="shared" si="99"/>
        <v>149755.46176229959</v>
      </c>
      <c r="AC65" s="339">
        <f t="shared" si="99"/>
        <v>157736.7755302265</v>
      </c>
      <c r="AD65" s="339">
        <f t="shared" ref="AD65:AF65" si="102">SUM(AD58:AD64)</f>
        <v>164923.65541653597</v>
      </c>
      <c r="AE65" s="339">
        <f t="shared" si="102"/>
        <v>171424.72221332556</v>
      </c>
      <c r="AF65" s="339">
        <f t="shared" si="102"/>
        <v>177327.47207339286</v>
      </c>
      <c r="AG65" s="339">
        <f t="shared" ref="AG65" si="103">SUM(AG58:AG64)</f>
        <v>182702.39659870198</v>
      </c>
    </row>
    <row r="66" spans="1:33" x14ac:dyDescent="0.4">
      <c r="A66" s="310" t="s">
        <v>124</v>
      </c>
      <c r="B66" s="354" t="s">
        <v>44</v>
      </c>
      <c r="C66" s="326"/>
      <c r="D66" s="327">
        <f>'BS（org）'!E79</f>
        <v>0</v>
      </c>
      <c r="E66" s="327">
        <f>'BS（org）'!F79</f>
        <v>29.728999999999999</v>
      </c>
      <c r="F66" s="327">
        <f>'BS（org）'!G79</f>
        <v>37.128</v>
      </c>
      <c r="G66" s="327">
        <f>'BS（org）'!H79</f>
        <v>21.956</v>
      </c>
      <c r="H66" s="327">
        <f>'BS（org）'!I79</f>
        <v>0</v>
      </c>
      <c r="I66" s="327">
        <f>'BS（org）'!J79</f>
        <v>357.71600000000001</v>
      </c>
      <c r="J66" s="327">
        <f>'BS（org）'!K79</f>
        <v>48.78</v>
      </c>
      <c r="K66" s="327">
        <f>'BS（org）'!L79</f>
        <v>261.88900000000001</v>
      </c>
      <c r="L66" s="327">
        <f>'BS（org）'!M79</f>
        <v>587.26900000000001</v>
      </c>
      <c r="M66" s="327">
        <f>'BS（org）'!N79</f>
        <v>808.197</v>
      </c>
      <c r="N66" s="327">
        <f>'BS（org）'!O79</f>
        <v>1455.62</v>
      </c>
      <c r="O66" s="327">
        <f>'BS（org）'!P79</f>
        <v>2580.59</v>
      </c>
      <c r="P66" s="327">
        <f>'BS（org）'!Q79</f>
        <v>2795.8319999999999</v>
      </c>
      <c r="Q66" s="327">
        <f>'BS（org）'!R79</f>
        <v>10040.968000000001</v>
      </c>
      <c r="R66" s="327">
        <f>'BS（org）'!S79</f>
        <v>9707.491</v>
      </c>
      <c r="S66" s="327">
        <f>'BS（org）'!T79</f>
        <v>10104.945</v>
      </c>
      <c r="T66" s="327">
        <f>'BS（org）'!U79</f>
        <v>13719.656999999999</v>
      </c>
      <c r="U66" s="327">
        <f>'BS（org）'!V79</f>
        <v>16515.007000000001</v>
      </c>
      <c r="V66" s="327">
        <f>'BS（org）'!W79</f>
        <v>13295.755999999999</v>
      </c>
      <c r="W66" s="327">
        <f>'BS（org）'!X79</f>
        <v>15096.37</v>
      </c>
      <c r="X66" s="327">
        <f>Financing!X14</f>
        <v>16932.996280000003</v>
      </c>
      <c r="Y66" s="327">
        <f>Financing!Y14</f>
        <v>18806.355085600004</v>
      </c>
      <c r="Z66" s="327">
        <f>Financing!Z14</f>
        <v>20717.181067312005</v>
      </c>
      <c r="AA66" s="327">
        <f>Financing!AA14</f>
        <v>22666.223568658246</v>
      </c>
      <c r="AB66" s="327">
        <f>Financing!AB14</f>
        <v>24654.246920031412</v>
      </c>
      <c r="AC66" s="327">
        <f>Financing!AC14</f>
        <v>26682.03073843204</v>
      </c>
      <c r="AD66" s="327">
        <f>Financing!AD14</f>
        <v>28750.370233200683</v>
      </c>
      <c r="AE66" s="327">
        <f>Financing!AE14</f>
        <v>30860.076517864698</v>
      </c>
      <c r="AF66" s="327">
        <f>Financing!AF14</f>
        <v>33011.976928221993</v>
      </c>
      <c r="AG66" s="327">
        <f>Financing!AG14</f>
        <v>35206.915346786438</v>
      </c>
    </row>
    <row r="67" spans="1:33" x14ac:dyDescent="0.4">
      <c r="B67" s="354" t="s">
        <v>2655</v>
      </c>
      <c r="C67" s="326"/>
      <c r="D67" s="330"/>
      <c r="E67" s="330"/>
      <c r="F67" s="330"/>
      <c r="G67" s="330"/>
      <c r="H67" s="330"/>
      <c r="I67" s="330"/>
      <c r="J67" s="330"/>
      <c r="K67" s="330"/>
      <c r="L67" s="330"/>
      <c r="M67" s="330"/>
      <c r="N67" s="330"/>
      <c r="O67" s="330"/>
      <c r="P67" s="330"/>
      <c r="Q67" s="330"/>
      <c r="R67" s="330"/>
      <c r="S67" s="330">
        <f>'BS（org）'!T84</f>
        <v>4286.1549999999997</v>
      </c>
      <c r="T67" s="330">
        <f>'BS（org）'!U84</f>
        <v>2980.1840000000002</v>
      </c>
      <c r="U67" s="330">
        <f>'BS（org）'!V84</f>
        <v>2753.3040000000001</v>
      </c>
      <c r="V67" s="330">
        <f>'BS（org）'!W84</f>
        <v>2460</v>
      </c>
      <c r="W67" s="330">
        <f>'BS（org）'!X84</f>
        <v>1099.76</v>
      </c>
      <c r="X67" s="343">
        <f t="shared" ref="X67:AC67" si="104">W67</f>
        <v>1099.76</v>
      </c>
      <c r="Y67" s="343">
        <f t="shared" si="104"/>
        <v>1099.76</v>
      </c>
      <c r="Z67" s="343">
        <f t="shared" si="104"/>
        <v>1099.76</v>
      </c>
      <c r="AA67" s="343">
        <f t="shared" si="104"/>
        <v>1099.76</v>
      </c>
      <c r="AB67" s="343">
        <f t="shared" si="104"/>
        <v>1099.76</v>
      </c>
      <c r="AC67" s="343">
        <f t="shared" si="104"/>
        <v>1099.76</v>
      </c>
      <c r="AD67" s="343">
        <f t="shared" ref="AD67:AD68" si="105">AC67</f>
        <v>1099.76</v>
      </c>
      <c r="AE67" s="343">
        <f t="shared" ref="AE67:AE68" si="106">AD67</f>
        <v>1099.76</v>
      </c>
      <c r="AF67" s="343">
        <f t="shared" ref="AF67:AG68" si="107">AE67</f>
        <v>1099.76</v>
      </c>
      <c r="AG67" s="343">
        <f t="shared" si="107"/>
        <v>1099.76</v>
      </c>
    </row>
    <row r="68" spans="1:33" x14ac:dyDescent="0.4">
      <c r="A68" s="310" t="s">
        <v>825</v>
      </c>
      <c r="B68" s="354" t="s">
        <v>3065</v>
      </c>
      <c r="C68" s="326"/>
      <c r="D68" s="327">
        <f>+'BS（org）'!E80</f>
        <v>0</v>
      </c>
      <c r="E68" s="327">
        <f>+'BS（org）'!F80</f>
        <v>0</v>
      </c>
      <c r="F68" s="327">
        <f>+'BS（org）'!G80</f>
        <v>0</v>
      </c>
      <c r="G68" s="327">
        <f>+'BS（org）'!H80</f>
        <v>0</v>
      </c>
      <c r="H68" s="327">
        <f>+'BS（org）'!I80</f>
        <v>0</v>
      </c>
      <c r="I68" s="327">
        <f>+'BS（org）'!J80</f>
        <v>940.15099999999995</v>
      </c>
      <c r="J68" s="327">
        <f>+'BS（org）'!K80</f>
        <v>0</v>
      </c>
      <c r="K68" s="327">
        <f>+'BS（org）'!L80</f>
        <v>0</v>
      </c>
      <c r="L68" s="327">
        <f>+'BS（org）'!M80</f>
        <v>0</v>
      </c>
      <c r="M68" s="327">
        <f>+'BS（org）'!N80</f>
        <v>0</v>
      </c>
      <c r="N68" s="327">
        <f>+'BS（org）'!O80</f>
        <v>0</v>
      </c>
      <c r="O68" s="327">
        <f>+'BS（org）'!P80</f>
        <v>0</v>
      </c>
      <c r="P68" s="327">
        <f>+'BS（org）'!Q80</f>
        <v>0</v>
      </c>
      <c r="Q68" s="327">
        <f>+'BS（org）'!R80</f>
        <v>0</v>
      </c>
      <c r="R68" s="327">
        <f>+'BS（org）'!S80</f>
        <v>0</v>
      </c>
      <c r="S68" s="327">
        <f>+'BS（org）'!T80</f>
        <v>0</v>
      </c>
      <c r="T68" s="327">
        <f>+'BS（org）'!U80</f>
        <v>0</v>
      </c>
      <c r="U68" s="327">
        <f>+'BS（org）'!V80</f>
        <v>0</v>
      </c>
      <c r="V68" s="327">
        <f>+'BS（org）'!W80</f>
        <v>0</v>
      </c>
      <c r="W68" s="327">
        <f>+'BS（org）'!X80</f>
        <v>0</v>
      </c>
      <c r="X68" s="344">
        <f t="shared" ref="X68:AC68" si="108">W68</f>
        <v>0</v>
      </c>
      <c r="Y68" s="344">
        <f t="shared" si="108"/>
        <v>0</v>
      </c>
      <c r="Z68" s="344">
        <f t="shared" si="108"/>
        <v>0</v>
      </c>
      <c r="AA68" s="344">
        <f t="shared" si="108"/>
        <v>0</v>
      </c>
      <c r="AB68" s="344">
        <f t="shared" si="108"/>
        <v>0</v>
      </c>
      <c r="AC68" s="344">
        <f t="shared" si="108"/>
        <v>0</v>
      </c>
      <c r="AD68" s="344">
        <f t="shared" si="105"/>
        <v>0</v>
      </c>
      <c r="AE68" s="344">
        <f t="shared" si="106"/>
        <v>0</v>
      </c>
      <c r="AF68" s="344">
        <f t="shared" si="107"/>
        <v>0</v>
      </c>
      <c r="AG68" s="344">
        <f t="shared" si="107"/>
        <v>0</v>
      </c>
    </row>
    <row r="69" spans="1:33" s="346" customFormat="1" x14ac:dyDescent="0.4">
      <c r="A69" s="337" t="s">
        <v>556</v>
      </c>
      <c r="B69" s="1679" t="s">
        <v>111</v>
      </c>
      <c r="C69" s="338"/>
      <c r="D69" s="339">
        <f>SUM(D58:D66)-D65</f>
        <v>4433.661000000001</v>
      </c>
      <c r="E69" s="339">
        <f>SUM(E58:E66)-E65</f>
        <v>5244.5259999999998</v>
      </c>
      <c r="F69" s="339">
        <f>SUM(F58:F66)-F65</f>
        <v>5223.880000000001</v>
      </c>
      <c r="G69" s="339">
        <f t="shared" ref="G69:AC69" si="109">SUM(G58:G68)-G65</f>
        <v>5275.4919999999993</v>
      </c>
      <c r="H69" s="339">
        <f t="shared" si="109"/>
        <v>8232.2630000000008</v>
      </c>
      <c r="I69" s="339">
        <f t="shared" si="109"/>
        <v>11576.848000000002</v>
      </c>
      <c r="J69" s="339">
        <f t="shared" si="109"/>
        <v>12475.473999999998</v>
      </c>
      <c r="K69" s="339">
        <f t="shared" si="109"/>
        <v>22761.392000000003</v>
      </c>
      <c r="L69" s="339">
        <f t="shared" si="109"/>
        <v>31221.072</v>
      </c>
      <c r="M69" s="339">
        <f t="shared" si="109"/>
        <v>31706.668999999994</v>
      </c>
      <c r="N69" s="339">
        <f t="shared" si="109"/>
        <v>39716.113999999994</v>
      </c>
      <c r="O69" s="339">
        <f t="shared" si="109"/>
        <v>52807.711999999985</v>
      </c>
      <c r="P69" s="339">
        <f t="shared" si="109"/>
        <v>53629.989000000001</v>
      </c>
      <c r="Q69" s="339">
        <f t="shared" si="109"/>
        <v>71105.770000000019</v>
      </c>
      <c r="R69" s="339">
        <f t="shared" si="109"/>
        <v>79939.491999999998</v>
      </c>
      <c r="S69" s="339">
        <f t="shared" si="109"/>
        <v>92922.448000000004</v>
      </c>
      <c r="T69" s="339">
        <f t="shared" si="109"/>
        <v>102824.64200000002</v>
      </c>
      <c r="U69" s="339">
        <f t="shared" ref="U69" si="110">SUM(U58:U68)-U65</f>
        <v>115355.49500000001</v>
      </c>
      <c r="V69" s="339">
        <f t="shared" ref="V69:W69" si="111">SUM(V58:V68)-V65</f>
        <v>125960.56100000002</v>
      </c>
      <c r="W69" s="339">
        <f t="shared" si="111"/>
        <v>129884.28000000001</v>
      </c>
      <c r="X69" s="339">
        <f t="shared" si="109"/>
        <v>131315.54150805541</v>
      </c>
      <c r="Y69" s="339">
        <f t="shared" si="109"/>
        <v>143084.17748371779</v>
      </c>
      <c r="Z69" s="339">
        <f t="shared" si="109"/>
        <v>152654.83839757551</v>
      </c>
      <c r="AA69" s="339">
        <f t="shared" si="109"/>
        <v>164610.89069942391</v>
      </c>
      <c r="AB69" s="339">
        <f t="shared" si="109"/>
        <v>175509.46868233103</v>
      </c>
      <c r="AC69" s="339">
        <f t="shared" si="109"/>
        <v>185518.56626865853</v>
      </c>
      <c r="AD69" s="339">
        <f t="shared" ref="AD69:AF69" si="112">SUM(AD58:AD68)-AD65</f>
        <v>194773.78564973664</v>
      </c>
      <c r="AE69" s="339">
        <f t="shared" si="112"/>
        <v>203384.55873119028</v>
      </c>
      <c r="AF69" s="339">
        <f t="shared" si="112"/>
        <v>211439.20900161486</v>
      </c>
      <c r="AG69" s="339">
        <f t="shared" ref="AG69" si="113">SUM(AG58:AG68)-AG65</f>
        <v>219009.07194548842</v>
      </c>
    </row>
    <row r="70" spans="1:33" x14ac:dyDescent="0.4">
      <c r="C70" s="326"/>
      <c r="D70" s="326"/>
      <c r="E70" s="326"/>
      <c r="F70" s="326"/>
      <c r="G70" s="326"/>
      <c r="H70" s="326"/>
      <c r="I70" s="326"/>
      <c r="J70" s="326"/>
      <c r="K70" s="326"/>
      <c r="L70" s="326"/>
      <c r="M70" s="356"/>
      <c r="N70" s="356"/>
      <c r="O70" s="356"/>
      <c r="P70" s="356"/>
      <c r="Q70" s="356"/>
      <c r="R70" s="356"/>
      <c r="S70" s="356"/>
      <c r="T70" s="356"/>
      <c r="U70" s="356"/>
      <c r="V70" s="356"/>
      <c r="W70" s="356"/>
      <c r="X70" s="356"/>
      <c r="Y70" s="356"/>
      <c r="Z70" s="356"/>
      <c r="AA70" s="356"/>
      <c r="AB70" s="356"/>
      <c r="AC70" s="356"/>
      <c r="AD70" s="356"/>
      <c r="AE70" s="356"/>
      <c r="AF70" s="356"/>
      <c r="AG70" s="356"/>
    </row>
    <row r="71" spans="1:33" s="346" customFormat="1" x14ac:dyDescent="0.4">
      <c r="A71" s="337" t="s">
        <v>2282</v>
      </c>
      <c r="B71" s="1679" t="s">
        <v>585</v>
      </c>
      <c r="C71" s="338"/>
      <c r="D71" s="339">
        <f t="shared" ref="D71:AC71" si="114">D56+D69</f>
        <v>4433.9390000000012</v>
      </c>
      <c r="E71" s="339">
        <f t="shared" si="114"/>
        <v>5451.8239999999996</v>
      </c>
      <c r="F71" s="339">
        <f t="shared" si="114"/>
        <v>6460.4070000000011</v>
      </c>
      <c r="G71" s="339">
        <f t="shared" si="114"/>
        <v>8854.6999999999989</v>
      </c>
      <c r="H71" s="339">
        <f t="shared" si="114"/>
        <v>14056.022000000001</v>
      </c>
      <c r="I71" s="339">
        <f t="shared" si="114"/>
        <v>17236.068000000003</v>
      </c>
      <c r="J71" s="339">
        <f t="shared" si="114"/>
        <v>23359.826999999997</v>
      </c>
      <c r="K71" s="339">
        <f t="shared" si="114"/>
        <v>36263.338000000003</v>
      </c>
      <c r="L71" s="339">
        <f t="shared" si="114"/>
        <v>46581.445</v>
      </c>
      <c r="M71" s="339">
        <f t="shared" si="114"/>
        <v>49819.278999999995</v>
      </c>
      <c r="N71" s="339">
        <f t="shared" si="114"/>
        <v>60504.126999999993</v>
      </c>
      <c r="O71" s="339">
        <f t="shared" si="114"/>
        <v>80055.361999999979</v>
      </c>
      <c r="P71" s="339">
        <f t="shared" si="114"/>
        <v>93043.841</v>
      </c>
      <c r="Q71" s="339">
        <f t="shared" si="114"/>
        <v>110516.33800000002</v>
      </c>
      <c r="R71" s="339">
        <f t="shared" si="114"/>
        <v>128531.76</v>
      </c>
      <c r="S71" s="339">
        <f t="shared" si="114"/>
        <v>153068.15400000001</v>
      </c>
      <c r="T71" s="339">
        <f t="shared" si="114"/>
        <v>161053.67500000002</v>
      </c>
      <c r="U71" s="339">
        <f t="shared" ref="U71:V71" si="115">U56+U69</f>
        <v>174997.06600000002</v>
      </c>
      <c r="V71" s="339">
        <f t="shared" si="115"/>
        <v>192364.86200000002</v>
      </c>
      <c r="W71" s="339">
        <f t="shared" ref="W71" si="116">W56+W69</f>
        <v>200312.25</v>
      </c>
      <c r="X71" s="339">
        <f t="shared" si="114"/>
        <v>204632.89972247725</v>
      </c>
      <c r="Y71" s="339">
        <f t="shared" si="114"/>
        <v>219458.1690300912</v>
      </c>
      <c r="Z71" s="339">
        <f t="shared" si="114"/>
        <v>232159.42413633678</v>
      </c>
      <c r="AA71" s="339">
        <f t="shared" si="114"/>
        <v>247336.63710304821</v>
      </c>
      <c r="AB71" s="339">
        <f t="shared" si="114"/>
        <v>261526.23127316037</v>
      </c>
      <c r="AC71" s="339">
        <f t="shared" si="114"/>
        <v>274911.94959065842</v>
      </c>
      <c r="AD71" s="339">
        <f t="shared" ref="AD71:AF71" si="117">AD56+AD69</f>
        <v>287632.59824609035</v>
      </c>
      <c r="AE71" s="339">
        <f t="shared" si="117"/>
        <v>299800.86395453173</v>
      </c>
      <c r="AF71" s="339">
        <f t="shared" si="117"/>
        <v>311508.39227782673</v>
      </c>
      <c r="AG71" s="339">
        <f t="shared" ref="AG71" si="118">AG56+AG69</f>
        <v>322829.92278375407</v>
      </c>
    </row>
    <row r="72" spans="1:33" s="347" customFormat="1" x14ac:dyDescent="0.4">
      <c r="A72" s="348" t="s">
        <v>749</v>
      </c>
      <c r="B72" s="1701" t="s">
        <v>105</v>
      </c>
      <c r="C72" s="349"/>
      <c r="D72" s="349"/>
      <c r="E72" s="349">
        <f t="shared" ref="E72:AC72" si="119">E71/D71-1</f>
        <v>0.22956675768430701</v>
      </c>
      <c r="F72" s="349">
        <f t="shared" si="119"/>
        <v>0.1849991855936659</v>
      </c>
      <c r="G72" s="349">
        <f t="shared" si="119"/>
        <v>0.37061024173863921</v>
      </c>
      <c r="H72" s="349">
        <f t="shared" si="119"/>
        <v>0.58740804318610484</v>
      </c>
      <c r="I72" s="349">
        <f t="shared" si="119"/>
        <v>0.22624082403968937</v>
      </c>
      <c r="J72" s="349">
        <f t="shared" si="119"/>
        <v>0.3552874704369926</v>
      </c>
      <c r="K72" s="349">
        <f t="shared" si="119"/>
        <v>0.5523804178858005</v>
      </c>
      <c r="L72" s="349">
        <f t="shared" si="119"/>
        <v>0.28453274213201207</v>
      </c>
      <c r="M72" s="349">
        <f t="shared" si="119"/>
        <v>6.9509093159304092E-2</v>
      </c>
      <c r="N72" s="349">
        <f t="shared" si="119"/>
        <v>0.21447215243721218</v>
      </c>
      <c r="O72" s="349">
        <f t="shared" si="119"/>
        <v>0.32313886621320864</v>
      </c>
      <c r="P72" s="349">
        <f t="shared" si="119"/>
        <v>0.16224371079603661</v>
      </c>
      <c r="Q72" s="349">
        <f t="shared" si="119"/>
        <v>0.18778778704976307</v>
      </c>
      <c r="R72" s="349">
        <f t="shared" si="119"/>
        <v>0.16301139113024155</v>
      </c>
      <c r="S72" s="349">
        <f t="shared" si="119"/>
        <v>0.19089751824763002</v>
      </c>
      <c r="T72" s="349">
        <f t="shared" si="119"/>
        <v>5.2169708664546954E-2</v>
      </c>
      <c r="U72" s="349">
        <f t="shared" si="119"/>
        <v>8.6576049879023342E-2</v>
      </c>
      <c r="V72" s="349">
        <f t="shared" si="119"/>
        <v>9.9246212505071263E-2</v>
      </c>
      <c r="W72" s="349">
        <f t="shared" si="119"/>
        <v>4.131413563460451E-2</v>
      </c>
      <c r="X72" s="349">
        <f t="shared" si="119"/>
        <v>2.156957311635832E-2</v>
      </c>
      <c r="Y72" s="349">
        <f t="shared" si="119"/>
        <v>7.2448122113892621E-2</v>
      </c>
      <c r="Z72" s="349">
        <f t="shared" si="119"/>
        <v>5.7875517518347852E-2</v>
      </c>
      <c r="AA72" s="349">
        <f t="shared" si="119"/>
        <v>6.5374098093035071E-2</v>
      </c>
      <c r="AB72" s="349">
        <f t="shared" si="119"/>
        <v>5.7369560516019824E-2</v>
      </c>
      <c r="AC72" s="349">
        <f t="shared" si="119"/>
        <v>5.1183081147668341E-2</v>
      </c>
      <c r="AD72" s="349">
        <f t="shared" ref="AD72" si="120">AD71/AC71-1</f>
        <v>4.6271719633769415E-2</v>
      </c>
      <c r="AE72" s="349">
        <f t="shared" ref="AE72" si="121">AE71/AD71-1</f>
        <v>4.2304890970774389E-2</v>
      </c>
      <c r="AF72" s="349">
        <f t="shared" ref="AF72:AG72" si="122">AF71/AE71-1</f>
        <v>3.9051015960616331E-2</v>
      </c>
      <c r="AG72" s="349">
        <f t="shared" si="122"/>
        <v>3.6344223098265571E-2</v>
      </c>
    </row>
    <row r="73" spans="1:33" s="350" customFormat="1" x14ac:dyDescent="0.4">
      <c r="A73" s="351"/>
      <c r="B73" s="1719"/>
      <c r="C73" s="352"/>
      <c r="D73" s="352"/>
      <c r="E73" s="352"/>
      <c r="F73" s="352"/>
      <c r="G73" s="352"/>
      <c r="H73" s="352"/>
      <c r="I73" s="352"/>
      <c r="J73" s="352"/>
      <c r="K73" s="352"/>
      <c r="L73" s="351"/>
      <c r="M73" s="351"/>
      <c r="N73" s="351"/>
      <c r="O73" s="351"/>
      <c r="P73" s="351"/>
      <c r="Q73" s="351"/>
      <c r="R73" s="351"/>
      <c r="S73" s="351"/>
      <c r="T73" s="351"/>
      <c r="U73" s="351"/>
      <c r="V73" s="351"/>
      <c r="W73" s="351"/>
      <c r="X73" s="351"/>
      <c r="Y73" s="351"/>
      <c r="Z73" s="351"/>
      <c r="AA73" s="351"/>
      <c r="AB73" s="351"/>
      <c r="AC73" s="351"/>
      <c r="AD73" s="351"/>
      <c r="AE73" s="351"/>
      <c r="AF73" s="351"/>
      <c r="AG73" s="351"/>
    </row>
    <row r="74" spans="1:33" x14ac:dyDescent="0.4">
      <c r="A74" s="323" t="s">
        <v>504</v>
      </c>
      <c r="B74" s="1678" t="s">
        <v>503</v>
      </c>
      <c r="C74" s="324"/>
      <c r="D74" s="324"/>
      <c r="E74" s="324"/>
      <c r="F74" s="324"/>
      <c r="G74" s="324"/>
      <c r="H74" s="324"/>
      <c r="I74" s="324"/>
      <c r="J74" s="324"/>
      <c r="K74" s="324"/>
    </row>
    <row r="75" spans="1:33" x14ac:dyDescent="0.4">
      <c r="A75" s="310" t="s">
        <v>2283</v>
      </c>
      <c r="B75" s="354" t="s">
        <v>509</v>
      </c>
      <c r="C75" s="326"/>
      <c r="D75" s="327">
        <f>'BS（org）'!E91</f>
        <v>49.896000000000001</v>
      </c>
      <c r="E75" s="327">
        <f>'BS（org）'!F91</f>
        <v>60.820999999999998</v>
      </c>
      <c r="F75" s="327">
        <f>'BS（org）'!G91</f>
        <v>61.119</v>
      </c>
      <c r="G75" s="327">
        <f>'BS（org）'!H91</f>
        <v>73.864000000000004</v>
      </c>
      <c r="H75" s="327">
        <f>'BS（org）'!I91</f>
        <v>74.486000000000004</v>
      </c>
      <c r="I75" s="327">
        <f>'BS（org）'!J91</f>
        <v>89.668000000000006</v>
      </c>
      <c r="J75" s="327">
        <f>'BS（org）'!K91</f>
        <v>97.186000000000007</v>
      </c>
      <c r="K75" s="327">
        <f>'BS（org）'!L91</f>
        <v>97.218999999999994</v>
      </c>
      <c r="L75" s="327">
        <f>'BS（org）'!M91</f>
        <v>100.31</v>
      </c>
      <c r="M75" s="327">
        <f>'BS（org）'!N91</f>
        <v>101.408</v>
      </c>
      <c r="N75" s="327">
        <f>'BS（org）'!O91</f>
        <v>112.203</v>
      </c>
      <c r="O75" s="327">
        <f>'BS（org）'!P91</f>
        <v>126.229</v>
      </c>
      <c r="P75" s="327">
        <f>'BS（org）'!Q91</f>
        <v>126.229</v>
      </c>
      <c r="Q75" s="327">
        <f>'BS（org）'!R91</f>
        <v>126.229</v>
      </c>
      <c r="R75" s="327">
        <f>'BS（org）'!S91</f>
        <v>126.229</v>
      </c>
      <c r="S75" s="327">
        <f>'BS（org）'!T91</f>
        <v>125.94</v>
      </c>
      <c r="T75" s="327">
        <f>'BS（org）'!U91</f>
        <v>125.94</v>
      </c>
      <c r="U75" s="327">
        <f>'BS（org）'!V91</f>
        <v>125.94</v>
      </c>
      <c r="V75" s="327">
        <f>'BS（org）'!W91</f>
        <v>118.09800000000001</v>
      </c>
      <c r="W75" s="327">
        <f>'BS（org）'!X91</f>
        <v>123.8</v>
      </c>
      <c r="X75" s="333">
        <f t="shared" ref="X75:AC75" si="123">W75</f>
        <v>123.8</v>
      </c>
      <c r="Y75" s="333">
        <f t="shared" si="123"/>
        <v>123.8</v>
      </c>
      <c r="Z75" s="333">
        <f t="shared" si="123"/>
        <v>123.8</v>
      </c>
      <c r="AA75" s="333">
        <f t="shared" si="123"/>
        <v>123.8</v>
      </c>
      <c r="AB75" s="333">
        <f t="shared" si="123"/>
        <v>123.8</v>
      </c>
      <c r="AC75" s="333">
        <f t="shared" si="123"/>
        <v>123.8</v>
      </c>
      <c r="AD75" s="333">
        <f t="shared" ref="AD75" si="124">AC75</f>
        <v>123.8</v>
      </c>
      <c r="AE75" s="333">
        <f t="shared" ref="AE75" si="125">AD75</f>
        <v>123.8</v>
      </c>
      <c r="AF75" s="333">
        <f t="shared" ref="AF75:AG75" si="126">AE75</f>
        <v>123.8</v>
      </c>
      <c r="AG75" s="333">
        <f t="shared" si="126"/>
        <v>123.8</v>
      </c>
    </row>
    <row r="76" spans="1:33" x14ac:dyDescent="0.4">
      <c r="A76" s="310" t="s">
        <v>2284</v>
      </c>
      <c r="B76" s="354" t="s">
        <v>3125</v>
      </c>
      <c r="C76" s="326"/>
      <c r="D76" s="327">
        <f>'BS（org）'!E92</f>
        <v>924.30499999999995</v>
      </c>
      <c r="E76" s="327">
        <f>'BS（org）'!F92</f>
        <v>2094.8620000000001</v>
      </c>
      <c r="F76" s="327">
        <f>'BS（org）'!G92</f>
        <v>2462.1379999999999</v>
      </c>
      <c r="G76" s="327">
        <f>'BS（org）'!H92</f>
        <v>4230.9179999999997</v>
      </c>
      <c r="H76" s="327">
        <f>'BS（org）'!I92</f>
        <v>4544.9639999999999</v>
      </c>
      <c r="I76" s="327">
        <f>'BS（org）'!J92</f>
        <v>9400.6839999999993</v>
      </c>
      <c r="J76" s="327">
        <f>'BS（org）'!K92</f>
        <v>13412.638000000001</v>
      </c>
      <c r="K76" s="327">
        <f>'BS（org）'!L92</f>
        <v>15836.416999999999</v>
      </c>
      <c r="L76" s="327">
        <f>'BS（org）'!M92</f>
        <v>19729.786</v>
      </c>
      <c r="M76" s="327">
        <f>'BS（org）'!N92</f>
        <v>23083.146000000001</v>
      </c>
      <c r="N76" s="327">
        <f>'BS（org）'!O92</f>
        <v>25335.755000000001</v>
      </c>
      <c r="O76" s="327">
        <f>'BS（org）'!P92</f>
        <v>37961.4</v>
      </c>
      <c r="P76" s="327">
        <f>'BS（org）'!Q92</f>
        <v>38328.139000000003</v>
      </c>
      <c r="Q76" s="327">
        <f>'BS（org）'!R92</f>
        <v>42021.940999999999</v>
      </c>
      <c r="R76" s="327">
        <f>'BS（org）'!S92</f>
        <v>48967.544999999998</v>
      </c>
      <c r="S76" s="327">
        <f>'BS（org）'!T92</f>
        <v>56320.224999999999</v>
      </c>
      <c r="T76" s="327">
        <f>'BS（org）'!U92</f>
        <v>57664.220999999998</v>
      </c>
      <c r="U76" s="327">
        <f>'BS（org）'!V92</f>
        <v>61597.478999999999</v>
      </c>
      <c r="V76" s="327">
        <f>'BS（org）'!W92</f>
        <v>61737.271000000001</v>
      </c>
      <c r="W76" s="327">
        <f>'BS（org）'!X92</f>
        <v>70278.73</v>
      </c>
      <c r="X76" s="328">
        <f ca="1">-(X75-W75)+W76+PL!X112-PL!W129+CF!X23</f>
        <v>76975.631508415274</v>
      </c>
      <c r="Y76" s="328">
        <f ca="1">-(Y75-X75)+X76+PL!Y112-PL!X129+CF!Y23</f>
        <v>84088.840557418225</v>
      </c>
      <c r="Z76" s="328">
        <f ca="1">-(Z75-Y75)+Y76+PL!Z112-PL!Y129+CF!Z23</f>
        <v>91422.951600138462</v>
      </c>
      <c r="AA76" s="328">
        <f ca="1">-(AA75-Z75)+Z76+PL!AA112-PL!Z129+CF!AA23</f>
        <v>99824.095936756668</v>
      </c>
      <c r="AB76" s="328">
        <f ca="1">-(AB75-AA75)+AA76+PL!AB112-PL!AA129+CF!AB23</f>
        <v>108945.28533247358</v>
      </c>
      <c r="AC76" s="328">
        <f ca="1">-(AC75-AB75)+AB76+PL!AC112-PL!AB129+CF!AC23</f>
        <v>118737.68805171162</v>
      </c>
      <c r="AD76" s="328">
        <f ca="1">-(AD75-AC75)+AC76+PL!AD112-PL!AC129+CF!AD23</f>
        <v>129162.44091619873</v>
      </c>
      <c r="AE76" s="328">
        <f ca="1">-(AE75-AD75)+AD76+PL!AE112-PL!AD129+CF!AE23</f>
        <v>140196.04397837643</v>
      </c>
      <c r="AF76" s="328">
        <f ca="1">-(AF75-AE75)+AE76+PL!AF112-PL!AE129+CF!AF23</f>
        <v>151804.57127770528</v>
      </c>
      <c r="AG76" s="328">
        <f ca="1">-(AG75-AF75)+AF76+PL!AG112-PL!AF129+CF!AG23</f>
        <v>163960.73172370903</v>
      </c>
    </row>
    <row r="77" spans="1:33" s="346" customFormat="1" x14ac:dyDescent="0.4">
      <c r="A77" s="323" t="s">
        <v>191</v>
      </c>
      <c r="B77" s="1678" t="s">
        <v>599</v>
      </c>
      <c r="C77" s="359">
        <f>'BS（org）'!D95</f>
        <v>827.80600000000004</v>
      </c>
      <c r="D77" s="359">
        <f>'BS（org）'!E95</f>
        <v>974.20099999999991</v>
      </c>
      <c r="E77" s="359">
        <f>'BS（org）'!F95</f>
        <v>2155.683</v>
      </c>
      <c r="F77" s="359">
        <f t="shared" ref="F77:AC77" si="127">SUM(F75:F76)</f>
        <v>2523.2570000000001</v>
      </c>
      <c r="G77" s="359">
        <f t="shared" si="127"/>
        <v>4304.7819999999992</v>
      </c>
      <c r="H77" s="359">
        <f t="shared" si="127"/>
        <v>4619.45</v>
      </c>
      <c r="I77" s="359">
        <f t="shared" si="127"/>
        <v>9490.351999999999</v>
      </c>
      <c r="J77" s="359">
        <f t="shared" si="127"/>
        <v>13509.824000000001</v>
      </c>
      <c r="K77" s="359">
        <f t="shared" si="127"/>
        <v>15933.635999999999</v>
      </c>
      <c r="L77" s="359">
        <f t="shared" si="127"/>
        <v>19830.096000000001</v>
      </c>
      <c r="M77" s="359">
        <f t="shared" si="127"/>
        <v>23184.554</v>
      </c>
      <c r="N77" s="359">
        <f t="shared" si="127"/>
        <v>25447.958000000002</v>
      </c>
      <c r="O77" s="359">
        <f t="shared" si="127"/>
        <v>38087.629000000001</v>
      </c>
      <c r="P77" s="359">
        <f t="shared" si="127"/>
        <v>38454.368000000002</v>
      </c>
      <c r="Q77" s="359">
        <f t="shared" si="127"/>
        <v>42148.17</v>
      </c>
      <c r="R77" s="359">
        <f t="shared" si="127"/>
        <v>49093.773999999998</v>
      </c>
      <c r="S77" s="359">
        <f t="shared" si="127"/>
        <v>56446.165000000001</v>
      </c>
      <c r="T77" s="359">
        <f t="shared" si="127"/>
        <v>57790.161</v>
      </c>
      <c r="U77" s="359">
        <f t="shared" ref="U77" si="128">SUM(U75:U76)</f>
        <v>61723.419000000002</v>
      </c>
      <c r="V77" s="359">
        <f t="shared" ref="V77:W77" si="129">SUM(V75:V76)</f>
        <v>61855.368999999999</v>
      </c>
      <c r="W77" s="359">
        <f t="shared" si="129"/>
        <v>70402.53</v>
      </c>
      <c r="X77" s="359">
        <f ca="1">SUM(X75:X76)</f>
        <v>77099.431508415277</v>
      </c>
      <c r="Y77" s="359">
        <f t="shared" ca="1" si="127"/>
        <v>84212.640557418228</v>
      </c>
      <c r="Z77" s="359">
        <f t="shared" ca="1" si="127"/>
        <v>91546.751600138465</v>
      </c>
      <c r="AA77" s="359">
        <f t="shared" ca="1" si="127"/>
        <v>99947.895936756671</v>
      </c>
      <c r="AB77" s="359">
        <f t="shared" ca="1" si="127"/>
        <v>109069.08533247358</v>
      </c>
      <c r="AC77" s="359">
        <f t="shared" ca="1" si="127"/>
        <v>118861.48805171163</v>
      </c>
      <c r="AD77" s="359">
        <f t="shared" ref="AD77:AF77" ca="1" si="130">SUM(AD75:AD76)</f>
        <v>129286.24091619873</v>
      </c>
      <c r="AE77" s="359">
        <f t="shared" ca="1" si="130"/>
        <v>140319.84397837642</v>
      </c>
      <c r="AF77" s="359">
        <f t="shared" ca="1" si="130"/>
        <v>151928.37127770527</v>
      </c>
      <c r="AG77" s="359">
        <f t="shared" ref="AG77" ca="1" si="131">SUM(AG75:AG76)</f>
        <v>164084.53172370902</v>
      </c>
    </row>
    <row r="78" spans="1:33" x14ac:dyDescent="0.4">
      <c r="A78" s="348" t="s">
        <v>749</v>
      </c>
      <c r="B78" s="1701" t="s">
        <v>105</v>
      </c>
      <c r="C78" s="326"/>
      <c r="D78" s="349"/>
      <c r="E78" s="349">
        <f t="shared" ref="E78:AC78" si="132">E77/D77-1</f>
        <v>1.2127702599360912</v>
      </c>
      <c r="F78" s="349">
        <f t="shared" si="132"/>
        <v>0.17051393920163593</v>
      </c>
      <c r="G78" s="349">
        <f t="shared" si="132"/>
        <v>0.70604183402641874</v>
      </c>
      <c r="H78" s="349">
        <f t="shared" si="132"/>
        <v>7.3097313638646577E-2</v>
      </c>
      <c r="I78" s="349">
        <f t="shared" si="132"/>
        <v>1.0544333199839806</v>
      </c>
      <c r="J78" s="349">
        <f t="shared" si="132"/>
        <v>0.42353244642559118</v>
      </c>
      <c r="K78" s="349">
        <f t="shared" si="132"/>
        <v>0.17941107152839275</v>
      </c>
      <c r="L78" s="349">
        <f t="shared" si="132"/>
        <v>0.24454305344994731</v>
      </c>
      <c r="M78" s="349">
        <f t="shared" si="132"/>
        <v>0.16915994758673869</v>
      </c>
      <c r="N78" s="349">
        <f t="shared" si="132"/>
        <v>9.7625513952090737E-2</v>
      </c>
      <c r="O78" s="349">
        <f t="shared" si="132"/>
        <v>0.4966870426302965</v>
      </c>
      <c r="P78" s="349">
        <f t="shared" si="132"/>
        <v>9.6288219988700519E-3</v>
      </c>
      <c r="Q78" s="349">
        <f t="shared" si="132"/>
        <v>9.6056760053890189E-2</v>
      </c>
      <c r="R78" s="349">
        <f t="shared" si="132"/>
        <v>0.16479016763954402</v>
      </c>
      <c r="S78" s="349">
        <f t="shared" si="132"/>
        <v>0.14976218776743466</v>
      </c>
      <c r="T78" s="349">
        <f t="shared" si="132"/>
        <v>2.3810226965817805E-2</v>
      </c>
      <c r="U78" s="349">
        <f t="shared" si="132"/>
        <v>6.8061032050075188E-2</v>
      </c>
      <c r="V78" s="349">
        <f t="shared" si="132"/>
        <v>2.137762329724513E-3</v>
      </c>
      <c r="W78" s="349">
        <f t="shared" si="132"/>
        <v>0.13817977546945026</v>
      </c>
      <c r="X78" s="349">
        <f t="shared" ca="1" si="132"/>
        <v>9.5123023397245543E-2</v>
      </c>
      <c r="Y78" s="349">
        <f t="shared" ca="1" si="132"/>
        <v>9.2260201013629528E-2</v>
      </c>
      <c r="Z78" s="349">
        <f t="shared" ca="1" si="132"/>
        <v>8.7090382087231522E-2</v>
      </c>
      <c r="AA78" s="349">
        <f t="shared" ca="1" si="132"/>
        <v>9.1768896108002318E-2</v>
      </c>
      <c r="AB78" s="349">
        <f t="shared" ca="1" si="132"/>
        <v>9.1259443835500553E-2</v>
      </c>
      <c r="AC78" s="349">
        <f t="shared" ca="1" si="132"/>
        <v>8.9781652513065691E-2</v>
      </c>
      <c r="AD78" s="349">
        <f t="shared" ref="AD78" ca="1" si="133">AD77/AC77-1</f>
        <v>8.770505094090475E-2</v>
      </c>
      <c r="AE78" s="349">
        <f t="shared" ref="AE78" ca="1" si="134">AE77/AD77-1</f>
        <v>8.5342438483685834E-2</v>
      </c>
      <c r="AF78" s="349">
        <f t="shared" ref="AF78:AG78" ca="1" si="135">AF77/AE77-1</f>
        <v>8.2729049364662632E-2</v>
      </c>
      <c r="AG78" s="349">
        <f t="shared" ca="1" si="135"/>
        <v>8.0012444968450724E-2</v>
      </c>
    </row>
    <row r="79" spans="1:33" x14ac:dyDescent="0.4">
      <c r="A79" s="310" t="s">
        <v>1984</v>
      </c>
      <c r="B79" s="354" t="s">
        <v>2285</v>
      </c>
      <c r="C79" s="326"/>
      <c r="D79" s="349"/>
      <c r="E79" s="349"/>
      <c r="F79" s="349"/>
      <c r="G79" s="349"/>
      <c r="H79" s="349"/>
      <c r="I79" s="349"/>
      <c r="J79" s="349"/>
      <c r="K79" s="349"/>
      <c r="L79" s="349"/>
      <c r="M79" s="349"/>
      <c r="N79" s="349"/>
      <c r="O79" s="349"/>
      <c r="P79" s="341">
        <f>'BS（org）'!Q96</f>
        <v>3878.4680000000003</v>
      </c>
      <c r="Q79" s="341">
        <f>'BS（org）'!R96</f>
        <v>7781.9620000000004</v>
      </c>
      <c r="R79" s="341">
        <f>'BS（org）'!S96</f>
        <v>7799.2079999999996</v>
      </c>
      <c r="S79" s="341">
        <f>'BS（org）'!T96</f>
        <v>7793.93</v>
      </c>
      <c r="T79" s="341">
        <f>'BS（org）'!U96</f>
        <v>7801.1540000000005</v>
      </c>
      <c r="U79" s="341">
        <f>'BS（org）'!V96</f>
        <v>10017.781999999999</v>
      </c>
      <c r="V79" s="341">
        <f>'BS（org）'!W96</f>
        <v>6738.9820000000009</v>
      </c>
      <c r="W79" s="341">
        <f>'BS（org）'!X96</f>
        <v>6741.71</v>
      </c>
      <c r="X79" s="333">
        <f t="shared" ref="X79:AC79" si="136">W79</f>
        <v>6741.71</v>
      </c>
      <c r="Y79" s="333">
        <f t="shared" si="136"/>
        <v>6741.71</v>
      </c>
      <c r="Z79" s="333">
        <f t="shared" si="136"/>
        <v>6741.71</v>
      </c>
      <c r="AA79" s="333">
        <f t="shared" si="136"/>
        <v>6741.71</v>
      </c>
      <c r="AB79" s="333">
        <f t="shared" si="136"/>
        <v>6741.71</v>
      </c>
      <c r="AC79" s="333">
        <f t="shared" si="136"/>
        <v>6741.71</v>
      </c>
      <c r="AD79" s="333">
        <f t="shared" ref="AD79" si="137">AC79</f>
        <v>6741.71</v>
      </c>
      <c r="AE79" s="333">
        <f t="shared" ref="AE79" si="138">AD79</f>
        <v>6741.71</v>
      </c>
      <c r="AF79" s="333">
        <f t="shared" ref="AF79:AG79" si="139">AE79</f>
        <v>6741.71</v>
      </c>
      <c r="AG79" s="333">
        <f t="shared" si="139"/>
        <v>6741.71</v>
      </c>
    </row>
    <row r="80" spans="1:33" x14ac:dyDescent="0.4">
      <c r="A80" s="310" t="s">
        <v>390</v>
      </c>
      <c r="B80" s="354" t="s">
        <v>321</v>
      </c>
      <c r="C80" s="326"/>
      <c r="D80" s="327">
        <f>'BS（org）'!E97</f>
        <v>0</v>
      </c>
      <c r="E80" s="327">
        <f>'BS（org）'!F97</f>
        <v>0</v>
      </c>
      <c r="F80" s="327">
        <f>'BS（org）'!G97</f>
        <v>0</v>
      </c>
      <c r="G80" s="327">
        <f>'BS（org）'!H97</f>
        <v>0</v>
      </c>
      <c r="H80" s="327">
        <f>'BS（org）'!I97</f>
        <v>3.95</v>
      </c>
      <c r="I80" s="327">
        <f>'BS（org）'!J97</f>
        <v>6.7240000000000002</v>
      </c>
      <c r="J80" s="327">
        <f>'BS（org）'!K97</f>
        <v>343.14400000000001</v>
      </c>
      <c r="K80" s="327">
        <f>'BS（org）'!L97</f>
        <v>253.73699999999999</v>
      </c>
      <c r="L80" s="327">
        <f>'BS（org）'!M97</f>
        <v>167.566</v>
      </c>
      <c r="M80" s="327">
        <f>'BS（org）'!N97</f>
        <v>100.262</v>
      </c>
      <c r="N80" s="327">
        <f>'BS（org）'!O97</f>
        <v>222.36</v>
      </c>
      <c r="O80" s="327">
        <f>'BS（org）'!P97</f>
        <v>375.28199999999998</v>
      </c>
      <c r="P80" s="327">
        <f>'BS（org）'!Q97</f>
        <v>745.41399999999999</v>
      </c>
      <c r="Q80" s="327">
        <f>'BS（org）'!R97</f>
        <v>977.43299999999999</v>
      </c>
      <c r="R80" s="327">
        <f>'BS（org）'!S97</f>
        <v>1386.5650000000001</v>
      </c>
      <c r="S80" s="327">
        <f>'BS（org）'!T97</f>
        <v>1976.1759999999999</v>
      </c>
      <c r="T80" s="327">
        <f>'BS（org）'!U97</f>
        <v>2205.1390000000001</v>
      </c>
      <c r="U80" s="327">
        <f>'BS（org）'!V97</f>
        <v>2536.4180000000001</v>
      </c>
      <c r="V80" s="327">
        <f>'BS（org）'!W97</f>
        <v>2478.6689999999999</v>
      </c>
      <c r="W80" s="327">
        <f>'BS（org）'!X97</f>
        <v>3232.83</v>
      </c>
      <c r="X80" s="327">
        <f ca="1">W80+PL!X109</f>
        <v>3443.8473448400468</v>
      </c>
      <c r="Y80" s="327">
        <f ca="1">X80+PL!Y109</f>
        <v>3672.6416655456242</v>
      </c>
      <c r="Z80" s="327">
        <f ca="1">Y80+PL!Z109</f>
        <v>3912.3710203710825</v>
      </c>
      <c r="AA80" s="327">
        <f ca="1">Z80+PL!AA109</f>
        <v>4178.6935099200264</v>
      </c>
      <c r="AB80" s="327">
        <f ca="1">AA80+PL!AB109</f>
        <v>4469.6862421049063</v>
      </c>
      <c r="AC80" s="327">
        <f ca="1">AB80+PL!AC109</f>
        <v>4783.6343467828501</v>
      </c>
      <c r="AD80" s="327">
        <f ca="1">AC80+PL!AD109</f>
        <v>5119.1084473644351</v>
      </c>
      <c r="AE80" s="327">
        <f ca="1">AD80+PL!AE109</f>
        <v>5475.1068748612115</v>
      </c>
      <c r="AF80" s="327">
        <f ca="1">AE80+PL!AF109</f>
        <v>5850.5552119478371</v>
      </c>
      <c r="AG80" s="327">
        <f ca="1">AF80+PL!AG109</f>
        <v>6244.4951387950368</v>
      </c>
    </row>
    <row r="81" spans="1:33" s="346" customFormat="1" x14ac:dyDescent="0.4">
      <c r="A81" s="323"/>
      <c r="B81" s="1678"/>
      <c r="C81" s="345"/>
      <c r="D81" s="345"/>
      <c r="E81" s="345"/>
      <c r="F81" s="345"/>
      <c r="G81" s="345"/>
      <c r="H81" s="345"/>
      <c r="I81" s="345"/>
      <c r="J81" s="345"/>
      <c r="K81" s="345"/>
      <c r="L81" s="323"/>
      <c r="M81" s="323"/>
      <c r="N81" s="323"/>
      <c r="O81" s="323"/>
      <c r="P81" s="323"/>
      <c r="Q81" s="323"/>
      <c r="R81" s="323"/>
      <c r="S81" s="323"/>
      <c r="T81" s="323"/>
      <c r="U81" s="323"/>
      <c r="V81" s="323"/>
      <c r="W81" s="323"/>
      <c r="X81" s="323"/>
      <c r="Y81" s="323"/>
      <c r="Z81" s="323"/>
      <c r="AA81" s="323"/>
      <c r="AB81" s="323"/>
      <c r="AC81" s="323"/>
      <c r="AD81" s="323"/>
      <c r="AE81" s="323"/>
      <c r="AF81" s="323"/>
      <c r="AG81" s="323"/>
    </row>
    <row r="82" spans="1:33" s="346" customFormat="1" x14ac:dyDescent="0.4">
      <c r="A82" s="337" t="s">
        <v>508</v>
      </c>
      <c r="B82" s="1679" t="s">
        <v>507</v>
      </c>
      <c r="C82" s="339"/>
      <c r="D82" s="339">
        <f t="shared" ref="D82:O82" si="140">D77+D80</f>
        <v>974.20099999999991</v>
      </c>
      <c r="E82" s="339">
        <f t="shared" si="140"/>
        <v>2155.683</v>
      </c>
      <c r="F82" s="339">
        <f t="shared" si="140"/>
        <v>2523.2570000000001</v>
      </c>
      <c r="G82" s="339">
        <f t="shared" si="140"/>
        <v>4304.7819999999992</v>
      </c>
      <c r="H82" s="339">
        <f t="shared" si="140"/>
        <v>4623.3999999999996</v>
      </c>
      <c r="I82" s="339">
        <f t="shared" si="140"/>
        <v>9497.0759999999991</v>
      </c>
      <c r="J82" s="339">
        <f t="shared" si="140"/>
        <v>13852.968000000001</v>
      </c>
      <c r="K82" s="339">
        <f t="shared" si="140"/>
        <v>16187.372999999998</v>
      </c>
      <c r="L82" s="339">
        <f t="shared" si="140"/>
        <v>19997.662</v>
      </c>
      <c r="M82" s="339">
        <f t="shared" si="140"/>
        <v>23284.815999999999</v>
      </c>
      <c r="N82" s="339">
        <f t="shared" si="140"/>
        <v>25670.318000000003</v>
      </c>
      <c r="O82" s="339">
        <f t="shared" si="140"/>
        <v>38462.911</v>
      </c>
      <c r="P82" s="339">
        <f t="shared" ref="P82:AC82" si="141">P77+P80+P79</f>
        <v>43078.25</v>
      </c>
      <c r="Q82" s="339">
        <f t="shared" si="141"/>
        <v>50907.564999999995</v>
      </c>
      <c r="R82" s="339">
        <f t="shared" si="141"/>
        <v>58279.546999999999</v>
      </c>
      <c r="S82" s="339">
        <f t="shared" si="141"/>
        <v>66216.271000000008</v>
      </c>
      <c r="T82" s="339">
        <f t="shared" si="141"/>
        <v>67796.453999999998</v>
      </c>
      <c r="U82" s="339">
        <f t="shared" ref="U82:V82" si="142">U77+U80+U79</f>
        <v>74277.619000000006</v>
      </c>
      <c r="V82" s="339">
        <f t="shared" si="142"/>
        <v>71073.02</v>
      </c>
      <c r="W82" s="339">
        <f t="shared" ref="W82" si="143">W77+W80+W79</f>
        <v>80377.070000000007</v>
      </c>
      <c r="X82" s="339">
        <f ca="1">X77+X80+X79</f>
        <v>87284.98885325533</v>
      </c>
      <c r="Y82" s="339">
        <f t="shared" ca="1" si="141"/>
        <v>94626.992222963861</v>
      </c>
      <c r="Z82" s="339">
        <f t="shared" ca="1" si="141"/>
        <v>102200.83262050955</v>
      </c>
      <c r="AA82" s="339">
        <f t="shared" ca="1" si="141"/>
        <v>110868.2994466767</v>
      </c>
      <c r="AB82" s="339">
        <f t="shared" ca="1" si="141"/>
        <v>120280.48157457849</v>
      </c>
      <c r="AC82" s="339">
        <f t="shared" ca="1" si="141"/>
        <v>130386.83239849449</v>
      </c>
      <c r="AD82" s="339">
        <f t="shared" ref="AD82:AF82" ca="1" si="144">AD77+AD80+AD79</f>
        <v>141147.05936356317</v>
      </c>
      <c r="AE82" s="339">
        <f t="shared" ca="1" si="144"/>
        <v>152536.66085323761</v>
      </c>
      <c r="AF82" s="339">
        <f t="shared" ca="1" si="144"/>
        <v>164520.63648965309</v>
      </c>
      <c r="AG82" s="339">
        <f t="shared" ref="AG82" ca="1" si="145">AG77+AG80+AG79</f>
        <v>177070.73686250404</v>
      </c>
    </row>
    <row r="83" spans="1:33" x14ac:dyDescent="0.4">
      <c r="A83" s="348" t="s">
        <v>749</v>
      </c>
      <c r="C83" s="326"/>
      <c r="D83" s="349"/>
      <c r="E83" s="349">
        <f t="shared" ref="E83:AC83" si="146">E82/D82-1</f>
        <v>1.2127702599360912</v>
      </c>
      <c r="F83" s="349">
        <f t="shared" si="146"/>
        <v>0.17051393920163593</v>
      </c>
      <c r="G83" s="349">
        <f t="shared" si="146"/>
        <v>0.70604183402641874</v>
      </c>
      <c r="H83" s="349">
        <f t="shared" si="146"/>
        <v>7.4014897850808836E-2</v>
      </c>
      <c r="I83" s="349">
        <f t="shared" si="146"/>
        <v>1.0541324566336461</v>
      </c>
      <c r="J83" s="349">
        <f t="shared" si="146"/>
        <v>0.45865611689324193</v>
      </c>
      <c r="K83" s="349">
        <f t="shared" si="146"/>
        <v>0.16851298580925023</v>
      </c>
      <c r="L83" s="349">
        <f t="shared" si="146"/>
        <v>0.23538649538748513</v>
      </c>
      <c r="M83" s="349">
        <f t="shared" si="146"/>
        <v>0.16437691566144075</v>
      </c>
      <c r="N83" s="349">
        <f t="shared" si="146"/>
        <v>0.10244882330184635</v>
      </c>
      <c r="O83" s="349">
        <f t="shared" si="146"/>
        <v>0.4983418203077965</v>
      </c>
      <c r="P83" s="349">
        <f t="shared" si="146"/>
        <v>0.11999453187513542</v>
      </c>
      <c r="Q83" s="349">
        <f t="shared" si="146"/>
        <v>0.18174635692025554</v>
      </c>
      <c r="R83" s="349">
        <f t="shared" si="146"/>
        <v>0.14481112974073707</v>
      </c>
      <c r="S83" s="349">
        <f t="shared" si="146"/>
        <v>0.13618369408396402</v>
      </c>
      <c r="T83" s="349">
        <f t="shared" si="146"/>
        <v>2.3863968419483905E-2</v>
      </c>
      <c r="U83" s="349">
        <f t="shared" si="146"/>
        <v>9.5597403958620042E-2</v>
      </c>
      <c r="V83" s="349">
        <f t="shared" si="146"/>
        <v>-4.3143534258953564E-2</v>
      </c>
      <c r="W83" s="349">
        <f t="shared" si="146"/>
        <v>0.13090832498745653</v>
      </c>
      <c r="X83" s="349">
        <f t="shared" ca="1" si="146"/>
        <v>8.5943899836798288E-2</v>
      </c>
      <c r="Y83" s="349">
        <f t="shared" ca="1" si="146"/>
        <v>8.4115303973424371E-2</v>
      </c>
      <c r="Z83" s="349">
        <f t="shared" ca="1" si="146"/>
        <v>8.003890031398142E-2</v>
      </c>
      <c r="AA83" s="349">
        <f t="shared" ca="1" si="146"/>
        <v>8.4808182124611831E-2</v>
      </c>
      <c r="AB83" s="349">
        <f t="shared" ca="1" si="146"/>
        <v>8.4895160969152172E-2</v>
      </c>
      <c r="AC83" s="349">
        <f t="shared" ca="1" si="146"/>
        <v>8.4023198873290905E-2</v>
      </c>
      <c r="AD83" s="349">
        <f t="shared" ref="AD83" ca="1" si="147">AD82/AC82-1</f>
        <v>8.2525411248451475E-2</v>
      </c>
      <c r="AE83" s="349">
        <f t="shared" ref="AE83" ca="1" si="148">AE82/AD82-1</f>
        <v>8.0693154650408827E-2</v>
      </c>
      <c r="AF83" s="349">
        <f t="shared" ref="AF83:AG83" ca="1" si="149">AF82/AE82-1</f>
        <v>7.8564559951563417E-2</v>
      </c>
      <c r="AG83" s="349">
        <f t="shared" ca="1" si="149"/>
        <v>7.6282833817265416E-2</v>
      </c>
    </row>
    <row r="84" spans="1:33" s="346" customFormat="1" x14ac:dyDescent="0.4">
      <c r="A84" s="337" t="s">
        <v>2287</v>
      </c>
      <c r="B84" s="1679" t="s">
        <v>91</v>
      </c>
      <c r="C84" s="339"/>
      <c r="D84" s="339">
        <f t="shared" ref="D84:T84" si="150">D71+D82</f>
        <v>5408.1400000000012</v>
      </c>
      <c r="E84" s="339">
        <f t="shared" si="150"/>
        <v>7607.5069999999996</v>
      </c>
      <c r="F84" s="339">
        <f t="shared" si="150"/>
        <v>8983.6640000000007</v>
      </c>
      <c r="G84" s="339">
        <f t="shared" si="150"/>
        <v>13159.481999999998</v>
      </c>
      <c r="H84" s="339">
        <f t="shared" si="150"/>
        <v>18679.421999999999</v>
      </c>
      <c r="I84" s="339">
        <f t="shared" si="150"/>
        <v>26733.144</v>
      </c>
      <c r="J84" s="339">
        <f t="shared" si="150"/>
        <v>37212.794999999998</v>
      </c>
      <c r="K84" s="339">
        <f t="shared" si="150"/>
        <v>52450.711000000003</v>
      </c>
      <c r="L84" s="339">
        <f t="shared" si="150"/>
        <v>66579.107000000004</v>
      </c>
      <c r="M84" s="339">
        <f t="shared" si="150"/>
        <v>73104.095000000001</v>
      </c>
      <c r="N84" s="339">
        <f t="shared" si="150"/>
        <v>86174.444999999992</v>
      </c>
      <c r="O84" s="339">
        <f t="shared" si="150"/>
        <v>118518.27299999999</v>
      </c>
      <c r="P84" s="339">
        <f t="shared" si="150"/>
        <v>136122.09100000001</v>
      </c>
      <c r="Q84" s="339">
        <f t="shared" si="150"/>
        <v>161423.90300000002</v>
      </c>
      <c r="R84" s="339">
        <f t="shared" si="150"/>
        <v>186811.307</v>
      </c>
      <c r="S84" s="339">
        <f t="shared" si="150"/>
        <v>219284.42500000002</v>
      </c>
      <c r="T84" s="339">
        <f t="shared" si="150"/>
        <v>228850.12900000002</v>
      </c>
      <c r="U84" s="339">
        <f t="shared" ref="U84:V84" si="151">U71+U82</f>
        <v>249274.68500000003</v>
      </c>
      <c r="V84" s="339">
        <f t="shared" si="151"/>
        <v>263437.88200000004</v>
      </c>
      <c r="W84" s="339">
        <f>W71+W82</f>
        <v>280689.32</v>
      </c>
      <c r="X84" s="339">
        <f ca="1">X71+X82</f>
        <v>291917.88857573259</v>
      </c>
      <c r="Y84" s="339">
        <f t="shared" ref="Y84:AC84" ca="1" si="152">Y71+Y82</f>
        <v>314085.16125305509</v>
      </c>
      <c r="Z84" s="339">
        <f t="shared" ca="1" si="152"/>
        <v>334360.25675684633</v>
      </c>
      <c r="AA84" s="339">
        <f t="shared" ca="1" si="152"/>
        <v>358204.93654972489</v>
      </c>
      <c r="AB84" s="339">
        <f t="shared" ca="1" si="152"/>
        <v>381806.71284773888</v>
      </c>
      <c r="AC84" s="339">
        <f t="shared" ca="1" si="152"/>
        <v>405298.78198915289</v>
      </c>
      <c r="AD84" s="339">
        <f t="shared" ref="AD84:AF84" ca="1" si="153">AD71+AD82</f>
        <v>428779.65760965354</v>
      </c>
      <c r="AE84" s="339">
        <f t="shared" ca="1" si="153"/>
        <v>452337.52480776934</v>
      </c>
      <c r="AF84" s="339">
        <f t="shared" ca="1" si="153"/>
        <v>476029.02876747982</v>
      </c>
      <c r="AG84" s="339">
        <f t="shared" ref="AG84" ca="1" si="154">AG71+AG82</f>
        <v>499900.65964625811</v>
      </c>
    </row>
    <row r="85" spans="1:33" s="360" customFormat="1" x14ac:dyDescent="0.4">
      <c r="A85" s="348" t="s">
        <v>749</v>
      </c>
      <c r="B85" s="1720"/>
      <c r="C85" s="349"/>
      <c r="D85" s="349"/>
      <c r="E85" s="349">
        <f t="shared" ref="E85:AC85" si="155">E84/D84-1</f>
        <v>0.40667715702625995</v>
      </c>
      <c r="F85" s="349">
        <f t="shared" si="155"/>
        <v>0.18089460844400151</v>
      </c>
      <c r="G85" s="349">
        <f t="shared" si="155"/>
        <v>0.46482348404837914</v>
      </c>
      <c r="H85" s="349">
        <f t="shared" si="155"/>
        <v>0.41946483911752774</v>
      </c>
      <c r="I85" s="349">
        <f t="shared" si="155"/>
        <v>0.43115477555997184</v>
      </c>
      <c r="J85" s="349">
        <f t="shared" si="155"/>
        <v>0.39200967158969391</v>
      </c>
      <c r="K85" s="349">
        <f t="shared" si="155"/>
        <v>0.40948055635165281</v>
      </c>
      <c r="L85" s="349">
        <f t="shared" si="155"/>
        <v>0.26936519506856627</v>
      </c>
      <c r="M85" s="349">
        <f t="shared" si="155"/>
        <v>9.800353735594558E-2</v>
      </c>
      <c r="N85" s="349">
        <f t="shared" si="155"/>
        <v>0.17879094187541744</v>
      </c>
      <c r="O85" s="349">
        <f t="shared" si="155"/>
        <v>0.37532969315903331</v>
      </c>
      <c r="P85" s="349">
        <f t="shared" si="155"/>
        <v>0.14853252206940293</v>
      </c>
      <c r="Q85" s="349">
        <f t="shared" si="155"/>
        <v>0.18587586933262723</v>
      </c>
      <c r="R85" s="349">
        <f t="shared" si="155"/>
        <v>0.15727165263746579</v>
      </c>
      <c r="S85" s="349">
        <f t="shared" si="155"/>
        <v>0.17382843962437455</v>
      </c>
      <c r="T85" s="349">
        <f t="shared" si="155"/>
        <v>4.3622359408334699E-2</v>
      </c>
      <c r="U85" s="349">
        <f t="shared" si="155"/>
        <v>8.924861038640719E-2</v>
      </c>
      <c r="V85" s="349">
        <f t="shared" si="155"/>
        <v>5.6817630719300682E-2</v>
      </c>
      <c r="W85" s="349">
        <f t="shared" si="155"/>
        <v>6.5485790688219803E-2</v>
      </c>
      <c r="X85" s="349">
        <f t="shared" ca="1" si="155"/>
        <v>4.0003547608197465E-2</v>
      </c>
      <c r="Y85" s="349">
        <f t="shared" ca="1" si="155"/>
        <v>7.5936671046356929E-2</v>
      </c>
      <c r="Z85" s="349">
        <f t="shared" ca="1" si="155"/>
        <v>6.4552860195314476E-2</v>
      </c>
      <c r="AA85" s="349">
        <f t="shared" ca="1" si="155"/>
        <v>7.1314336291525615E-2</v>
      </c>
      <c r="AB85" s="349">
        <f t="shared" ca="1" si="155"/>
        <v>6.5889031361067385E-2</v>
      </c>
      <c r="AC85" s="349">
        <f t="shared" ca="1" si="155"/>
        <v>6.1528695936738043E-2</v>
      </c>
      <c r="AD85" s="349">
        <f t="shared" ref="AD85" ca="1" si="156">AD84/AC84-1</f>
        <v>5.7934730287763525E-2</v>
      </c>
      <c r="AE85" s="349">
        <f t="shared" ref="AE85" ca="1" si="157">AE84/AD84-1</f>
        <v>5.4941662413383607E-2</v>
      </c>
      <c r="AF85" s="349">
        <f t="shared" ref="AF85:AG85" ca="1" si="158">AF84/AE84-1</f>
        <v>5.2375720917203772E-2</v>
      </c>
      <c r="AG85" s="349">
        <f t="shared" ca="1" si="158"/>
        <v>5.0147426808373474E-2</v>
      </c>
    </row>
    <row r="86" spans="1:33" x14ac:dyDescent="0.4">
      <c r="C86" s="362"/>
      <c r="D86" s="362"/>
      <c r="E86" s="362"/>
      <c r="F86" s="362"/>
      <c r="G86" s="362"/>
      <c r="H86" s="362"/>
      <c r="I86" s="362"/>
      <c r="J86" s="362"/>
      <c r="K86" s="362"/>
      <c r="L86" s="362"/>
    </row>
    <row r="87" spans="1:33" ht="12" x14ac:dyDescent="0.35">
      <c r="B87" s="1721"/>
      <c r="C87" s="363"/>
      <c r="D87" s="363">
        <v>2006</v>
      </c>
      <c r="E87" s="363">
        <v>2007</v>
      </c>
      <c r="F87" s="363">
        <v>2008</v>
      </c>
      <c r="G87" s="363">
        <v>2009</v>
      </c>
      <c r="H87" s="363">
        <v>2010</v>
      </c>
      <c r="I87" s="363">
        <v>2011</v>
      </c>
      <c r="J87" s="363">
        <v>2012</v>
      </c>
      <c r="K87" s="363">
        <v>2013</v>
      </c>
      <c r="L87" s="363">
        <v>2014</v>
      </c>
      <c r="M87" s="363">
        <v>2015</v>
      </c>
      <c r="N87" s="363">
        <v>2016</v>
      </c>
      <c r="O87" s="363">
        <v>2017</v>
      </c>
      <c r="P87" s="363">
        <v>2018</v>
      </c>
      <c r="Q87" s="363">
        <v>2019</v>
      </c>
      <c r="R87" s="363">
        <v>2020</v>
      </c>
      <c r="S87" s="363">
        <v>2021</v>
      </c>
      <c r="T87" s="363">
        <v>2022</v>
      </c>
      <c r="U87" s="363">
        <v>2023</v>
      </c>
      <c r="V87" s="363">
        <v>2024</v>
      </c>
      <c r="W87" s="363">
        <v>2025</v>
      </c>
      <c r="X87" s="363">
        <v>2026</v>
      </c>
      <c r="Y87" s="363">
        <v>2027</v>
      </c>
      <c r="Z87" s="363">
        <v>2028</v>
      </c>
      <c r="AA87" s="363">
        <v>2029</v>
      </c>
      <c r="AB87" s="363">
        <v>2030</v>
      </c>
      <c r="AC87" s="363">
        <v>2031</v>
      </c>
      <c r="AD87" s="363">
        <v>2032</v>
      </c>
      <c r="AE87" s="363">
        <v>2033</v>
      </c>
      <c r="AF87" s="363">
        <v>2034</v>
      </c>
      <c r="AG87" s="363">
        <v>2034</v>
      </c>
    </row>
    <row r="88" spans="1:33" s="346" customFormat="1" x14ac:dyDescent="0.4">
      <c r="A88" s="364" t="s">
        <v>2288</v>
      </c>
      <c r="B88" s="1681" t="s">
        <v>3126</v>
      </c>
      <c r="C88" s="366"/>
      <c r="D88" s="367">
        <v>2444.7677640000002</v>
      </c>
      <c r="E88" s="367">
        <v>2444.7677640000002</v>
      </c>
      <c r="F88" s="367">
        <v>2444.7677640000002</v>
      </c>
      <c r="G88" s="367">
        <v>2954.5726479999998</v>
      </c>
      <c r="H88" s="367">
        <v>2979.4588250000002</v>
      </c>
      <c r="I88" s="367">
        <v>3586.7435209999999</v>
      </c>
      <c r="J88" s="367">
        <v>3887.4473830000002</v>
      </c>
      <c r="K88" s="367">
        <f>3888294/1000</f>
        <v>3888.2939999999999</v>
      </c>
      <c r="L88" s="367">
        <f>3895850/1000</f>
        <v>3895.85</v>
      </c>
      <c r="M88" s="368">
        <f>4056314622/1000000</f>
        <v>4056.3146219999999</v>
      </c>
      <c r="N88" s="367">
        <f>4488139261/1000000</f>
        <v>4488.1392610000003</v>
      </c>
      <c r="O88" s="367">
        <f>5049156700/1000000</f>
        <v>5049.1566999999995</v>
      </c>
      <c r="P88" s="367">
        <f>5049156700/1000000</f>
        <v>5049.1566999999995</v>
      </c>
      <c r="Q88" s="367">
        <f>5049156700/1000000</f>
        <v>5049.1566999999995</v>
      </c>
      <c r="R88" s="367">
        <f>5049156700/1000000</f>
        <v>5049.1566999999995</v>
      </c>
      <c r="S88" s="367">
        <v>5037.6166999999996</v>
      </c>
      <c r="T88" s="367">
        <v>5037.6166999999996</v>
      </c>
      <c r="U88" s="367">
        <v>5037.6166999999996</v>
      </c>
      <c r="V88" s="367">
        <f t="shared" ref="V88:AC88" si="159">U88</f>
        <v>5037.6166999999996</v>
      </c>
      <c r="W88" s="367">
        <v>5282.2166999999999</v>
      </c>
      <c r="X88" s="369">
        <f t="shared" si="159"/>
        <v>5282.2166999999999</v>
      </c>
      <c r="Y88" s="369">
        <f t="shared" si="159"/>
        <v>5282.2166999999999</v>
      </c>
      <c r="Z88" s="369">
        <f t="shared" si="159"/>
        <v>5282.2166999999999</v>
      </c>
      <c r="AA88" s="369">
        <f t="shared" si="159"/>
        <v>5282.2166999999999</v>
      </c>
      <c r="AB88" s="369">
        <f t="shared" si="159"/>
        <v>5282.2166999999999</v>
      </c>
      <c r="AC88" s="369">
        <f t="shared" si="159"/>
        <v>5282.2166999999999</v>
      </c>
      <c r="AD88" s="369">
        <f t="shared" ref="AD88" si="160">AC88</f>
        <v>5282.2166999999999</v>
      </c>
      <c r="AE88" s="369">
        <f t="shared" ref="AE88" si="161">AD88</f>
        <v>5282.2166999999999</v>
      </c>
      <c r="AF88" s="369">
        <f t="shared" ref="AF88:AG88" si="162">AE88</f>
        <v>5282.2166999999999</v>
      </c>
      <c r="AG88" s="369">
        <f t="shared" si="162"/>
        <v>5282.2166999999999</v>
      </c>
    </row>
    <row r="89" spans="1:33" s="346" customFormat="1" x14ac:dyDescent="0.4">
      <c r="A89" s="370" t="s">
        <v>2289</v>
      </c>
      <c r="B89" s="1685" t="s">
        <v>543</v>
      </c>
      <c r="C89" s="371">
        <f t="shared" ref="C89:M89" si="163">$W$88</f>
        <v>5282.2166999999999</v>
      </c>
      <c r="D89" s="371">
        <f t="shared" si="163"/>
        <v>5282.2166999999999</v>
      </c>
      <c r="E89" s="371">
        <f t="shared" si="163"/>
        <v>5282.2166999999999</v>
      </c>
      <c r="F89" s="371">
        <f t="shared" si="163"/>
        <v>5282.2166999999999</v>
      </c>
      <c r="G89" s="371">
        <f t="shared" si="163"/>
        <v>5282.2166999999999</v>
      </c>
      <c r="H89" s="371">
        <f t="shared" si="163"/>
        <v>5282.2166999999999</v>
      </c>
      <c r="I89" s="371">
        <f t="shared" si="163"/>
        <v>5282.2166999999999</v>
      </c>
      <c r="J89" s="371">
        <f t="shared" si="163"/>
        <v>5282.2166999999999</v>
      </c>
      <c r="K89" s="371">
        <f t="shared" si="163"/>
        <v>5282.2166999999999</v>
      </c>
      <c r="L89" s="371">
        <f t="shared" si="163"/>
        <v>5282.2166999999999</v>
      </c>
      <c r="M89" s="371">
        <f t="shared" si="163"/>
        <v>5282.2166999999999</v>
      </c>
      <c r="N89" s="371">
        <f t="shared" ref="N89:AG89" si="164">$X$88</f>
        <v>5282.2166999999999</v>
      </c>
      <c r="O89" s="371">
        <f t="shared" si="164"/>
        <v>5282.2166999999999</v>
      </c>
      <c r="P89" s="371">
        <f t="shared" si="164"/>
        <v>5282.2166999999999</v>
      </c>
      <c r="Q89" s="371">
        <f t="shared" si="164"/>
        <v>5282.2166999999999</v>
      </c>
      <c r="R89" s="371">
        <f t="shared" si="164"/>
        <v>5282.2166999999999</v>
      </c>
      <c r="S89" s="371">
        <f t="shared" si="164"/>
        <v>5282.2166999999999</v>
      </c>
      <c r="T89" s="371">
        <f t="shared" si="164"/>
        <v>5282.2166999999999</v>
      </c>
      <c r="U89" s="371">
        <f t="shared" si="164"/>
        <v>5282.2166999999999</v>
      </c>
      <c r="V89" s="371">
        <f t="shared" si="164"/>
        <v>5282.2166999999999</v>
      </c>
      <c r="W89" s="371">
        <f t="shared" si="164"/>
        <v>5282.2166999999999</v>
      </c>
      <c r="X89" s="371">
        <f t="shared" si="164"/>
        <v>5282.2166999999999</v>
      </c>
      <c r="Y89" s="371">
        <f t="shared" si="164"/>
        <v>5282.2166999999999</v>
      </c>
      <c r="Z89" s="371">
        <f t="shared" si="164"/>
        <v>5282.2166999999999</v>
      </c>
      <c r="AA89" s="371">
        <f t="shared" si="164"/>
        <v>5282.2166999999999</v>
      </c>
      <c r="AB89" s="371">
        <f t="shared" si="164"/>
        <v>5282.2166999999999</v>
      </c>
      <c r="AC89" s="371">
        <f t="shared" si="164"/>
        <v>5282.2166999999999</v>
      </c>
      <c r="AD89" s="371">
        <f t="shared" si="164"/>
        <v>5282.2166999999999</v>
      </c>
      <c r="AE89" s="371">
        <f t="shared" si="164"/>
        <v>5282.2166999999999</v>
      </c>
      <c r="AF89" s="371">
        <f t="shared" si="164"/>
        <v>5282.2166999999999</v>
      </c>
      <c r="AG89" s="371">
        <f t="shared" si="164"/>
        <v>5282.2166999999999</v>
      </c>
    </row>
    <row r="90" spans="1:33" s="346" customFormat="1" x14ac:dyDescent="0.4">
      <c r="A90" s="372" t="s">
        <v>2290</v>
      </c>
      <c r="B90" s="1683" t="s">
        <v>3127</v>
      </c>
      <c r="C90" s="373">
        <f t="shared" ref="C90:T90" si="165">C77/$T$89</f>
        <v>0.15671564553570852</v>
      </c>
      <c r="D90" s="373">
        <f t="shared" si="165"/>
        <v>0.18443033584744828</v>
      </c>
      <c r="E90" s="373">
        <f t="shared" si="165"/>
        <v>0.40810196219325873</v>
      </c>
      <c r="F90" s="373">
        <f t="shared" si="165"/>
        <v>0.47768903536274837</v>
      </c>
      <c r="G90" s="373">
        <f t="shared" si="165"/>
        <v>0.81495747798457407</v>
      </c>
      <c r="H90" s="373">
        <f t="shared" si="165"/>
        <v>0.87452868035497289</v>
      </c>
      <c r="I90" s="373">
        <f t="shared" si="165"/>
        <v>1.7966608602028764</v>
      </c>
      <c r="J90" s="373">
        <f t="shared" si="165"/>
        <v>2.5576050297217079</v>
      </c>
      <c r="K90" s="373">
        <f t="shared" si="165"/>
        <v>3.0164676886504864</v>
      </c>
      <c r="L90" s="373">
        <f t="shared" si="165"/>
        <v>3.7541239078661808</v>
      </c>
      <c r="M90" s="373">
        <f t="shared" si="165"/>
        <v>4.3891713113549473</v>
      </c>
      <c r="N90" s="373">
        <f t="shared" si="165"/>
        <v>4.8176664164497458</v>
      </c>
      <c r="O90" s="373">
        <f t="shared" si="165"/>
        <v>7.210538901215469</v>
      </c>
      <c r="P90" s="373">
        <f t="shared" si="165"/>
        <v>7.2799678968112014</v>
      </c>
      <c r="Q90" s="373">
        <f t="shared" si="165"/>
        <v>7.9792580262752191</v>
      </c>
      <c r="R90" s="373">
        <f t="shared" si="165"/>
        <v>9.2941612940642884</v>
      </c>
      <c r="S90" s="373">
        <f t="shared" si="165"/>
        <v>10.686075222926769</v>
      </c>
      <c r="T90" s="373">
        <f t="shared" si="165"/>
        <v>10.940513099358457</v>
      </c>
      <c r="U90" s="373">
        <f t="shared" ref="U90" si="166">U77/$T$89</f>
        <v>11.685135712058159</v>
      </c>
      <c r="V90" s="373">
        <f>V77/$T$89</f>
        <v>11.710115755001116</v>
      </c>
      <c r="W90" s="373">
        <f t="shared" ref="W90" si="167">W77/$T$89</f>
        <v>13.328216920748442</v>
      </c>
      <c r="X90" s="373">
        <f t="shared" ref="X90:AC90" ca="1" si="168">X77/$T$89</f>
        <v>14.59603721074436</v>
      </c>
      <c r="Y90" s="373">
        <f t="shared" ca="1" si="168"/>
        <v>15.94267053781005</v>
      </c>
      <c r="Z90" s="373">
        <f t="shared" ca="1" si="168"/>
        <v>17.331123806438775</v>
      </c>
      <c r="AA90" s="373">
        <f t="shared" ca="1" si="168"/>
        <v>18.921581906466781</v>
      </c>
      <c r="AB90" s="373">
        <f t="shared" ca="1" si="168"/>
        <v>20.648354947738813</v>
      </c>
      <c r="AC90" s="373">
        <f t="shared" ca="1" si="168"/>
        <v>22.502198376623138</v>
      </c>
      <c r="AD90" s="373">
        <f t="shared" ref="AD90:AF90" ca="1" si="169">AD77/$T$89</f>
        <v>24.475754831527212</v>
      </c>
      <c r="AE90" s="373">
        <f t="shared" ca="1" si="169"/>
        <v>26.564575432578604</v>
      </c>
      <c r="AF90" s="373">
        <f t="shared" ca="1" si="169"/>
        <v>28.762237504891701</v>
      </c>
      <c r="AG90" s="373">
        <f t="shared" ref="AG90" ca="1" si="170">AG77/$T$89</f>
        <v>31.06357445042136</v>
      </c>
    </row>
    <row r="91" spans="1:33" s="346" customFormat="1" x14ac:dyDescent="0.4">
      <c r="A91" s="372"/>
      <c r="B91" s="1683" t="s">
        <v>3128</v>
      </c>
      <c r="C91" s="373">
        <f t="shared" ref="C91:T91" si="171">(C77+C79)/$T$89</f>
        <v>0.15671564553570852</v>
      </c>
      <c r="D91" s="373">
        <f t="shared" si="171"/>
        <v>0.18443033584744828</v>
      </c>
      <c r="E91" s="373">
        <f t="shared" si="171"/>
        <v>0.40810196219325873</v>
      </c>
      <c r="F91" s="373">
        <f t="shared" si="171"/>
        <v>0.47768903536274837</v>
      </c>
      <c r="G91" s="373">
        <f t="shared" si="171"/>
        <v>0.81495747798457407</v>
      </c>
      <c r="H91" s="373">
        <f t="shared" si="171"/>
        <v>0.87452868035497289</v>
      </c>
      <c r="I91" s="373">
        <f t="shared" si="171"/>
        <v>1.7966608602028764</v>
      </c>
      <c r="J91" s="373">
        <f t="shared" si="171"/>
        <v>2.5576050297217079</v>
      </c>
      <c r="K91" s="373">
        <f t="shared" si="171"/>
        <v>3.0164676886504864</v>
      </c>
      <c r="L91" s="373">
        <f t="shared" si="171"/>
        <v>3.7541239078661808</v>
      </c>
      <c r="M91" s="373">
        <f t="shared" si="171"/>
        <v>4.3891713113549473</v>
      </c>
      <c r="N91" s="373">
        <f t="shared" si="171"/>
        <v>4.8176664164497458</v>
      </c>
      <c r="O91" s="373">
        <f t="shared" si="171"/>
        <v>7.210538901215469</v>
      </c>
      <c r="P91" s="373">
        <f t="shared" si="171"/>
        <v>8.0142179702699448</v>
      </c>
      <c r="Q91" s="373">
        <f t="shared" si="171"/>
        <v>9.4524959568584155</v>
      </c>
      <c r="R91" s="373">
        <f t="shared" si="171"/>
        <v>10.770664141817582</v>
      </c>
      <c r="S91" s="373">
        <f t="shared" si="171"/>
        <v>12.161578868962343</v>
      </c>
      <c r="T91" s="373">
        <f t="shared" si="171"/>
        <v>12.417384353050114</v>
      </c>
      <c r="U91" s="373">
        <f t="shared" ref="U91" si="172">(U77+U79)/$T$89</f>
        <v>13.581646697682812</v>
      </c>
      <c r="V91" s="373">
        <f>(V77+V79)/$T$89</f>
        <v>12.985902490520694</v>
      </c>
      <c r="W91" s="373">
        <f>(W77+W79)/$T$89</f>
        <v>14.604520106113785</v>
      </c>
      <c r="X91" s="373"/>
      <c r="Y91" s="373"/>
      <c r="Z91" s="373"/>
      <c r="AA91" s="373"/>
      <c r="AB91" s="373"/>
      <c r="AC91" s="373"/>
      <c r="AD91" s="373"/>
      <c r="AE91" s="373"/>
      <c r="AF91" s="373"/>
      <c r="AG91" s="373"/>
    </row>
    <row r="92" spans="1:33" x14ac:dyDescent="0.4">
      <c r="A92" s="372" t="s">
        <v>2291</v>
      </c>
      <c r="B92" s="1683" t="s">
        <v>3129</v>
      </c>
      <c r="C92" s="374"/>
      <c r="D92" s="374">
        <f t="shared" ref="D92:T92" si="173">SUM(D50,D66,D68,D52,D53)/D77</f>
        <v>0</v>
      </c>
      <c r="E92" s="374">
        <f t="shared" si="173"/>
        <v>2.3609222691833631E-2</v>
      </c>
      <c r="F92" s="374">
        <f t="shared" si="173"/>
        <v>0.4110274934340814</v>
      </c>
      <c r="G92" s="374">
        <f t="shared" si="173"/>
        <v>0.77296945582842536</v>
      </c>
      <c r="H92" s="374">
        <f t="shared" si="173"/>
        <v>1.1583411445085454</v>
      </c>
      <c r="I92" s="374">
        <f t="shared" si="173"/>
        <v>0.65952611662876159</v>
      </c>
      <c r="J92" s="374">
        <f t="shared" si="173"/>
        <v>0.74354329116352669</v>
      </c>
      <c r="K92" s="374">
        <f t="shared" si="173"/>
        <v>0.79846389110432803</v>
      </c>
      <c r="L92" s="374">
        <f t="shared" si="173"/>
        <v>0.74729224709754305</v>
      </c>
      <c r="M92" s="374">
        <f t="shared" si="173"/>
        <v>0.76659714911919374</v>
      </c>
      <c r="N92" s="374">
        <f t="shared" si="173"/>
        <v>0.83281790232442221</v>
      </c>
      <c r="O92" s="374">
        <f t="shared" si="173"/>
        <v>0.77135507699888584</v>
      </c>
      <c r="P92" s="374">
        <f t="shared" si="173"/>
        <v>1.0672583411070491</v>
      </c>
      <c r="Q92" s="374">
        <f t="shared" si="173"/>
        <v>1.1463486789580664</v>
      </c>
      <c r="R92" s="374">
        <f t="shared" si="173"/>
        <v>1.1655012303596786</v>
      </c>
      <c r="S92" s="374">
        <f t="shared" si="173"/>
        <v>1.2224809781142794</v>
      </c>
      <c r="T92" s="374">
        <f t="shared" si="173"/>
        <v>1.222775430578918</v>
      </c>
      <c r="U92" s="374">
        <f t="shared" ref="U92" si="174">SUM(U50,U66,U68,U52,U53)/U77</f>
        <v>1.2124094097898239</v>
      </c>
      <c r="V92" s="374">
        <f t="shared" ref="V92:AC92" si="175">SUM(V50,V66,V68,V52,V53)/V77</f>
        <v>1.2677772563283873</v>
      </c>
      <c r="W92" s="374">
        <f t="shared" ref="W92" si="176">SUM(W50,W66,W68,W52,W53)/W77</f>
        <v>1.1974372227816246</v>
      </c>
      <c r="X92" s="374">
        <f t="shared" ca="1" si="175"/>
        <v>1.155303132815938</v>
      </c>
      <c r="Y92" s="374">
        <f t="shared" ca="1" si="175"/>
        <v>1.1157166899562725</v>
      </c>
      <c r="Z92" s="374">
        <f t="shared" ca="1" si="175"/>
        <v>1.0809612918537936</v>
      </c>
      <c r="AA92" s="374">
        <f t="shared" ca="1" si="175"/>
        <v>1.0413390429394915</v>
      </c>
      <c r="AB92" s="374">
        <f t="shared" ca="1" si="175"/>
        <v>1.002340019869411</v>
      </c>
      <c r="AC92" s="374">
        <f t="shared" ca="1" si="175"/>
        <v>0.96495517586009416</v>
      </c>
      <c r="AD92" s="374">
        <f t="shared" ref="AD92:AF92" ca="1" si="177">SUM(AD50,AD66,AD68,AD52,AD53)/AD77</f>
        <v>0.9297075245585491</v>
      </c>
      <c r="AE92" s="374">
        <f t="shared" ca="1" si="177"/>
        <v>0.89677432967652548</v>
      </c>
      <c r="AF92" s="374">
        <f t="shared" ca="1" si="177"/>
        <v>0.86626642471117277</v>
      </c>
      <c r="AG92" s="374">
        <f t="shared" ref="AG92" ca="1" si="178">SUM(AG50,AG66,AG68,AG52,AG53)/AG77</f>
        <v>0.83815383165811974</v>
      </c>
    </row>
    <row r="93" spans="1:33" x14ac:dyDescent="0.4">
      <c r="A93" s="372" t="s">
        <v>2292</v>
      </c>
      <c r="B93" s="1683" t="s">
        <v>3130</v>
      </c>
      <c r="C93" s="374"/>
      <c r="D93" s="374">
        <f t="shared" ref="D93:T93" si="179">SUM(D50,D66,D68,D52,D53)/D84</f>
        <v>0</v>
      </c>
      <c r="E93" s="374">
        <f t="shared" si="179"/>
        <v>6.6899708406446424E-3</v>
      </c>
      <c r="F93" s="374">
        <f t="shared" si="179"/>
        <v>0.11544599174679727</v>
      </c>
      <c r="G93" s="374">
        <f t="shared" si="179"/>
        <v>0.25285683737399395</v>
      </c>
      <c r="H93" s="374">
        <f t="shared" si="179"/>
        <v>0.28645955961592384</v>
      </c>
      <c r="I93" s="374">
        <f t="shared" si="179"/>
        <v>0.23413389012530664</v>
      </c>
      <c r="J93" s="374">
        <f t="shared" si="179"/>
        <v>0.26993777274725</v>
      </c>
      <c r="K93" s="374">
        <f t="shared" si="179"/>
        <v>0.24255978150610769</v>
      </c>
      <c r="L93" s="374">
        <f t="shared" si="179"/>
        <v>0.22257548452850232</v>
      </c>
      <c r="M93" s="374">
        <f t="shared" si="179"/>
        <v>0.24312198926749587</v>
      </c>
      <c r="N93" s="374">
        <f t="shared" si="179"/>
        <v>0.24593735416572746</v>
      </c>
      <c r="O93" s="374">
        <f t="shared" si="179"/>
        <v>0.24788655163748466</v>
      </c>
      <c r="P93" s="374">
        <f t="shared" si="179"/>
        <v>0.30149951928081969</v>
      </c>
      <c r="Q93" s="374">
        <f t="shared" si="179"/>
        <v>0.29931440203127785</v>
      </c>
      <c r="R93" s="374">
        <f t="shared" si="179"/>
        <v>0.30629224172174974</v>
      </c>
      <c r="S93" s="374">
        <f t="shared" si="179"/>
        <v>0.31467972702575658</v>
      </c>
      <c r="T93" s="374">
        <f t="shared" si="179"/>
        <v>0.30878020173630749</v>
      </c>
      <c r="U93" s="374">
        <f t="shared" ref="U93" si="180">SUM(U50,U66,U68,U52,U53)/U84</f>
        <v>0.30020719512693395</v>
      </c>
      <c r="V93" s="374">
        <f t="shared" ref="V93:AC93" si="181">SUM(V50,V66,V68,V52,V53)/V84</f>
        <v>0.29767484237517511</v>
      </c>
      <c r="W93" s="374">
        <f t="shared" ref="W93" si="182">SUM(W50,W66,W68,W52,W53)/W84</f>
        <v>0.3003413524960622</v>
      </c>
      <c r="X93" s="374">
        <f t="shared" ca="1" si="181"/>
        <v>0.3051310599517838</v>
      </c>
      <c r="Y93" s="374">
        <f t="shared" ca="1" si="181"/>
        <v>0.29914641048419183</v>
      </c>
      <c r="Z93" s="374">
        <f t="shared" ca="1" si="181"/>
        <v>0.29596368849144855</v>
      </c>
      <c r="AA93" s="374">
        <f t="shared" ca="1" si="181"/>
        <v>0.29055893897249535</v>
      </c>
      <c r="AB93" s="374">
        <f t="shared" ca="1" si="181"/>
        <v>0.28633417245046611</v>
      </c>
      <c r="AC93" s="374">
        <f t="shared" ca="1" si="181"/>
        <v>0.2829912479455749</v>
      </c>
      <c r="AD93" s="374">
        <f t="shared" ref="AD93:AF93" ca="1" si="183">SUM(AD50,AD66,AD68,AD52,AD53)/AD84</f>
        <v>0.28032671062745207</v>
      </c>
      <c r="AE93" s="374">
        <f t="shared" ca="1" si="183"/>
        <v>0.27818880177473576</v>
      </c>
      <c r="AF93" s="374">
        <f t="shared" ca="1" si="183"/>
        <v>0.27647567489674152</v>
      </c>
      <c r="AG93" s="374">
        <f t="shared" ref="AG93" ca="1" si="184">SUM(AG50,AG66,AG68,AG52,AG53)/AG84</f>
        <v>0.27511081717190222</v>
      </c>
    </row>
    <row r="94" spans="1:33" x14ac:dyDescent="0.4">
      <c r="A94" s="372" t="s">
        <v>2293</v>
      </c>
      <c r="B94" s="1683" t="s">
        <v>3131</v>
      </c>
      <c r="C94" s="374"/>
      <c r="D94" s="374">
        <f t="shared" ref="D94:T94" si="185">SUM(D50,D66,D68,D52,D53)/SUM(D50,D66,D68,D52,D53,D77)</f>
        <v>0</v>
      </c>
      <c r="E94" s="374">
        <f t="shared" si="185"/>
        <v>2.3064683444085569E-2</v>
      </c>
      <c r="F94" s="374">
        <f t="shared" si="185"/>
        <v>0.29129658730727148</v>
      </c>
      <c r="G94" s="374">
        <f t="shared" si="185"/>
        <v>0.43597449086749951</v>
      </c>
      <c r="H94" s="374">
        <f t="shared" si="185"/>
        <v>0.53668121346604825</v>
      </c>
      <c r="I94" s="374">
        <f t="shared" si="185"/>
        <v>0.39741834130851378</v>
      </c>
      <c r="J94" s="374">
        <f t="shared" si="185"/>
        <v>0.42645530795357223</v>
      </c>
      <c r="K94" s="374">
        <f t="shared" si="185"/>
        <v>0.44396993181444394</v>
      </c>
      <c r="L94" s="374">
        <f t="shared" si="185"/>
        <v>0.42768589418220276</v>
      </c>
      <c r="M94" s="374">
        <f t="shared" si="185"/>
        <v>0.43393998994134614</v>
      </c>
      <c r="N94" s="374">
        <f t="shared" si="185"/>
        <v>0.45439206004493038</v>
      </c>
      <c r="O94" s="374">
        <f t="shared" si="185"/>
        <v>0.43546044890432267</v>
      </c>
      <c r="P94" s="374">
        <f t="shared" si="185"/>
        <v>0.51626752200478032</v>
      </c>
      <c r="Q94" s="374">
        <f t="shared" si="185"/>
        <v>0.5340924753728995</v>
      </c>
      <c r="R94" s="374">
        <f t="shared" si="185"/>
        <v>0.53821314623132066</v>
      </c>
      <c r="S94" s="374">
        <f t="shared" si="185"/>
        <v>0.55005239196761291</v>
      </c>
      <c r="T94" s="374">
        <f t="shared" si="185"/>
        <v>0.5501119968113235</v>
      </c>
      <c r="U94" s="374">
        <f t="shared" ref="U94" si="186">SUM(U50,U66,U68,U52,U53)/SUM(U50,U66,U68,U52,U53,U77)</f>
        <v>0.54800409202065425</v>
      </c>
      <c r="V94" s="374">
        <f t="shared" ref="V94:AC94" si="187">SUM(V50,V66,V68,V52,V53)/SUM(V50,V66,V68,V52,V53,V77)</f>
        <v>0.55903958503445095</v>
      </c>
      <c r="W94" s="374">
        <f t="shared" ref="W94" si="188">SUM(W50,W66,W68,W52,W53)/SUM(W50,W66,W68,W52,W53,W77)</f>
        <v>0.54492442849668732</v>
      </c>
      <c r="X94" s="374">
        <f t="shared" ca="1" si="187"/>
        <v>0.53602814157585155</v>
      </c>
      <c r="Y94" s="374">
        <f t="shared" ca="1" si="187"/>
        <v>0.52734692468646738</v>
      </c>
      <c r="Z94" s="374">
        <f t="shared" ca="1" si="187"/>
        <v>0.51945285867899793</v>
      </c>
      <c r="AA94" s="374">
        <f t="shared" ca="1" si="187"/>
        <v>0.51012547207247938</v>
      </c>
      <c r="AB94" s="374">
        <f t="shared" ca="1" si="187"/>
        <v>0.50058432130562014</v>
      </c>
      <c r="AC94" s="374">
        <f t="shared" ca="1" si="187"/>
        <v>0.49108253853053768</v>
      </c>
      <c r="AD94" s="374">
        <f t="shared" ref="AD94:AF94" ca="1" si="189">SUM(AD50,AD66,AD68,AD52,AD53)/SUM(AD50,AD66,AD68,AD52,AD53,AD77)</f>
        <v>0.48178675406846139</v>
      </c>
      <c r="AE94" s="374">
        <f t="shared" ca="1" si="189"/>
        <v>0.47278915348325107</v>
      </c>
      <c r="AF94" s="374">
        <f t="shared" ca="1" si="189"/>
        <v>0.46417082429441331</v>
      </c>
      <c r="AG94" s="374">
        <f t="shared" ref="AG94" ca="1" si="190">SUM(AG50,AG66,AG68,AG52,AG53)/SUM(AG50,AG66,AG68,AG52,AG53,AG77)</f>
        <v>0.45597589125718452</v>
      </c>
    </row>
    <row r="95" spans="1:33" s="346" customFormat="1" x14ac:dyDescent="0.4">
      <c r="A95" s="370" t="s">
        <v>2294</v>
      </c>
      <c r="B95" s="1685" t="s">
        <v>193</v>
      </c>
      <c r="C95" s="375"/>
      <c r="D95" s="375">
        <f t="shared" ref="D95:AC95" si="191">D71/D84</f>
        <v>0.81986394582980471</v>
      </c>
      <c r="E95" s="375">
        <f t="shared" si="191"/>
        <v>0.71663739514140434</v>
      </c>
      <c r="F95" s="375">
        <f t="shared" si="191"/>
        <v>0.71912829776358522</v>
      </c>
      <c r="G95" s="375">
        <f t="shared" si="191"/>
        <v>0.672876029618795</v>
      </c>
      <c r="H95" s="375">
        <f t="shared" si="191"/>
        <v>0.75248698808774717</v>
      </c>
      <c r="I95" s="375">
        <f t="shared" si="191"/>
        <v>0.6447452645300531</v>
      </c>
      <c r="J95" s="375">
        <f t="shared" si="191"/>
        <v>0.62773642775287364</v>
      </c>
      <c r="K95" s="375">
        <f t="shared" si="191"/>
        <v>0.69137934088252873</v>
      </c>
      <c r="L95" s="375">
        <f t="shared" si="191"/>
        <v>0.69964057943883207</v>
      </c>
      <c r="M95" s="375">
        <f t="shared" si="191"/>
        <v>0.68148410837997508</v>
      </c>
      <c r="N95" s="375">
        <f t="shared" si="191"/>
        <v>0.70211217490289612</v>
      </c>
      <c r="O95" s="375">
        <f t="shared" si="191"/>
        <v>0.67546851615024794</v>
      </c>
      <c r="P95" s="375">
        <f t="shared" si="191"/>
        <v>0.6835322636940685</v>
      </c>
      <c r="Q95" s="375">
        <f t="shared" si="191"/>
        <v>0.68463428244576641</v>
      </c>
      <c r="R95" s="375">
        <f t="shared" si="191"/>
        <v>0.68802987390907766</v>
      </c>
      <c r="S95" s="375">
        <f t="shared" si="191"/>
        <v>0.69803477378751366</v>
      </c>
      <c r="T95" s="375">
        <f t="shared" si="191"/>
        <v>0.70375173351988807</v>
      </c>
      <c r="U95" s="375">
        <f t="shared" ref="U95" si="192">U71/U84</f>
        <v>0.70202502111275356</v>
      </c>
      <c r="V95" s="375">
        <f t="shared" si="191"/>
        <v>0.73020956796183167</v>
      </c>
      <c r="W95" s="375">
        <f t="shared" ref="W95" si="193">W71/W84</f>
        <v>0.71364400327023481</v>
      </c>
      <c r="X95" s="375">
        <f t="shared" ca="1" si="191"/>
        <v>0.70099472396460927</v>
      </c>
      <c r="Y95" s="375">
        <f t="shared" ca="1" si="191"/>
        <v>0.69872186305954165</v>
      </c>
      <c r="Z95" s="375">
        <f t="shared" ca="1" si="191"/>
        <v>0.69433917292738501</v>
      </c>
      <c r="AA95" s="375">
        <f t="shared" ca="1" si="191"/>
        <v>0.69048919170524525</v>
      </c>
      <c r="AB95" s="375">
        <f t="shared" ca="1" si="191"/>
        <v>0.68497022831930854</v>
      </c>
      <c r="AC95" s="375">
        <f t="shared" ca="1" si="191"/>
        <v>0.67829453678944429</v>
      </c>
      <c r="AD95" s="375">
        <f t="shared" ref="AD95:AF95" ca="1" si="194">AD71/AD84</f>
        <v>0.67081680098718977</v>
      </c>
      <c r="AE95" s="375">
        <f t="shared" ca="1" si="194"/>
        <v>0.66278132481256913</v>
      </c>
      <c r="AF95" s="375">
        <f t="shared" ca="1" si="194"/>
        <v>0.65438948772593764</v>
      </c>
      <c r="AG95" s="375">
        <f t="shared" ref="AG95" ca="1" si="195">AG71/AG84</f>
        <v>0.64578815121427602</v>
      </c>
    </row>
    <row r="96" spans="1:33" s="346" customFormat="1" x14ac:dyDescent="0.4">
      <c r="A96" s="370"/>
      <c r="B96" s="1683" t="s">
        <v>2684</v>
      </c>
      <c r="C96" s="375"/>
      <c r="D96" s="374">
        <f t="shared" ref="D96:T96" si="196">D98/D43</f>
        <v>0</v>
      </c>
      <c r="E96" s="374">
        <f t="shared" si="196"/>
        <v>6.6899708406446406E-3</v>
      </c>
      <c r="F96" s="374">
        <f t="shared" si="196"/>
        <v>0.11544599174679726</v>
      </c>
      <c r="G96" s="374">
        <f t="shared" si="196"/>
        <v>0.25285683737399389</v>
      </c>
      <c r="H96" s="374">
        <f t="shared" si="196"/>
        <v>0.28645955961592384</v>
      </c>
      <c r="I96" s="374">
        <f t="shared" si="196"/>
        <v>0.23413389012530664</v>
      </c>
      <c r="J96" s="374">
        <f t="shared" si="196"/>
        <v>0.26993777274725</v>
      </c>
      <c r="K96" s="374">
        <f t="shared" si="196"/>
        <v>0.24255999885911839</v>
      </c>
      <c r="L96" s="374">
        <f t="shared" si="196"/>
        <v>0.22257548452850232</v>
      </c>
      <c r="M96" s="374">
        <f t="shared" si="196"/>
        <v>0.24312198926749587</v>
      </c>
      <c r="N96" s="374">
        <f t="shared" si="196"/>
        <v>0.2459373541657274</v>
      </c>
      <c r="O96" s="374">
        <f t="shared" si="196"/>
        <v>0.24788655163748458</v>
      </c>
      <c r="P96" s="374">
        <f t="shared" si="196"/>
        <v>0.30149951928081969</v>
      </c>
      <c r="Q96" s="374">
        <f t="shared" si="196"/>
        <v>0.28251475867238823</v>
      </c>
      <c r="R96" s="374">
        <f t="shared" si="196"/>
        <v>0.29107045431677214</v>
      </c>
      <c r="S96" s="374">
        <f t="shared" si="196"/>
        <v>0.32074714380649699</v>
      </c>
      <c r="T96" s="374">
        <f t="shared" si="196"/>
        <v>0.30878020173630749</v>
      </c>
      <c r="U96" s="374">
        <f t="shared" ref="U96" si="197">U98/U43</f>
        <v>0.300207195126934</v>
      </c>
      <c r="V96" s="374">
        <f>V98/V43</f>
        <v>0.29767484237517516</v>
      </c>
      <c r="W96" s="374">
        <f>W98/W43</f>
        <v>0.30034134607598162</v>
      </c>
      <c r="X96" s="375"/>
      <c r="Y96" s="375"/>
      <c r="Z96" s="375"/>
      <c r="AA96" s="375"/>
      <c r="AB96" s="375"/>
      <c r="AC96" s="375"/>
      <c r="AD96" s="375"/>
      <c r="AE96" s="375"/>
      <c r="AF96" s="375"/>
      <c r="AG96" s="375"/>
    </row>
    <row r="97" spans="1:33" x14ac:dyDescent="0.4">
      <c r="A97" s="372"/>
      <c r="B97" s="1683"/>
      <c r="C97" s="376"/>
      <c r="D97" s="376"/>
      <c r="E97" s="376"/>
      <c r="F97" s="376"/>
      <c r="G97" s="376"/>
      <c r="H97" s="376"/>
      <c r="I97" s="376"/>
      <c r="J97" s="376"/>
      <c r="K97" s="376"/>
      <c r="L97" s="372"/>
      <c r="M97" s="372"/>
      <c r="N97" s="372"/>
      <c r="O97" s="372"/>
      <c r="P97" s="372"/>
      <c r="Q97" s="377"/>
      <c r="R97" s="377"/>
      <c r="S97" s="377"/>
      <c r="T97" s="372"/>
      <c r="U97" s="372"/>
      <c r="V97" s="372"/>
      <c r="W97" s="372"/>
      <c r="X97" s="372"/>
      <c r="Y97" s="372"/>
      <c r="Z97" s="372"/>
      <c r="AA97" s="372"/>
      <c r="AB97" s="372"/>
      <c r="AC97" s="372"/>
      <c r="AD97" s="372"/>
      <c r="AE97" s="372"/>
      <c r="AF97" s="372"/>
      <c r="AG97" s="372"/>
    </row>
    <row r="98" spans="1:33" x14ac:dyDescent="0.4">
      <c r="A98" s="372" t="s">
        <v>2295</v>
      </c>
      <c r="B98" s="1683" t="s">
        <v>3132</v>
      </c>
      <c r="C98" s="376"/>
      <c r="D98" s="378">
        <f t="shared" ref="D98:O98" si="198">D50+D52+D66+D68+D53</f>
        <v>0</v>
      </c>
      <c r="E98" s="378">
        <f t="shared" si="198"/>
        <v>50.893999999999998</v>
      </c>
      <c r="F98" s="378">
        <f t="shared" si="198"/>
        <v>1037.1279999999999</v>
      </c>
      <c r="G98" s="378">
        <f t="shared" si="198"/>
        <v>3327.4650000000001</v>
      </c>
      <c r="H98" s="378">
        <f t="shared" si="198"/>
        <v>5350.8989999999994</v>
      </c>
      <c r="I98" s="378">
        <f t="shared" si="198"/>
        <v>6259.1350000000002</v>
      </c>
      <c r="J98" s="378">
        <f t="shared" si="198"/>
        <v>10045.139000000001</v>
      </c>
      <c r="K98" s="378">
        <f t="shared" si="198"/>
        <v>12722.432999999999</v>
      </c>
      <c r="L98" s="378">
        <f t="shared" si="198"/>
        <v>14818.877</v>
      </c>
      <c r="M98" s="378">
        <f t="shared" si="198"/>
        <v>17773.213</v>
      </c>
      <c r="N98" s="378">
        <f t="shared" si="198"/>
        <v>21193.514999999999</v>
      </c>
      <c r="O98" s="378">
        <f t="shared" si="198"/>
        <v>29379.085999999999</v>
      </c>
      <c r="P98" s="378">
        <f>P50+P66+P68+P53+P67</f>
        <v>41040.744999999995</v>
      </c>
      <c r="Q98" s="378">
        <f>Q50+Q66+Q68+Q53+Q67</f>
        <v>45604.635000000002</v>
      </c>
      <c r="R98" s="378">
        <f>R50+R66+R68+R53+R67</f>
        <v>54375.252</v>
      </c>
      <c r="S98" s="378">
        <f>S50+S66+S68+S53+S67</f>
        <v>70334.853000000003</v>
      </c>
      <c r="T98" s="378">
        <f>T50+T52+T66+T68+T53</f>
        <v>70664.388999999996</v>
      </c>
      <c r="U98" s="378">
        <f t="shared" ref="U98" si="199">U50+U52+U66+U68+U53</f>
        <v>74834.054000000004</v>
      </c>
      <c r="V98" s="378">
        <f t="shared" ref="V98:AC98" si="200">V50+V52+V66+V68+V53</f>
        <v>78418.829999999987</v>
      </c>
      <c r="W98" s="378">
        <f t="shared" ref="W98" si="201">W50+W52+W66+W68+W53</f>
        <v>84302.61</v>
      </c>
      <c r="X98" s="378">
        <f t="shared" si="200"/>
        <v>89073.214760000003</v>
      </c>
      <c r="Y98" s="378">
        <f t="shared" si="200"/>
        <v>93957.448575200004</v>
      </c>
      <c r="Z98" s="378">
        <f t="shared" si="200"/>
        <v>98958.494874704018</v>
      </c>
      <c r="AA98" s="378">
        <f t="shared" si="200"/>
        <v>104079.64629859809</v>
      </c>
      <c r="AB98" s="378">
        <f t="shared" si="200"/>
        <v>109324.30915929006</v>
      </c>
      <c r="AC98" s="378">
        <f t="shared" si="200"/>
        <v>114696.00810593188</v>
      </c>
      <c r="AD98" s="378">
        <f t="shared" ref="AD98:AF98" si="202">AD50+AD52+AD66+AD68+AD53</f>
        <v>120198.39100167932</v>
      </c>
      <c r="AE98" s="378">
        <f t="shared" si="202"/>
        <v>125835.23402402316</v>
      </c>
      <c r="AF98" s="378">
        <f t="shared" si="202"/>
        <v>131610.44699892937</v>
      </c>
      <c r="AG98" s="378">
        <f t="shared" ref="AG98" si="203">AG50+AG52+AG66+AG68+AG53</f>
        <v>137528.07898005503</v>
      </c>
    </row>
    <row r="99" spans="1:33" x14ac:dyDescent="0.4">
      <c r="A99" s="372" t="s">
        <v>2296</v>
      </c>
      <c r="B99" s="1683" t="s">
        <v>3133</v>
      </c>
      <c r="C99" s="376"/>
      <c r="D99" s="378">
        <f t="shared" ref="D99:T99" si="204">D38+D39</f>
        <v>1701.104</v>
      </c>
      <c r="E99" s="378">
        <f t="shared" si="204"/>
        <v>1550.3050000000001</v>
      </c>
      <c r="F99" s="378">
        <f t="shared" si="204"/>
        <v>1900.346</v>
      </c>
      <c r="G99" s="378">
        <f t="shared" si="204"/>
        <v>5748.0190000000002</v>
      </c>
      <c r="H99" s="378">
        <f t="shared" si="204"/>
        <v>3729.7429999999999</v>
      </c>
      <c r="I99" s="378">
        <f t="shared" si="204"/>
        <v>5458.66</v>
      </c>
      <c r="J99" s="378">
        <f t="shared" si="204"/>
        <v>6717.4289999999992</v>
      </c>
      <c r="K99" s="378">
        <f t="shared" si="204"/>
        <v>8126.3450000000003</v>
      </c>
      <c r="L99" s="378">
        <f t="shared" si="204"/>
        <v>7452.4480000000003</v>
      </c>
      <c r="M99" s="378">
        <f t="shared" si="204"/>
        <v>8026.2240000000002</v>
      </c>
      <c r="N99" s="378">
        <f t="shared" si="204"/>
        <v>11484.652</v>
      </c>
      <c r="O99" s="378">
        <f t="shared" si="204"/>
        <v>17593.203000000001</v>
      </c>
      <c r="P99" s="378">
        <f t="shared" si="204"/>
        <v>17925.707999999999</v>
      </c>
      <c r="Q99" s="378">
        <f t="shared" si="204"/>
        <v>22623.620999999999</v>
      </c>
      <c r="R99" s="378">
        <f t="shared" si="204"/>
        <v>22455.362000000001</v>
      </c>
      <c r="S99" s="378">
        <f t="shared" si="204"/>
        <v>24407.419000000002</v>
      </c>
      <c r="T99" s="378">
        <f t="shared" si="204"/>
        <v>23881.499</v>
      </c>
      <c r="U99" s="378">
        <f t="shared" ref="U99" si="205">U38+U39</f>
        <v>28462.888999999999</v>
      </c>
      <c r="V99" s="378">
        <f t="shared" ref="V99:AC99" si="206">V38+V39</f>
        <v>28589.158000000003</v>
      </c>
      <c r="W99" s="378">
        <f t="shared" ref="W99" si="207">W38+W39</f>
        <v>30328.6</v>
      </c>
      <c r="X99" s="378">
        <f t="shared" ca="1" si="206"/>
        <v>31766.567092227957</v>
      </c>
      <c r="Y99" s="378">
        <f t="shared" ca="1" si="206"/>
        <v>31330.235032460849</v>
      </c>
      <c r="Z99" s="378">
        <f t="shared" ca="1" si="206"/>
        <v>32454.597221129356</v>
      </c>
      <c r="AA99" s="378">
        <f t="shared" ca="1" si="206"/>
        <v>30543.195027620815</v>
      </c>
      <c r="AB99" s="378">
        <f t="shared" ca="1" si="206"/>
        <v>29565.248869291252</v>
      </c>
      <c r="AC99" s="378">
        <f t="shared" ca="1" si="206"/>
        <v>29016.878187537852</v>
      </c>
      <c r="AD99" s="378">
        <f t="shared" ref="AD99:AF99" ca="1" si="208">AD38+AD39</f>
        <v>29170.609031906384</v>
      </c>
      <c r="AE99" s="378">
        <f t="shared" ca="1" si="208"/>
        <v>31407.594164965984</v>
      </c>
      <c r="AF99" s="378">
        <f t="shared" ca="1" si="208"/>
        <v>34353.970887645366</v>
      </c>
      <c r="AG99" s="378">
        <f t="shared" ref="AG99" ca="1" si="209">AG38+AG39</f>
        <v>37939.176435123612</v>
      </c>
    </row>
    <row r="100" spans="1:33" x14ac:dyDescent="0.4">
      <c r="A100" s="372" t="s">
        <v>2297</v>
      </c>
      <c r="B100" s="1683" t="s">
        <v>549</v>
      </c>
      <c r="C100" s="379"/>
      <c r="D100" s="380">
        <f t="shared" ref="D100:O100" si="210">D50+D66+D68+D53-D38-D39+D64</f>
        <v>-1701.104</v>
      </c>
      <c r="E100" s="380">
        <f t="shared" si="210"/>
        <v>-1499.4110000000001</v>
      </c>
      <c r="F100" s="380">
        <f t="shared" si="210"/>
        <v>-863.21800000000007</v>
      </c>
      <c r="G100" s="380">
        <f t="shared" si="210"/>
        <v>-4124.1320000000005</v>
      </c>
      <c r="H100" s="380">
        <f t="shared" si="210"/>
        <v>-849.38099999999986</v>
      </c>
      <c r="I100" s="380">
        <f t="shared" si="210"/>
        <v>800.47500000000036</v>
      </c>
      <c r="J100" s="380">
        <f t="shared" si="210"/>
        <v>3327.7100000000019</v>
      </c>
      <c r="K100" s="380">
        <f t="shared" si="210"/>
        <v>9319.2089999999989</v>
      </c>
      <c r="L100" s="380">
        <f t="shared" si="210"/>
        <v>14804.564</v>
      </c>
      <c r="M100" s="380">
        <f t="shared" si="210"/>
        <v>9746.9889999999996</v>
      </c>
      <c r="N100" s="380">
        <f t="shared" si="210"/>
        <v>9708.8629999999994</v>
      </c>
      <c r="O100" s="380">
        <f t="shared" si="210"/>
        <v>15684.239999999998</v>
      </c>
      <c r="P100" s="380">
        <f>P98-P99</f>
        <v>23115.036999999997</v>
      </c>
      <c r="Q100" s="380">
        <f>Q98-Q99</f>
        <v>22981.014000000003</v>
      </c>
      <c r="R100" s="380">
        <f>R98-R99</f>
        <v>31919.89</v>
      </c>
      <c r="S100" s="380">
        <f>S98-S99</f>
        <v>45927.434000000001</v>
      </c>
      <c r="T100" s="380">
        <f>T50+T66+T68+T53-T38-T39+T64</f>
        <v>44055.617000000013</v>
      </c>
      <c r="U100" s="380">
        <f t="shared" ref="U100" si="211">U50+U66+U68+U53-U38-U39+U64</f>
        <v>46371.165000000008</v>
      </c>
      <c r="V100" s="380">
        <f t="shared" ref="V100:AC100" si="212">V50+V66+V68+V53-V38-V39+V64</f>
        <v>49829.671999999984</v>
      </c>
      <c r="W100" s="380">
        <f t="shared" ref="W100" si="213">W50+W66+W68+W53-W38-W39+W64</f>
        <v>53974.01</v>
      </c>
      <c r="X100" s="380">
        <f t="shared" ca="1" si="212"/>
        <v>57306.647667772049</v>
      </c>
      <c r="Y100" s="380">
        <f t="shared" ca="1" si="212"/>
        <v>62627.213542739155</v>
      </c>
      <c r="Z100" s="380">
        <f t="shared" ca="1" si="212"/>
        <v>66503.897653574662</v>
      </c>
      <c r="AA100" s="380">
        <f t="shared" ca="1" si="212"/>
        <v>73536.451270977268</v>
      </c>
      <c r="AB100" s="380">
        <f t="shared" ca="1" si="212"/>
        <v>79759.060289998801</v>
      </c>
      <c r="AC100" s="380">
        <f t="shared" ca="1" si="212"/>
        <v>85679.129918394028</v>
      </c>
      <c r="AD100" s="380">
        <f t="shared" ref="AD100:AF100" ca="1" si="214">AD50+AD66+AD68+AD53-AD38-AD39+AD64</f>
        <v>91027.781969772943</v>
      </c>
      <c r="AE100" s="380">
        <f t="shared" ca="1" si="214"/>
        <v>94427.639859057177</v>
      </c>
      <c r="AF100" s="380">
        <f t="shared" ca="1" si="214"/>
        <v>97256.476111284006</v>
      </c>
      <c r="AG100" s="380">
        <f t="shared" ref="AG100" ca="1" si="215">AG50+AG66+AG68+AG53-AG38-AG39+AG64</f>
        <v>99588.902544931421</v>
      </c>
    </row>
    <row r="101" spans="1:33" x14ac:dyDescent="0.4">
      <c r="A101" s="372" t="s">
        <v>2298</v>
      </c>
      <c r="B101" s="1683" t="s">
        <v>3134</v>
      </c>
      <c r="C101" s="379"/>
      <c r="D101" s="380">
        <f t="shared" ref="D101:AC101" si="216">SUM(D100,D80)</f>
        <v>-1701.104</v>
      </c>
      <c r="E101" s="380">
        <f t="shared" si="216"/>
        <v>-1499.4110000000001</v>
      </c>
      <c r="F101" s="380">
        <f t="shared" si="216"/>
        <v>-863.21800000000007</v>
      </c>
      <c r="G101" s="380">
        <f t="shared" si="216"/>
        <v>-4124.1320000000005</v>
      </c>
      <c r="H101" s="380">
        <f t="shared" si="216"/>
        <v>-845.43099999999981</v>
      </c>
      <c r="I101" s="380">
        <f t="shared" si="216"/>
        <v>807.19900000000041</v>
      </c>
      <c r="J101" s="380">
        <f t="shared" si="216"/>
        <v>3670.8540000000021</v>
      </c>
      <c r="K101" s="380">
        <f t="shared" si="216"/>
        <v>9572.9459999999981</v>
      </c>
      <c r="L101" s="380">
        <f t="shared" si="216"/>
        <v>14972.130000000001</v>
      </c>
      <c r="M101" s="380">
        <f t="shared" si="216"/>
        <v>9847.2510000000002</v>
      </c>
      <c r="N101" s="380">
        <f t="shared" si="216"/>
        <v>9931.223</v>
      </c>
      <c r="O101" s="380">
        <f t="shared" si="216"/>
        <v>16059.521999999997</v>
      </c>
      <c r="P101" s="380">
        <f t="shared" si="216"/>
        <v>23860.450999999997</v>
      </c>
      <c r="Q101" s="380">
        <f t="shared" si="216"/>
        <v>23958.447000000004</v>
      </c>
      <c r="R101" s="380">
        <f t="shared" si="216"/>
        <v>33306.455000000002</v>
      </c>
      <c r="S101" s="380">
        <f t="shared" si="216"/>
        <v>47903.61</v>
      </c>
      <c r="T101" s="380">
        <f t="shared" si="216"/>
        <v>46260.756000000016</v>
      </c>
      <c r="U101" s="380">
        <f t="shared" ref="U101" si="217">SUM(U100,U80)</f>
        <v>48907.583000000006</v>
      </c>
      <c r="V101" s="380">
        <f t="shared" si="216"/>
        <v>52308.340999999986</v>
      </c>
      <c r="W101" s="380">
        <f t="shared" ref="W101" si="218">SUM(W100,W80)</f>
        <v>57206.840000000004</v>
      </c>
      <c r="X101" s="380">
        <f t="shared" ca="1" si="216"/>
        <v>60750.495012612097</v>
      </c>
      <c r="Y101" s="380">
        <f t="shared" ca="1" si="216"/>
        <v>66299.855208284775</v>
      </c>
      <c r="Z101" s="380">
        <f t="shared" ca="1" si="216"/>
        <v>70416.268673945742</v>
      </c>
      <c r="AA101" s="380">
        <f t="shared" ca="1" si="216"/>
        <v>77715.144780897288</v>
      </c>
      <c r="AB101" s="380">
        <f t="shared" ca="1" si="216"/>
        <v>84228.746532103702</v>
      </c>
      <c r="AC101" s="380">
        <f t="shared" ca="1" si="216"/>
        <v>90462.764265176884</v>
      </c>
      <c r="AD101" s="380">
        <f t="shared" ref="AD101:AF101" ca="1" si="219">SUM(AD100,AD80)</f>
        <v>96146.890417137372</v>
      </c>
      <c r="AE101" s="380">
        <f t="shared" ca="1" si="219"/>
        <v>99902.746733918393</v>
      </c>
      <c r="AF101" s="380">
        <f t="shared" ca="1" si="219"/>
        <v>103107.03132323184</v>
      </c>
      <c r="AG101" s="380">
        <f t="shared" ref="AG101" ca="1" si="220">SUM(AG100,AG80)</f>
        <v>105833.39768372646</v>
      </c>
    </row>
    <row r="102" spans="1:33" s="346" customFormat="1" x14ac:dyDescent="0.4">
      <c r="A102" s="370"/>
      <c r="B102" s="1685"/>
      <c r="C102" s="381"/>
      <c r="D102" s="381"/>
      <c r="E102" s="381"/>
      <c r="F102" s="381"/>
      <c r="G102" s="381"/>
      <c r="H102" s="381"/>
      <c r="I102" s="381"/>
      <c r="J102" s="381"/>
      <c r="K102" s="381"/>
      <c r="L102" s="381"/>
      <c r="M102" s="370"/>
      <c r="N102" s="370"/>
      <c r="O102" s="370"/>
      <c r="P102" s="382"/>
      <c r="Q102" s="382"/>
      <c r="R102" s="382"/>
      <c r="S102" s="382"/>
      <c r="T102" s="383"/>
      <c r="U102" s="383"/>
      <c r="V102" s="370"/>
      <c r="W102" s="370"/>
      <c r="X102" s="370"/>
      <c r="Y102" s="370"/>
      <c r="Z102" s="370"/>
      <c r="AA102" s="370"/>
      <c r="AB102" s="370"/>
      <c r="AC102" s="370"/>
      <c r="AD102" s="370"/>
      <c r="AE102" s="370"/>
      <c r="AF102" s="370"/>
      <c r="AG102" s="370"/>
    </row>
    <row r="103" spans="1:33" s="346" customFormat="1" x14ac:dyDescent="0.4">
      <c r="A103" s="370" t="s">
        <v>275</v>
      </c>
      <c r="B103" s="1685" t="s">
        <v>275</v>
      </c>
      <c r="C103" s="375"/>
      <c r="D103" s="375">
        <f t="shared" ref="D103:AC103" si="221">D100/D82</f>
        <v>-1.7461530012800235</v>
      </c>
      <c r="E103" s="375">
        <f t="shared" si="221"/>
        <v>-0.69556191703511139</v>
      </c>
      <c r="F103" s="375">
        <f t="shared" si="221"/>
        <v>-0.34210466868812811</v>
      </c>
      <c r="G103" s="375">
        <f t="shared" si="221"/>
        <v>-0.95803504103111403</v>
      </c>
      <c r="H103" s="375">
        <f t="shared" si="221"/>
        <v>-0.18371350088679325</v>
      </c>
      <c r="I103" s="375">
        <f t="shared" si="221"/>
        <v>8.4286468803661294E-2</v>
      </c>
      <c r="J103" s="375">
        <f t="shared" si="221"/>
        <v>0.24021639261709127</v>
      </c>
      <c r="K103" s="375">
        <f t="shared" si="221"/>
        <v>0.57570854764389501</v>
      </c>
      <c r="L103" s="375">
        <f t="shared" si="221"/>
        <v>0.74031474279343257</v>
      </c>
      <c r="M103" s="375">
        <f t="shared" si="221"/>
        <v>0.41859849783653003</v>
      </c>
      <c r="N103" s="375">
        <f t="shared" si="221"/>
        <v>0.37821358504401847</v>
      </c>
      <c r="O103" s="375">
        <f t="shared" si="221"/>
        <v>0.40777568811679382</v>
      </c>
      <c r="P103" s="375">
        <f t="shared" si="221"/>
        <v>0.5365825445555471</v>
      </c>
      <c r="Q103" s="375">
        <f t="shared" si="221"/>
        <v>0.451426305697395</v>
      </c>
      <c r="R103" s="375">
        <f t="shared" si="221"/>
        <v>0.5477031247343086</v>
      </c>
      <c r="S103" s="375">
        <f t="shared" si="221"/>
        <v>0.69359740901144973</v>
      </c>
      <c r="T103" s="375">
        <f t="shared" si="221"/>
        <v>0.64982184761462614</v>
      </c>
      <c r="U103" s="375">
        <f t="shared" ref="U103" si="222">U100/U82</f>
        <v>0.62429525372912131</v>
      </c>
      <c r="V103" s="375">
        <f t="shared" si="221"/>
        <v>0.70110531394332165</v>
      </c>
      <c r="W103" s="375">
        <f t="shared" ref="W103" si="223">W100/W82</f>
        <v>0.67151004633535405</v>
      </c>
      <c r="X103" s="375">
        <f t="shared" ca="1" si="221"/>
        <v>0.65654642820791032</v>
      </c>
      <c r="Y103" s="375">
        <f t="shared" ca="1" si="221"/>
        <v>0.66183244412095898</v>
      </c>
      <c r="Z103" s="375">
        <f t="shared" ca="1" si="221"/>
        <v>0.6507177676381154</v>
      </c>
      <c r="AA103" s="375">
        <f t="shared" ca="1" si="221"/>
        <v>0.66327752511749682</v>
      </c>
      <c r="AB103" s="375">
        <f t="shared" ca="1" si="221"/>
        <v>0.66310892046557979</v>
      </c>
      <c r="AC103" s="375">
        <f t="shared" ca="1" si="221"/>
        <v>0.65711489682130908</v>
      </c>
      <c r="AD103" s="375">
        <f t="shared" ref="AD103:AF103" ca="1" si="224">AD100/AD82</f>
        <v>0.64491447700164828</v>
      </c>
      <c r="AE103" s="375">
        <f t="shared" ca="1" si="224"/>
        <v>0.61904881967955405</v>
      </c>
      <c r="AF103" s="375">
        <f t="shared" ca="1" si="224"/>
        <v>0.59115061907386057</v>
      </c>
      <c r="AG103" s="375">
        <f t="shared" ref="AG103" ca="1" si="225">AG100/AG82</f>
        <v>0.56242439778325715</v>
      </c>
    </row>
    <row r="104" spans="1:33" s="346" customFormat="1" x14ac:dyDescent="0.4">
      <c r="A104" s="370" t="s">
        <v>2299</v>
      </c>
      <c r="B104" s="1685" t="s">
        <v>3135</v>
      </c>
      <c r="C104" s="375"/>
      <c r="D104" s="375">
        <f t="shared" ref="D104:AC104" si="226">(D100+D79)/(D82-D79)</f>
        <v>-1.7461530012800235</v>
      </c>
      <c r="E104" s="375">
        <f t="shared" si="226"/>
        <v>-0.69556191703511139</v>
      </c>
      <c r="F104" s="375">
        <f t="shared" si="226"/>
        <v>-0.34210466868812811</v>
      </c>
      <c r="G104" s="375">
        <f t="shared" si="226"/>
        <v>-0.95803504103111403</v>
      </c>
      <c r="H104" s="375">
        <f t="shared" si="226"/>
        <v>-0.18371350088679325</v>
      </c>
      <c r="I104" s="375">
        <f t="shared" si="226"/>
        <v>8.4286468803661294E-2</v>
      </c>
      <c r="J104" s="375">
        <f t="shared" si="226"/>
        <v>0.24021639261709127</v>
      </c>
      <c r="K104" s="375">
        <f t="shared" si="226"/>
        <v>0.57570854764389501</v>
      </c>
      <c r="L104" s="375">
        <f t="shared" si="226"/>
        <v>0.74031474279343257</v>
      </c>
      <c r="M104" s="375">
        <f t="shared" si="226"/>
        <v>0.41859849783653003</v>
      </c>
      <c r="N104" s="375">
        <f t="shared" si="226"/>
        <v>0.37821358504401847</v>
      </c>
      <c r="O104" s="375">
        <f t="shared" si="226"/>
        <v>0.40777568811679382</v>
      </c>
      <c r="P104" s="375">
        <f t="shared" si="226"/>
        <v>0.68861365096367111</v>
      </c>
      <c r="Q104" s="375">
        <f t="shared" si="226"/>
        <v>0.7133343967387541</v>
      </c>
      <c r="R104" s="375">
        <f t="shared" si="226"/>
        <v>0.78682312335501547</v>
      </c>
      <c r="S104" s="375">
        <f t="shared" si="226"/>
        <v>0.91953460064190162</v>
      </c>
      <c r="T104" s="375">
        <f t="shared" si="226"/>
        <v>0.86434722386586982</v>
      </c>
      <c r="U104" s="375">
        <f t="shared" ref="U104" si="227">(U100+U79)/(U82-U79)</f>
        <v>0.87751462861631602</v>
      </c>
      <c r="V104" s="375">
        <f t="shared" si="226"/>
        <v>0.87929587133952303</v>
      </c>
      <c r="W104" s="375">
        <f t="shared" ref="W104" si="228">(W100+W79)/(W82-W79)</f>
        <v>0.82454570738840693</v>
      </c>
      <c r="X104" s="375">
        <f t="shared" ca="1" si="226"/>
        <v>0.79520425018286178</v>
      </c>
      <c r="Y104" s="375">
        <f t="shared" ca="1" si="226"/>
        <v>0.78931217819556032</v>
      </c>
      <c r="Z104" s="375">
        <f t="shared" ca="1" si="226"/>
        <v>0.76729814440843958</v>
      </c>
      <c r="AA104" s="375">
        <f t="shared" ca="1" si="226"/>
        <v>0.77096697104525624</v>
      </c>
      <c r="AB104" s="375">
        <f t="shared" ca="1" si="226"/>
        <v>0.76186107256920921</v>
      </c>
      <c r="AC104" s="375">
        <f t="shared" ca="1" si="226"/>
        <v>0.74746854647878425</v>
      </c>
      <c r="AD104" s="375">
        <f t="shared" ref="AD104:AF104" ca="1" si="229">(AD100+AD79)/(AD82-AD79)</f>
        <v>0.72742262441734273</v>
      </c>
      <c r="AE104" s="375">
        <f t="shared" ca="1" si="229"/>
        <v>0.69391531919989358</v>
      </c>
      <c r="AF104" s="375">
        <f t="shared" ca="1" si="229"/>
        <v>0.65913863419589214</v>
      </c>
      <c r="AG104" s="375">
        <f t="shared" ref="AG104" ca="1" si="230">(AG100+AG79)/(AG82-AG79)</f>
        <v>0.62426595456783462</v>
      </c>
    </row>
    <row r="105" spans="1:33" x14ac:dyDescent="0.4">
      <c r="A105" s="372"/>
      <c r="B105" s="1683"/>
      <c r="C105" s="384"/>
      <c r="D105" s="384"/>
      <c r="E105" s="372"/>
      <c r="F105" s="372"/>
      <c r="G105" s="372"/>
      <c r="H105" s="372"/>
      <c r="I105" s="372"/>
      <c r="J105" s="372"/>
      <c r="K105" s="372"/>
      <c r="L105" s="372"/>
      <c r="M105" s="372"/>
      <c r="N105" s="372"/>
      <c r="O105" s="372"/>
      <c r="P105" s="372"/>
      <c r="Q105" s="385"/>
      <c r="R105" s="385"/>
      <c r="S105" s="385"/>
      <c r="T105" s="372"/>
      <c r="U105" s="372"/>
      <c r="V105" s="372"/>
      <c r="W105" s="372"/>
      <c r="X105" s="372"/>
      <c r="Y105" s="372"/>
      <c r="Z105" s="372"/>
      <c r="AA105" s="372"/>
      <c r="AB105" s="372"/>
      <c r="AC105" s="372"/>
      <c r="AD105" s="372"/>
      <c r="AE105" s="372"/>
      <c r="AF105" s="372"/>
      <c r="AG105" s="372"/>
    </row>
    <row r="106" spans="1:33" x14ac:dyDescent="0.4">
      <c r="A106" s="372"/>
      <c r="B106" s="1683" t="s">
        <v>2687</v>
      </c>
      <c r="C106" s="384"/>
      <c r="D106" s="385">
        <f t="shared" ref="D106:T106" si="231">D41/D43</f>
        <v>0.96527456759625307</v>
      </c>
      <c r="E106" s="385">
        <f t="shared" si="231"/>
        <v>0.8244992742037569</v>
      </c>
      <c r="F106" s="385">
        <f t="shared" si="231"/>
        <v>0.76974205624787395</v>
      </c>
      <c r="G106" s="385">
        <f t="shared" si="231"/>
        <v>0.7946429806279609</v>
      </c>
      <c r="H106" s="385">
        <f t="shared" si="231"/>
        <v>0.47735775764367872</v>
      </c>
      <c r="I106" s="385">
        <f t="shared" si="231"/>
        <v>0.53890956484579589</v>
      </c>
      <c r="J106" s="385">
        <f t="shared" si="231"/>
        <v>0.54921674117732888</v>
      </c>
      <c r="K106" s="385">
        <f t="shared" si="231"/>
        <v>0.55391811627017706</v>
      </c>
      <c r="L106" s="385">
        <f t="shared" si="231"/>
        <v>0.51562131946287593</v>
      </c>
      <c r="M106" s="385">
        <f t="shared" si="231"/>
        <v>0.44345615659423743</v>
      </c>
      <c r="N106" s="385">
        <f t="shared" si="231"/>
        <v>0.46584251282384243</v>
      </c>
      <c r="O106" s="385">
        <f t="shared" si="231"/>
        <v>0.46809353187250718</v>
      </c>
      <c r="P106" s="385">
        <f t="shared" si="231"/>
        <v>0.44271041942780615</v>
      </c>
      <c r="Q106" s="385">
        <f t="shared" si="231"/>
        <v>0.46771041708736288</v>
      </c>
      <c r="R106" s="385">
        <f t="shared" si="231"/>
        <v>0.47110125405846015</v>
      </c>
      <c r="S106" s="385">
        <f t="shared" si="231"/>
        <v>0.51967622871528618</v>
      </c>
      <c r="T106" s="385">
        <f t="shared" si="231"/>
        <v>0.56010614265373648</v>
      </c>
      <c r="U106" s="385">
        <f t="shared" ref="U106" si="232">U41/U43</f>
        <v>0.59341477053716862</v>
      </c>
      <c r="V106" s="372"/>
      <c r="W106" s="372"/>
      <c r="X106" s="372"/>
      <c r="Y106" s="372"/>
      <c r="Z106" s="372"/>
      <c r="AA106" s="372"/>
      <c r="AB106" s="372"/>
      <c r="AC106" s="372"/>
      <c r="AD106" s="372"/>
      <c r="AE106" s="372"/>
      <c r="AF106" s="372"/>
      <c r="AG106" s="372"/>
    </row>
    <row r="107" spans="1:33" x14ac:dyDescent="0.4">
      <c r="A107" s="372"/>
      <c r="B107" s="1683" t="s">
        <v>2688</v>
      </c>
      <c r="C107" s="384"/>
      <c r="D107" s="385">
        <f t="shared" ref="D107:T107" si="233">D69/D71</f>
        <v>0.99993730179869411</v>
      </c>
      <c r="E107" s="385">
        <f t="shared" si="233"/>
        <v>0.96197639542288971</v>
      </c>
      <c r="F107" s="385">
        <f t="shared" si="233"/>
        <v>0.8085992105450942</v>
      </c>
      <c r="G107" s="385">
        <f t="shared" si="233"/>
        <v>0.59578438569347347</v>
      </c>
      <c r="H107" s="385">
        <f t="shared" si="233"/>
        <v>0.58567516470876324</v>
      </c>
      <c r="I107" s="385">
        <f t="shared" si="233"/>
        <v>0.67166409415418871</v>
      </c>
      <c r="J107" s="385">
        <f t="shared" si="233"/>
        <v>0.53405678047187588</v>
      </c>
      <c r="K107" s="385">
        <f t="shared" si="233"/>
        <v>0.6276695212117539</v>
      </c>
      <c r="L107" s="385">
        <f t="shared" si="233"/>
        <v>0.67024696206826562</v>
      </c>
      <c r="M107" s="385">
        <f t="shared" si="233"/>
        <v>0.63643371876176691</v>
      </c>
      <c r="N107" s="385">
        <f t="shared" si="233"/>
        <v>0.65641991661163868</v>
      </c>
      <c r="O107" s="385">
        <f t="shared" si="233"/>
        <v>0.65963991268942113</v>
      </c>
      <c r="P107" s="385">
        <f t="shared" si="233"/>
        <v>0.57639483090557275</v>
      </c>
      <c r="Q107" s="385">
        <f t="shared" si="233"/>
        <v>0.64339600177486889</v>
      </c>
      <c r="R107" s="385">
        <f t="shared" si="233"/>
        <v>0.62194349474402277</v>
      </c>
      <c r="S107" s="385">
        <f t="shared" si="233"/>
        <v>0.60706584336281988</v>
      </c>
      <c r="T107" s="385">
        <f t="shared" si="233"/>
        <v>0.63844952311706027</v>
      </c>
      <c r="U107" s="385">
        <f t="shared" ref="U107" si="234">U69/U71</f>
        <v>0.65918530885540672</v>
      </c>
      <c r="V107" s="372"/>
      <c r="W107" s="372"/>
      <c r="X107" s="372"/>
      <c r="Y107" s="372"/>
      <c r="Z107" s="372"/>
      <c r="AA107" s="372"/>
      <c r="AB107" s="372"/>
      <c r="AC107" s="372"/>
      <c r="AD107" s="372"/>
      <c r="AE107" s="372"/>
      <c r="AF107" s="372"/>
      <c r="AG107" s="372"/>
    </row>
    <row r="108" spans="1:33" x14ac:dyDescent="0.4">
      <c r="A108" s="372"/>
      <c r="B108" s="1683"/>
      <c r="C108" s="384"/>
      <c r="D108" s="384"/>
      <c r="E108" s="372"/>
      <c r="F108" s="372"/>
      <c r="G108" s="372"/>
      <c r="H108" s="372"/>
      <c r="I108" s="372"/>
      <c r="J108" s="372"/>
      <c r="K108" s="372"/>
      <c r="L108" s="372"/>
      <c r="M108" s="372"/>
      <c r="N108" s="372"/>
      <c r="O108" s="372"/>
      <c r="P108" s="372"/>
      <c r="Q108" s="385"/>
      <c r="R108" s="385"/>
      <c r="S108" s="385"/>
      <c r="T108" s="372"/>
      <c r="U108" s="372"/>
      <c r="V108" s="372"/>
      <c r="W108" s="372"/>
      <c r="X108" s="372"/>
      <c r="Y108" s="372"/>
      <c r="Z108" s="372"/>
      <c r="AA108" s="372"/>
      <c r="AB108" s="372"/>
      <c r="AC108" s="372"/>
      <c r="AD108" s="372"/>
      <c r="AE108" s="372"/>
      <c r="AF108" s="372"/>
      <c r="AG108" s="372"/>
    </row>
    <row r="109" spans="1:33" x14ac:dyDescent="0.4">
      <c r="A109" s="372" t="s">
        <v>483</v>
      </c>
      <c r="B109" s="1683" t="s">
        <v>3136</v>
      </c>
      <c r="C109" s="384"/>
      <c r="D109" s="386">
        <f t="shared" ref="D109:T109" si="235">D41/D69</f>
        <v>1.1774332769239684</v>
      </c>
      <c r="E109" s="386">
        <f t="shared" si="235"/>
        <v>1.1959868251201351</v>
      </c>
      <c r="F109" s="386">
        <f t="shared" si="235"/>
        <v>1.323748631285558</v>
      </c>
      <c r="G109" s="386">
        <f t="shared" si="235"/>
        <v>1.9822018496094775</v>
      </c>
      <c r="H109" s="386">
        <f t="shared" si="235"/>
        <v>1.0831489470149336</v>
      </c>
      <c r="I109" s="386">
        <f t="shared" si="235"/>
        <v>1.2444446882260178</v>
      </c>
      <c r="J109" s="386">
        <f t="shared" si="235"/>
        <v>1.63824556886576</v>
      </c>
      <c r="K109" s="386">
        <f t="shared" si="235"/>
        <v>1.2764321707565152</v>
      </c>
      <c r="L109" s="386">
        <f t="shared" si="235"/>
        <v>1.099565287188089</v>
      </c>
      <c r="M109" s="386">
        <f t="shared" si="235"/>
        <v>1.0224492834614705</v>
      </c>
      <c r="N109" s="386">
        <f t="shared" si="235"/>
        <v>1.0107665619048232</v>
      </c>
      <c r="O109" s="386">
        <f t="shared" si="235"/>
        <v>1.0505593766304442</v>
      </c>
      <c r="P109" s="386">
        <f t="shared" si="235"/>
        <v>1.1236748155961771</v>
      </c>
      <c r="Q109" s="386">
        <f t="shared" si="235"/>
        <v>1.061793452205074</v>
      </c>
      <c r="R109" s="386">
        <f t="shared" si="235"/>
        <v>1.1009206938668064</v>
      </c>
      <c r="S109" s="386">
        <f t="shared" si="235"/>
        <v>1.2263657001373878</v>
      </c>
      <c r="T109" s="386">
        <f t="shared" si="235"/>
        <v>1.2465918724035041</v>
      </c>
      <c r="U109" s="386">
        <f t="shared" ref="U109" si="236">U41/U69</f>
        <v>1.2823253890072597</v>
      </c>
      <c r="V109" s="386">
        <f t="shared" ref="V109:AC109" si="237">V41/V69</f>
        <v>1.3548577478945967</v>
      </c>
      <c r="W109" s="386">
        <f t="shared" ref="W109" si="238">W41/W69</f>
        <v>1.4094646711672878</v>
      </c>
      <c r="X109" s="386">
        <f t="shared" ca="1" si="237"/>
        <v>1.4491927286387474</v>
      </c>
      <c r="Y109" s="386">
        <f t="shared" ca="1" si="237"/>
        <v>1.4454302822385785</v>
      </c>
      <c r="Z109" s="386">
        <f t="shared" ca="1" si="237"/>
        <v>1.4521731566022158</v>
      </c>
      <c r="AA109" s="386">
        <f t="shared" ca="1" si="237"/>
        <v>1.4480030297774962</v>
      </c>
      <c r="AB109" s="386">
        <f t="shared" ca="1" si="237"/>
        <v>1.4540208415829137</v>
      </c>
      <c r="AC109" s="386">
        <f t="shared" ca="1" si="237"/>
        <v>1.4652544732631798</v>
      </c>
      <c r="AD109" s="386">
        <f t="shared" ref="AD109:AF109" ca="1" si="239">AD41/AD69</f>
        <v>1.4845210213869744</v>
      </c>
      <c r="AE109" s="386">
        <f t="shared" ca="1" si="239"/>
        <v>1.5083767021804817</v>
      </c>
      <c r="AF109" s="386">
        <f t="shared" ca="1" si="239"/>
        <v>1.5359371941019597</v>
      </c>
      <c r="AG109" s="386">
        <f t="shared" ref="AG109" ca="1" si="240">AG41/AG69</f>
        <v>1.5665736088018745</v>
      </c>
    </row>
    <row r="110" spans="1:33" x14ac:dyDescent="0.4">
      <c r="A110" s="372" t="s">
        <v>576</v>
      </c>
      <c r="B110" s="1683" t="s">
        <v>3137</v>
      </c>
      <c r="C110" s="384"/>
      <c r="D110" s="386">
        <f t="shared" ref="D110:T110" si="241">(D41-D27-D26-D31)/D69</f>
        <v>1.0536373890561319</v>
      </c>
      <c r="E110" s="386">
        <f t="shared" si="241"/>
        <v>1.0553781218741218</v>
      </c>
      <c r="F110" s="386">
        <f t="shared" si="241"/>
        <v>1.1767150087674296</v>
      </c>
      <c r="G110" s="386">
        <f t="shared" si="241"/>
        <v>1.8431315979628062</v>
      </c>
      <c r="H110" s="386">
        <f t="shared" si="241"/>
        <v>0.98653954568749813</v>
      </c>
      <c r="I110" s="386">
        <f t="shared" si="241"/>
        <v>1.1378080631273726</v>
      </c>
      <c r="J110" s="386">
        <f t="shared" si="241"/>
        <v>1.5038097149655394</v>
      </c>
      <c r="K110" s="386">
        <f t="shared" si="241"/>
        <v>1.2488016989470583</v>
      </c>
      <c r="L110" s="386">
        <f t="shared" si="241"/>
        <v>1.034530909124453</v>
      </c>
      <c r="M110" s="386">
        <f t="shared" si="241"/>
        <v>0.93994843797688155</v>
      </c>
      <c r="N110" s="386">
        <f t="shared" si="241"/>
        <v>0.91454498796131001</v>
      </c>
      <c r="O110" s="386">
        <f t="shared" si="241"/>
        <v>0.96240420338605159</v>
      </c>
      <c r="P110" s="386">
        <f t="shared" si="241"/>
        <v>1.0277860396353988</v>
      </c>
      <c r="Q110" s="386">
        <f t="shared" si="241"/>
        <v>0.94989890412550182</v>
      </c>
      <c r="R110" s="386">
        <f t="shared" si="241"/>
        <v>0.96774918209387684</v>
      </c>
      <c r="S110" s="386">
        <f t="shared" si="241"/>
        <v>1.1218141282717822</v>
      </c>
      <c r="T110" s="386">
        <f t="shared" si="241"/>
        <v>1.131224614426569</v>
      </c>
      <c r="U110" s="386">
        <f t="shared" ref="U110" si="242">(U41-U27-U26-U31)/U69</f>
        <v>1.1502750692543946</v>
      </c>
      <c r="V110" s="386">
        <f t="shared" ref="V110:AC110" si="243">(V41-V27-V26-V31)/V69</f>
        <v>1.2652565432762717</v>
      </c>
      <c r="W110" s="386">
        <f t="shared" ref="W110" si="244">(W41-W27-W26-W31)/W69</f>
        <v>1.3227286165808514</v>
      </c>
      <c r="X110" s="386">
        <f t="shared" ca="1" si="243"/>
        <v>1.3611820787125284</v>
      </c>
      <c r="Y110" s="386">
        <f t="shared" ca="1" si="243"/>
        <v>1.3592557210908878</v>
      </c>
      <c r="Z110" s="386">
        <f t="shared" ca="1" si="243"/>
        <v>1.3672531052179697</v>
      </c>
      <c r="AA110" s="386">
        <f t="shared" ca="1" si="243"/>
        <v>1.3639887906225709</v>
      </c>
      <c r="AB110" s="386">
        <f t="shared" ca="1" si="243"/>
        <v>1.3705720894004871</v>
      </c>
      <c r="AC110" s="386">
        <f t="shared" ca="1" si="243"/>
        <v>1.3821246352252186</v>
      </c>
      <c r="AD110" s="386">
        <f t="shared" ref="AD110:AF110" ca="1" si="245">(AD41-AD27-AD26-AD31)/AD69</f>
        <v>1.4015235658212188</v>
      </c>
      <c r="AE110" s="386">
        <f t="shared" ca="1" si="245"/>
        <v>1.4253650463157346</v>
      </c>
      <c r="AF110" s="386">
        <f t="shared" ca="1" si="245"/>
        <v>1.4527921440461979</v>
      </c>
      <c r="AG110" s="386">
        <f t="shared" ref="AG110" ca="1" si="246">(AG41-AG27-AG26-AG31)/AG69</f>
        <v>1.48319519319538</v>
      </c>
    </row>
    <row r="111" spans="1:33" x14ac:dyDescent="0.4">
      <c r="A111" s="372"/>
      <c r="B111" s="1683"/>
      <c r="C111" s="384"/>
      <c r="D111" s="379"/>
      <c r="E111" s="387"/>
      <c r="F111" s="387"/>
      <c r="G111" s="387"/>
      <c r="H111" s="387"/>
      <c r="I111" s="387"/>
      <c r="J111" s="387"/>
      <c r="K111" s="387"/>
      <c r="L111" s="387"/>
      <c r="M111" s="387"/>
      <c r="N111" s="387"/>
      <c r="O111" s="387"/>
      <c r="P111" s="387"/>
      <c r="Q111" s="387"/>
      <c r="R111" s="387"/>
      <c r="S111" s="387"/>
      <c r="T111" s="387"/>
      <c r="U111" s="387"/>
      <c r="V111" s="387"/>
      <c r="W111" s="387"/>
      <c r="X111" s="387"/>
      <c r="Y111" s="387"/>
      <c r="Z111" s="387"/>
      <c r="AA111" s="387"/>
      <c r="AB111" s="387"/>
      <c r="AC111" s="387"/>
      <c r="AD111" s="387"/>
      <c r="AE111" s="387"/>
      <c r="AF111" s="387"/>
      <c r="AG111" s="387"/>
    </row>
    <row r="112" spans="1:33" x14ac:dyDescent="0.4">
      <c r="A112" s="372" t="s">
        <v>2300</v>
      </c>
      <c r="B112" s="1683" t="s">
        <v>3138</v>
      </c>
      <c r="C112" s="384"/>
      <c r="D112" s="380">
        <f t="shared" ref="D112:AG112" si="247">D14+D27+D29+D30+D31-D58-D59-D60-D62-D63</f>
        <v>-997.7399999999999</v>
      </c>
      <c r="E112" s="380">
        <f t="shared" si="247"/>
        <v>-563.53800000000001</v>
      </c>
      <c r="F112" s="380">
        <f t="shared" si="247"/>
        <v>-218.42700000000008</v>
      </c>
      <c r="G112" s="380">
        <f t="shared" si="247"/>
        <v>-590.11200000000088</v>
      </c>
      <c r="H112" s="380">
        <f t="shared" si="247"/>
        <v>-3087.3679999999995</v>
      </c>
      <c r="I112" s="380">
        <f t="shared" si="247"/>
        <v>-609.5090000000007</v>
      </c>
      <c r="J112" s="380">
        <f t="shared" si="247"/>
        <v>4297.1540000000005</v>
      </c>
      <c r="K112" s="380">
        <f t="shared" si="247"/>
        <v>1940.0350000000012</v>
      </c>
      <c r="L112" s="380">
        <f t="shared" si="247"/>
        <v>5565.7280000000019</v>
      </c>
      <c r="M112" s="380">
        <f t="shared" si="247"/>
        <v>9843.6409999999923</v>
      </c>
      <c r="N112" s="380">
        <f t="shared" si="247"/>
        <v>11096.544</v>
      </c>
      <c r="O112" s="380">
        <f t="shared" si="247"/>
        <v>27727.10100000001</v>
      </c>
      <c r="P112" s="380">
        <f t="shared" si="247"/>
        <v>35076.494999999995</v>
      </c>
      <c r="Q112" s="380">
        <f t="shared" si="247"/>
        <v>40039.492000000013</v>
      </c>
      <c r="R112" s="380">
        <f t="shared" si="247"/>
        <v>51401.179999999993</v>
      </c>
      <c r="S112" s="380">
        <f t="shared" si="247"/>
        <v>66732.650000000009</v>
      </c>
      <c r="T112" s="380">
        <f t="shared" si="247"/>
        <v>70566.137999999977</v>
      </c>
      <c r="U112" s="380">
        <f t="shared" si="247"/>
        <v>77601.922999999995</v>
      </c>
      <c r="V112" s="380">
        <f t="shared" si="247"/>
        <v>78827.460999999981</v>
      </c>
      <c r="W112" s="380">
        <f t="shared" si="247"/>
        <v>89774.549999999974</v>
      </c>
      <c r="X112" s="380">
        <f t="shared" si="247"/>
        <v>97291.073875933405</v>
      </c>
      <c r="Y112" s="380">
        <f t="shared" si="247"/>
        <v>108783.36177686053</v>
      </c>
      <c r="Z112" s="380">
        <f t="shared" si="247"/>
        <v>119208.97555417064</v>
      </c>
      <c r="AA112" s="380">
        <f t="shared" si="247"/>
        <v>133934.32731168307</v>
      </c>
      <c r="AB112" s="380">
        <f t="shared" si="247"/>
        <v>148428.59460985637</v>
      </c>
      <c r="AC112" s="380">
        <f t="shared" si="247"/>
        <v>163215.25057133569</v>
      </c>
      <c r="AD112" s="380">
        <f t="shared" si="247"/>
        <v>178001.22702915722</v>
      </c>
      <c r="AE112" s="380">
        <f t="shared" si="247"/>
        <v>191398.01438160872</v>
      </c>
      <c r="AF112" s="380">
        <f t="shared" si="247"/>
        <v>204759.15362614492</v>
      </c>
      <c r="AG112" s="380">
        <f t="shared" si="247"/>
        <v>218139.81514856438</v>
      </c>
    </row>
    <row r="113" spans="1:33" x14ac:dyDescent="0.4">
      <c r="A113" s="388" t="s">
        <v>2301</v>
      </c>
      <c r="B113" s="1715" t="s">
        <v>3139</v>
      </c>
      <c r="C113" s="389"/>
      <c r="D113" s="390">
        <f>PL!D4/BS!D112</f>
        <v>-10.318145007717442</v>
      </c>
      <c r="E113" s="390">
        <f>PL!E4/BS!E112</f>
        <v>-18.043718436023834</v>
      </c>
      <c r="F113" s="390">
        <f>PL!F4/BS!F112</f>
        <v>-50.45807065976274</v>
      </c>
      <c r="G113" s="390">
        <f>PL!G4/BS!G112</f>
        <v>-19.220076866764245</v>
      </c>
      <c r="H113" s="390">
        <f>PL!H4/BS!H112</f>
        <v>-3.8812577574166736</v>
      </c>
      <c r="I113" s="390">
        <f>PL!I4/BS!I112</f>
        <v>-26.8729600383259</v>
      </c>
      <c r="J113" s="390">
        <f>PL!J4/BS!J112</f>
        <v>5.0988770707309996</v>
      </c>
      <c r="K113" s="390">
        <f>PL!K4/BS!K112</f>
        <v>14.06449883636119</v>
      </c>
      <c r="L113" s="390">
        <f>PL!L4/BS!L112</f>
        <v>6.1877934027677934</v>
      </c>
      <c r="M113" s="390">
        <f>PL!M4/BS!M112</f>
        <v>3.8605507860353732</v>
      </c>
      <c r="N113" s="390">
        <f>PL!N4/BS!N112</f>
        <v>4.1641350676390774</v>
      </c>
      <c r="O113" s="390">
        <f>PL!O4/BS!O112</f>
        <v>1.8087907567401287</v>
      </c>
      <c r="P113" s="390">
        <f>PL!P4/BS!P112</f>
        <v>1.5858569677500562</v>
      </c>
      <c r="Q113" s="390">
        <f>PL!Q4/BS!Q112</f>
        <v>1.5402212895208556</v>
      </c>
      <c r="R113" s="390">
        <f>PL!R4/BS!R112</f>
        <v>1.2151084663815113</v>
      </c>
      <c r="S113" s="390">
        <f>PL!S4/BS!S112</f>
        <v>1.1584975870132534</v>
      </c>
      <c r="T113" s="390">
        <f>PL!T4/BS!T112</f>
        <v>1.4451019694460256</v>
      </c>
      <c r="U113" s="390">
        <f>PL!U4/BS!U112</f>
        <v>1.4656081782921799</v>
      </c>
      <c r="V113" s="390">
        <f>PL!V4/BS!V112</f>
        <v>1.33611649625503</v>
      </c>
      <c r="W113" s="390">
        <f>PL!W4/BS!W112</f>
        <v>1.118897282136196</v>
      </c>
      <c r="X113" s="390">
        <f>PL!X4/BS!X112</f>
        <v>1.0644394778019421</v>
      </c>
      <c r="Y113" s="390">
        <f>PL!Y4/BS!Y112</f>
        <v>1.0497454597388378</v>
      </c>
      <c r="Z113" s="390">
        <f>PL!Z4/BS!Z112</f>
        <v>1.0308507793113182</v>
      </c>
      <c r="AA113" s="390">
        <f>PL!AA4/BS!AA112</f>
        <v>1.0067557730100616</v>
      </c>
      <c r="AB113" s="390">
        <f>PL!AB4/BS!AB112</f>
        <v>0.98432541326871903</v>
      </c>
      <c r="AC113" s="390">
        <f>PL!AC4/BS!AC112</f>
        <v>0.96073379665214476</v>
      </c>
      <c r="AD113" s="390">
        <f>PL!AD4/BS!AD112</f>
        <v>0.93853349654396967</v>
      </c>
      <c r="AE113" s="390">
        <f>PL!AE4/BS!AE112</f>
        <v>0.92452345893072152</v>
      </c>
      <c r="AF113" s="390">
        <f>PL!AF4/BS!AF112</f>
        <v>0.91109559446159227</v>
      </c>
      <c r="AG113" s="390">
        <f>PL!AG4/BS!AG112</f>
        <v>0.89818686847172324</v>
      </c>
    </row>
    <row r="114" spans="1:33" s="346" customFormat="1" x14ac:dyDescent="0.35">
      <c r="A114" s="310"/>
      <c r="B114" s="1678"/>
      <c r="C114" s="391"/>
      <c r="D114" s="391"/>
      <c r="E114" s="391"/>
      <c r="F114" s="391"/>
      <c r="G114" s="391"/>
      <c r="H114" s="391"/>
      <c r="I114" s="391"/>
      <c r="J114" s="391"/>
      <c r="K114" s="391"/>
      <c r="L114" s="391"/>
      <c r="M114" s="323"/>
      <c r="N114" s="323"/>
      <c r="O114" s="323"/>
      <c r="P114" s="323"/>
      <c r="Q114" s="323"/>
      <c r="R114" s="323"/>
      <c r="S114" s="323"/>
      <c r="T114" s="323"/>
      <c r="U114" s="323"/>
      <c r="V114" s="323"/>
      <c r="W114" s="323"/>
      <c r="X114" s="323"/>
      <c r="Y114" s="323"/>
      <c r="Z114" s="323"/>
      <c r="AA114" s="323"/>
      <c r="AB114" s="323"/>
      <c r="AC114" s="323"/>
      <c r="AD114" s="323"/>
      <c r="AE114" s="323"/>
      <c r="AF114" s="323"/>
      <c r="AG114" s="323"/>
    </row>
    <row r="116" spans="1:33" x14ac:dyDescent="0.4">
      <c r="C116" s="392"/>
      <c r="D116" s="392"/>
      <c r="E116" s="393"/>
      <c r="F116" s="393"/>
      <c r="G116" s="393"/>
      <c r="H116" s="393"/>
      <c r="I116" s="393"/>
      <c r="J116" s="393"/>
      <c r="K116" s="393"/>
    </row>
    <row r="117" spans="1:33" x14ac:dyDescent="0.4">
      <c r="C117" s="392"/>
      <c r="D117" s="392"/>
      <c r="E117" s="393"/>
      <c r="F117" s="393"/>
      <c r="G117" s="393"/>
      <c r="H117" s="393"/>
      <c r="I117" s="393"/>
      <c r="J117" s="393"/>
      <c r="K117" s="393"/>
    </row>
    <row r="118" spans="1:33" x14ac:dyDescent="0.4">
      <c r="C118" s="392"/>
      <c r="D118" s="392"/>
      <c r="E118" s="393"/>
      <c r="F118" s="393"/>
      <c r="G118" s="393"/>
      <c r="H118" s="393"/>
      <c r="I118" s="393"/>
      <c r="J118" s="393"/>
      <c r="K118" s="393"/>
    </row>
    <row r="119" spans="1:33" x14ac:dyDescent="0.4">
      <c r="C119" s="392"/>
      <c r="D119" s="392"/>
      <c r="E119" s="393"/>
      <c r="F119" s="393"/>
      <c r="G119" s="393"/>
      <c r="H119" s="393"/>
      <c r="I119" s="393"/>
      <c r="J119" s="393"/>
      <c r="K119" s="393"/>
    </row>
    <row r="120" spans="1:33" x14ac:dyDescent="0.4">
      <c r="C120" s="392"/>
      <c r="D120" s="392"/>
      <c r="E120" s="393"/>
      <c r="F120" s="393"/>
      <c r="G120" s="393"/>
      <c r="H120" s="393"/>
      <c r="I120" s="393"/>
      <c r="J120" s="393"/>
      <c r="K120" s="393"/>
    </row>
    <row r="121" spans="1:33" x14ac:dyDescent="0.4">
      <c r="A121" s="323"/>
      <c r="C121" s="394"/>
      <c r="D121" s="394"/>
      <c r="E121" s="394"/>
      <c r="F121" s="394"/>
      <c r="G121" s="394"/>
      <c r="H121" s="394"/>
      <c r="I121" s="394"/>
      <c r="J121" s="394"/>
      <c r="K121" s="394"/>
    </row>
    <row r="122" spans="1:33" s="346" customFormat="1" x14ac:dyDescent="0.4">
      <c r="A122" s="323"/>
      <c r="B122" s="1678"/>
      <c r="C122" s="395"/>
      <c r="D122" s="395"/>
      <c r="E122" s="323"/>
      <c r="F122" s="323"/>
      <c r="G122" s="323"/>
      <c r="H122" s="323"/>
      <c r="I122" s="323"/>
      <c r="J122" s="323"/>
      <c r="K122" s="323"/>
      <c r="L122" s="323"/>
      <c r="M122" s="323"/>
      <c r="N122" s="323"/>
      <c r="O122" s="323"/>
      <c r="P122" s="323"/>
      <c r="Q122" s="323"/>
      <c r="R122" s="323"/>
      <c r="S122" s="323"/>
      <c r="T122" s="323"/>
      <c r="U122" s="323"/>
      <c r="V122" s="323"/>
      <c r="W122" s="323"/>
      <c r="X122" s="323"/>
      <c r="Y122" s="323"/>
      <c r="Z122" s="323"/>
      <c r="AA122" s="323"/>
      <c r="AB122" s="323"/>
      <c r="AC122" s="323"/>
      <c r="AD122" s="323"/>
      <c r="AE122" s="323"/>
      <c r="AF122" s="323"/>
      <c r="AG122" s="323"/>
    </row>
    <row r="124" spans="1:33" x14ac:dyDescent="0.4">
      <c r="A124" s="323"/>
      <c r="C124" s="394"/>
      <c r="D124" s="394"/>
      <c r="E124" s="394"/>
      <c r="F124" s="394"/>
      <c r="G124" s="394"/>
      <c r="H124" s="394"/>
      <c r="I124" s="394"/>
      <c r="J124" s="394"/>
      <c r="K124" s="394"/>
    </row>
  </sheetData>
  <phoneticPr fontId="51" type="noConversion"/>
  <pageMargins left="0.75" right="0.75" top="0.78" bottom="0.81" header="0.5" footer="0.5"/>
  <pageSetup paperSize="9" scale="68"/>
  <headerFooter alignWithMargins="0">
    <oddHeader>&amp;A</oddHeader>
    <oddFooter>&amp;F</oddFooter>
  </headerFooter>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L202"/>
  <sheetViews>
    <sheetView showGridLines="0" zoomScale="85" zoomScaleNormal="85" workbookViewId="0">
      <pane xSplit="2" ySplit="3" topLeftCell="R93" activePane="bottomRight" state="frozen"/>
      <selection pane="topRight"/>
      <selection pane="bottomLeft"/>
      <selection pane="bottomRight" activeCell="W114" sqref="W114"/>
    </sheetView>
  </sheetViews>
  <sheetFormatPr defaultColWidth="8.0625" defaultRowHeight="11.65" outlineLevelCol="1" x14ac:dyDescent="0.4"/>
  <cols>
    <col min="1" max="1" width="31.0625" style="310" hidden="1" customWidth="1" outlineLevel="1"/>
    <col min="2" max="2" width="25" style="354" customWidth="1" collapsed="1"/>
    <col min="3" max="4" width="8.0625" style="311" hidden="1" customWidth="1" outlineLevel="1"/>
    <col min="5" max="13" width="8.0625" style="310" hidden="1" customWidth="1" outlineLevel="1"/>
    <col min="14" max="14" width="8.0625" style="310" customWidth="1" collapsed="1"/>
    <col min="15" max="23" width="8.0625" style="310" customWidth="1"/>
    <col min="24" max="29" width="8.0625" style="310" customWidth="1" outlineLevel="1"/>
    <col min="30" max="33" width="8.0625" style="310" outlineLevel="1"/>
    <col min="34" max="34" width="8.0625" style="310" bestFit="1"/>
    <col min="35" max="36" width="8.0625" style="310" bestFit="1" customWidth="1"/>
    <col min="37" max="16384" width="8.0625" style="310"/>
  </cols>
  <sheetData>
    <row r="1" spans="1:35" x14ac:dyDescent="0.4">
      <c r="A1" s="323" t="s">
        <v>2237</v>
      </c>
      <c r="B1" s="1678" t="s">
        <v>3047</v>
      </c>
      <c r="C1" s="396">
        <v>1.05</v>
      </c>
      <c r="D1" s="396">
        <v>1.03</v>
      </c>
      <c r="E1" s="396">
        <v>0.94</v>
      </c>
      <c r="F1" s="396">
        <v>0.86</v>
      </c>
      <c r="G1" s="396">
        <v>0.88</v>
      </c>
      <c r="H1" s="396">
        <v>0.84</v>
      </c>
      <c r="I1" s="396">
        <v>0.81043849936915802</v>
      </c>
      <c r="J1" s="396">
        <v>0.80389999999999995</v>
      </c>
      <c r="K1" s="396">
        <v>0.77614102564102561</v>
      </c>
      <c r="L1" s="396">
        <v>0.79538461538461536</v>
      </c>
      <c r="M1" s="396">
        <v>0.83251282051282005</v>
      </c>
      <c r="N1" s="396">
        <v>0.89539999999999997</v>
      </c>
      <c r="O1" s="396">
        <v>0.83250000000000002</v>
      </c>
      <c r="P1" s="396">
        <v>0.88185897435897431</v>
      </c>
      <c r="Q1" s="397">
        <v>0.89729999999999999</v>
      </c>
      <c r="R1" s="397">
        <v>0.90169999999999995</v>
      </c>
      <c r="S1" s="397">
        <v>0.81789999999999996</v>
      </c>
      <c r="T1" s="397">
        <v>0.89090000000000003</v>
      </c>
      <c r="U1" s="397">
        <v>0.90959999999999996</v>
      </c>
      <c r="V1" s="397">
        <v>0.93959999999999999</v>
      </c>
      <c r="W1" s="397">
        <v>0.89800000000000002</v>
      </c>
      <c r="X1" s="398">
        <v>0.89029999999999998</v>
      </c>
      <c r="Y1" s="398">
        <v>0.87819999999999998</v>
      </c>
      <c r="Z1" s="398">
        <f t="shared" ref="Z1" si="0">Y1</f>
        <v>0.87819999999999998</v>
      </c>
      <c r="AA1" s="398">
        <f t="shared" ref="AA1:AC1" si="1">Z1</f>
        <v>0.87819999999999998</v>
      </c>
      <c r="AB1" s="398">
        <f t="shared" si="1"/>
        <v>0.87819999999999998</v>
      </c>
      <c r="AC1" s="398">
        <f t="shared" si="1"/>
        <v>0.87819999999999998</v>
      </c>
      <c r="AD1" s="398">
        <f t="shared" ref="AD1" si="2">AC1</f>
        <v>0.87819999999999998</v>
      </c>
      <c r="AE1" s="398">
        <f t="shared" ref="AE1" si="3">AD1</f>
        <v>0.87819999999999998</v>
      </c>
      <c r="AF1" s="398">
        <f t="shared" ref="AF1:AG1" si="4">AE1</f>
        <v>0.87819999999999998</v>
      </c>
      <c r="AG1" s="398">
        <f t="shared" si="4"/>
        <v>0.87819999999999998</v>
      </c>
    </row>
    <row r="2" spans="1:35" s="313" customFormat="1" x14ac:dyDescent="0.4">
      <c r="A2" s="314" t="s">
        <v>2011</v>
      </c>
      <c r="B2" s="1668" t="s">
        <v>2983</v>
      </c>
      <c r="C2" s="315"/>
      <c r="D2" s="315">
        <f>BS!D1</f>
        <v>0</v>
      </c>
      <c r="E2" s="315">
        <f>BS!E1</f>
        <v>0</v>
      </c>
      <c r="F2" s="315">
        <f>BS!F1</f>
        <v>0</v>
      </c>
      <c r="G2" s="315">
        <f>BS!G1</f>
        <v>0</v>
      </c>
      <c r="H2" s="315">
        <f>BS!H1</f>
        <v>0</v>
      </c>
      <c r="I2" s="315">
        <f>BS!I1</f>
        <v>0</v>
      </c>
      <c r="J2" s="315">
        <f>BS!J1</f>
        <v>0</v>
      </c>
      <c r="K2" s="315">
        <f>BS!K1</f>
        <v>0</v>
      </c>
      <c r="L2" s="315">
        <f>BS!L1</f>
        <v>0</v>
      </c>
      <c r="M2" s="315">
        <f>BS!M1</f>
        <v>0</v>
      </c>
      <c r="N2" s="315">
        <f>BS!N1</f>
        <v>0</v>
      </c>
      <c r="O2" s="315">
        <f>BS!O1</f>
        <v>0</v>
      </c>
      <c r="P2" s="315">
        <f>BS!P1</f>
        <v>0</v>
      </c>
      <c r="Q2" s="315">
        <f>BS!Q1</f>
        <v>0</v>
      </c>
      <c r="R2" s="315">
        <f>BS!R1</f>
        <v>0</v>
      </c>
      <c r="S2" s="315">
        <f>BS!S1</f>
        <v>0</v>
      </c>
      <c r="T2" s="315">
        <f>BS!T1</f>
        <v>0</v>
      </c>
      <c r="U2" s="315">
        <f>BS!U1</f>
        <v>0</v>
      </c>
      <c r="V2" s="315">
        <f>BS!V1</f>
        <v>0</v>
      </c>
      <c r="W2" s="315">
        <f>BS!W1</f>
        <v>0</v>
      </c>
      <c r="X2" s="315">
        <f ca="1">BS!X1</f>
        <v>0</v>
      </c>
      <c r="Y2" s="315">
        <f ca="1">BS!Y1</f>
        <v>0</v>
      </c>
      <c r="Z2" s="315">
        <f ca="1">BS!Z1</f>
        <v>0</v>
      </c>
      <c r="AA2" s="315">
        <f ca="1">BS!AA1</f>
        <v>0</v>
      </c>
      <c r="AB2" s="315">
        <f ca="1">BS!AB1</f>
        <v>0</v>
      </c>
      <c r="AC2" s="315">
        <f ca="1">BS!AC1</f>
        <v>0</v>
      </c>
      <c r="AD2" s="315">
        <f ca="1">BS!AD1</f>
        <v>0</v>
      </c>
      <c r="AE2" s="315">
        <f ca="1">BS!AE1</f>
        <v>0</v>
      </c>
      <c r="AF2" s="315">
        <f ca="1">BS!AF1</f>
        <v>0</v>
      </c>
      <c r="AG2" s="315">
        <f ca="1">BS!AG1</f>
        <v>0</v>
      </c>
      <c r="AH2" s="316"/>
      <c r="AI2" s="316"/>
    </row>
    <row r="3" spans="1:35" s="322" customFormat="1" x14ac:dyDescent="0.4">
      <c r="A3" s="318" t="s">
        <v>759</v>
      </c>
      <c r="B3" s="1641" t="s">
        <v>2958</v>
      </c>
      <c r="C3" s="320" t="s">
        <v>328</v>
      </c>
      <c r="D3" s="320" t="s">
        <v>323</v>
      </c>
      <c r="E3" s="320" t="s">
        <v>198</v>
      </c>
      <c r="F3" s="320" t="s">
        <v>331</v>
      </c>
      <c r="G3" s="320" t="s">
        <v>56</v>
      </c>
      <c r="H3" s="320" t="s">
        <v>721</v>
      </c>
      <c r="I3" s="320" t="s">
        <v>747</v>
      </c>
      <c r="J3" s="320" t="s">
        <v>1748</v>
      </c>
      <c r="K3" s="320" t="s">
        <v>1376</v>
      </c>
      <c r="L3" s="320" t="s">
        <v>1510</v>
      </c>
      <c r="M3" s="320" t="s">
        <v>1587</v>
      </c>
      <c r="N3" s="321" t="s">
        <v>1739</v>
      </c>
      <c r="O3" s="321" t="s">
        <v>1810</v>
      </c>
      <c r="P3" s="321" t="s">
        <v>1818</v>
      </c>
      <c r="Q3" s="321" t="s">
        <v>2012</v>
      </c>
      <c r="R3" s="321" t="s">
        <v>2593</v>
      </c>
      <c r="S3" s="321" t="s">
        <v>2653</v>
      </c>
      <c r="T3" s="321" t="s">
        <v>2834</v>
      </c>
      <c r="U3" s="321" t="s">
        <v>2866</v>
      </c>
      <c r="V3" s="321" t="s">
        <v>2884</v>
      </c>
      <c r="W3" s="321" t="s">
        <v>3144</v>
      </c>
      <c r="X3" s="321" t="s">
        <v>2238</v>
      </c>
      <c r="Y3" s="321" t="s">
        <v>1808</v>
      </c>
      <c r="Z3" s="321" t="s">
        <v>2239</v>
      </c>
      <c r="AA3" s="321" t="s">
        <v>1988</v>
      </c>
      <c r="AB3" s="321" t="s">
        <v>1989</v>
      </c>
      <c r="AC3" s="321" t="s">
        <v>2240</v>
      </c>
      <c r="AD3" s="321" t="s">
        <v>2898</v>
      </c>
      <c r="AE3" s="321" t="s">
        <v>2899</v>
      </c>
      <c r="AF3" s="321" t="s">
        <v>2900</v>
      </c>
      <c r="AG3" s="321" t="s">
        <v>2922</v>
      </c>
    </row>
    <row r="4" spans="1:35" x14ac:dyDescent="0.4">
      <c r="A4" s="399" t="s">
        <v>262</v>
      </c>
      <c r="B4" s="1679" t="s">
        <v>2944</v>
      </c>
      <c r="C4" s="400">
        <f>'PL（org）'!D3</f>
        <v>7664.2520000000004</v>
      </c>
      <c r="D4" s="400">
        <f>'PL（org）'!E3</f>
        <v>10294.825999999999</v>
      </c>
      <c r="E4" s="400">
        <f>'PL（org）'!F3</f>
        <v>10168.321</v>
      </c>
      <c r="F4" s="400">
        <f>'PL（org）'!G3</f>
        <v>11021.405000000001</v>
      </c>
      <c r="G4" s="400">
        <f>'PL（org）'!H3</f>
        <v>11341.998</v>
      </c>
      <c r="H4" s="400">
        <f>'PL（org）'!I3</f>
        <v>11982.870999999999</v>
      </c>
      <c r="I4" s="400">
        <f>'PL（org）'!J3</f>
        <v>16379.311</v>
      </c>
      <c r="J4" s="400">
        <f>'PL（org）'!K3</f>
        <v>21910.66</v>
      </c>
      <c r="K4" s="400">
        <f>'PL（org）'!L3</f>
        <v>27285.62</v>
      </c>
      <c r="L4" s="400">
        <f>'PL（org）'!M3</f>
        <v>34439.574999999997</v>
      </c>
      <c r="M4" s="400">
        <f>'PL（org）'!N3</f>
        <v>38001.875999999997</v>
      </c>
      <c r="N4" s="400">
        <f>'PL（org）'!O3</f>
        <v>46207.508000000002</v>
      </c>
      <c r="O4" s="400">
        <f>'PL（org）'!P3</f>
        <v>50152.523999999998</v>
      </c>
      <c r="P4" s="400">
        <f>'PL（org）'!Q3</f>
        <v>55626.304000000004</v>
      </c>
      <c r="Q4" s="400">
        <f>'PL（org）'!R3</f>
        <v>61669.678</v>
      </c>
      <c r="R4" s="400">
        <f>'PL（org）'!S3</f>
        <v>62458.008999999998</v>
      </c>
      <c r="S4" s="400">
        <f>'PL（org）'!T3</f>
        <v>77309.614000000001</v>
      </c>
      <c r="T4" s="400">
        <f>'PL（org）'!U3</f>
        <v>101975.265</v>
      </c>
      <c r="U4" s="400">
        <f>'PL（org）'!V3</f>
        <v>113734.01300000001</v>
      </c>
      <c r="V4" s="400">
        <f>'PL（org）'!W3</f>
        <v>105322.671</v>
      </c>
      <c r="W4" s="400">
        <f>'PL（org）'!X3</f>
        <v>100448.5</v>
      </c>
      <c r="X4" s="400">
        <f t="shared" ref="X4:AC4" si="5">SUM(X6,X8,X10,X12,X14,X16)</f>
        <v>103560.45987128874</v>
      </c>
      <c r="Y4" s="400">
        <f t="shared" si="5"/>
        <v>114194.84012038677</v>
      </c>
      <c r="Z4" s="400">
        <f t="shared" si="5"/>
        <v>122886.6653509207</v>
      </c>
      <c r="AA4" s="400">
        <f t="shared" si="5"/>
        <v>134839.15722525609</v>
      </c>
      <c r="AB4" s="400">
        <f t="shared" si="5"/>
        <v>146102.03773024204</v>
      </c>
      <c r="AC4" s="400">
        <f t="shared" si="5"/>
        <v>156806.40735293049</v>
      </c>
      <c r="AD4" s="400">
        <f t="shared" ref="AD4:AF4" si="6">SUM(AD6,AD8,AD10,AD12,AD14,AD16)</f>
        <v>167060.11399279188</v>
      </c>
      <c r="AE4" s="400">
        <f t="shared" si="6"/>
        <v>176951.95428855688</v>
      </c>
      <c r="AF4" s="400">
        <f t="shared" si="6"/>
        <v>186555.162794465</v>
      </c>
      <c r="AG4" s="400">
        <f t="shared" ref="AG4" si="7">SUM(AG6,AG8,AG10,AG12,AG14,AG16)</f>
        <v>195930.31745728961</v>
      </c>
    </row>
    <row r="5" spans="1:35" s="401" customFormat="1" x14ac:dyDescent="0.4">
      <c r="A5" s="348" t="s">
        <v>1636</v>
      </c>
      <c r="B5" s="1701" t="s">
        <v>1636</v>
      </c>
      <c r="C5" s="349"/>
      <c r="D5" s="349">
        <f t="shared" ref="D5:AC5" si="8">D4/C4-1</f>
        <v>0.34322644923470658</v>
      </c>
      <c r="E5" s="349">
        <f t="shared" si="8"/>
        <v>-1.2288211573464158E-2</v>
      </c>
      <c r="F5" s="349">
        <f t="shared" si="8"/>
        <v>8.3896249931527667E-2</v>
      </c>
      <c r="G5" s="349">
        <f t="shared" si="8"/>
        <v>2.9088215159500885E-2</v>
      </c>
      <c r="H5" s="349">
        <f t="shared" si="8"/>
        <v>5.650441835733E-2</v>
      </c>
      <c r="I5" s="349">
        <f t="shared" si="8"/>
        <v>0.36689371019683015</v>
      </c>
      <c r="J5" s="349">
        <f t="shared" si="8"/>
        <v>0.33770339912344305</v>
      </c>
      <c r="K5" s="349">
        <f t="shared" si="8"/>
        <v>0.24531255562360976</v>
      </c>
      <c r="L5" s="349">
        <f t="shared" si="8"/>
        <v>0.26218773844977683</v>
      </c>
      <c r="M5" s="349">
        <f t="shared" si="8"/>
        <v>0.10343626482034107</v>
      </c>
      <c r="N5" s="349">
        <f t="shared" si="8"/>
        <v>0.21592702423427745</v>
      </c>
      <c r="O5" s="349">
        <f t="shared" si="8"/>
        <v>8.5376082172619938E-2</v>
      </c>
      <c r="P5" s="349">
        <f t="shared" si="8"/>
        <v>0.10914266249092486</v>
      </c>
      <c r="Q5" s="349">
        <f t="shared" si="8"/>
        <v>0.10864237897236517</v>
      </c>
      <c r="R5" s="349">
        <f t="shared" si="8"/>
        <v>1.2783121715018497E-2</v>
      </c>
      <c r="S5" s="349">
        <f t="shared" si="8"/>
        <v>0.23778543757294601</v>
      </c>
      <c r="T5" s="349">
        <f t="shared" si="8"/>
        <v>0.31905024128046988</v>
      </c>
      <c r="U5" s="349">
        <f t="shared" si="8"/>
        <v>0.11530980576515293</v>
      </c>
      <c r="V5" s="349">
        <f t="shared" si="8"/>
        <v>-7.395625792259708E-2</v>
      </c>
      <c r="W5" s="349">
        <f t="shared" si="8"/>
        <v>-4.6278459838907882E-2</v>
      </c>
      <c r="X5" s="349">
        <f t="shared" si="8"/>
        <v>3.098065049541554E-2</v>
      </c>
      <c r="Y5" s="349">
        <f t="shared" si="8"/>
        <v>0.10268764992271273</v>
      </c>
      <c r="Z5" s="349">
        <f t="shared" si="8"/>
        <v>7.6113992728312541E-2</v>
      </c>
      <c r="AA5" s="349">
        <f t="shared" si="8"/>
        <v>9.7264351996234177E-2</v>
      </c>
      <c r="AB5" s="349">
        <f t="shared" si="8"/>
        <v>8.3528262388726571E-2</v>
      </c>
      <c r="AC5" s="349">
        <f t="shared" si="8"/>
        <v>7.3266395109783833E-2</v>
      </c>
      <c r="AD5" s="349">
        <f t="shared" ref="AD5" si="9">AD4/AC4-1</f>
        <v>6.5390865162690437E-2</v>
      </c>
      <c r="AE5" s="349">
        <f t="shared" ref="AE5" si="10">AE4/AD4-1</f>
        <v>5.9211262696682976E-2</v>
      </c>
      <c r="AF5" s="349">
        <f t="shared" ref="AF5:AG5" si="11">AF4/AE4-1</f>
        <v>5.4270146631147709E-2</v>
      </c>
      <c r="AG5" s="349">
        <f t="shared" si="11"/>
        <v>5.0254061706957787E-2</v>
      </c>
    </row>
    <row r="6" spans="1:35" s="346" customFormat="1" x14ac:dyDescent="0.4">
      <c r="A6" s="365" t="s">
        <v>343</v>
      </c>
      <c r="B6" s="1681" t="s">
        <v>2923</v>
      </c>
      <c r="C6" s="402"/>
      <c r="D6" s="403">
        <v>7464.6279999999997</v>
      </c>
      <c r="E6" s="403">
        <v>5527.5870000000004</v>
      </c>
      <c r="F6" s="403">
        <v>6195.6409999999996</v>
      </c>
      <c r="G6" s="403">
        <f>HK!F11</f>
        <v>6188.1589999999997</v>
      </c>
      <c r="H6" s="403">
        <f>HK!G11</f>
        <v>6236.5550000000003</v>
      </c>
      <c r="I6" s="403">
        <f>HK!H11</f>
        <v>8707.6769999999997</v>
      </c>
      <c r="J6" s="403">
        <f>HK!I11</f>
        <v>11088.855</v>
      </c>
      <c r="K6" s="403">
        <f>HK!J11</f>
        <v>11134.089</v>
      </c>
      <c r="L6" s="403">
        <f>HK!K11</f>
        <v>15284.749</v>
      </c>
      <c r="M6" s="403">
        <f>HK!L11</f>
        <v>16272.249</v>
      </c>
      <c r="N6" s="403">
        <f>HK!M11</f>
        <v>17585.358</v>
      </c>
      <c r="O6" s="403">
        <f>HK!N11</f>
        <v>15013.237999999999</v>
      </c>
      <c r="P6" s="403">
        <f>HK!O11</f>
        <v>14875.26</v>
      </c>
      <c r="Q6" s="403">
        <f>HK!P11</f>
        <v>21421.171999999999</v>
      </c>
      <c r="R6" s="403">
        <f>HK!Q11</f>
        <v>22403.904999999999</v>
      </c>
      <c r="S6" s="403">
        <f>HK!R11</f>
        <v>23844.305</v>
      </c>
      <c r="T6" s="403">
        <f>HK!S11</f>
        <v>37214.275000000001</v>
      </c>
      <c r="U6" s="403">
        <f>HK!T11</f>
        <v>30821.983</v>
      </c>
      <c r="V6" s="403">
        <f>HK!U11</f>
        <v>41086.699000000001</v>
      </c>
      <c r="W6" s="403">
        <f>HK!V11</f>
        <v>39753.760000000002</v>
      </c>
      <c r="X6" s="403">
        <f>HK!W11</f>
        <v>36438.379338380881</v>
      </c>
      <c r="Y6" s="403">
        <f>HK!X11</f>
        <v>39911.762993783013</v>
      </c>
      <c r="Z6" s="403">
        <f>HK!Y11</f>
        <v>43329.763676910807</v>
      </c>
      <c r="AA6" s="403">
        <f>HK!Z11</f>
        <v>46627.142313474302</v>
      </c>
      <c r="AB6" s="403">
        <f>HK!AA11</f>
        <v>49857.614971217154</v>
      </c>
      <c r="AC6" s="403">
        <f>HK!AB11</f>
        <v>53065.33839622591</v>
      </c>
      <c r="AD6" s="403">
        <f>HK!AC11</f>
        <v>56286.941673448215</v>
      </c>
      <c r="AE6" s="403">
        <f>HK!AD11</f>
        <v>59553.14512467866</v>
      </c>
      <c r="AF6" s="403">
        <f>HK!AE11</f>
        <v>62890.051220513189</v>
      </c>
      <c r="AG6" s="403">
        <f>HK!AF11</f>
        <v>66320.17491697146</v>
      </c>
    </row>
    <row r="7" spans="1:35" s="312" customFormat="1" x14ac:dyDescent="0.4">
      <c r="A7" s="404" t="s">
        <v>1636</v>
      </c>
      <c r="B7" s="1682" t="s">
        <v>1636</v>
      </c>
      <c r="C7" s="381"/>
      <c r="D7" s="381"/>
      <c r="E7" s="381">
        <f t="shared" ref="E7:AC7" si="12">E6/D6-1</f>
        <v>-0.25949598560035403</v>
      </c>
      <c r="F7" s="381">
        <f t="shared" si="12"/>
        <v>0.12085816107462422</v>
      </c>
      <c r="G7" s="381">
        <f t="shared" si="12"/>
        <v>-1.2076232305906487E-3</v>
      </c>
      <c r="H7" s="381">
        <f t="shared" si="12"/>
        <v>7.8207428089680509E-3</v>
      </c>
      <c r="I7" s="381">
        <f t="shared" si="12"/>
        <v>0.3962318940504812</v>
      </c>
      <c r="J7" s="381">
        <f t="shared" si="12"/>
        <v>0.27345731818026775</v>
      </c>
      <c r="K7" s="381">
        <f t="shared" si="12"/>
        <v>4.079230903461184E-3</v>
      </c>
      <c r="L7" s="381">
        <f t="shared" si="12"/>
        <v>0.37278846971674118</v>
      </c>
      <c r="M7" s="381">
        <f t="shared" si="12"/>
        <v>6.4606883632829071E-2</v>
      </c>
      <c r="N7" s="381">
        <f t="shared" si="12"/>
        <v>8.0696220909598937E-2</v>
      </c>
      <c r="O7" s="381">
        <f t="shared" si="12"/>
        <v>-0.14626486421260232</v>
      </c>
      <c r="P7" s="381">
        <f t="shared" si="12"/>
        <v>-9.1904224791480305E-3</v>
      </c>
      <c r="Q7" s="381">
        <f t="shared" si="12"/>
        <v>0.44005361923085706</v>
      </c>
      <c r="R7" s="381">
        <f t="shared" si="12"/>
        <v>4.5876714868822388E-2</v>
      </c>
      <c r="S7" s="381">
        <f t="shared" si="12"/>
        <v>6.429236331791266E-2</v>
      </c>
      <c r="T7" s="381">
        <f t="shared" si="12"/>
        <v>0.56071963514977696</v>
      </c>
      <c r="U7" s="381">
        <f t="shared" si="12"/>
        <v>-0.1717698920642684</v>
      </c>
      <c r="V7" s="381">
        <f t="shared" si="12"/>
        <v>0.33303230359967428</v>
      </c>
      <c r="W7" s="381">
        <f>W6/V6-1</f>
        <v>-3.2442104925489379E-2</v>
      </c>
      <c r="X7" s="381">
        <f t="shared" si="12"/>
        <v>-8.3397914099675674E-2</v>
      </c>
      <c r="Y7" s="381">
        <f t="shared" si="12"/>
        <v>9.5322122401409581E-2</v>
      </c>
      <c r="Z7" s="381">
        <f t="shared" si="12"/>
        <v>8.5638930148492998E-2</v>
      </c>
      <c r="AA7" s="381">
        <f t="shared" si="12"/>
        <v>7.6099621986181587E-2</v>
      </c>
      <c r="AB7" s="381">
        <f t="shared" si="12"/>
        <v>6.9283093439962196E-2</v>
      </c>
      <c r="AC7" s="381">
        <f t="shared" si="12"/>
        <v>6.4337682956968179E-2</v>
      </c>
      <c r="AD7" s="381">
        <f t="shared" ref="AD7" si="13">AD6/AC6-1</f>
        <v>6.0710124058144688E-2</v>
      </c>
      <c r="AE7" s="381">
        <f t="shared" ref="AE7" si="14">AE6/AD6-1</f>
        <v>5.8027729951637852E-2</v>
      </c>
      <c r="AF7" s="381">
        <f t="shared" ref="AF7:AG7" si="15">AF6/AE6-1</f>
        <v>5.6032407505069326E-2</v>
      </c>
      <c r="AG7" s="381">
        <f t="shared" si="15"/>
        <v>5.4541594892825396E-2</v>
      </c>
    </row>
    <row r="8" spans="1:35" s="346" customFormat="1" x14ac:dyDescent="0.4">
      <c r="A8" s="370" t="s">
        <v>154</v>
      </c>
      <c r="B8" s="1685" t="s">
        <v>2924</v>
      </c>
      <c r="C8" s="405"/>
      <c r="D8" s="406">
        <v>1551.6</v>
      </c>
      <c r="E8" s="406">
        <v>1586.7819999999999</v>
      </c>
      <c r="F8" s="406">
        <v>2078.19</v>
      </c>
      <c r="G8" s="406">
        <f>+Macau!G11</f>
        <v>404.16</v>
      </c>
      <c r="H8" s="406">
        <f>+Macau!H11</f>
        <v>82.986000000000004</v>
      </c>
      <c r="I8" s="406">
        <f>+Macau!I11</f>
        <v>243.08600000000001</v>
      </c>
      <c r="J8" s="406">
        <f>+Macau!J11</f>
        <v>900.34799999999996</v>
      </c>
      <c r="K8" s="406">
        <f>+Macau!K11</f>
        <v>836.48699999999997</v>
      </c>
      <c r="L8" s="406">
        <f>+Macau!L11</f>
        <v>2255.8989999999999</v>
      </c>
      <c r="M8" s="406">
        <f>+Macau!M11</f>
        <v>5314.2269999999999</v>
      </c>
      <c r="N8" s="406">
        <f>+Macau!N11</f>
        <v>8715.9789999999994</v>
      </c>
      <c r="O8" s="406">
        <f>+Macau!O11</f>
        <v>8058.2439999999997</v>
      </c>
      <c r="P8" s="406">
        <f>+Macau!P11</f>
        <v>7024.51</v>
      </c>
      <c r="Q8" s="406">
        <f>+Macau!Q11</f>
        <v>4693.6480000000001</v>
      </c>
      <c r="R8" s="406">
        <f>+Macau!R11</f>
        <v>4502.4549999999999</v>
      </c>
      <c r="S8" s="406">
        <f>+Macau!S11</f>
        <v>8405.2999999999993</v>
      </c>
      <c r="T8" s="406">
        <f>+Macau!T11</f>
        <v>10541.7</v>
      </c>
      <c r="U8" s="406">
        <f>+Macau!U11</f>
        <v>10769.727000000001</v>
      </c>
      <c r="V8" s="406">
        <f>+Macau!V11</f>
        <v>8784.08</v>
      </c>
      <c r="W8" s="406">
        <f>+Macau!W11</f>
        <v>3388.36</v>
      </c>
      <c r="X8" s="406">
        <f>+Macau!X11</f>
        <v>4314.8879999999999</v>
      </c>
      <c r="Y8" s="406">
        <f>+Macau!Y11</f>
        <v>5024.5298400000011</v>
      </c>
      <c r="Z8" s="406">
        <f>+Macau!Z11</f>
        <v>6108.3162888000015</v>
      </c>
      <c r="AA8" s="406">
        <f>+Macau!AA11</f>
        <v>7171.0753121040016</v>
      </c>
      <c r="AB8" s="406">
        <f>+Macau!AB11</f>
        <v>8221.0112717488828</v>
      </c>
      <c r="AC8" s="406">
        <f>+Macau!AC11</f>
        <v>9265.7795304714055</v>
      </c>
      <c r="AD8" s="406">
        <f>+Macau!AD11</f>
        <v>10312.568050651344</v>
      </c>
      <c r="AE8" s="406">
        <f>+Macau!AE11</f>
        <v>11368.171289723397</v>
      </c>
      <c r="AF8" s="406">
        <f>+Macau!AF11</f>
        <v>12439.05731597615</v>
      </c>
      <c r="AG8" s="406">
        <f>+Macau!AG11</f>
        <v>13531.428971428437</v>
      </c>
    </row>
    <row r="9" spans="1:35" s="312" customFormat="1" x14ac:dyDescent="0.4">
      <c r="A9" s="404" t="s">
        <v>1636</v>
      </c>
      <c r="B9" s="1682" t="s">
        <v>1636</v>
      </c>
      <c r="C9" s="381"/>
      <c r="D9" s="381"/>
      <c r="E9" s="381">
        <f t="shared" ref="E9:AC9" si="16">E8/D8-1</f>
        <v>2.2674658417117799E-2</v>
      </c>
      <c r="F9" s="381">
        <f t="shared" si="16"/>
        <v>0.30968841340524422</v>
      </c>
      <c r="G9" s="381">
        <f t="shared" si="16"/>
        <v>-0.80552307536846968</v>
      </c>
      <c r="H9" s="381">
        <f t="shared" si="16"/>
        <v>-0.79467042755344419</v>
      </c>
      <c r="I9" s="381">
        <f t="shared" si="16"/>
        <v>1.9292410768081365</v>
      </c>
      <c r="J9" s="381">
        <f t="shared" si="16"/>
        <v>2.7038249837506063</v>
      </c>
      <c r="K9" s="381">
        <f t="shared" si="16"/>
        <v>-7.0929240693598516E-2</v>
      </c>
      <c r="L9" s="381">
        <f t="shared" si="16"/>
        <v>1.6968727547469356</v>
      </c>
      <c r="M9" s="381">
        <f t="shared" si="16"/>
        <v>1.3557025381012182</v>
      </c>
      <c r="N9" s="381">
        <f t="shared" si="16"/>
        <v>0.6401216959681999</v>
      </c>
      <c r="O9" s="381">
        <f t="shared" si="16"/>
        <v>-7.54631235343729E-2</v>
      </c>
      <c r="P9" s="381">
        <f t="shared" si="16"/>
        <v>-0.1282827871680231</v>
      </c>
      <c r="Q9" s="381">
        <f t="shared" si="16"/>
        <v>-0.33181844712300212</v>
      </c>
      <c r="R9" s="381">
        <f t="shared" si="16"/>
        <v>-4.0734413829072835E-2</v>
      </c>
      <c r="S9" s="381">
        <f t="shared" si="16"/>
        <v>0.86682598715589587</v>
      </c>
      <c r="T9" s="381">
        <f t="shared" si="16"/>
        <v>0.25417296229759812</v>
      </c>
      <c r="U9" s="381">
        <f t="shared" si="16"/>
        <v>2.1630951364580708E-2</v>
      </c>
      <c r="V9" s="381">
        <f t="shared" si="16"/>
        <v>-0.18437301149787744</v>
      </c>
      <c r="W9" s="381">
        <f>W8/V8-1</f>
        <v>-0.61426125445123447</v>
      </c>
      <c r="X9" s="381">
        <f t="shared" si="16"/>
        <v>0.2734443801721187</v>
      </c>
      <c r="Y9" s="381">
        <f t="shared" si="16"/>
        <v>0.16446355965670523</v>
      </c>
      <c r="Z9" s="381">
        <f t="shared" si="16"/>
        <v>0.21569907699065438</v>
      </c>
      <c r="AA9" s="381">
        <f t="shared" si="16"/>
        <v>0.17398559161918947</v>
      </c>
      <c r="AB9" s="381">
        <f t="shared" si="16"/>
        <v>0.14641262487826645</v>
      </c>
      <c r="AC9" s="381">
        <f t="shared" si="16"/>
        <v>0.12708512665744909</v>
      </c>
      <c r="AD9" s="381">
        <f t="shared" ref="AD9" si="17">AD8/AC8-1</f>
        <v>0.11297360537637169</v>
      </c>
      <c r="AE9" s="381">
        <f t="shared" ref="AE9" si="18">AE8/AD8-1</f>
        <v>0.10236085074904122</v>
      </c>
      <c r="AF9" s="381">
        <f t="shared" ref="AF9:AG9" si="19">AF8/AE8-1</f>
        <v>9.4200377436326255E-2</v>
      </c>
      <c r="AG9" s="381">
        <f t="shared" si="19"/>
        <v>8.7817881026184708E-2</v>
      </c>
    </row>
    <row r="10" spans="1:35" s="346" customFormat="1" x14ac:dyDescent="0.4">
      <c r="A10" s="370" t="s">
        <v>2241</v>
      </c>
      <c r="B10" s="1685" t="s">
        <v>2930</v>
      </c>
      <c r="C10" s="405"/>
      <c r="D10" s="406">
        <f>Overseas!D9</f>
        <v>1248.6480000000001</v>
      </c>
      <c r="E10" s="406">
        <f>Overseas!E9</f>
        <v>2416.8690000000001</v>
      </c>
      <c r="F10" s="406">
        <f>Overseas!F9</f>
        <v>1869.7489999999998</v>
      </c>
      <c r="G10" s="406">
        <f>Overseas!G9</f>
        <v>979.31399999999996</v>
      </c>
      <c r="H10" s="406">
        <f>Overseas!H9</f>
        <v>838.01700000000005</v>
      </c>
      <c r="I10" s="406">
        <f>Overseas!I9</f>
        <v>-118.8</v>
      </c>
      <c r="J10" s="406">
        <f>Overseas!J9</f>
        <v>58.076000000000001</v>
      </c>
      <c r="K10" s="406">
        <f>Overseas!K9</f>
        <v>16.029</v>
      </c>
      <c r="L10" s="406">
        <f>Overseas!L9</f>
        <v>0</v>
      </c>
      <c r="M10" s="406">
        <f>Overseas!M9</f>
        <v>0</v>
      </c>
      <c r="N10" s="406">
        <f>Overseas!N9</f>
        <v>0</v>
      </c>
      <c r="O10" s="406">
        <f>Overseas!O9</f>
        <v>0</v>
      </c>
      <c r="P10" s="406">
        <f>Overseas!P9</f>
        <v>0</v>
      </c>
      <c r="Q10" s="406">
        <f>Overseas!Q9</f>
        <v>0</v>
      </c>
      <c r="R10" s="406">
        <f>Overseas!R9</f>
        <v>0</v>
      </c>
      <c r="S10" s="406">
        <f>Overseas!S9</f>
        <v>0</v>
      </c>
      <c r="T10" s="406">
        <f>Overseas!T9</f>
        <v>0</v>
      </c>
      <c r="U10" s="406">
        <f>Overseas!U9</f>
        <v>0</v>
      </c>
      <c r="V10" s="406">
        <f>Overseas!V9</f>
        <v>0</v>
      </c>
      <c r="W10" s="406">
        <f>Overseas!W9</f>
        <v>0</v>
      </c>
      <c r="X10" s="406">
        <f>Overseas!X9</f>
        <v>0</v>
      </c>
      <c r="Y10" s="406">
        <f>Overseas!Y9</f>
        <v>0</v>
      </c>
      <c r="Z10" s="406">
        <f>Overseas!Z9</f>
        <v>0</v>
      </c>
      <c r="AA10" s="406">
        <f>Overseas!AA9</f>
        <v>0</v>
      </c>
      <c r="AB10" s="406">
        <f>Overseas!AB9</f>
        <v>0</v>
      </c>
      <c r="AC10" s="406">
        <f>Overseas!AC9</f>
        <v>0</v>
      </c>
      <c r="AD10" s="406">
        <f>Overseas!AD9</f>
        <v>0</v>
      </c>
      <c r="AE10" s="406">
        <f>Overseas!AE9</f>
        <v>0</v>
      </c>
      <c r="AF10" s="406">
        <f>Overseas!AF9</f>
        <v>0</v>
      </c>
      <c r="AG10" s="406">
        <f>Overseas!AG9</f>
        <v>0</v>
      </c>
    </row>
    <row r="11" spans="1:35" s="312" customFormat="1" x14ac:dyDescent="0.4">
      <c r="A11" s="404" t="s">
        <v>1636</v>
      </c>
      <c r="B11" s="1682" t="s">
        <v>1636</v>
      </c>
      <c r="C11" s="381"/>
      <c r="D11" s="381"/>
      <c r="E11" s="381">
        <f t="shared" ref="E11:AC11" si="20">IFERROR(E10/D10-1,"n.a.")</f>
        <v>0.93558873277336763</v>
      </c>
      <c r="F11" s="381">
        <f t="shared" si="20"/>
        <v>-0.22637552966255114</v>
      </c>
      <c r="G11" s="381">
        <f t="shared" si="20"/>
        <v>-0.476232371296896</v>
      </c>
      <c r="H11" s="381">
        <f t="shared" si="20"/>
        <v>-0.14428160937145784</v>
      </c>
      <c r="I11" s="381">
        <f t="shared" si="20"/>
        <v>-1.1417632339200756</v>
      </c>
      <c r="J11" s="381">
        <f t="shared" si="20"/>
        <v>-1.4888552188552189</v>
      </c>
      <c r="K11" s="381">
        <f t="shared" si="20"/>
        <v>-0.72399958674839859</v>
      </c>
      <c r="L11" s="381">
        <f t="shared" si="20"/>
        <v>-1</v>
      </c>
      <c r="M11" s="381" t="str">
        <f t="shared" si="20"/>
        <v>n.a.</v>
      </c>
      <c r="N11" s="381" t="str">
        <f t="shared" si="20"/>
        <v>n.a.</v>
      </c>
      <c r="O11" s="381" t="str">
        <f t="shared" si="20"/>
        <v>n.a.</v>
      </c>
      <c r="P11" s="381" t="str">
        <f t="shared" si="20"/>
        <v>n.a.</v>
      </c>
      <c r="Q11" s="381" t="str">
        <f t="shared" si="20"/>
        <v>n.a.</v>
      </c>
      <c r="R11" s="381" t="str">
        <f t="shared" si="20"/>
        <v>n.a.</v>
      </c>
      <c r="S11" s="381" t="str">
        <f t="shared" si="20"/>
        <v>n.a.</v>
      </c>
      <c r="T11" s="381" t="str">
        <f t="shared" si="20"/>
        <v>n.a.</v>
      </c>
      <c r="U11" s="381" t="str">
        <f t="shared" si="20"/>
        <v>n.a.</v>
      </c>
      <c r="V11" s="381" t="str">
        <f t="shared" si="20"/>
        <v>n.a.</v>
      </c>
      <c r="W11" s="381" t="str">
        <f t="shared" si="20"/>
        <v>n.a.</v>
      </c>
      <c r="X11" s="381" t="str">
        <f t="shared" si="20"/>
        <v>n.a.</v>
      </c>
      <c r="Y11" s="381" t="str">
        <f t="shared" si="20"/>
        <v>n.a.</v>
      </c>
      <c r="Z11" s="381" t="str">
        <f t="shared" si="20"/>
        <v>n.a.</v>
      </c>
      <c r="AA11" s="381" t="str">
        <f t="shared" si="20"/>
        <v>n.a.</v>
      </c>
      <c r="AB11" s="381" t="str">
        <f t="shared" si="20"/>
        <v>n.a.</v>
      </c>
      <c r="AC11" s="381" t="str">
        <f t="shared" si="20"/>
        <v>n.a.</v>
      </c>
      <c r="AD11" s="381" t="str">
        <f t="shared" ref="AD11" si="21">IFERROR(AD10/AC10-1,"n.a.")</f>
        <v>n.a.</v>
      </c>
      <c r="AE11" s="381" t="str">
        <f t="shared" ref="AE11" si="22">IFERROR(AE10/AD10-1,"n.a.")</f>
        <v>n.a.</v>
      </c>
      <c r="AF11" s="381" t="str">
        <f t="shared" ref="AF11:AG11" si="23">IFERROR(AF10/AE10-1,"n.a.")</f>
        <v>n.a.</v>
      </c>
      <c r="AG11" s="381" t="str">
        <f t="shared" si="23"/>
        <v>n.a.</v>
      </c>
    </row>
    <row r="12" spans="1:35" s="346" customFormat="1" x14ac:dyDescent="0.4">
      <c r="A12" s="370" t="s">
        <v>157</v>
      </c>
      <c r="B12" s="1685" t="s">
        <v>143</v>
      </c>
      <c r="C12" s="405"/>
      <c r="D12" s="406">
        <v>845.16200000000003</v>
      </c>
      <c r="E12" s="406">
        <v>766.40899999999999</v>
      </c>
      <c r="F12" s="406">
        <v>1052.143</v>
      </c>
      <c r="G12" s="406">
        <f>+'MainLand China'!G25</f>
        <v>2134.4789999999998</v>
      </c>
      <c r="H12" s="406">
        <f>+'MainLand China'!H25</f>
        <v>4825.3130000000001</v>
      </c>
      <c r="I12" s="406">
        <f>+'MainLand China'!I25</f>
        <v>7547.348</v>
      </c>
      <c r="J12" s="406">
        <f>+'MainLand China'!J25</f>
        <v>8809.9509999999991</v>
      </c>
      <c r="K12" s="406">
        <f>+'MainLand China'!K25</f>
        <v>13958.179</v>
      </c>
      <c r="L12" s="406">
        <f>+'MainLand China'!L25</f>
        <v>15516.909</v>
      </c>
      <c r="M12" s="406">
        <f>+'MainLand China'!M25</f>
        <v>14631.02</v>
      </c>
      <c r="N12" s="406">
        <f>+'MainLand China'!N25</f>
        <v>18264.588</v>
      </c>
      <c r="O12" s="406">
        <f>+'MainLand China'!O25</f>
        <v>24849.852999999999</v>
      </c>
      <c r="P12" s="406">
        <f>+'MainLand China'!P25</f>
        <v>30620.785</v>
      </c>
      <c r="Q12" s="406">
        <f>+'MainLand China'!Q25</f>
        <v>31935.556</v>
      </c>
      <c r="R12" s="406">
        <f>+'MainLand China'!R25</f>
        <v>32349.675999999999</v>
      </c>
      <c r="S12" s="406">
        <f>+'MainLand China'!S25</f>
        <v>40529.425000000003</v>
      </c>
      <c r="T12" s="406">
        <f>+'MainLand China'!T25</f>
        <v>48631.131999999998</v>
      </c>
      <c r="U12" s="406">
        <f>+'MainLand China'!U25</f>
        <v>66185.388999999996</v>
      </c>
      <c r="V12" s="406">
        <f>+'MainLand China'!V25</f>
        <v>60419.209000000003</v>
      </c>
      <c r="W12" s="406">
        <f>+'MainLand China'!W25</f>
        <v>53599.39</v>
      </c>
      <c r="X12" s="406">
        <f>+'MainLand China'!X25</f>
        <v>59371.387999999999</v>
      </c>
      <c r="Y12" s="406">
        <f>+'MainLand China'!Y25</f>
        <v>65495.256660000006</v>
      </c>
      <c r="Z12" s="406">
        <f>+'MainLand China'!Z25</f>
        <v>69397.877351799994</v>
      </c>
      <c r="AA12" s="406">
        <f>+'MainLand China'!AA25</f>
        <v>76719.996943650011</v>
      </c>
      <c r="AB12" s="406">
        <f>+'MainLand China'!AB25</f>
        <v>83428.732861825745</v>
      </c>
      <c r="AC12" s="406">
        <f>+'MainLand China'!AC25</f>
        <v>89601.718225967285</v>
      </c>
      <c r="AD12" s="406">
        <f>+'MainLand China'!AD25</f>
        <v>95301.464736031965</v>
      </c>
      <c r="AE12" s="406">
        <f>+'MainLand China'!AE25</f>
        <v>100577.84564781805</v>
      </c>
      <c r="AF12" s="406">
        <f>+'MainLand China'!AF25</f>
        <v>105470.20487105378</v>
      </c>
      <c r="AG12" s="406">
        <f>+'MainLand China'!AG25</f>
        <v>110009.15187180828</v>
      </c>
    </row>
    <row r="13" spans="1:35" s="312" customFormat="1" x14ac:dyDescent="0.4">
      <c r="A13" s="404" t="s">
        <v>1636</v>
      </c>
      <c r="B13" s="1682" t="s">
        <v>1636</v>
      </c>
      <c r="C13" s="381"/>
      <c r="D13" s="381"/>
      <c r="E13" s="381">
        <f t="shared" ref="E13:AC13" si="24">E12/D12-1</f>
        <v>-9.3180952290803476E-2</v>
      </c>
      <c r="F13" s="381">
        <f t="shared" si="24"/>
        <v>0.37282182229070915</v>
      </c>
      <c r="G13" s="381">
        <f t="shared" si="24"/>
        <v>1.0286966695591757</v>
      </c>
      <c r="H13" s="381">
        <f t="shared" si="24"/>
        <v>1.2606514282876526</v>
      </c>
      <c r="I13" s="381">
        <f t="shared" si="24"/>
        <v>0.56411573715528918</v>
      </c>
      <c r="J13" s="381">
        <f t="shared" si="24"/>
        <v>0.16729094776072317</v>
      </c>
      <c r="K13" s="381">
        <f t="shared" si="24"/>
        <v>0.58436511167882799</v>
      </c>
      <c r="L13" s="381">
        <f t="shared" si="24"/>
        <v>0.1116714436747086</v>
      </c>
      <c r="M13" s="381">
        <f t="shared" si="24"/>
        <v>-5.7091847351814717E-2</v>
      </c>
      <c r="N13" s="381">
        <f t="shared" si="24"/>
        <v>0.2483468685026744</v>
      </c>
      <c r="O13" s="381">
        <f t="shared" si="24"/>
        <v>0.3605482368395061</v>
      </c>
      <c r="P13" s="381">
        <f t="shared" si="24"/>
        <v>0.2322320377508873</v>
      </c>
      <c r="Q13" s="381">
        <f t="shared" si="24"/>
        <v>4.2937207520969745E-2</v>
      </c>
      <c r="R13" s="381">
        <f t="shared" si="24"/>
        <v>1.2967364651487401E-2</v>
      </c>
      <c r="S13" s="381">
        <f t="shared" si="24"/>
        <v>0.25285412441225086</v>
      </c>
      <c r="T13" s="381">
        <f t="shared" si="24"/>
        <v>0.19989691440231372</v>
      </c>
      <c r="U13" s="381">
        <f t="shared" si="24"/>
        <v>0.36096747655390793</v>
      </c>
      <c r="V13" s="381">
        <f t="shared" si="24"/>
        <v>-8.7121645534182668E-2</v>
      </c>
      <c r="W13" s="381">
        <f t="shared" si="24"/>
        <v>-0.11287501297807467</v>
      </c>
      <c r="X13" s="381">
        <f t="shared" si="24"/>
        <v>0.10768775540169395</v>
      </c>
      <c r="Y13" s="381">
        <f t="shared" si="24"/>
        <v>0.103145115286845</v>
      </c>
      <c r="Z13" s="381">
        <f t="shared" si="24"/>
        <v>5.958631038060247E-2</v>
      </c>
      <c r="AA13" s="381">
        <f t="shared" si="24"/>
        <v>0.10550927306799096</v>
      </c>
      <c r="AB13" s="381">
        <f t="shared" si="24"/>
        <v>8.7444423689214013E-2</v>
      </c>
      <c r="AC13" s="381">
        <f t="shared" si="24"/>
        <v>7.399111975445205E-2</v>
      </c>
      <c r="AD13" s="381">
        <f t="shared" ref="AD13" si="25">AD12/AC12-1</f>
        <v>6.3612022435668436E-2</v>
      </c>
      <c r="AE13" s="381">
        <f t="shared" ref="AE13" si="26">AE12/AD12-1</f>
        <v>5.5365160718156003E-2</v>
      </c>
      <c r="AF13" s="381">
        <f t="shared" ref="AF13:AG13" si="27">AF12/AE12-1</f>
        <v>4.8642513584619351E-2</v>
      </c>
      <c r="AG13" s="381">
        <f t="shared" si="27"/>
        <v>4.3035348289156561E-2</v>
      </c>
    </row>
    <row r="14" spans="1:35" s="346" customFormat="1" x14ac:dyDescent="0.4">
      <c r="A14" s="370" t="s">
        <v>2242</v>
      </c>
      <c r="B14" s="1685" t="s">
        <v>2992</v>
      </c>
      <c r="C14" s="405"/>
      <c r="D14" s="406"/>
      <c r="E14" s="406"/>
      <c r="F14" s="406"/>
      <c r="G14" s="406"/>
      <c r="H14" s="406"/>
      <c r="I14" s="406"/>
      <c r="J14" s="406">
        <f>CSCD!C11</f>
        <v>1053.43</v>
      </c>
      <c r="K14" s="406">
        <f>CSCD!D11</f>
        <v>1340.836</v>
      </c>
      <c r="L14" s="406">
        <f>CSCD!E11</f>
        <v>1382.018</v>
      </c>
      <c r="M14" s="406">
        <f>CSCD!F11</f>
        <v>1784.38</v>
      </c>
      <c r="N14" s="406">
        <f>CSCD!G11</f>
        <v>1641.5830000000001</v>
      </c>
      <c r="O14" s="406">
        <f>CSCD!H11</f>
        <v>2231.1889999999999</v>
      </c>
      <c r="P14" s="406">
        <f>CSCD!I11</f>
        <v>3105.7489999999998</v>
      </c>
      <c r="Q14" s="406">
        <f>CSCD!J11</f>
        <v>3619.3020000000001</v>
      </c>
      <c r="R14" s="406">
        <f>CSCD!K11</f>
        <v>3200.973</v>
      </c>
      <c r="S14" s="406">
        <f>CSCD!L11</f>
        <v>4530.5839999999998</v>
      </c>
      <c r="T14" s="406">
        <f>CSCD!M11</f>
        <v>5588.1580000000004</v>
      </c>
      <c r="U14" s="406">
        <f>CSCD!N11</f>
        <v>5956.9170000000004</v>
      </c>
      <c r="V14" s="406">
        <f>CSCD!O11</f>
        <v>4816.7560000000003</v>
      </c>
      <c r="W14" s="406">
        <f>CSCD!P11</f>
        <v>3706.99</v>
      </c>
      <c r="X14" s="406">
        <f>CSCD!Q11</f>
        <v>3435.8045329078577</v>
      </c>
      <c r="Y14" s="406">
        <f>CSCD!R11</f>
        <v>3763.2906266037448</v>
      </c>
      <c r="Z14" s="406">
        <f>CSCD!S11</f>
        <v>4050.7080334098951</v>
      </c>
      <c r="AA14" s="406">
        <f>CSCD!T11</f>
        <v>4320.9426560277725</v>
      </c>
      <c r="AB14" s="406">
        <f>CSCD!U11</f>
        <v>4594.6786254502667</v>
      </c>
      <c r="AC14" s="406">
        <f>CSCD!V11</f>
        <v>4873.571200265862</v>
      </c>
      <c r="AD14" s="406">
        <f>CSCD!W11</f>
        <v>5159.1395326603797</v>
      </c>
      <c r="AE14" s="406">
        <f>CSCD!X11</f>
        <v>5452.79222633679</v>
      </c>
      <c r="AF14" s="406">
        <f>CSCD!Y11</f>
        <v>5755.8493869218837</v>
      </c>
      <c r="AG14" s="406">
        <f>CSCD!Z11</f>
        <v>6069.5616970814299</v>
      </c>
    </row>
    <row r="15" spans="1:35" s="312" customFormat="1" x14ac:dyDescent="0.4">
      <c r="A15" s="404" t="s">
        <v>1636</v>
      </c>
      <c r="B15" s="1682" t="s">
        <v>1636</v>
      </c>
      <c r="C15" s="381"/>
      <c r="D15" s="381"/>
      <c r="E15" s="381"/>
      <c r="F15" s="381"/>
      <c r="G15" s="381"/>
      <c r="H15" s="381"/>
      <c r="I15" s="381"/>
      <c r="J15" s="381"/>
      <c r="K15" s="381">
        <f t="shared" ref="K15:AC15" si="28">K14/J14-1</f>
        <v>0.2728287593860057</v>
      </c>
      <c r="L15" s="381">
        <f t="shared" si="28"/>
        <v>3.0713674155526949E-2</v>
      </c>
      <c r="M15" s="381">
        <f t="shared" si="28"/>
        <v>0.29114092580559747</v>
      </c>
      <c r="N15" s="381">
        <f t="shared" si="28"/>
        <v>-8.0026115513511686E-2</v>
      </c>
      <c r="O15" s="381">
        <f t="shared" si="28"/>
        <v>0.35916916780936425</v>
      </c>
      <c r="P15" s="381">
        <f t="shared" si="28"/>
        <v>0.39197037991850991</v>
      </c>
      <c r="Q15" s="381">
        <f t="shared" si="28"/>
        <v>0.16535560343092781</v>
      </c>
      <c r="R15" s="381">
        <f t="shared" si="28"/>
        <v>-0.11558278364170771</v>
      </c>
      <c r="S15" s="381">
        <f t="shared" si="28"/>
        <v>0.41537713688931466</v>
      </c>
      <c r="T15" s="381">
        <f t="shared" si="28"/>
        <v>0.23342995075248596</v>
      </c>
      <c r="U15" s="381">
        <f t="shared" si="28"/>
        <v>6.5989365368695818E-2</v>
      </c>
      <c r="V15" s="381">
        <f t="shared" si="28"/>
        <v>-0.19140118957507712</v>
      </c>
      <c r="W15" s="381">
        <f t="shared" si="28"/>
        <v>-0.23039697256825975</v>
      </c>
      <c r="X15" s="381">
        <f t="shared" si="28"/>
        <v>-7.3155165536497813E-2</v>
      </c>
      <c r="Y15" s="381">
        <f t="shared" si="28"/>
        <v>9.5315694056298028E-2</v>
      </c>
      <c r="Z15" s="381">
        <f t="shared" si="28"/>
        <v>7.6373959739999053E-2</v>
      </c>
      <c r="AA15" s="381">
        <f t="shared" si="28"/>
        <v>6.6712935217499103E-2</v>
      </c>
      <c r="AB15" s="381">
        <f t="shared" si="28"/>
        <v>6.3350984082287898E-2</v>
      </c>
      <c r="AC15" s="381">
        <f t="shared" si="28"/>
        <v>6.0699038507457059E-2</v>
      </c>
      <c r="AD15" s="381">
        <f t="shared" ref="AD15" si="29">AD14/AC14-1</f>
        <v>5.8595292991500569E-2</v>
      </c>
      <c r="AE15" s="381">
        <f t="shared" ref="AE15" si="30">AE14/AD14-1</f>
        <v>5.6918928402191149E-2</v>
      </c>
      <c r="AF15" s="381">
        <f t="shared" ref="AF15:AG15" si="31">AF14/AE14-1</f>
        <v>5.5578343719267176E-2</v>
      </c>
      <c r="AG15" s="381">
        <f t="shared" si="31"/>
        <v>5.4503217348311095E-2</v>
      </c>
    </row>
    <row r="16" spans="1:35" s="346" customFormat="1" x14ac:dyDescent="0.4">
      <c r="A16" s="370" t="s">
        <v>352</v>
      </c>
      <c r="B16" s="1685" t="s">
        <v>351</v>
      </c>
      <c r="C16" s="407"/>
      <c r="D16" s="406">
        <v>-15.492000000000001</v>
      </c>
      <c r="E16" s="406">
        <v>-64.765000000000001</v>
      </c>
      <c r="F16" s="406">
        <v>-174.31800000000001</v>
      </c>
      <c r="G16" s="406">
        <f t="shared" ref="G16:T16" si="32">G4-G6-G8-G10-G12-G14</f>
        <v>1635.8860000000004</v>
      </c>
      <c r="H16" s="406">
        <f t="shared" si="32"/>
        <v>-9.0949470177292824E-13</v>
      </c>
      <c r="I16" s="406">
        <f t="shared" si="32"/>
        <v>0</v>
      </c>
      <c r="J16" s="406">
        <f t="shared" si="32"/>
        <v>2.0463630789890885E-12</v>
      </c>
      <c r="K16" s="406">
        <f t="shared" si="32"/>
        <v>0</v>
      </c>
      <c r="L16" s="406">
        <f t="shared" si="32"/>
        <v>-3.637978807091713E-12</v>
      </c>
      <c r="M16" s="406">
        <f t="shared" si="32"/>
        <v>-2.7284841053187847E-12</v>
      </c>
      <c r="N16" s="406">
        <f t="shared" si="32"/>
        <v>2.2737367544323206E-12</v>
      </c>
      <c r="O16" s="406">
        <f t="shared" si="32"/>
        <v>0</v>
      </c>
      <c r="P16" s="406">
        <f t="shared" si="32"/>
        <v>0</v>
      </c>
      <c r="Q16" s="406">
        <f t="shared" si="32"/>
        <v>0</v>
      </c>
      <c r="R16" s="406">
        <f t="shared" si="32"/>
        <v>0.99999999999818101</v>
      </c>
      <c r="S16" s="406">
        <f t="shared" si="32"/>
        <v>0</v>
      </c>
      <c r="T16" s="406">
        <f t="shared" si="32"/>
        <v>0</v>
      </c>
      <c r="U16" s="406">
        <f t="shared" ref="U16:V16" si="33">U4-U6-U8-U10-U12-U14</f>
        <v>-2.9999999960637069E-3</v>
      </c>
      <c r="V16" s="406">
        <f t="shared" si="33"/>
        <v>-9784.073000000004</v>
      </c>
      <c r="W16" s="406">
        <f>W4-W6-W8-W10-W12-W14</f>
        <v>0</v>
      </c>
      <c r="X16" s="407"/>
      <c r="Y16" s="407"/>
      <c r="Z16" s="407"/>
      <c r="AA16" s="407"/>
      <c r="AB16" s="407"/>
      <c r="AC16" s="407"/>
      <c r="AD16" s="407"/>
      <c r="AE16" s="407"/>
      <c r="AF16" s="407"/>
      <c r="AG16" s="407"/>
    </row>
    <row r="17" spans="1:33" s="312" customFormat="1" x14ac:dyDescent="0.4">
      <c r="A17" s="408" t="s">
        <v>354</v>
      </c>
      <c r="B17" s="1686" t="s">
        <v>353</v>
      </c>
      <c r="C17" s="410"/>
      <c r="D17" s="411">
        <f t="shared" ref="D17:T17" si="34">-D16/SUM(D6,D8,D10,D12,D14)</f>
        <v>1.3944146725690767E-3</v>
      </c>
      <c r="E17" s="411">
        <f t="shared" si="34"/>
        <v>6.2893008470770069E-3</v>
      </c>
      <c r="F17" s="411">
        <f t="shared" si="34"/>
        <v>1.5570052956830033E-2</v>
      </c>
      <c r="G17" s="411">
        <f t="shared" si="34"/>
        <v>-0.16854184250089022</v>
      </c>
      <c r="H17" s="411">
        <f t="shared" si="34"/>
        <v>7.5899565452463624E-17</v>
      </c>
      <c r="I17" s="411">
        <f t="shared" si="34"/>
        <v>0</v>
      </c>
      <c r="J17" s="411">
        <f t="shared" si="34"/>
        <v>-9.3395775343558288E-17</v>
      </c>
      <c r="K17" s="411">
        <f t="shared" si="34"/>
        <v>0</v>
      </c>
      <c r="L17" s="411">
        <f t="shared" si="34"/>
        <v>1.0563367309531878E-16</v>
      </c>
      <c r="M17" s="411">
        <f t="shared" si="34"/>
        <v>7.179866871095482E-17</v>
      </c>
      <c r="N17" s="411">
        <f t="shared" si="34"/>
        <v>-4.9207084580980226E-17</v>
      </c>
      <c r="O17" s="411">
        <f t="shared" si="34"/>
        <v>0</v>
      </c>
      <c r="P17" s="411">
        <f t="shared" si="34"/>
        <v>0</v>
      </c>
      <c r="Q17" s="411">
        <f t="shared" si="34"/>
        <v>0</v>
      </c>
      <c r="R17" s="411">
        <f t="shared" si="34"/>
        <v>-1.601101327151579E-5</v>
      </c>
      <c r="S17" s="411">
        <f t="shared" si="34"/>
        <v>0</v>
      </c>
      <c r="T17" s="411">
        <f t="shared" si="34"/>
        <v>0</v>
      </c>
      <c r="U17" s="411">
        <f t="shared" ref="U17:W17" si="35">-U16/SUM(U6,U8,U10,U12,U14)</f>
        <v>2.6377332847049972E-8</v>
      </c>
      <c r="V17" s="411">
        <f t="shared" si="35"/>
        <v>8.4999997914978836E-2</v>
      </c>
      <c r="W17" s="411">
        <f t="shared" si="35"/>
        <v>0</v>
      </c>
      <c r="X17" s="411"/>
      <c r="Y17" s="411"/>
      <c r="Z17" s="411"/>
      <c r="AA17" s="411"/>
      <c r="AB17" s="411"/>
      <c r="AC17" s="411"/>
      <c r="AD17" s="411"/>
      <c r="AE17" s="411"/>
      <c r="AF17" s="411"/>
      <c r="AG17" s="411"/>
    </row>
    <row r="18" spans="1:33" x14ac:dyDescent="0.4">
      <c r="C18" s="412"/>
      <c r="D18" s="412"/>
      <c r="E18" s="412"/>
      <c r="N18" s="325"/>
      <c r="O18" s="325"/>
    </row>
    <row r="19" spans="1:33" x14ac:dyDescent="0.4">
      <c r="A19" s="337" t="s">
        <v>356</v>
      </c>
      <c r="B19" s="1679" t="s">
        <v>355</v>
      </c>
      <c r="C19" s="400">
        <f>-'PL（org）'!D4</f>
        <v>7299.7979999999998</v>
      </c>
      <c r="D19" s="400">
        <f>-'PL（org）'!E4</f>
        <v>9835.7759999999998</v>
      </c>
      <c r="E19" s="400">
        <f>-'PL（org）'!F4</f>
        <v>9402.2049999999999</v>
      </c>
      <c r="F19" s="400">
        <f>-'PL（org）'!G4</f>
        <v>10112.012000000001</v>
      </c>
      <c r="G19" s="400">
        <f>-'PL（org）'!H4</f>
        <v>10349.096</v>
      </c>
      <c r="H19" s="400">
        <f>-'PL（org）'!I4</f>
        <v>10667.017</v>
      </c>
      <c r="I19" s="400">
        <f>-'PL（org）'!J4</f>
        <v>14581.127</v>
      </c>
      <c r="J19" s="400">
        <f>-'PL（org）'!K4</f>
        <v>19192.442999999999</v>
      </c>
      <c r="K19" s="400">
        <f>-'PL（org）'!L4</f>
        <v>23539.674999999999</v>
      </c>
      <c r="L19" s="400">
        <f>-'PL（org）'!M4</f>
        <v>29696.483</v>
      </c>
      <c r="M19" s="400">
        <f>-'PL（org）'!N4</f>
        <v>32888.760999999999</v>
      </c>
      <c r="N19" s="400">
        <f>-'PL（org）'!O4</f>
        <v>40224.629999999997</v>
      </c>
      <c r="O19" s="400">
        <f>-'PL（org）'!P4</f>
        <v>42537.493999999999</v>
      </c>
      <c r="P19" s="400">
        <f>-'PL（org）'!Q4</f>
        <v>46929.883000000002</v>
      </c>
      <c r="Q19" s="400">
        <f>-'PL（org）'!R4</f>
        <v>52433.974999999999</v>
      </c>
      <c r="R19" s="400">
        <f>-'PL（org）'!S4</f>
        <v>53173.85</v>
      </c>
      <c r="S19" s="400">
        <f>-'PL（org）'!T4</f>
        <v>65326.870999999999</v>
      </c>
      <c r="T19" s="400">
        <f>-'PL（org）'!U4</f>
        <v>87956.732000000004</v>
      </c>
      <c r="U19" s="400">
        <f>-'PL（org）'!V4</f>
        <v>97395.103000000003</v>
      </c>
      <c r="V19" s="400">
        <f>-'PL（org）'!W4</f>
        <v>88993.099000000002</v>
      </c>
      <c r="W19" s="400">
        <f>-'PL（org）'!X4</f>
        <v>84466.8</v>
      </c>
      <c r="X19" s="400">
        <f t="shared" ref="X19:AC19" si="36">SUM(X22,X25,X28,X31,X34,X37)</f>
        <v>86487.429737971892</v>
      </c>
      <c r="Y19" s="400">
        <f t="shared" si="36"/>
        <v>95642.559061195643</v>
      </c>
      <c r="Z19" s="400">
        <f t="shared" si="36"/>
        <v>103348.91497192133</v>
      </c>
      <c r="AA19" s="400">
        <f t="shared" si="36"/>
        <v>113213.50925588337</v>
      </c>
      <c r="AB19" s="400">
        <f t="shared" si="36"/>
        <v>122534.76892606683</v>
      </c>
      <c r="AC19" s="400">
        <f t="shared" si="36"/>
        <v>131422.24658215075</v>
      </c>
      <c r="AD19" s="400">
        <f t="shared" ref="AD19:AF19" si="37">SUM(AD22,AD25,AD28,AD31,AD34,AD37)</f>
        <v>139966.14279319844</v>
      </c>
      <c r="AE19" s="400">
        <f t="shared" si="37"/>
        <v>148240.85191821714</v>
      </c>
      <c r="AF19" s="400">
        <f t="shared" si="37"/>
        <v>156307.89682209192</v>
      </c>
      <c r="AG19" s="400">
        <f t="shared" ref="AG19" si="38">SUM(AG22,AG25,AG28,AG31,AG34,AG37)</f>
        <v>164218.36426738783</v>
      </c>
    </row>
    <row r="20" spans="1:33" x14ac:dyDescent="0.4">
      <c r="A20" s="413" t="s">
        <v>1636</v>
      </c>
      <c r="B20" s="1702" t="s">
        <v>1636</v>
      </c>
      <c r="C20" s="349"/>
      <c r="D20" s="349"/>
      <c r="E20" s="349">
        <f t="shared" ref="E20:AC20" si="39">E19/D19-1</f>
        <v>-4.4081016078446722E-2</v>
      </c>
      <c r="F20" s="349">
        <f t="shared" si="39"/>
        <v>7.5493674090280072E-2</v>
      </c>
      <c r="G20" s="349">
        <f t="shared" si="39"/>
        <v>2.3445779138711265E-2</v>
      </c>
      <c r="H20" s="349">
        <f t="shared" si="39"/>
        <v>3.0719687980476751E-2</v>
      </c>
      <c r="I20" s="349">
        <f t="shared" si="39"/>
        <v>0.36693576095360125</v>
      </c>
      <c r="J20" s="349">
        <f t="shared" si="39"/>
        <v>0.31625237198743261</v>
      </c>
      <c r="K20" s="349">
        <f t="shared" si="39"/>
        <v>0.22650748526386133</v>
      </c>
      <c r="L20" s="349">
        <f t="shared" si="39"/>
        <v>0.26155025504812635</v>
      </c>
      <c r="M20" s="349">
        <f t="shared" si="39"/>
        <v>0.10749683725173775</v>
      </c>
      <c r="N20" s="349">
        <f t="shared" si="39"/>
        <v>0.22305093828253364</v>
      </c>
      <c r="O20" s="349">
        <f t="shared" si="39"/>
        <v>5.749870166611859E-2</v>
      </c>
      <c r="P20" s="349">
        <f t="shared" si="39"/>
        <v>0.10325923290168437</v>
      </c>
      <c r="Q20" s="349">
        <f t="shared" si="39"/>
        <v>0.11728330965581124</v>
      </c>
      <c r="R20" s="349">
        <f t="shared" si="39"/>
        <v>1.4110602905844871E-2</v>
      </c>
      <c r="S20" s="349">
        <f t="shared" si="39"/>
        <v>0.22855258740903661</v>
      </c>
      <c r="T20" s="349">
        <f t="shared" si="39"/>
        <v>0.34640968798275984</v>
      </c>
      <c r="U20" s="349">
        <f t="shared" si="39"/>
        <v>0.10730697679854684</v>
      </c>
      <c r="V20" s="349">
        <f t="shared" si="39"/>
        <v>-8.626721201783627E-2</v>
      </c>
      <c r="W20" s="349">
        <f t="shared" si="39"/>
        <v>-5.0861235880773181E-2</v>
      </c>
      <c r="X20" s="349">
        <f t="shared" si="39"/>
        <v>2.392217697334198E-2</v>
      </c>
      <c r="Y20" s="349">
        <f t="shared" si="39"/>
        <v>0.10585502830828419</v>
      </c>
      <c r="Z20" s="349">
        <f t="shared" si="39"/>
        <v>8.0574547422919585E-2</v>
      </c>
      <c r="AA20" s="349">
        <f t="shared" si="39"/>
        <v>9.544942282792368E-2</v>
      </c>
      <c r="AB20" s="349">
        <f t="shared" si="39"/>
        <v>8.233345765403044E-2</v>
      </c>
      <c r="AC20" s="349">
        <f t="shared" si="39"/>
        <v>7.2530251894842301E-2</v>
      </c>
      <c r="AD20" s="349">
        <f t="shared" ref="AD20" si="40">AD19/AC19-1</f>
        <v>6.5011034533692724E-2</v>
      </c>
      <c r="AE20" s="349">
        <f t="shared" ref="AE20" si="41">AE19/AD19-1</f>
        <v>5.9119362439277179E-2</v>
      </c>
      <c r="AF20" s="349">
        <f t="shared" ref="AF20:AG20" si="42">AF19/AE19-1</f>
        <v>5.4418500699964012E-2</v>
      </c>
      <c r="AG20" s="349">
        <f t="shared" si="42"/>
        <v>5.0608239290043766E-2</v>
      </c>
    </row>
    <row r="21" spans="1:33" x14ac:dyDescent="0.4">
      <c r="A21" s="348" t="s">
        <v>354</v>
      </c>
      <c r="B21" s="1702" t="s">
        <v>2966</v>
      </c>
      <c r="C21" s="349"/>
      <c r="D21" s="349">
        <f t="shared" ref="D21:AC21" si="43">D19/D4</f>
        <v>0.95540963975496052</v>
      </c>
      <c r="E21" s="349">
        <f t="shared" si="43"/>
        <v>0.92465658784768889</v>
      </c>
      <c r="F21" s="349">
        <f t="shared" si="43"/>
        <v>0.91748846902913017</v>
      </c>
      <c r="G21" s="349">
        <f t="shared" si="43"/>
        <v>0.91245792848843743</v>
      </c>
      <c r="H21" s="349">
        <f t="shared" si="43"/>
        <v>0.89018875359669658</v>
      </c>
      <c r="I21" s="349">
        <f t="shared" si="43"/>
        <v>0.89021613912819653</v>
      </c>
      <c r="J21" s="349">
        <f t="shared" si="43"/>
        <v>0.87594088904670142</v>
      </c>
      <c r="K21" s="349">
        <f t="shared" si="43"/>
        <v>0.86271358319876923</v>
      </c>
      <c r="L21" s="349">
        <f t="shared" si="43"/>
        <v>0.86227785911992239</v>
      </c>
      <c r="M21" s="349">
        <f t="shared" si="43"/>
        <v>0.86545098457770875</v>
      </c>
      <c r="N21" s="349">
        <f t="shared" si="43"/>
        <v>0.87052151784510856</v>
      </c>
      <c r="O21" s="349">
        <f t="shared" si="43"/>
        <v>0.84816257702204578</v>
      </c>
      <c r="P21" s="349">
        <f t="shared" si="43"/>
        <v>0.84366351213986823</v>
      </c>
      <c r="Q21" s="349">
        <f t="shared" si="43"/>
        <v>0.85023915642951786</v>
      </c>
      <c r="R21" s="349">
        <f t="shared" si="43"/>
        <v>0.85135358701555797</v>
      </c>
      <c r="S21" s="349">
        <f t="shared" si="43"/>
        <v>0.84500319714440686</v>
      </c>
      <c r="T21" s="349">
        <f t="shared" si="43"/>
        <v>0.86253006550166855</v>
      </c>
      <c r="U21" s="349">
        <f t="shared" ref="U21" si="44">U19/U4</f>
        <v>0.85634104021283408</v>
      </c>
      <c r="V21" s="349">
        <f t="shared" si="43"/>
        <v>0.84495672351492113</v>
      </c>
      <c r="W21" s="349">
        <f t="shared" ref="W21" si="45">W19/W4</f>
        <v>0.84089657884388525</v>
      </c>
      <c r="X21" s="349">
        <f t="shared" si="43"/>
        <v>0.83513949093566942</v>
      </c>
      <c r="Y21" s="349">
        <f t="shared" si="43"/>
        <v>0.83753835952979228</v>
      </c>
      <c r="Z21" s="349">
        <f t="shared" si="43"/>
        <v>0.84101000443614871</v>
      </c>
      <c r="AA21" s="349">
        <f t="shared" si="43"/>
        <v>0.83961893255350217</v>
      </c>
      <c r="AB21" s="349">
        <f t="shared" si="43"/>
        <v>0.83869308621356098</v>
      </c>
      <c r="AC21" s="349">
        <f t="shared" si="43"/>
        <v>0.83811783460068323</v>
      </c>
      <c r="AD21" s="349">
        <f t="shared" ref="AD21:AF21" si="46">AD19/AD4</f>
        <v>0.83781903081448594</v>
      </c>
      <c r="AE21" s="349">
        <f t="shared" si="46"/>
        <v>0.8377463391926131</v>
      </c>
      <c r="AF21" s="349">
        <f t="shared" si="46"/>
        <v>0.83786422461168952</v>
      </c>
      <c r="AG21" s="349">
        <f t="shared" ref="AG21" si="47">AG19/AG4</f>
        <v>0.83814677788793668</v>
      </c>
    </row>
    <row r="22" spans="1:33" s="346" customFormat="1" x14ac:dyDescent="0.4">
      <c r="A22" s="365" t="s">
        <v>343</v>
      </c>
      <c r="B22" s="1681" t="s">
        <v>2923</v>
      </c>
      <c r="C22" s="414"/>
      <c r="D22" s="415">
        <f>D6-D43</f>
        <v>7116.2519999999995</v>
      </c>
      <c r="E22" s="415">
        <f>E6-E43</f>
        <v>5348.1900000000005</v>
      </c>
      <c r="F22" s="415">
        <f>F6-F43</f>
        <v>5967.6409999999996</v>
      </c>
      <c r="G22" s="415">
        <f>HK!F17</f>
        <v>5874.3279999999995</v>
      </c>
      <c r="H22" s="415">
        <f>HK!G17</f>
        <v>5841.3710000000001</v>
      </c>
      <c r="I22" s="415">
        <f>HK!H17</f>
        <v>8070.2879999999996</v>
      </c>
      <c r="J22" s="415">
        <f>HK!I17</f>
        <v>10305.803</v>
      </c>
      <c r="K22" s="415">
        <f>HK!J17</f>
        <v>10325.168</v>
      </c>
      <c r="L22" s="415">
        <f>HK!K17</f>
        <v>14273.919</v>
      </c>
      <c r="M22" s="415">
        <f>HK!L17</f>
        <v>15231.348</v>
      </c>
      <c r="N22" s="415">
        <f>HK!M17</f>
        <v>16691.221000000001</v>
      </c>
      <c r="O22" s="415">
        <f>HK!N17</f>
        <v>14066.984999999999</v>
      </c>
      <c r="P22" s="415">
        <f>HK!O17</f>
        <v>13669.011</v>
      </c>
      <c r="Q22" s="415">
        <f>HK!P17</f>
        <v>20114.081999999999</v>
      </c>
      <c r="R22" s="415">
        <f>HK!Q17</f>
        <v>21232.406999999999</v>
      </c>
      <c r="S22" s="415">
        <f>HK!R17</f>
        <v>22815.300999999999</v>
      </c>
      <c r="T22" s="415">
        <f>HK!S17</f>
        <v>35513.498</v>
      </c>
      <c r="U22" s="415">
        <f>HK!T17</f>
        <v>29278.483</v>
      </c>
      <c r="V22" s="415">
        <f>HK!U17</f>
        <v>39570.21</v>
      </c>
      <c r="W22" s="415">
        <f>HK!V17</f>
        <v>38289.53</v>
      </c>
      <c r="X22" s="415">
        <f>HK!W17</f>
        <v>34980.844164845643</v>
      </c>
      <c r="Y22" s="415">
        <f>HK!X17</f>
        <v>38315.292474031696</v>
      </c>
      <c r="Z22" s="415">
        <f>HK!Y17</f>
        <v>41596.573129834374</v>
      </c>
      <c r="AA22" s="415">
        <f>HK!Z17</f>
        <v>44762.056620935327</v>
      </c>
      <c r="AB22" s="415">
        <f>HK!AA17</f>
        <v>47863.310372368469</v>
      </c>
      <c r="AC22" s="415">
        <f>HK!AB17</f>
        <v>50942.724860376875</v>
      </c>
      <c r="AD22" s="415">
        <f>HK!AC17</f>
        <v>54035.464006510287</v>
      </c>
      <c r="AE22" s="415">
        <f>HK!AD17</f>
        <v>57171.019319691513</v>
      </c>
      <c r="AF22" s="415">
        <f>HK!AE17</f>
        <v>60374.449171692664</v>
      </c>
      <c r="AG22" s="415">
        <f>HK!AF17</f>
        <v>63667.3679202926</v>
      </c>
    </row>
    <row r="23" spans="1:33" s="360" customFormat="1" x14ac:dyDescent="0.4">
      <c r="A23" s="416" t="s">
        <v>1636</v>
      </c>
      <c r="B23" s="1703" t="s">
        <v>1636</v>
      </c>
      <c r="C23" s="381"/>
      <c r="D23" s="381"/>
      <c r="E23" s="381">
        <f t="shared" ref="E23:AC23" si="48">E22/D22-1</f>
        <v>-0.24845410196266227</v>
      </c>
      <c r="F23" s="381">
        <f t="shared" si="48"/>
        <v>0.11582441910253727</v>
      </c>
      <c r="G23" s="381">
        <f t="shared" si="48"/>
        <v>-1.5636496900534036E-2</v>
      </c>
      <c r="H23" s="381">
        <f t="shared" si="48"/>
        <v>-5.6103438555012985E-3</v>
      </c>
      <c r="I23" s="381">
        <f t="shared" si="48"/>
        <v>0.38157429137782883</v>
      </c>
      <c r="J23" s="381">
        <f t="shared" si="48"/>
        <v>0.27700560376531791</v>
      </c>
      <c r="K23" s="381">
        <f t="shared" si="48"/>
        <v>1.8790384407696425E-3</v>
      </c>
      <c r="L23" s="381">
        <f t="shared" si="48"/>
        <v>0.38243939469072075</v>
      </c>
      <c r="M23" s="381">
        <f t="shared" si="48"/>
        <v>6.707541215555457E-2</v>
      </c>
      <c r="N23" s="381">
        <f t="shared" si="48"/>
        <v>9.5846605303746113E-2</v>
      </c>
      <c r="O23" s="381">
        <f t="shared" si="48"/>
        <v>-0.15722253033495881</v>
      </c>
      <c r="P23" s="381">
        <f t="shared" si="48"/>
        <v>-2.8291350278684346E-2</v>
      </c>
      <c r="Q23" s="381">
        <f t="shared" si="48"/>
        <v>0.47150967981516723</v>
      </c>
      <c r="R23" s="381">
        <f t="shared" si="48"/>
        <v>5.5599107133002645E-2</v>
      </c>
      <c r="S23" s="381">
        <f t="shared" si="48"/>
        <v>7.4550850499427668E-2</v>
      </c>
      <c r="T23" s="381">
        <f t="shared" si="48"/>
        <v>0.5565649561230861</v>
      </c>
      <c r="U23" s="381">
        <f t="shared" si="48"/>
        <v>-0.1755674701489558</v>
      </c>
      <c r="V23" s="381">
        <f t="shared" si="48"/>
        <v>0.35151162032541095</v>
      </c>
      <c r="W23" s="381">
        <f t="shared" si="48"/>
        <v>-3.2364751160026684E-2</v>
      </c>
      <c r="X23" s="381">
        <f t="shared" si="48"/>
        <v>-8.6412286469809252E-2</v>
      </c>
      <c r="Y23" s="381">
        <f t="shared" si="48"/>
        <v>9.5322122401409581E-2</v>
      </c>
      <c r="Z23" s="381">
        <f t="shared" si="48"/>
        <v>8.5638930148492998E-2</v>
      </c>
      <c r="AA23" s="381">
        <f t="shared" si="48"/>
        <v>7.6099621986181587E-2</v>
      </c>
      <c r="AB23" s="381">
        <f t="shared" si="48"/>
        <v>6.9283093439962196E-2</v>
      </c>
      <c r="AC23" s="381">
        <f t="shared" si="48"/>
        <v>6.4337682956968179E-2</v>
      </c>
      <c r="AD23" s="381">
        <f t="shared" ref="AD23" si="49">AD22/AC22-1</f>
        <v>6.0710124058144688E-2</v>
      </c>
      <c r="AE23" s="381">
        <f t="shared" ref="AE23" si="50">AE22/AD22-1</f>
        <v>5.8027729951637852E-2</v>
      </c>
      <c r="AF23" s="381">
        <f t="shared" ref="AF23:AG23" si="51">AF22/AE22-1</f>
        <v>5.6032407505069326E-2</v>
      </c>
      <c r="AG23" s="381">
        <f t="shared" si="51"/>
        <v>5.4541594892825396E-2</v>
      </c>
    </row>
    <row r="24" spans="1:33" s="312" customFormat="1" x14ac:dyDescent="0.4">
      <c r="A24" s="404" t="s">
        <v>354</v>
      </c>
      <c r="B24" s="1682" t="s">
        <v>2966</v>
      </c>
      <c r="C24" s="381"/>
      <c r="D24" s="381">
        <f t="shared" ref="D24:AC24" si="52">D22/D6</f>
        <v>0.95332975735696401</v>
      </c>
      <c r="E24" s="381">
        <f t="shared" si="52"/>
        <v>0.96754515125677809</v>
      </c>
      <c r="F24" s="381">
        <f t="shared" si="52"/>
        <v>0.96319993363075751</v>
      </c>
      <c r="G24" s="381">
        <f t="shared" si="52"/>
        <v>0.9492852397619389</v>
      </c>
      <c r="H24" s="381">
        <f t="shared" si="52"/>
        <v>0.93663424759342295</v>
      </c>
      <c r="I24" s="381">
        <f t="shared" si="52"/>
        <v>0.92680148792841077</v>
      </c>
      <c r="J24" s="381">
        <f t="shared" si="52"/>
        <v>0.92938387236554187</v>
      </c>
      <c r="K24" s="381">
        <f t="shared" si="52"/>
        <v>0.92734735639350463</v>
      </c>
      <c r="L24" s="381">
        <f t="shared" si="52"/>
        <v>0.93386675829612908</v>
      </c>
      <c r="M24" s="381">
        <f t="shared" si="52"/>
        <v>0.93603213667637464</v>
      </c>
      <c r="N24" s="381">
        <f t="shared" si="52"/>
        <v>0.94915446134221437</v>
      </c>
      <c r="O24" s="381">
        <f t="shared" si="52"/>
        <v>0.93697209089737998</v>
      </c>
      <c r="P24" s="381">
        <f t="shared" si="52"/>
        <v>0.91890904764017567</v>
      </c>
      <c r="Q24" s="381">
        <f t="shared" si="52"/>
        <v>0.93898139653609991</v>
      </c>
      <c r="R24" s="381">
        <f t="shared" si="52"/>
        <v>0.94771009786017213</v>
      </c>
      <c r="S24" s="381">
        <f t="shared" si="52"/>
        <v>0.95684487344042946</v>
      </c>
      <c r="T24" s="381">
        <f t="shared" si="52"/>
        <v>0.95429772580548722</v>
      </c>
      <c r="U24" s="381">
        <f t="shared" ref="U24" si="53">U22/U6</f>
        <v>0.94992210592031023</v>
      </c>
      <c r="V24" s="381">
        <f t="shared" si="52"/>
        <v>0.96309051257683176</v>
      </c>
      <c r="W24" s="381">
        <f t="shared" ref="W24" si="54">W22/W6</f>
        <v>0.96316750918655236</v>
      </c>
      <c r="X24" s="381">
        <f t="shared" si="52"/>
        <v>0.96</v>
      </c>
      <c r="Y24" s="381">
        <f t="shared" si="52"/>
        <v>0.96000000000000008</v>
      </c>
      <c r="Z24" s="381">
        <f t="shared" si="52"/>
        <v>0.96</v>
      </c>
      <c r="AA24" s="381">
        <f t="shared" si="52"/>
        <v>0.96</v>
      </c>
      <c r="AB24" s="381">
        <f t="shared" si="52"/>
        <v>0.96000000000000008</v>
      </c>
      <c r="AC24" s="381">
        <f t="shared" si="52"/>
        <v>0.96</v>
      </c>
      <c r="AD24" s="381">
        <f t="shared" ref="AD24:AF24" si="55">AD22/AD6</f>
        <v>0.96</v>
      </c>
      <c r="AE24" s="381">
        <f t="shared" si="55"/>
        <v>0.96</v>
      </c>
      <c r="AF24" s="381">
        <f t="shared" si="55"/>
        <v>0.96000000000000008</v>
      </c>
      <c r="AG24" s="381">
        <f t="shared" ref="AG24" si="56">AG22/AG6</f>
        <v>0.96</v>
      </c>
    </row>
    <row r="25" spans="1:33" s="346" customFormat="1" x14ac:dyDescent="0.4">
      <c r="A25" s="370" t="s">
        <v>359</v>
      </c>
      <c r="B25" s="1685" t="s">
        <v>2924</v>
      </c>
      <c r="C25" s="417"/>
      <c r="D25" s="418">
        <f t="shared" ref="D25:AC25" si="57">D8-D46</f>
        <v>1442.4279999999999</v>
      </c>
      <c r="E25" s="418">
        <f t="shared" si="57"/>
        <v>1312.712</v>
      </c>
      <c r="F25" s="418">
        <f t="shared" si="57"/>
        <v>1796.19</v>
      </c>
      <c r="G25" s="418">
        <f t="shared" si="57"/>
        <v>314.19300000000004</v>
      </c>
      <c r="H25" s="418">
        <f t="shared" si="57"/>
        <v>57.195000000000007</v>
      </c>
      <c r="I25" s="418">
        <f t="shared" si="57"/>
        <v>171.89800000000002</v>
      </c>
      <c r="J25" s="418">
        <f t="shared" si="57"/>
        <v>834.32999999999993</v>
      </c>
      <c r="K25" s="418">
        <f t="shared" si="57"/>
        <v>712.76599999999996</v>
      </c>
      <c r="L25" s="418">
        <f t="shared" si="57"/>
        <v>2159.5650000000001</v>
      </c>
      <c r="M25" s="418">
        <f t="shared" si="57"/>
        <v>5045.6219999999994</v>
      </c>
      <c r="N25" s="418">
        <f t="shared" si="57"/>
        <v>7794.5589999999993</v>
      </c>
      <c r="O25" s="418">
        <f t="shared" si="57"/>
        <v>7192.107</v>
      </c>
      <c r="P25" s="418">
        <f t="shared" si="57"/>
        <v>6271.9400000000005</v>
      </c>
      <c r="Q25" s="418">
        <f t="shared" si="57"/>
        <v>4206.482</v>
      </c>
      <c r="R25" s="418">
        <f t="shared" si="57"/>
        <v>3965.8249999999998</v>
      </c>
      <c r="S25" s="418">
        <f t="shared" si="57"/>
        <v>7551.9439999999995</v>
      </c>
      <c r="T25" s="418">
        <f t="shared" si="57"/>
        <v>9971.7130000000016</v>
      </c>
      <c r="U25" s="418">
        <f t="shared" ref="U25" si="58">U8-U46</f>
        <v>9804.8350000000009</v>
      </c>
      <c r="V25" s="418">
        <f t="shared" si="57"/>
        <v>7589.0940000000001</v>
      </c>
      <c r="W25" s="418">
        <f t="shared" ref="W25" si="59">W8-W46</f>
        <v>2618.0810000000001</v>
      </c>
      <c r="X25" s="418">
        <f t="shared" si="57"/>
        <v>3333.9805362854004</v>
      </c>
      <c r="Y25" s="418">
        <f t="shared" si="57"/>
        <v>3882.298843109068</v>
      </c>
      <c r="Z25" s="418">
        <f t="shared" si="57"/>
        <v>4719.7071201695799</v>
      </c>
      <c r="AA25" s="418">
        <f t="shared" si="57"/>
        <v>5540.8681557415848</v>
      </c>
      <c r="AB25" s="418">
        <f t="shared" si="57"/>
        <v>6352.1212065281097</v>
      </c>
      <c r="AC25" s="418">
        <f t="shared" si="57"/>
        <v>7159.381334603202</v>
      </c>
      <c r="AD25" s="418">
        <f t="shared" ref="AD25:AF25" si="60">AD8-AD46</f>
        <v>7968.2024562376255</v>
      </c>
      <c r="AE25" s="418">
        <f t="shared" si="60"/>
        <v>8783.8344385987093</v>
      </c>
      <c r="AF25" s="418">
        <f t="shared" si="60"/>
        <v>9611.2749580529089</v>
      </c>
      <c r="AG25" s="418">
        <f t="shared" ref="AG25" si="61">AG8-AG46</f>
        <v>10455.316758829149</v>
      </c>
    </row>
    <row r="26" spans="1:33" s="360" customFormat="1" x14ac:dyDescent="0.4">
      <c r="A26" s="416" t="s">
        <v>1636</v>
      </c>
      <c r="B26" s="1703" t="s">
        <v>1636</v>
      </c>
      <c r="C26" s="381"/>
      <c r="D26" s="381"/>
      <c r="E26" s="381">
        <f t="shared" ref="E26:AC26" si="62">E25/D25-1</f>
        <v>-8.9928925395236337E-2</v>
      </c>
      <c r="F26" s="381">
        <f t="shared" si="62"/>
        <v>0.36830470049790054</v>
      </c>
      <c r="G26" s="381">
        <f t="shared" si="62"/>
        <v>-0.82507808194010657</v>
      </c>
      <c r="H26" s="381">
        <f t="shared" si="62"/>
        <v>-0.81796220794225205</v>
      </c>
      <c r="I26" s="381">
        <f t="shared" si="62"/>
        <v>2.0054725063379668</v>
      </c>
      <c r="J26" s="381">
        <f t="shared" si="62"/>
        <v>3.8536341318688976</v>
      </c>
      <c r="K26" s="381">
        <f t="shared" si="62"/>
        <v>-0.14570253976244407</v>
      </c>
      <c r="L26" s="381">
        <f t="shared" si="62"/>
        <v>2.0298372818007597</v>
      </c>
      <c r="M26" s="381">
        <f t="shared" si="62"/>
        <v>1.3364066374478192</v>
      </c>
      <c r="N26" s="381">
        <f t="shared" si="62"/>
        <v>0.54481627834982493</v>
      </c>
      <c r="O26" s="381">
        <f t="shared" si="62"/>
        <v>-7.7291351569729549E-2</v>
      </c>
      <c r="P26" s="381">
        <f t="shared" si="62"/>
        <v>-0.12794122779319039</v>
      </c>
      <c r="Q26" s="381">
        <f t="shared" si="62"/>
        <v>-0.32931724474405055</v>
      </c>
      <c r="R26" s="381">
        <f t="shared" si="62"/>
        <v>-5.7210990086252633E-2</v>
      </c>
      <c r="S26" s="381">
        <f t="shared" si="62"/>
        <v>0.90425548278101031</v>
      </c>
      <c r="T26" s="381">
        <f t="shared" si="62"/>
        <v>0.3204167033018257</v>
      </c>
      <c r="U26" s="381">
        <f t="shared" si="62"/>
        <v>-1.673513868680343E-2</v>
      </c>
      <c r="V26" s="381">
        <f t="shared" si="62"/>
        <v>-0.22598452702161742</v>
      </c>
      <c r="W26" s="381">
        <f t="shared" si="62"/>
        <v>-0.65502061247363652</v>
      </c>
      <c r="X26" s="381">
        <f t="shared" si="62"/>
        <v>0.27344438017211847</v>
      </c>
      <c r="Y26" s="381">
        <f t="shared" si="62"/>
        <v>0.16446355965670501</v>
      </c>
      <c r="Z26" s="381">
        <f t="shared" si="62"/>
        <v>0.2156990769906546</v>
      </c>
      <c r="AA26" s="381">
        <f t="shared" si="62"/>
        <v>0.17398559161918947</v>
      </c>
      <c r="AB26" s="381">
        <f t="shared" si="62"/>
        <v>0.14641262487826645</v>
      </c>
      <c r="AC26" s="381">
        <f t="shared" si="62"/>
        <v>0.12708512665744887</v>
      </c>
      <c r="AD26" s="381">
        <f t="shared" ref="AD26" si="63">AD25/AC25-1</f>
        <v>0.11297360537637169</v>
      </c>
      <c r="AE26" s="381">
        <f t="shared" ref="AE26" si="64">AE25/AD25-1</f>
        <v>0.10236085074904122</v>
      </c>
      <c r="AF26" s="381">
        <f t="shared" ref="AF26:AG26" si="65">AF25/AE25-1</f>
        <v>9.4200377436326255E-2</v>
      </c>
      <c r="AG26" s="381">
        <f t="shared" si="65"/>
        <v>8.781788102618493E-2</v>
      </c>
    </row>
    <row r="27" spans="1:33" s="312" customFormat="1" x14ac:dyDescent="0.4">
      <c r="A27" s="404" t="s">
        <v>354</v>
      </c>
      <c r="B27" s="1682" t="s">
        <v>2966</v>
      </c>
      <c r="C27" s="381"/>
      <c r="D27" s="381">
        <f t="shared" ref="D27:AC27" si="66">D25/D8</f>
        <v>0.9296390822376901</v>
      </c>
      <c r="E27" s="381">
        <f t="shared" si="66"/>
        <v>0.82727936162623472</v>
      </c>
      <c r="F27" s="381">
        <f t="shared" si="66"/>
        <v>0.8643049961745557</v>
      </c>
      <c r="G27" s="381">
        <f t="shared" si="66"/>
        <v>0.77739756532066517</v>
      </c>
      <c r="H27" s="381">
        <f t="shared" si="66"/>
        <v>0.68921263827633583</v>
      </c>
      <c r="I27" s="381">
        <f t="shared" si="66"/>
        <v>0.70714891026221183</v>
      </c>
      <c r="J27" s="381">
        <f t="shared" si="66"/>
        <v>0.92667501899265614</v>
      </c>
      <c r="K27" s="381">
        <f t="shared" si="66"/>
        <v>0.85209453344762076</v>
      </c>
      <c r="L27" s="381">
        <f t="shared" si="66"/>
        <v>0.95729684706629159</v>
      </c>
      <c r="M27" s="381">
        <f t="shared" si="66"/>
        <v>0.94945548995178408</v>
      </c>
      <c r="N27" s="381">
        <f t="shared" si="66"/>
        <v>0.89428382055532718</v>
      </c>
      <c r="O27" s="381">
        <f t="shared" si="66"/>
        <v>0.89251541651009825</v>
      </c>
      <c r="P27" s="381">
        <f t="shared" si="66"/>
        <v>0.89286512511192961</v>
      </c>
      <c r="Q27" s="381">
        <f t="shared" si="66"/>
        <v>0.89620738495941743</v>
      </c>
      <c r="R27" s="381">
        <f t="shared" si="66"/>
        <v>0.88081391152160315</v>
      </c>
      <c r="S27" s="381">
        <f t="shared" si="66"/>
        <v>0.8984740580348114</v>
      </c>
      <c r="T27" s="381">
        <f t="shared" si="66"/>
        <v>0.94593025792803831</v>
      </c>
      <c r="U27" s="381">
        <f t="shared" ref="U27" si="67">U25/U8</f>
        <v>0.91040701403108926</v>
      </c>
      <c r="V27" s="381">
        <f t="shared" si="66"/>
        <v>0.86396002768645097</v>
      </c>
      <c r="W27" s="381">
        <f t="shared" ref="W27" si="68">W25/W8</f>
        <v>0.77266907884640357</v>
      </c>
      <c r="X27" s="381">
        <f t="shared" si="66"/>
        <v>0.77266907884640357</v>
      </c>
      <c r="Y27" s="381">
        <f t="shared" si="66"/>
        <v>0.77266907884640346</v>
      </c>
      <c r="Z27" s="381">
        <f t="shared" si="66"/>
        <v>0.77266907884640357</v>
      </c>
      <c r="AA27" s="381">
        <f t="shared" si="66"/>
        <v>0.77266907884640357</v>
      </c>
      <c r="AB27" s="381">
        <f t="shared" si="66"/>
        <v>0.77266907884640357</v>
      </c>
      <c r="AC27" s="381">
        <f t="shared" si="66"/>
        <v>0.77266907884640346</v>
      </c>
      <c r="AD27" s="381">
        <f t="shared" ref="AD27:AF27" si="69">AD25/AD8</f>
        <v>0.77266907884640357</v>
      </c>
      <c r="AE27" s="381">
        <f t="shared" si="69"/>
        <v>0.77266907884640357</v>
      </c>
      <c r="AF27" s="381">
        <f t="shared" si="69"/>
        <v>0.77266907884640357</v>
      </c>
      <c r="AG27" s="381">
        <f t="shared" ref="AG27" si="70">AG25/AG8</f>
        <v>0.77266907884640357</v>
      </c>
    </row>
    <row r="28" spans="1:33" s="346" customFormat="1" x14ac:dyDescent="0.4">
      <c r="A28" s="370" t="s">
        <v>2241</v>
      </c>
      <c r="B28" s="1685" t="s">
        <v>2930</v>
      </c>
      <c r="C28" s="417"/>
      <c r="D28" s="418">
        <f>Overseas!D11</f>
        <v>1233.7240000000002</v>
      </c>
      <c r="E28" s="418">
        <f>Overseas!E11</f>
        <v>2338.5630000000001</v>
      </c>
      <c r="F28" s="418">
        <f>Overseas!F11</f>
        <v>1808.3559999999998</v>
      </c>
      <c r="G28" s="418">
        <f>Overseas!G11</f>
        <v>998.346</v>
      </c>
      <c r="H28" s="418">
        <f>Overseas!H11</f>
        <v>863.05700000000002</v>
      </c>
      <c r="I28" s="418">
        <f>Overseas!I11</f>
        <v>1.5010000000000048</v>
      </c>
      <c r="J28" s="418">
        <f>Overseas!J11</f>
        <v>71.858999999999995</v>
      </c>
      <c r="K28" s="418">
        <f>Overseas!K11</f>
        <v>4.9339999999999993</v>
      </c>
      <c r="L28" s="418">
        <f>Overseas!L11</f>
        <v>27.954000000000001</v>
      </c>
      <c r="M28" s="418">
        <f t="shared" ref="M28:AC28" si="71">+M10-M49</f>
        <v>16.219000000000001</v>
      </c>
      <c r="N28" s="418">
        <f t="shared" si="71"/>
        <v>19.11</v>
      </c>
      <c r="O28" s="418">
        <f t="shared" si="71"/>
        <v>-3.855</v>
      </c>
      <c r="P28" s="418">
        <f t="shared" si="71"/>
        <v>0</v>
      </c>
      <c r="Q28" s="418">
        <f t="shared" si="71"/>
        <v>0</v>
      </c>
      <c r="R28" s="418">
        <f t="shared" si="71"/>
        <v>0</v>
      </c>
      <c r="S28" s="418">
        <f t="shared" si="71"/>
        <v>0</v>
      </c>
      <c r="T28" s="418">
        <f t="shared" si="71"/>
        <v>0</v>
      </c>
      <c r="U28" s="418">
        <f t="shared" ref="U28" si="72">+U10-U49</f>
        <v>0</v>
      </c>
      <c r="V28" s="418">
        <f t="shared" si="71"/>
        <v>0</v>
      </c>
      <c r="W28" s="418">
        <f t="shared" ref="W28" si="73">+W10-W49</f>
        <v>0</v>
      </c>
      <c r="X28" s="418">
        <f t="shared" si="71"/>
        <v>0</v>
      </c>
      <c r="Y28" s="418">
        <f t="shared" si="71"/>
        <v>0</v>
      </c>
      <c r="Z28" s="418">
        <f t="shared" si="71"/>
        <v>0</v>
      </c>
      <c r="AA28" s="418">
        <f t="shared" si="71"/>
        <v>0</v>
      </c>
      <c r="AB28" s="418">
        <f t="shared" si="71"/>
        <v>0</v>
      </c>
      <c r="AC28" s="418">
        <f t="shared" si="71"/>
        <v>0</v>
      </c>
      <c r="AD28" s="418">
        <f t="shared" ref="AD28:AF28" si="74">+AD10-AD49</f>
        <v>0</v>
      </c>
      <c r="AE28" s="418">
        <f t="shared" si="74"/>
        <v>0</v>
      </c>
      <c r="AF28" s="418">
        <f t="shared" si="74"/>
        <v>0</v>
      </c>
      <c r="AG28" s="418">
        <f t="shared" ref="AG28" si="75">+AG10-AG49</f>
        <v>0</v>
      </c>
    </row>
    <row r="29" spans="1:33" s="360" customFormat="1" x14ac:dyDescent="0.4">
      <c r="A29" s="416" t="s">
        <v>1636</v>
      </c>
      <c r="B29" s="1703" t="s">
        <v>1636</v>
      </c>
      <c r="C29" s="381"/>
      <c r="D29" s="381"/>
      <c r="E29" s="381">
        <f t="shared" ref="E29:AC29" si="76">IFERROR(E28/D28-1,"n.a.")</f>
        <v>0.89553173967597277</v>
      </c>
      <c r="F29" s="381">
        <f t="shared" si="76"/>
        <v>-0.22672341946742525</v>
      </c>
      <c r="G29" s="381">
        <f t="shared" si="76"/>
        <v>-0.44792618267641982</v>
      </c>
      <c r="H29" s="381">
        <f t="shared" si="76"/>
        <v>-0.13551313873146187</v>
      </c>
      <c r="I29" s="381">
        <f t="shared" si="76"/>
        <v>-0.99826083329374538</v>
      </c>
      <c r="J29" s="381">
        <f t="shared" si="76"/>
        <v>46.874083944037153</v>
      </c>
      <c r="K29" s="381">
        <f t="shared" si="76"/>
        <v>-0.93133775866627699</v>
      </c>
      <c r="L29" s="381">
        <f t="shared" si="76"/>
        <v>4.6655857316578846</v>
      </c>
      <c r="M29" s="381">
        <f t="shared" si="76"/>
        <v>-0.41979680904342842</v>
      </c>
      <c r="N29" s="381">
        <f t="shared" si="76"/>
        <v>0.17824773413897277</v>
      </c>
      <c r="O29" s="381">
        <f t="shared" si="76"/>
        <v>-1.2017268445839875</v>
      </c>
      <c r="P29" s="381">
        <f t="shared" si="76"/>
        <v>-1</v>
      </c>
      <c r="Q29" s="381" t="str">
        <f t="shared" si="76"/>
        <v>n.a.</v>
      </c>
      <c r="R29" s="381" t="str">
        <f t="shared" si="76"/>
        <v>n.a.</v>
      </c>
      <c r="S29" s="381" t="str">
        <f t="shared" si="76"/>
        <v>n.a.</v>
      </c>
      <c r="T29" s="381" t="str">
        <f t="shared" si="76"/>
        <v>n.a.</v>
      </c>
      <c r="U29" s="381" t="str">
        <f t="shared" si="76"/>
        <v>n.a.</v>
      </c>
      <c r="V29" s="381" t="str">
        <f t="shared" si="76"/>
        <v>n.a.</v>
      </c>
      <c r="W29" s="381" t="str">
        <f t="shared" si="76"/>
        <v>n.a.</v>
      </c>
      <c r="X29" s="381" t="str">
        <f t="shared" si="76"/>
        <v>n.a.</v>
      </c>
      <c r="Y29" s="381" t="str">
        <f t="shared" si="76"/>
        <v>n.a.</v>
      </c>
      <c r="Z29" s="381" t="str">
        <f t="shared" si="76"/>
        <v>n.a.</v>
      </c>
      <c r="AA29" s="381" t="str">
        <f t="shared" si="76"/>
        <v>n.a.</v>
      </c>
      <c r="AB29" s="381" t="str">
        <f t="shared" si="76"/>
        <v>n.a.</v>
      </c>
      <c r="AC29" s="381" t="str">
        <f t="shared" si="76"/>
        <v>n.a.</v>
      </c>
      <c r="AD29" s="381" t="str">
        <f t="shared" ref="AD29" si="77">IFERROR(AD28/AC28-1,"n.a.")</f>
        <v>n.a.</v>
      </c>
      <c r="AE29" s="381" t="str">
        <f t="shared" ref="AE29" si="78">IFERROR(AE28/AD28-1,"n.a.")</f>
        <v>n.a.</v>
      </c>
      <c r="AF29" s="381" t="str">
        <f t="shared" ref="AF29:AG29" si="79">IFERROR(AF28/AE28-1,"n.a.")</f>
        <v>n.a.</v>
      </c>
      <c r="AG29" s="381" t="str">
        <f t="shared" si="79"/>
        <v>n.a.</v>
      </c>
    </row>
    <row r="30" spans="1:33" s="312" customFormat="1" x14ac:dyDescent="0.4">
      <c r="A30" s="404" t="s">
        <v>354</v>
      </c>
      <c r="B30" s="1682" t="s">
        <v>2966</v>
      </c>
      <c r="C30" s="381"/>
      <c r="D30" s="381">
        <f t="shared" ref="D30:AC30" si="80">IFERROR(D28/D10,"n.a.")</f>
        <v>0.98804787257898141</v>
      </c>
      <c r="E30" s="381">
        <f t="shared" si="80"/>
        <v>0.96760022988420136</v>
      </c>
      <c r="F30" s="381">
        <f t="shared" si="80"/>
        <v>0.96716511146683326</v>
      </c>
      <c r="G30" s="381">
        <f t="shared" si="80"/>
        <v>1.0194340119716454</v>
      </c>
      <c r="H30" s="381">
        <f t="shared" si="80"/>
        <v>1.0298800620989788</v>
      </c>
      <c r="I30" s="381">
        <f t="shared" si="80"/>
        <v>-1.2634680134680176E-2</v>
      </c>
      <c r="J30" s="381">
        <f t="shared" si="80"/>
        <v>1.2373269508919347</v>
      </c>
      <c r="K30" s="381">
        <f t="shared" si="80"/>
        <v>0.30781708153970921</v>
      </c>
      <c r="L30" s="381" t="str">
        <f t="shared" si="80"/>
        <v>n.a.</v>
      </c>
      <c r="M30" s="381" t="str">
        <f t="shared" si="80"/>
        <v>n.a.</v>
      </c>
      <c r="N30" s="381" t="str">
        <f t="shared" si="80"/>
        <v>n.a.</v>
      </c>
      <c r="O30" s="381" t="str">
        <f t="shared" si="80"/>
        <v>n.a.</v>
      </c>
      <c r="P30" s="381" t="str">
        <f t="shared" si="80"/>
        <v>n.a.</v>
      </c>
      <c r="Q30" s="381" t="str">
        <f t="shared" si="80"/>
        <v>n.a.</v>
      </c>
      <c r="R30" s="381" t="str">
        <f t="shared" si="80"/>
        <v>n.a.</v>
      </c>
      <c r="S30" s="381" t="str">
        <f t="shared" si="80"/>
        <v>n.a.</v>
      </c>
      <c r="T30" s="381" t="str">
        <f t="shared" si="80"/>
        <v>n.a.</v>
      </c>
      <c r="U30" s="381" t="str">
        <f t="shared" ref="U30" si="81">IFERROR(U28/U10,"n.a.")</f>
        <v>n.a.</v>
      </c>
      <c r="V30" s="381" t="str">
        <f t="shared" si="80"/>
        <v>n.a.</v>
      </c>
      <c r="W30" s="381" t="str">
        <f t="shared" ref="W30" si="82">IFERROR(W28/W10,"n.a.")</f>
        <v>n.a.</v>
      </c>
      <c r="X30" s="381" t="str">
        <f t="shared" si="80"/>
        <v>n.a.</v>
      </c>
      <c r="Y30" s="381" t="str">
        <f t="shared" si="80"/>
        <v>n.a.</v>
      </c>
      <c r="Z30" s="381" t="str">
        <f t="shared" si="80"/>
        <v>n.a.</v>
      </c>
      <c r="AA30" s="381" t="str">
        <f t="shared" si="80"/>
        <v>n.a.</v>
      </c>
      <c r="AB30" s="381" t="str">
        <f t="shared" si="80"/>
        <v>n.a.</v>
      </c>
      <c r="AC30" s="381" t="str">
        <f t="shared" si="80"/>
        <v>n.a.</v>
      </c>
      <c r="AD30" s="381" t="str">
        <f t="shared" ref="AD30:AF30" si="83">IFERROR(AD28/AD10,"n.a.")</f>
        <v>n.a.</v>
      </c>
      <c r="AE30" s="381" t="str">
        <f t="shared" si="83"/>
        <v>n.a.</v>
      </c>
      <c r="AF30" s="381" t="str">
        <f t="shared" si="83"/>
        <v>n.a.</v>
      </c>
      <c r="AG30" s="381" t="str">
        <f t="shared" ref="AG30" si="84">IFERROR(AG28/AG10,"n.a.")</f>
        <v>n.a.</v>
      </c>
    </row>
    <row r="31" spans="1:33" s="346" customFormat="1" x14ac:dyDescent="0.4">
      <c r="A31" s="370" t="s">
        <v>157</v>
      </c>
      <c r="B31" s="1685" t="s">
        <v>143</v>
      </c>
      <c r="C31" s="417"/>
      <c r="D31" s="417">
        <f t="shared" ref="D31:AC31" si="85">+D12-D52</f>
        <v>776.26800000000003</v>
      </c>
      <c r="E31" s="417">
        <f t="shared" si="85"/>
        <v>467.505</v>
      </c>
      <c r="F31" s="417">
        <f t="shared" si="85"/>
        <v>714.14300000000003</v>
      </c>
      <c r="G31" s="417">
        <f t="shared" si="85"/>
        <v>1769.7119999999998</v>
      </c>
      <c r="H31" s="417">
        <f t="shared" si="85"/>
        <v>3905.37</v>
      </c>
      <c r="I31" s="417">
        <f t="shared" si="85"/>
        <v>6337.4400000000005</v>
      </c>
      <c r="J31" s="417">
        <f t="shared" si="85"/>
        <v>7039.4879999999994</v>
      </c>
      <c r="K31" s="417">
        <f t="shared" si="85"/>
        <v>11165.800999999999</v>
      </c>
      <c r="L31" s="417">
        <f t="shared" si="85"/>
        <v>11941.415999999999</v>
      </c>
      <c r="M31" s="417">
        <f t="shared" si="85"/>
        <v>10995.259</v>
      </c>
      <c r="N31" s="417">
        <f t="shared" si="85"/>
        <v>14236.599</v>
      </c>
      <c r="O31" s="417">
        <f t="shared" si="85"/>
        <v>19487.567999999999</v>
      </c>
      <c r="P31" s="417">
        <f t="shared" si="85"/>
        <v>24236.725999999999</v>
      </c>
      <c r="Q31" s="417">
        <f t="shared" si="85"/>
        <v>25103.317999999999</v>
      </c>
      <c r="R31" s="417">
        <f t="shared" si="85"/>
        <v>25262.323</v>
      </c>
      <c r="S31" s="417">
        <f t="shared" si="85"/>
        <v>31096.646000000001</v>
      </c>
      <c r="T31" s="417">
        <f t="shared" si="85"/>
        <v>37616.284999999996</v>
      </c>
      <c r="U31" s="417">
        <f t="shared" ref="U31" si="86">+U12-U52</f>
        <v>53330.588999999993</v>
      </c>
      <c r="V31" s="417">
        <f t="shared" si="85"/>
        <v>46251.650999999998</v>
      </c>
      <c r="W31" s="417">
        <f t="shared" ref="W31" si="87">+W12-W52</f>
        <v>40268.07</v>
      </c>
      <c r="X31" s="417">
        <f t="shared" si="85"/>
        <v>45122.25488</v>
      </c>
      <c r="Y31" s="417">
        <f t="shared" si="85"/>
        <v>50103.871344900006</v>
      </c>
      <c r="Z31" s="417">
        <f t="shared" si="85"/>
        <v>53436.365560885999</v>
      </c>
      <c r="AA31" s="417">
        <f t="shared" si="85"/>
        <v>59074.397646610509</v>
      </c>
      <c r="AB31" s="417">
        <f t="shared" si="85"/>
        <v>64240.124303605829</v>
      </c>
      <c r="AC31" s="417">
        <f t="shared" si="85"/>
        <v>68993.323033994806</v>
      </c>
      <c r="AD31" s="417">
        <f t="shared" ref="AD31:AF31" si="88">+AD12-AD52</f>
        <v>73382.12784674461</v>
      </c>
      <c r="AE31" s="417">
        <f t="shared" si="88"/>
        <v>77444.941148819897</v>
      </c>
      <c r="AF31" s="417">
        <f t="shared" si="88"/>
        <v>81212.057750711407</v>
      </c>
      <c r="AG31" s="417">
        <f t="shared" ref="AG31" si="89">+AG12-AG52</f>
        <v>84707.046941292385</v>
      </c>
    </row>
    <row r="32" spans="1:33" s="360" customFormat="1" x14ac:dyDescent="0.4">
      <c r="A32" s="416" t="s">
        <v>1636</v>
      </c>
      <c r="B32" s="1703" t="s">
        <v>1636</v>
      </c>
      <c r="C32" s="381"/>
      <c r="D32" s="381"/>
      <c r="E32" s="381">
        <f t="shared" ref="E32:AC32" si="90">E31/D31-1</f>
        <v>-0.3977530955803924</v>
      </c>
      <c r="F32" s="381">
        <f t="shared" si="90"/>
        <v>0.52756227206126138</v>
      </c>
      <c r="G32" s="381">
        <f t="shared" si="90"/>
        <v>1.4780919227661684</v>
      </c>
      <c r="H32" s="381">
        <f t="shared" si="90"/>
        <v>1.2067827985570534</v>
      </c>
      <c r="I32" s="381">
        <f t="shared" si="90"/>
        <v>0.6227502131680227</v>
      </c>
      <c r="J32" s="381">
        <f t="shared" si="90"/>
        <v>0.11077785351813962</v>
      </c>
      <c r="K32" s="381">
        <f t="shared" si="90"/>
        <v>0.58616663598261698</v>
      </c>
      <c r="L32" s="381">
        <f t="shared" si="90"/>
        <v>6.9463444673606434E-2</v>
      </c>
      <c r="M32" s="381">
        <f t="shared" si="90"/>
        <v>-7.9233233311694296E-2</v>
      </c>
      <c r="N32" s="381">
        <f t="shared" si="90"/>
        <v>0.29479432908310765</v>
      </c>
      <c r="O32" s="381">
        <f t="shared" si="90"/>
        <v>0.36883591368977942</v>
      </c>
      <c r="P32" s="381">
        <f t="shared" si="90"/>
        <v>0.24370193345829505</v>
      </c>
      <c r="Q32" s="381">
        <f t="shared" si="90"/>
        <v>3.5755324378383468E-2</v>
      </c>
      <c r="R32" s="381">
        <f t="shared" si="90"/>
        <v>6.3340232554118803E-3</v>
      </c>
      <c r="S32" s="381">
        <f t="shared" si="90"/>
        <v>0.23094958448595571</v>
      </c>
      <c r="T32" s="381">
        <f t="shared" si="90"/>
        <v>0.2096573051640358</v>
      </c>
      <c r="U32" s="381">
        <f t="shared" si="90"/>
        <v>0.417752683445481</v>
      </c>
      <c r="V32" s="381">
        <f t="shared" si="90"/>
        <v>-0.1327369176440184</v>
      </c>
      <c r="W32" s="381">
        <f t="shared" si="90"/>
        <v>-0.12937010616118327</v>
      </c>
      <c r="X32" s="381">
        <f t="shared" si="90"/>
        <v>0.12054674783271224</v>
      </c>
      <c r="Y32" s="381">
        <f t="shared" si="90"/>
        <v>0.11040264894004803</v>
      </c>
      <c r="Z32" s="381">
        <f t="shared" si="90"/>
        <v>6.6511711102044568E-2</v>
      </c>
      <c r="AA32" s="381">
        <f t="shared" si="90"/>
        <v>0.10550927306799096</v>
      </c>
      <c r="AB32" s="381">
        <f t="shared" si="90"/>
        <v>8.7444423689214013E-2</v>
      </c>
      <c r="AC32" s="381">
        <f t="shared" si="90"/>
        <v>7.3991119754451828E-2</v>
      </c>
      <c r="AD32" s="381">
        <f t="shared" ref="AD32" si="91">AD31/AC31-1</f>
        <v>6.3612022435668436E-2</v>
      </c>
      <c r="AE32" s="381">
        <f t="shared" ref="AE32" si="92">AE31/AD31-1</f>
        <v>5.5365160718156003E-2</v>
      </c>
      <c r="AF32" s="381">
        <f t="shared" ref="AF32:AG32" si="93">AF31/AE31-1</f>
        <v>4.8642513584619351E-2</v>
      </c>
      <c r="AG32" s="381">
        <f t="shared" si="93"/>
        <v>4.3035348289156783E-2</v>
      </c>
    </row>
    <row r="33" spans="1:33" s="312" customFormat="1" x14ac:dyDescent="0.4">
      <c r="A33" s="404" t="s">
        <v>354</v>
      </c>
      <c r="B33" s="1682" t="s">
        <v>2966</v>
      </c>
      <c r="C33" s="381"/>
      <c r="D33" s="381">
        <f t="shared" ref="D33:AC33" si="94">D31/D12</f>
        <v>0.91848426692160789</v>
      </c>
      <c r="E33" s="381">
        <f t="shared" si="94"/>
        <v>0.60999414150929854</v>
      </c>
      <c r="F33" s="381">
        <f t="shared" si="94"/>
        <v>0.67875089222662699</v>
      </c>
      <c r="G33" s="381">
        <f t="shared" si="94"/>
        <v>0.8291072435006388</v>
      </c>
      <c r="H33" s="381">
        <f t="shared" si="94"/>
        <v>0.80935060585707075</v>
      </c>
      <c r="I33" s="381">
        <f t="shared" si="94"/>
        <v>0.8396909748960828</v>
      </c>
      <c r="J33" s="381">
        <f t="shared" si="94"/>
        <v>0.79903826933884192</v>
      </c>
      <c r="K33" s="381">
        <f t="shared" si="94"/>
        <v>0.79994682687476637</v>
      </c>
      <c r="L33" s="381">
        <f t="shared" si="94"/>
        <v>0.76957440428373969</v>
      </c>
      <c r="M33" s="381">
        <f t="shared" si="94"/>
        <v>0.75150324447646166</v>
      </c>
      <c r="N33" s="381">
        <f t="shared" si="94"/>
        <v>0.77946455731714293</v>
      </c>
      <c r="O33" s="381">
        <f t="shared" si="94"/>
        <v>0.78421260681099403</v>
      </c>
      <c r="P33" s="381">
        <f t="shared" si="94"/>
        <v>0.79151223588813935</v>
      </c>
      <c r="Q33" s="381">
        <f t="shared" si="94"/>
        <v>0.78606171754141363</v>
      </c>
      <c r="R33" s="381">
        <f t="shared" si="94"/>
        <v>0.78091425088770594</v>
      </c>
      <c r="S33" s="381">
        <f t="shared" si="94"/>
        <v>0.76726097150403683</v>
      </c>
      <c r="T33" s="381">
        <f t="shared" si="94"/>
        <v>0.77350214673185069</v>
      </c>
      <c r="U33" s="381">
        <f t="shared" ref="U33" si="95">U31/U12</f>
        <v>0.80577586391461709</v>
      </c>
      <c r="V33" s="381">
        <f t="shared" si="94"/>
        <v>0.76551235551594188</v>
      </c>
      <c r="W33" s="381">
        <f t="shared" ref="W33" si="96">W31/W12</f>
        <v>0.75127851268456602</v>
      </c>
      <c r="X33" s="381">
        <f t="shared" si="94"/>
        <v>0.76</v>
      </c>
      <c r="Y33" s="381">
        <f t="shared" si="94"/>
        <v>0.76500000000000001</v>
      </c>
      <c r="Z33" s="381">
        <f t="shared" si="94"/>
        <v>0.77</v>
      </c>
      <c r="AA33" s="381">
        <f t="shared" si="94"/>
        <v>0.77</v>
      </c>
      <c r="AB33" s="381">
        <f t="shared" si="94"/>
        <v>0.77</v>
      </c>
      <c r="AC33" s="381">
        <f t="shared" si="94"/>
        <v>0.77</v>
      </c>
      <c r="AD33" s="381">
        <f t="shared" ref="AD33:AF33" si="97">AD31/AD12</f>
        <v>0.77</v>
      </c>
      <c r="AE33" s="381">
        <f t="shared" si="97"/>
        <v>0.77</v>
      </c>
      <c r="AF33" s="381">
        <f t="shared" si="97"/>
        <v>0.77</v>
      </c>
      <c r="AG33" s="381">
        <f t="shared" ref="AG33" si="98">AG31/AG12</f>
        <v>0.77000000000000013</v>
      </c>
    </row>
    <row r="34" spans="1:33" s="346" customFormat="1" x14ac:dyDescent="0.4">
      <c r="A34" s="370" t="s">
        <v>2242</v>
      </c>
      <c r="B34" s="1685" t="s">
        <v>2992</v>
      </c>
      <c r="C34" s="417"/>
      <c r="D34" s="418">
        <v>0</v>
      </c>
      <c r="E34" s="418">
        <v>0</v>
      </c>
      <c r="F34" s="418">
        <v>0</v>
      </c>
      <c r="G34" s="418">
        <v>0</v>
      </c>
      <c r="H34" s="418">
        <v>0</v>
      </c>
      <c r="I34" s="418">
        <v>0</v>
      </c>
      <c r="J34" s="418">
        <f t="shared" ref="J34:AC34" si="99">J14-J55</f>
        <v>940.96300000000008</v>
      </c>
      <c r="K34" s="418">
        <f t="shared" si="99"/>
        <v>1331.0060000000001</v>
      </c>
      <c r="L34" s="418">
        <f t="shared" si="99"/>
        <v>1293.6290000000001</v>
      </c>
      <c r="M34" s="418">
        <f t="shared" si="99"/>
        <v>1600.3130000000001</v>
      </c>
      <c r="N34" s="418">
        <f t="shared" si="99"/>
        <v>1483.1410000000001</v>
      </c>
      <c r="O34" s="418">
        <f t="shared" si="99"/>
        <v>1794.6889999999999</v>
      </c>
      <c r="P34" s="418">
        <f t="shared" si="99"/>
        <v>2752.2059999999997</v>
      </c>
      <c r="Q34" s="418">
        <f t="shared" si="99"/>
        <v>3010.0929999999998</v>
      </c>
      <c r="R34" s="418">
        <f t="shared" si="99"/>
        <v>2712.2950000000001</v>
      </c>
      <c r="S34" s="418">
        <f t="shared" si="99"/>
        <v>3862.9799999999996</v>
      </c>
      <c r="T34" s="418">
        <f t="shared" si="99"/>
        <v>4855.2360000000008</v>
      </c>
      <c r="U34" s="418">
        <f t="shared" ref="U34" si="100">U14-U55</f>
        <v>4981.1990000000005</v>
      </c>
      <c r="V34" s="418">
        <f t="shared" si="99"/>
        <v>3849.2620000000002</v>
      </c>
      <c r="W34" s="418">
        <f t="shared" ref="W34" si="101">W14-W55</f>
        <v>3291.1119999999996</v>
      </c>
      <c r="X34" s="418">
        <f t="shared" si="99"/>
        <v>3050.3501568408456</v>
      </c>
      <c r="Y34" s="418">
        <f t="shared" si="99"/>
        <v>3341.0963991548679</v>
      </c>
      <c r="Z34" s="418">
        <f t="shared" si="99"/>
        <v>3596.2691610313777</v>
      </c>
      <c r="AA34" s="418">
        <f t="shared" si="99"/>
        <v>3836.1868325959535</v>
      </c>
      <c r="AB34" s="418">
        <f t="shared" si="99"/>
        <v>4079.2130435644222</v>
      </c>
      <c r="AC34" s="418">
        <f t="shared" si="99"/>
        <v>4326.8173531758603</v>
      </c>
      <c r="AD34" s="418">
        <f t="shared" ref="AD34:AF34" si="102">AD14-AD55</f>
        <v>4580.3484837059086</v>
      </c>
      <c r="AE34" s="418">
        <f t="shared" si="102"/>
        <v>4841.057011107051</v>
      </c>
      <c r="AF34" s="418">
        <f t="shared" si="102"/>
        <v>5110.1149416349263</v>
      </c>
      <c r="AG34" s="418">
        <f t="shared" ref="AG34" si="103">AG14-AG55</f>
        <v>5388.632646973706</v>
      </c>
    </row>
    <row r="35" spans="1:33" s="360" customFormat="1" x14ac:dyDescent="0.4">
      <c r="A35" s="416" t="s">
        <v>1636</v>
      </c>
      <c r="B35" s="1703" t="s">
        <v>1636</v>
      </c>
      <c r="C35" s="381"/>
      <c r="D35" s="381"/>
      <c r="E35" s="381"/>
      <c r="F35" s="381"/>
      <c r="G35" s="381"/>
      <c r="H35" s="381"/>
      <c r="I35" s="381"/>
      <c r="J35" s="381"/>
      <c r="K35" s="381"/>
      <c r="L35" s="381"/>
      <c r="M35" s="381">
        <f t="shared" ref="M35:AC35" si="104">M34/L34-1</f>
        <v>0.23707260737042835</v>
      </c>
      <c r="N35" s="381">
        <f t="shared" si="104"/>
        <v>-7.3218176694184178E-2</v>
      </c>
      <c r="O35" s="381">
        <f t="shared" si="104"/>
        <v>0.21005959649149997</v>
      </c>
      <c r="P35" s="381">
        <f t="shared" si="104"/>
        <v>0.53352809316823135</v>
      </c>
      <c r="Q35" s="381">
        <f t="shared" si="104"/>
        <v>9.3701924928584646E-2</v>
      </c>
      <c r="R35" s="381">
        <f t="shared" si="104"/>
        <v>-9.8933155885881252E-2</v>
      </c>
      <c r="S35" s="381">
        <f t="shared" si="104"/>
        <v>0.42424773116493575</v>
      </c>
      <c r="T35" s="381">
        <f t="shared" si="104"/>
        <v>0.25686283646304187</v>
      </c>
      <c r="U35" s="381">
        <f t="shared" si="104"/>
        <v>2.5943744032215887E-2</v>
      </c>
      <c r="V35" s="381">
        <f t="shared" si="104"/>
        <v>-0.22724187489799152</v>
      </c>
      <c r="W35" s="381">
        <f t="shared" si="104"/>
        <v>-0.14500182112830995</v>
      </c>
      <c r="X35" s="381">
        <f t="shared" si="104"/>
        <v>-7.3155165536497702E-2</v>
      </c>
      <c r="Y35" s="381">
        <f t="shared" si="104"/>
        <v>9.5315694056297806E-2</v>
      </c>
      <c r="Z35" s="381">
        <f t="shared" si="104"/>
        <v>7.6373959739999053E-2</v>
      </c>
      <c r="AA35" s="381">
        <f t="shared" si="104"/>
        <v>6.6712935217499103E-2</v>
      </c>
      <c r="AB35" s="381">
        <f t="shared" si="104"/>
        <v>6.3350984082287898E-2</v>
      </c>
      <c r="AC35" s="381">
        <f t="shared" si="104"/>
        <v>6.0699038507457059E-2</v>
      </c>
      <c r="AD35" s="381">
        <f t="shared" ref="AD35" si="105">AD34/AC34-1</f>
        <v>5.8595292991500569E-2</v>
      </c>
      <c r="AE35" s="381">
        <f t="shared" ref="AE35" si="106">AE34/AD34-1</f>
        <v>5.6918928402191371E-2</v>
      </c>
      <c r="AF35" s="381">
        <f t="shared" ref="AF35:AG35" si="107">AF34/AE34-1</f>
        <v>5.5578343719266954E-2</v>
      </c>
      <c r="AG35" s="381">
        <f t="shared" si="107"/>
        <v>5.4503217348310873E-2</v>
      </c>
    </row>
    <row r="36" spans="1:33" s="312" customFormat="1" x14ac:dyDescent="0.4">
      <c r="A36" s="404" t="s">
        <v>354</v>
      </c>
      <c r="B36" s="1682" t="s">
        <v>2966</v>
      </c>
      <c r="C36" s="381"/>
      <c r="D36" s="381"/>
      <c r="E36" s="381"/>
      <c r="F36" s="381"/>
      <c r="G36" s="381"/>
      <c r="H36" s="381"/>
      <c r="I36" s="381"/>
      <c r="J36" s="381">
        <f t="shared" ref="J36:AC36" si="108">J34/J14</f>
        <v>0.89323732948558521</v>
      </c>
      <c r="K36" s="381">
        <f t="shared" si="108"/>
        <v>0.9926687529272783</v>
      </c>
      <c r="L36" s="381">
        <f t="shared" si="108"/>
        <v>0.93604352475872243</v>
      </c>
      <c r="M36" s="381">
        <f t="shared" si="108"/>
        <v>0.89684540288503567</v>
      </c>
      <c r="N36" s="381">
        <f t="shared" si="108"/>
        <v>0.90348218762012034</v>
      </c>
      <c r="O36" s="381">
        <f t="shared" si="108"/>
        <v>0.80436439943007965</v>
      </c>
      <c r="P36" s="381">
        <f t="shared" si="108"/>
        <v>0.88616497984866127</v>
      </c>
      <c r="Q36" s="381">
        <f t="shared" si="108"/>
        <v>0.83167776549179917</v>
      </c>
      <c r="R36" s="381">
        <f t="shared" si="108"/>
        <v>0.84733454483995962</v>
      </c>
      <c r="S36" s="381">
        <f t="shared" si="108"/>
        <v>0.85264504531866081</v>
      </c>
      <c r="T36" s="381">
        <f t="shared" si="108"/>
        <v>0.86884372274370203</v>
      </c>
      <c r="U36" s="381">
        <f t="shared" ref="U36" si="109">U34/U14</f>
        <v>0.83620419757401354</v>
      </c>
      <c r="V36" s="381">
        <f t="shared" si="108"/>
        <v>0.7991399190658609</v>
      </c>
      <c r="W36" s="381">
        <f t="shared" ref="W36" si="110">W34/W14</f>
        <v>0.88781248398296186</v>
      </c>
      <c r="X36" s="381">
        <f t="shared" si="108"/>
        <v>0.88781248398296198</v>
      </c>
      <c r="Y36" s="381">
        <f t="shared" si="108"/>
        <v>0.88781248398296186</v>
      </c>
      <c r="Z36" s="381">
        <f t="shared" si="108"/>
        <v>0.88781248398296198</v>
      </c>
      <c r="AA36" s="381">
        <f t="shared" si="108"/>
        <v>0.88781248398296186</v>
      </c>
      <c r="AB36" s="381">
        <f t="shared" si="108"/>
        <v>0.88781248398296186</v>
      </c>
      <c r="AC36" s="381">
        <f t="shared" si="108"/>
        <v>0.88781248398296198</v>
      </c>
      <c r="AD36" s="381">
        <f t="shared" ref="AD36:AF36" si="111">AD34/AD14</f>
        <v>0.88781248398296186</v>
      </c>
      <c r="AE36" s="381">
        <f t="shared" si="111"/>
        <v>0.88781248398296198</v>
      </c>
      <c r="AF36" s="381">
        <f t="shared" si="111"/>
        <v>0.88781248398296198</v>
      </c>
      <c r="AG36" s="381">
        <f t="shared" ref="AG36" si="112">AG34/AG14</f>
        <v>0.88781248398296186</v>
      </c>
    </row>
    <row r="37" spans="1:33" s="346" customFormat="1" x14ac:dyDescent="0.4">
      <c r="A37" s="370" t="s">
        <v>352</v>
      </c>
      <c r="B37" s="1685" t="s">
        <v>351</v>
      </c>
      <c r="C37" s="407"/>
      <c r="D37" s="406">
        <f>D19-SUM(D22,D25,D28,D31,D34)</f>
        <v>-732.89600000000064</v>
      </c>
      <c r="E37" s="406">
        <f>E19-SUM(E22,E25,E28,E31,E34)</f>
        <v>-64.764999999999418</v>
      </c>
      <c r="F37" s="406">
        <f>F19-SUM(F22,F25,F28,F31,F34)</f>
        <v>-174.3179999999993</v>
      </c>
      <c r="G37" s="406">
        <f t="shared" ref="G37:AC37" si="113">G16</f>
        <v>1635.8860000000004</v>
      </c>
      <c r="H37" s="406">
        <f t="shared" si="113"/>
        <v>-9.0949470177292824E-13</v>
      </c>
      <c r="I37" s="406">
        <f t="shared" si="113"/>
        <v>0</v>
      </c>
      <c r="J37" s="406">
        <f t="shared" si="113"/>
        <v>2.0463630789890885E-12</v>
      </c>
      <c r="K37" s="406">
        <f t="shared" si="113"/>
        <v>0</v>
      </c>
      <c r="L37" s="406">
        <f t="shared" si="113"/>
        <v>-3.637978807091713E-12</v>
      </c>
      <c r="M37" s="406">
        <f t="shared" si="113"/>
        <v>-2.7284841053187847E-12</v>
      </c>
      <c r="N37" s="406">
        <f t="shared" si="113"/>
        <v>2.2737367544323206E-12</v>
      </c>
      <c r="O37" s="406">
        <f t="shared" si="113"/>
        <v>0</v>
      </c>
      <c r="P37" s="406">
        <f t="shared" si="113"/>
        <v>0</v>
      </c>
      <c r="Q37" s="406">
        <f t="shared" si="113"/>
        <v>0</v>
      </c>
      <c r="R37" s="406">
        <f t="shared" si="113"/>
        <v>0.99999999999818101</v>
      </c>
      <c r="S37" s="406">
        <f t="shared" si="113"/>
        <v>0</v>
      </c>
      <c r="T37" s="406">
        <f t="shared" si="113"/>
        <v>0</v>
      </c>
      <c r="U37" s="406">
        <f t="shared" ref="U37" si="114">U16</f>
        <v>-2.9999999960637069E-3</v>
      </c>
      <c r="V37" s="406">
        <f t="shared" si="113"/>
        <v>-9784.073000000004</v>
      </c>
      <c r="W37" s="406">
        <f t="shared" ref="W37" si="115">W16</f>
        <v>0</v>
      </c>
      <c r="X37" s="406">
        <f t="shared" si="113"/>
        <v>0</v>
      </c>
      <c r="Y37" s="406">
        <f t="shared" si="113"/>
        <v>0</v>
      </c>
      <c r="Z37" s="406">
        <f t="shared" si="113"/>
        <v>0</v>
      </c>
      <c r="AA37" s="406">
        <f t="shared" si="113"/>
        <v>0</v>
      </c>
      <c r="AB37" s="406">
        <f t="shared" si="113"/>
        <v>0</v>
      </c>
      <c r="AC37" s="406">
        <f t="shared" si="113"/>
        <v>0</v>
      </c>
      <c r="AD37" s="406">
        <f t="shared" ref="AD37:AF37" si="116">AD16</f>
        <v>0</v>
      </c>
      <c r="AE37" s="406">
        <f t="shared" si="116"/>
        <v>0</v>
      </c>
      <c r="AF37" s="406">
        <f t="shared" si="116"/>
        <v>0</v>
      </c>
      <c r="AG37" s="406">
        <f t="shared" ref="AG37" si="117">AG16</f>
        <v>0</v>
      </c>
    </row>
    <row r="38" spans="1:33" s="419" customFormat="1" x14ac:dyDescent="0.4">
      <c r="A38" s="408" t="s">
        <v>361</v>
      </c>
      <c r="B38" s="1704" t="s">
        <v>360</v>
      </c>
      <c r="C38" s="411"/>
      <c r="D38" s="411">
        <f>-D37/SUM(D22,D25,D28,D31,D34)</f>
        <v>6.9346082459555994E-2</v>
      </c>
      <c r="E38" s="411">
        <f>-E37/SUM(E22,E25,E28,E31,E34)</f>
        <v>6.8411540334446424E-3</v>
      </c>
      <c r="F38" s="411">
        <f>-F37/SUM(F22,F25,F28,F31,F34)</f>
        <v>1.6946568892889816E-2</v>
      </c>
      <c r="G38" s="411">
        <v>1.2E-2</v>
      </c>
      <c r="H38" s="411">
        <v>1.2E-2</v>
      </c>
      <c r="I38" s="411">
        <f t="shared" ref="I38:AC38" si="118">-I37/SUM(I22,I25,I28,I31,I34)</f>
        <v>0</v>
      </c>
      <c r="J38" s="411">
        <f t="shared" si="118"/>
        <v>-1.0662337665867179E-16</v>
      </c>
      <c r="K38" s="411">
        <f t="shared" si="118"/>
        <v>0</v>
      </c>
      <c r="L38" s="411">
        <f t="shared" si="118"/>
        <v>1.2250537570700587E-16</v>
      </c>
      <c r="M38" s="411">
        <f t="shared" si="118"/>
        <v>8.2960987959345265E-17</v>
      </c>
      <c r="N38" s="411">
        <f t="shared" si="118"/>
        <v>-5.6525983071374936E-17</v>
      </c>
      <c r="O38" s="411">
        <f t="shared" si="118"/>
        <v>0</v>
      </c>
      <c r="P38" s="411">
        <f t="shared" si="118"/>
        <v>0</v>
      </c>
      <c r="Q38" s="411">
        <f t="shared" si="118"/>
        <v>0</v>
      </c>
      <c r="R38" s="411">
        <f t="shared" si="118"/>
        <v>-1.8806590205305546E-5</v>
      </c>
      <c r="S38" s="411">
        <f t="shared" si="118"/>
        <v>0</v>
      </c>
      <c r="T38" s="411">
        <f t="shared" si="118"/>
        <v>0</v>
      </c>
      <c r="U38" s="411">
        <f t="shared" ref="U38" si="119">-U37/SUM(U22,U25,U28,U31,U34)</f>
        <v>3.080236902317974E-8</v>
      </c>
      <c r="V38" s="411">
        <f t="shared" si="118"/>
        <v>0.10059686582850216</v>
      </c>
      <c r="W38" s="411">
        <f t="shared" ref="W38" si="120">-W37/SUM(W22,W25,W28,W31,W34)</f>
        <v>0</v>
      </c>
      <c r="X38" s="411">
        <f t="shared" si="118"/>
        <v>0</v>
      </c>
      <c r="Y38" s="411">
        <f t="shared" si="118"/>
        <v>0</v>
      </c>
      <c r="Z38" s="411">
        <f t="shared" si="118"/>
        <v>0</v>
      </c>
      <c r="AA38" s="411">
        <f t="shared" si="118"/>
        <v>0</v>
      </c>
      <c r="AB38" s="411">
        <f t="shared" si="118"/>
        <v>0</v>
      </c>
      <c r="AC38" s="411">
        <f t="shared" si="118"/>
        <v>0</v>
      </c>
      <c r="AD38" s="411">
        <f t="shared" ref="AD38:AF38" si="121">-AD37/SUM(AD22,AD25,AD28,AD31,AD34)</f>
        <v>0</v>
      </c>
      <c r="AE38" s="411">
        <f t="shared" si="121"/>
        <v>0</v>
      </c>
      <c r="AF38" s="411">
        <f t="shared" si="121"/>
        <v>0</v>
      </c>
      <c r="AG38" s="411">
        <f t="shared" ref="AG38" si="122">-AG37/SUM(AG22,AG25,AG28,AG31,AG34)</f>
        <v>0</v>
      </c>
    </row>
    <row r="39" spans="1:33" x14ac:dyDescent="0.4">
      <c r="C39" s="420"/>
      <c r="D39" s="420"/>
      <c r="E39" s="420"/>
      <c r="F39" s="420"/>
      <c r="G39" s="420"/>
      <c r="H39" s="420"/>
      <c r="I39" s="420"/>
      <c r="J39" s="420"/>
      <c r="K39" s="420"/>
      <c r="L39" s="420"/>
      <c r="M39" s="420"/>
      <c r="N39" s="420"/>
      <c r="O39" s="420"/>
      <c r="P39" s="420"/>
      <c r="Q39" s="420"/>
      <c r="R39" s="420"/>
      <c r="S39" s="420"/>
      <c r="T39" s="420"/>
      <c r="U39" s="420"/>
      <c r="V39" s="420"/>
      <c r="W39" s="420"/>
      <c r="X39" s="420"/>
      <c r="Y39" s="420"/>
      <c r="Z39" s="420"/>
      <c r="AA39" s="420"/>
      <c r="AB39" s="420"/>
      <c r="AC39" s="420"/>
      <c r="AD39" s="420"/>
      <c r="AE39" s="420"/>
      <c r="AF39" s="420"/>
      <c r="AG39" s="420"/>
    </row>
    <row r="40" spans="1:33" x14ac:dyDescent="0.4">
      <c r="A40" s="337" t="s">
        <v>363</v>
      </c>
      <c r="B40" s="1679" t="s">
        <v>134</v>
      </c>
      <c r="C40" s="421">
        <f t="shared" ref="C40:AC40" si="123">C4-C19</f>
        <v>364.45400000000063</v>
      </c>
      <c r="D40" s="400">
        <f t="shared" si="123"/>
        <v>459.04999999999927</v>
      </c>
      <c r="E40" s="400">
        <f t="shared" si="123"/>
        <v>766.11599999999999</v>
      </c>
      <c r="F40" s="400">
        <f t="shared" si="123"/>
        <v>909.39300000000003</v>
      </c>
      <c r="G40" s="400">
        <f t="shared" si="123"/>
        <v>992.90200000000004</v>
      </c>
      <c r="H40" s="400">
        <f t="shared" si="123"/>
        <v>1315.8539999999994</v>
      </c>
      <c r="I40" s="400">
        <f t="shared" si="123"/>
        <v>1798.1839999999993</v>
      </c>
      <c r="J40" s="400">
        <f t="shared" si="123"/>
        <v>2718.2170000000006</v>
      </c>
      <c r="K40" s="400">
        <f t="shared" si="123"/>
        <v>3745.9449999999997</v>
      </c>
      <c r="L40" s="400">
        <f t="shared" si="123"/>
        <v>4743.0919999999969</v>
      </c>
      <c r="M40" s="400">
        <f t="shared" si="123"/>
        <v>5113.114999999998</v>
      </c>
      <c r="N40" s="400">
        <f t="shared" si="123"/>
        <v>5982.8780000000042</v>
      </c>
      <c r="O40" s="400">
        <f t="shared" si="123"/>
        <v>7615.0299999999988</v>
      </c>
      <c r="P40" s="400">
        <f t="shared" si="123"/>
        <v>8696.4210000000021</v>
      </c>
      <c r="Q40" s="400">
        <f t="shared" si="123"/>
        <v>9235.7030000000013</v>
      </c>
      <c r="R40" s="400">
        <f t="shared" si="123"/>
        <v>9284.1589999999997</v>
      </c>
      <c r="S40" s="400">
        <f t="shared" si="123"/>
        <v>11982.743000000002</v>
      </c>
      <c r="T40" s="400">
        <f t="shared" si="123"/>
        <v>14018.532999999996</v>
      </c>
      <c r="U40" s="400">
        <f t="shared" ref="U40" si="124">U4-U19</f>
        <v>16338.910000000003</v>
      </c>
      <c r="V40" s="400">
        <f>V4-V19</f>
        <v>16329.572</v>
      </c>
      <c r="W40" s="400">
        <f>W4-W19</f>
        <v>15981.699999999997</v>
      </c>
      <c r="X40" s="400">
        <f>X4-X19</f>
        <v>17073.030133316846</v>
      </c>
      <c r="Y40" s="400">
        <f t="shared" si="123"/>
        <v>18552.281059191126</v>
      </c>
      <c r="Z40" s="400">
        <f t="shared" si="123"/>
        <v>19537.750378999364</v>
      </c>
      <c r="AA40" s="400">
        <f t="shared" si="123"/>
        <v>21625.647969372716</v>
      </c>
      <c r="AB40" s="400">
        <f t="shared" si="123"/>
        <v>23567.268804175212</v>
      </c>
      <c r="AC40" s="400">
        <f t="shared" si="123"/>
        <v>25384.160770779738</v>
      </c>
      <c r="AD40" s="400">
        <f t="shared" ref="AD40:AF40" si="125">AD4-AD19</f>
        <v>27093.971199593449</v>
      </c>
      <c r="AE40" s="400">
        <f t="shared" si="125"/>
        <v>28711.102370339737</v>
      </c>
      <c r="AF40" s="400">
        <f t="shared" si="125"/>
        <v>30247.265972373076</v>
      </c>
      <c r="AG40" s="400">
        <f t="shared" ref="AG40" si="126">AG4-AG19</f>
        <v>31711.953189901775</v>
      </c>
    </row>
    <row r="41" spans="1:33" x14ac:dyDescent="0.4">
      <c r="A41" s="413" t="s">
        <v>341</v>
      </c>
      <c r="B41" s="1702" t="s">
        <v>1636</v>
      </c>
      <c r="C41" s="349"/>
      <c r="D41" s="349"/>
      <c r="E41" s="349">
        <f t="shared" ref="E41:AC41" si="127">E40/D40-1</f>
        <v>0.66891624006099826</v>
      </c>
      <c r="F41" s="349">
        <f t="shared" si="127"/>
        <v>0.18701737073759062</v>
      </c>
      <c r="G41" s="349">
        <f t="shared" si="127"/>
        <v>9.1829385095332894E-2</v>
      </c>
      <c r="H41" s="349">
        <f t="shared" si="127"/>
        <v>0.32526070045180622</v>
      </c>
      <c r="I41" s="349">
        <f t="shared" si="127"/>
        <v>0.36655282424949887</v>
      </c>
      <c r="J41" s="349">
        <f t="shared" si="127"/>
        <v>0.51164563804371621</v>
      </c>
      <c r="K41" s="349">
        <f t="shared" si="127"/>
        <v>0.37808901938292605</v>
      </c>
      <c r="L41" s="349">
        <f t="shared" si="127"/>
        <v>0.26619371079927689</v>
      </c>
      <c r="M41" s="349">
        <f t="shared" si="127"/>
        <v>7.8013034535278081E-2</v>
      </c>
      <c r="N41" s="349">
        <f t="shared" si="127"/>
        <v>0.17010432974810974</v>
      </c>
      <c r="O41" s="349">
        <f t="shared" si="127"/>
        <v>0.27280382451388663</v>
      </c>
      <c r="P41" s="349">
        <f t="shared" si="127"/>
        <v>0.14200745105403434</v>
      </c>
      <c r="Q41" s="349">
        <f t="shared" si="127"/>
        <v>6.201194721368708E-2</v>
      </c>
      <c r="R41" s="349">
        <f t="shared" si="127"/>
        <v>5.2465957382992201E-3</v>
      </c>
      <c r="S41" s="349">
        <f t="shared" si="127"/>
        <v>0.29066542268395046</v>
      </c>
      <c r="T41" s="349">
        <f t="shared" si="127"/>
        <v>0.16989348765971135</v>
      </c>
      <c r="U41" s="349">
        <f t="shared" si="127"/>
        <v>0.16552209849632682</v>
      </c>
      <c r="V41" s="349">
        <f t="shared" si="127"/>
        <v>-5.7151915274666898E-4</v>
      </c>
      <c r="W41" s="349">
        <f t="shared" si="127"/>
        <v>-2.1303191534965071E-2</v>
      </c>
      <c r="X41" s="349">
        <f t="shared" si="127"/>
        <v>6.82862357144014E-2</v>
      </c>
      <c r="Y41" s="349">
        <f t="shared" si="127"/>
        <v>8.6642553449702175E-2</v>
      </c>
      <c r="Z41" s="349">
        <f t="shared" si="127"/>
        <v>5.3118498833868211E-2</v>
      </c>
      <c r="AA41" s="349">
        <f t="shared" si="127"/>
        <v>0.10686478995133331</v>
      </c>
      <c r="AB41" s="349">
        <f t="shared" si="127"/>
        <v>8.9783244301040677E-2</v>
      </c>
      <c r="AC41" s="349">
        <f t="shared" si="127"/>
        <v>7.7093870388690977E-2</v>
      </c>
      <c r="AD41" s="349">
        <f t="shared" ref="AD41" si="128">AD40/AC40-1</f>
        <v>6.7357374713049811E-2</v>
      </c>
      <c r="AE41" s="349">
        <f t="shared" ref="AE41" si="129">AE40/AD40-1</f>
        <v>5.9686014974820401E-2</v>
      </c>
      <c r="AF41" s="349">
        <f t="shared" ref="AF41:AG41" si="130">AF40/AE40-1</f>
        <v>5.3504166514354523E-2</v>
      </c>
      <c r="AG41" s="349">
        <f t="shared" si="130"/>
        <v>4.8423788743964469E-2</v>
      </c>
    </row>
    <row r="42" spans="1:33" x14ac:dyDescent="0.4">
      <c r="A42" s="413" t="s">
        <v>367</v>
      </c>
      <c r="B42" s="1702" t="s">
        <v>29</v>
      </c>
      <c r="C42" s="349"/>
      <c r="D42" s="349">
        <f t="shared" ref="D42:AC42" si="131">D40/D4</f>
        <v>4.4590360245039526E-2</v>
      </c>
      <c r="E42" s="349">
        <f t="shared" si="131"/>
        <v>7.5343412152311079E-2</v>
      </c>
      <c r="F42" s="349">
        <f t="shared" si="131"/>
        <v>8.251153097086987E-2</v>
      </c>
      <c r="G42" s="349">
        <f t="shared" si="131"/>
        <v>8.7542071511562611E-2</v>
      </c>
      <c r="H42" s="349">
        <f t="shared" si="131"/>
        <v>0.10981124640330348</v>
      </c>
      <c r="I42" s="349">
        <f t="shared" si="131"/>
        <v>0.10978386087180342</v>
      </c>
      <c r="J42" s="349">
        <f t="shared" si="131"/>
        <v>0.12405911095329855</v>
      </c>
      <c r="K42" s="349">
        <f t="shared" si="131"/>
        <v>0.13728641680123083</v>
      </c>
      <c r="L42" s="349">
        <f t="shared" si="131"/>
        <v>0.13772214088007756</v>
      </c>
      <c r="M42" s="349">
        <f t="shared" si="131"/>
        <v>0.13454901542229122</v>
      </c>
      <c r="N42" s="349">
        <f t="shared" si="131"/>
        <v>0.12947848215489144</v>
      </c>
      <c r="O42" s="349">
        <f t="shared" si="131"/>
        <v>0.15183742297795419</v>
      </c>
      <c r="P42" s="349">
        <f t="shared" si="131"/>
        <v>0.15633648786013182</v>
      </c>
      <c r="Q42" s="349">
        <f t="shared" si="131"/>
        <v>0.14976084357048211</v>
      </c>
      <c r="R42" s="349">
        <f t="shared" si="131"/>
        <v>0.14864641298444206</v>
      </c>
      <c r="S42" s="349">
        <f t="shared" si="131"/>
        <v>0.15499680285559311</v>
      </c>
      <c r="T42" s="349">
        <f t="shared" si="131"/>
        <v>0.1374699344983315</v>
      </c>
      <c r="U42" s="349">
        <f t="shared" ref="U42" si="132">U40/U4</f>
        <v>0.14365895978716589</v>
      </c>
      <c r="V42" s="349">
        <f t="shared" si="131"/>
        <v>0.15504327648507887</v>
      </c>
      <c r="W42" s="349">
        <f t="shared" ref="W42" si="133">W40/W4</f>
        <v>0.15910342115611478</v>
      </c>
      <c r="X42" s="349">
        <f t="shared" si="131"/>
        <v>0.16486050906433064</v>
      </c>
      <c r="Y42" s="349">
        <f t="shared" si="131"/>
        <v>0.1624616404702077</v>
      </c>
      <c r="Z42" s="349">
        <f t="shared" si="131"/>
        <v>0.15898999556385132</v>
      </c>
      <c r="AA42" s="349">
        <f t="shared" si="131"/>
        <v>0.1603810674464978</v>
      </c>
      <c r="AB42" s="349">
        <f t="shared" si="131"/>
        <v>0.16130691378643902</v>
      </c>
      <c r="AC42" s="349">
        <f t="shared" si="131"/>
        <v>0.1618821653993168</v>
      </c>
      <c r="AD42" s="349">
        <f t="shared" ref="AD42:AF42" si="134">AD40/AD4</f>
        <v>0.16218096918551406</v>
      </c>
      <c r="AE42" s="349">
        <f t="shared" si="134"/>
        <v>0.16225366080738687</v>
      </c>
      <c r="AF42" s="349">
        <f t="shared" si="134"/>
        <v>0.1621357753883105</v>
      </c>
      <c r="AG42" s="349">
        <f t="shared" ref="AG42" si="135">AG40/AG4</f>
        <v>0.16185322211206332</v>
      </c>
    </row>
    <row r="43" spans="1:33" s="346" customFormat="1" x14ac:dyDescent="0.4">
      <c r="A43" s="365" t="s">
        <v>343</v>
      </c>
      <c r="B43" s="1681" t="s">
        <v>2923</v>
      </c>
      <c r="C43" s="402"/>
      <c r="D43" s="403">
        <v>348.37599999999998</v>
      </c>
      <c r="E43" s="403">
        <v>179.39699999999999</v>
      </c>
      <c r="F43" s="403">
        <v>228</v>
      </c>
      <c r="G43" s="403">
        <f>HK!F20</f>
        <v>313.83100000000002</v>
      </c>
      <c r="H43" s="403">
        <f>HK!G20</f>
        <v>395.18400000000003</v>
      </c>
      <c r="I43" s="403">
        <f>HK!H20</f>
        <v>637.38900000000001</v>
      </c>
      <c r="J43" s="403">
        <f>HK!I20</f>
        <v>783.05200000000002</v>
      </c>
      <c r="K43" s="403">
        <f>HK!J20</f>
        <v>808.92100000000005</v>
      </c>
      <c r="L43" s="403">
        <f>HK!K20</f>
        <v>1010.83</v>
      </c>
      <c r="M43" s="403">
        <f>HK!L20</f>
        <v>1040.9010000000001</v>
      </c>
      <c r="N43" s="403">
        <f>HK!M20</f>
        <v>894.13699999999994</v>
      </c>
      <c r="O43" s="403">
        <f>HK!N20</f>
        <v>946.25300000000004</v>
      </c>
      <c r="P43" s="403">
        <f>HK!O20</f>
        <v>1206.249</v>
      </c>
      <c r="Q43" s="403">
        <f>HK!P20</f>
        <v>1307.0899999999999</v>
      </c>
      <c r="R43" s="403">
        <f>HK!Q20</f>
        <v>1171.498</v>
      </c>
      <c r="S43" s="403">
        <f>HK!R20</f>
        <v>1029.0039999999999</v>
      </c>
      <c r="T43" s="403">
        <f>HK!S20</f>
        <v>1700.777</v>
      </c>
      <c r="U43" s="403">
        <f>HK!T20</f>
        <v>1543.5</v>
      </c>
      <c r="V43" s="403">
        <f>HK!U20</f>
        <v>1516.489</v>
      </c>
      <c r="W43" s="403">
        <f>HK!V20</f>
        <v>1464.23</v>
      </c>
      <c r="X43" s="403">
        <f>HK!W20</f>
        <v>1457.5351735352353</v>
      </c>
      <c r="Y43" s="403">
        <f>HK!X20</f>
        <v>1596.4705197513206</v>
      </c>
      <c r="Z43" s="403">
        <f>HK!Y20</f>
        <v>1733.1905470764323</v>
      </c>
      <c r="AA43" s="403">
        <f>HK!Z20</f>
        <v>1865.0856925389721</v>
      </c>
      <c r="AB43" s="403">
        <f>HK!AA20</f>
        <v>1994.3045988486863</v>
      </c>
      <c r="AC43" s="403">
        <f>HK!AB20</f>
        <v>2122.6135358490365</v>
      </c>
      <c r="AD43" s="403">
        <f>HK!AC20</f>
        <v>2251.4776669379285</v>
      </c>
      <c r="AE43" s="403">
        <f>HK!AD20</f>
        <v>2382.1258049871462</v>
      </c>
      <c r="AF43" s="403">
        <f>HK!AE20</f>
        <v>2515.6020488205277</v>
      </c>
      <c r="AG43" s="403">
        <f>HK!AF20</f>
        <v>2652.8069966788585</v>
      </c>
    </row>
    <row r="44" spans="1:33" s="419" customFormat="1" x14ac:dyDescent="0.4">
      <c r="A44" s="422" t="s">
        <v>1636</v>
      </c>
      <c r="B44" s="1705" t="s">
        <v>1636</v>
      </c>
      <c r="C44" s="381"/>
      <c r="D44" s="381"/>
      <c r="E44" s="381">
        <f t="shared" ref="E44:AC44" si="136">E43/D43-1</f>
        <v>-0.48504776448435027</v>
      </c>
      <c r="F44" s="381">
        <f t="shared" si="136"/>
        <v>0.27092426294754102</v>
      </c>
      <c r="G44" s="381">
        <f t="shared" si="136"/>
        <v>0.3764517543859649</v>
      </c>
      <c r="H44" s="381">
        <f t="shared" si="136"/>
        <v>0.25922550672177058</v>
      </c>
      <c r="I44" s="381">
        <f t="shared" si="136"/>
        <v>0.61289171626381633</v>
      </c>
      <c r="J44" s="381">
        <f t="shared" si="136"/>
        <v>0.2285307716323941</v>
      </c>
      <c r="K44" s="381">
        <f t="shared" si="136"/>
        <v>3.3036120206576314E-2</v>
      </c>
      <c r="L44" s="381">
        <f t="shared" si="136"/>
        <v>0.24960286604007065</v>
      </c>
      <c r="M44" s="381">
        <f t="shared" si="136"/>
        <v>2.9748820276406462E-2</v>
      </c>
      <c r="N44" s="381">
        <f t="shared" si="136"/>
        <v>-0.14099707849257526</v>
      </c>
      <c r="O44" s="381">
        <f t="shared" si="136"/>
        <v>5.8286369985807607E-2</v>
      </c>
      <c r="P44" s="381">
        <f t="shared" si="136"/>
        <v>0.27476372598026111</v>
      </c>
      <c r="Q44" s="381">
        <f t="shared" si="136"/>
        <v>8.359882578140998E-2</v>
      </c>
      <c r="R44" s="381">
        <f t="shared" si="136"/>
        <v>-0.10373577947960733</v>
      </c>
      <c r="S44" s="381">
        <f t="shared" si="136"/>
        <v>-0.12163401047206235</v>
      </c>
      <c r="T44" s="381">
        <f t="shared" si="136"/>
        <v>0.65283808420569822</v>
      </c>
      <c r="U44" s="381">
        <f t="shared" si="136"/>
        <v>-9.2473616470589604E-2</v>
      </c>
      <c r="V44" s="381">
        <f t="shared" si="136"/>
        <v>-1.7499838030450299E-2</v>
      </c>
      <c r="W44" s="381">
        <f t="shared" si="136"/>
        <v>-3.4460520320292454E-2</v>
      </c>
      <c r="X44" s="381">
        <f t="shared" si="136"/>
        <v>-4.5722505786417456E-3</v>
      </c>
      <c r="Y44" s="381">
        <f t="shared" si="136"/>
        <v>9.5322122401409359E-2</v>
      </c>
      <c r="Z44" s="381">
        <f t="shared" si="136"/>
        <v>8.5638930148492998E-2</v>
      </c>
      <c r="AA44" s="381">
        <f t="shared" si="136"/>
        <v>7.6099621986181587E-2</v>
      </c>
      <c r="AB44" s="381">
        <f t="shared" si="136"/>
        <v>6.9283093439962196E-2</v>
      </c>
      <c r="AC44" s="381">
        <f t="shared" si="136"/>
        <v>6.4337682956968179E-2</v>
      </c>
      <c r="AD44" s="381">
        <f t="shared" ref="AD44" si="137">AD43/AC43-1</f>
        <v>6.0710124058144688E-2</v>
      </c>
      <c r="AE44" s="381">
        <f t="shared" ref="AE44" si="138">AE43/AD43-1</f>
        <v>5.8027729951637852E-2</v>
      </c>
      <c r="AF44" s="381">
        <f t="shared" ref="AF44:AG44" si="139">AF43/AE43-1</f>
        <v>5.6032407505069548E-2</v>
      </c>
      <c r="AG44" s="381">
        <f t="shared" si="139"/>
        <v>5.4541594892825396E-2</v>
      </c>
    </row>
    <row r="45" spans="1:33" s="312" customFormat="1" x14ac:dyDescent="0.4">
      <c r="A45" s="404" t="s">
        <v>367</v>
      </c>
      <c r="B45" s="1682" t="s">
        <v>29</v>
      </c>
      <c r="C45" s="381"/>
      <c r="D45" s="381">
        <f t="shared" ref="D45:AC45" si="140">D43/D6</f>
        <v>4.6670242643035931E-2</v>
      </c>
      <c r="E45" s="381">
        <f t="shared" si="140"/>
        <v>3.2454848743221951E-2</v>
      </c>
      <c r="F45" s="381">
        <f t="shared" si="140"/>
        <v>3.6800066369242504E-2</v>
      </c>
      <c r="G45" s="381">
        <f t="shared" si="140"/>
        <v>5.0714760238061117E-2</v>
      </c>
      <c r="H45" s="381">
        <f t="shared" si="140"/>
        <v>6.3365752406577033E-2</v>
      </c>
      <c r="I45" s="381">
        <f t="shared" si="140"/>
        <v>7.3198512071589242E-2</v>
      </c>
      <c r="J45" s="381">
        <f t="shared" si="140"/>
        <v>7.0616127634458209E-2</v>
      </c>
      <c r="K45" s="381">
        <f t="shared" si="140"/>
        <v>7.2652643606495343E-2</v>
      </c>
      <c r="L45" s="381">
        <f t="shared" si="140"/>
        <v>6.6133241703870971E-2</v>
      </c>
      <c r="M45" s="381">
        <f t="shared" si="140"/>
        <v>6.3967863323625404E-2</v>
      </c>
      <c r="N45" s="381">
        <f t="shared" si="140"/>
        <v>5.0845538657785641E-2</v>
      </c>
      <c r="O45" s="381">
        <f t="shared" si="140"/>
        <v>6.3027909102619975E-2</v>
      </c>
      <c r="P45" s="381">
        <f t="shared" si="140"/>
        <v>8.1090952359824303E-2</v>
      </c>
      <c r="Q45" s="381">
        <f t="shared" si="140"/>
        <v>6.101860346390011E-2</v>
      </c>
      <c r="R45" s="381">
        <f t="shared" si="140"/>
        <v>5.2289902139827864E-2</v>
      </c>
      <c r="S45" s="381">
        <f t="shared" si="140"/>
        <v>4.315512655957051E-2</v>
      </c>
      <c r="T45" s="381">
        <f t="shared" si="140"/>
        <v>4.5702274194512726E-2</v>
      </c>
      <c r="U45" s="381">
        <f t="shared" ref="U45" si="141">U43/U6</f>
        <v>5.0077894079689808E-2</v>
      </c>
      <c r="V45" s="381">
        <f t="shared" si="140"/>
        <v>3.6909487423168262E-2</v>
      </c>
      <c r="W45" s="381">
        <f t="shared" ref="W45" si="142">W43/W6</f>
        <v>3.6832490813447583E-2</v>
      </c>
      <c r="X45" s="381">
        <f t="shared" si="140"/>
        <v>0.04</v>
      </c>
      <c r="Y45" s="381">
        <f t="shared" si="140"/>
        <v>0.04</v>
      </c>
      <c r="Z45" s="381">
        <f t="shared" si="140"/>
        <v>0.04</v>
      </c>
      <c r="AA45" s="381">
        <f t="shared" si="140"/>
        <v>0.04</v>
      </c>
      <c r="AB45" s="381">
        <f t="shared" si="140"/>
        <v>0.04</v>
      </c>
      <c r="AC45" s="381">
        <f t="shared" si="140"/>
        <v>0.04</v>
      </c>
      <c r="AD45" s="381">
        <f t="shared" ref="AD45:AF45" si="143">AD43/AD6</f>
        <v>0.04</v>
      </c>
      <c r="AE45" s="381">
        <f t="shared" si="143"/>
        <v>3.9999999999999994E-2</v>
      </c>
      <c r="AF45" s="381">
        <f t="shared" si="143"/>
        <v>0.04</v>
      </c>
      <c r="AG45" s="381">
        <f t="shared" ref="AG45" si="144">AG43/AG6</f>
        <v>0.04</v>
      </c>
    </row>
    <row r="46" spans="1:33" s="346" customFormat="1" x14ac:dyDescent="0.4">
      <c r="A46" s="370" t="s">
        <v>359</v>
      </c>
      <c r="B46" s="1685" t="s">
        <v>2924</v>
      </c>
      <c r="C46" s="405"/>
      <c r="D46" s="406">
        <v>109.172</v>
      </c>
      <c r="E46" s="406">
        <v>274.07</v>
      </c>
      <c r="F46" s="406">
        <v>282</v>
      </c>
      <c r="G46" s="406">
        <f>+Macau!G18</f>
        <v>89.966999999999999</v>
      </c>
      <c r="H46" s="406">
        <f>+Macau!H18</f>
        <v>25.791</v>
      </c>
      <c r="I46" s="406">
        <f>+Macau!I18</f>
        <v>71.188000000000002</v>
      </c>
      <c r="J46" s="406">
        <f>+Macau!J18</f>
        <v>66.018000000000001</v>
      </c>
      <c r="K46" s="406">
        <f>+Macau!K18</f>
        <v>123.721</v>
      </c>
      <c r="L46" s="406">
        <f>+Macau!L18</f>
        <v>96.334000000000003</v>
      </c>
      <c r="M46" s="406">
        <f>+Macau!M18</f>
        <v>268.60500000000002</v>
      </c>
      <c r="N46" s="406">
        <f>+Macau!N18</f>
        <v>921.42</v>
      </c>
      <c r="O46" s="406">
        <f>+Macau!O18</f>
        <v>866.13699999999994</v>
      </c>
      <c r="P46" s="406">
        <f>+Macau!P18</f>
        <v>752.57</v>
      </c>
      <c r="Q46" s="406">
        <f>+Macau!Q18</f>
        <v>487.166</v>
      </c>
      <c r="R46" s="406">
        <f>+Macau!R18</f>
        <v>536.63</v>
      </c>
      <c r="S46" s="406">
        <f>+Macau!S18</f>
        <v>853.35599999999999</v>
      </c>
      <c r="T46" s="406">
        <f>+Macau!T18</f>
        <v>569.98699999999997</v>
      </c>
      <c r="U46" s="406">
        <f>+Macau!U18</f>
        <v>964.89200000000005</v>
      </c>
      <c r="V46" s="406">
        <f>+Macau!V18</f>
        <v>1194.9860000000001</v>
      </c>
      <c r="W46" s="406">
        <f>+Macau!W18</f>
        <v>770.279</v>
      </c>
      <c r="X46" s="406">
        <f>+Macau!X18</f>
        <v>980.90746371459943</v>
      </c>
      <c r="Y46" s="406">
        <f>+Macau!Y18</f>
        <v>1142.2309968909328</v>
      </c>
      <c r="Z46" s="406">
        <f>+Macau!Z18</f>
        <v>1388.6091686304219</v>
      </c>
      <c r="AA46" s="406">
        <f>+Macau!AA18</f>
        <v>1630.2071563624168</v>
      </c>
      <c r="AB46" s="406">
        <f>+Macau!AB18</f>
        <v>1868.8900652207728</v>
      </c>
      <c r="AC46" s="406">
        <f>+Macau!AC18</f>
        <v>2106.3981958682029</v>
      </c>
      <c r="AD46" s="406">
        <f>+Macau!AD18</f>
        <v>2344.3655944137181</v>
      </c>
      <c r="AE46" s="406">
        <f>+Macau!AE18</f>
        <v>2584.3368511246881</v>
      </c>
      <c r="AF46" s="406">
        <f>+Macau!AF18</f>
        <v>2827.7823579232409</v>
      </c>
      <c r="AG46" s="406">
        <f>+Macau!AG18</f>
        <v>3076.1122125992883</v>
      </c>
    </row>
    <row r="47" spans="1:33" s="419" customFormat="1" x14ac:dyDescent="0.4">
      <c r="A47" s="422" t="s">
        <v>1636</v>
      </c>
      <c r="B47" s="1705" t="s">
        <v>1636</v>
      </c>
      <c r="C47" s="381"/>
      <c r="D47" s="381"/>
      <c r="E47" s="381">
        <f t="shared" ref="E47:AC47" si="145">E46/D46-1</f>
        <v>1.5104422379364673</v>
      </c>
      <c r="F47" s="381">
        <f t="shared" si="145"/>
        <v>2.8934213886963267E-2</v>
      </c>
      <c r="G47" s="381">
        <f t="shared" si="145"/>
        <v>-0.68096808510638296</v>
      </c>
      <c r="H47" s="381">
        <f t="shared" si="145"/>
        <v>-0.71332822034746068</v>
      </c>
      <c r="I47" s="381">
        <f t="shared" si="145"/>
        <v>1.7601876623628399</v>
      </c>
      <c r="J47" s="381">
        <f t="shared" si="145"/>
        <v>-7.2624599651626709E-2</v>
      </c>
      <c r="K47" s="381">
        <f t="shared" si="145"/>
        <v>0.87404950165106499</v>
      </c>
      <c r="L47" s="381">
        <f t="shared" si="145"/>
        <v>-0.2213609653979518</v>
      </c>
      <c r="M47" s="381">
        <f t="shared" si="145"/>
        <v>1.7882679012601992</v>
      </c>
      <c r="N47" s="381">
        <f t="shared" si="145"/>
        <v>2.4303903501424022</v>
      </c>
      <c r="O47" s="381">
        <f t="shared" si="145"/>
        <v>-5.9997612380890408E-2</v>
      </c>
      <c r="P47" s="381">
        <f t="shared" si="145"/>
        <v>-0.13111898002279077</v>
      </c>
      <c r="Q47" s="381">
        <f t="shared" si="145"/>
        <v>-0.35266353960428931</v>
      </c>
      <c r="R47" s="381">
        <f t="shared" si="145"/>
        <v>0.10153417931464848</v>
      </c>
      <c r="S47" s="381">
        <f t="shared" si="145"/>
        <v>0.59021299591897591</v>
      </c>
      <c r="T47" s="381">
        <f t="shared" si="145"/>
        <v>-0.33206422641898581</v>
      </c>
      <c r="U47" s="381">
        <f t="shared" si="145"/>
        <v>0.69283159089593283</v>
      </c>
      <c r="V47" s="381">
        <f t="shared" si="145"/>
        <v>0.23846606666860137</v>
      </c>
      <c r="W47" s="381">
        <f t="shared" si="145"/>
        <v>-0.35540751105033874</v>
      </c>
      <c r="X47" s="381">
        <f t="shared" si="145"/>
        <v>0.2734443801721187</v>
      </c>
      <c r="Y47" s="381">
        <f t="shared" si="145"/>
        <v>0.16446355965670523</v>
      </c>
      <c r="Z47" s="381">
        <f t="shared" si="145"/>
        <v>0.21569907699065416</v>
      </c>
      <c r="AA47" s="381">
        <f t="shared" si="145"/>
        <v>0.17398559161918947</v>
      </c>
      <c r="AB47" s="381">
        <f t="shared" si="145"/>
        <v>0.14641262487826645</v>
      </c>
      <c r="AC47" s="381">
        <f t="shared" si="145"/>
        <v>0.12708512665744909</v>
      </c>
      <c r="AD47" s="381">
        <f t="shared" ref="AD47" si="146">AD46/AC46-1</f>
        <v>0.11297360537637147</v>
      </c>
      <c r="AE47" s="381">
        <f t="shared" ref="AE47" si="147">AE46/AD46-1</f>
        <v>0.10236085074904122</v>
      </c>
      <c r="AF47" s="381">
        <f t="shared" ref="AF47:AG47" si="148">AF46/AE46-1</f>
        <v>9.4200377436326255E-2</v>
      </c>
      <c r="AG47" s="381">
        <f t="shared" si="148"/>
        <v>8.7817881026184708E-2</v>
      </c>
    </row>
    <row r="48" spans="1:33" s="312" customFormat="1" x14ac:dyDescent="0.4">
      <c r="A48" s="404" t="s">
        <v>367</v>
      </c>
      <c r="B48" s="1682" t="s">
        <v>29</v>
      </c>
      <c r="C48" s="381"/>
      <c r="D48" s="381">
        <f t="shared" ref="D48:AC48" si="149">D46/D8</f>
        <v>7.0360917762309877E-2</v>
      </c>
      <c r="E48" s="381">
        <f t="shared" si="149"/>
        <v>0.17272063837376528</v>
      </c>
      <c r="F48" s="381">
        <f t="shared" si="149"/>
        <v>0.13569500382544425</v>
      </c>
      <c r="G48" s="381">
        <f t="shared" si="149"/>
        <v>0.22260243467933491</v>
      </c>
      <c r="H48" s="381">
        <f t="shared" si="149"/>
        <v>0.31078736172366422</v>
      </c>
      <c r="I48" s="381">
        <f t="shared" si="149"/>
        <v>0.29285108973778828</v>
      </c>
      <c r="J48" s="381">
        <f t="shared" si="149"/>
        <v>7.3324981007343831E-2</v>
      </c>
      <c r="K48" s="381">
        <f t="shared" si="149"/>
        <v>0.14790546655237918</v>
      </c>
      <c r="L48" s="381">
        <f t="shared" si="149"/>
        <v>4.2703152933708473E-2</v>
      </c>
      <c r="M48" s="381">
        <f t="shared" si="149"/>
        <v>5.0544510048215863E-2</v>
      </c>
      <c r="N48" s="381">
        <f t="shared" si="149"/>
        <v>0.10571617944467283</v>
      </c>
      <c r="O48" s="381">
        <f t="shared" si="149"/>
        <v>0.10748458348990177</v>
      </c>
      <c r="P48" s="381">
        <f t="shared" si="149"/>
        <v>0.10713487488807048</v>
      </c>
      <c r="Q48" s="381">
        <f t="shared" si="149"/>
        <v>0.1037926150405825</v>
      </c>
      <c r="R48" s="381">
        <f t="shared" si="149"/>
        <v>0.11918608847839679</v>
      </c>
      <c r="S48" s="381">
        <f t="shared" si="149"/>
        <v>0.10152594196518865</v>
      </c>
      <c r="T48" s="381">
        <f t="shared" si="149"/>
        <v>5.4069742071961822E-2</v>
      </c>
      <c r="U48" s="381">
        <f t="shared" ref="U48" si="150">U46/U8</f>
        <v>8.9592985968910813E-2</v>
      </c>
      <c r="V48" s="381">
        <f t="shared" si="149"/>
        <v>0.13603997231354906</v>
      </c>
      <c r="W48" s="381">
        <f t="shared" ref="W48" si="151">W46/W8</f>
        <v>0.22733092115359643</v>
      </c>
      <c r="X48" s="381">
        <f t="shared" si="149"/>
        <v>0.22733092115359643</v>
      </c>
      <c r="Y48" s="381">
        <f t="shared" si="149"/>
        <v>0.22733092115359646</v>
      </c>
      <c r="Z48" s="381">
        <f t="shared" si="149"/>
        <v>0.22733092115359643</v>
      </c>
      <c r="AA48" s="381">
        <f t="shared" si="149"/>
        <v>0.22733092115359643</v>
      </c>
      <c r="AB48" s="381">
        <f t="shared" si="149"/>
        <v>0.22733092115359643</v>
      </c>
      <c r="AC48" s="381">
        <f t="shared" si="149"/>
        <v>0.22733092115359643</v>
      </c>
      <c r="AD48" s="381">
        <f t="shared" ref="AD48:AF48" si="152">AD46/AD8</f>
        <v>0.2273309211535964</v>
      </c>
      <c r="AE48" s="381">
        <f t="shared" si="152"/>
        <v>0.2273309211535964</v>
      </c>
      <c r="AF48" s="381">
        <f t="shared" si="152"/>
        <v>0.22733092115359643</v>
      </c>
      <c r="AG48" s="381">
        <f t="shared" ref="AG48" si="153">AG46/AG8</f>
        <v>0.22733092115359643</v>
      </c>
    </row>
    <row r="49" spans="1:33" s="346" customFormat="1" x14ac:dyDescent="0.4">
      <c r="A49" s="370" t="s">
        <v>2241</v>
      </c>
      <c r="B49" s="1685" t="s">
        <v>2930</v>
      </c>
      <c r="C49" s="405"/>
      <c r="D49" s="406">
        <f>Overseas!D13</f>
        <v>14.923999999999999</v>
      </c>
      <c r="E49" s="406">
        <f>Overseas!E13</f>
        <v>78.305999999999997</v>
      </c>
      <c r="F49" s="406">
        <f>Overseas!F13</f>
        <v>61.393000000000029</v>
      </c>
      <c r="G49" s="406">
        <f>Overseas!G13</f>
        <v>-19.032</v>
      </c>
      <c r="H49" s="406">
        <f>Overseas!H13</f>
        <v>-25.04</v>
      </c>
      <c r="I49" s="406">
        <f>Overseas!I13</f>
        <v>-120.301</v>
      </c>
      <c r="J49" s="406">
        <f>Overseas!J13</f>
        <v>-13.782999999999999</v>
      </c>
      <c r="K49" s="406">
        <f>Overseas!K13</f>
        <v>11.095000000000001</v>
      </c>
      <c r="L49" s="406">
        <f>Overseas!L13</f>
        <v>-27.954000000000001</v>
      </c>
      <c r="M49" s="406">
        <f>Overseas!M13</f>
        <v>-16.219000000000001</v>
      </c>
      <c r="N49" s="406">
        <f>Overseas!N13</f>
        <v>-19.11</v>
      </c>
      <c r="O49" s="406">
        <f>Overseas!O13</f>
        <v>3.855</v>
      </c>
      <c r="P49" s="406">
        <f>Overseas!P13</f>
        <v>0</v>
      </c>
      <c r="Q49" s="406">
        <f>Overseas!Q13</f>
        <v>0</v>
      </c>
      <c r="R49" s="406">
        <f>Overseas!R13</f>
        <v>0</v>
      </c>
      <c r="S49" s="406">
        <f>Overseas!S13</f>
        <v>0</v>
      </c>
      <c r="T49" s="406">
        <f>Overseas!T13</f>
        <v>0</v>
      </c>
      <c r="U49" s="406">
        <f>Overseas!U13</f>
        <v>0</v>
      </c>
      <c r="V49" s="406">
        <f>Overseas!V13</f>
        <v>0</v>
      </c>
      <c r="W49" s="406">
        <f>Overseas!W13</f>
        <v>0</v>
      </c>
      <c r="X49" s="406">
        <f>Overseas!X13</f>
        <v>0</v>
      </c>
      <c r="Y49" s="406">
        <f>Overseas!Y13</f>
        <v>0</v>
      </c>
      <c r="Z49" s="406">
        <f>Overseas!Z13</f>
        <v>0</v>
      </c>
      <c r="AA49" s="406">
        <f>Overseas!AA13</f>
        <v>0</v>
      </c>
      <c r="AB49" s="406">
        <f>Overseas!AB13</f>
        <v>0</v>
      </c>
      <c r="AC49" s="406">
        <f>Overseas!AC13</f>
        <v>0</v>
      </c>
      <c r="AD49" s="406">
        <f>Overseas!AD13</f>
        <v>0</v>
      </c>
      <c r="AE49" s="406">
        <f>Overseas!AE13</f>
        <v>0</v>
      </c>
      <c r="AF49" s="406">
        <f>Overseas!AF13</f>
        <v>0</v>
      </c>
      <c r="AG49" s="406">
        <f>Overseas!AG13</f>
        <v>0</v>
      </c>
    </row>
    <row r="50" spans="1:33" s="419" customFormat="1" x14ac:dyDescent="0.4">
      <c r="A50" s="422" t="s">
        <v>1636</v>
      </c>
      <c r="B50" s="1705" t="s">
        <v>1636</v>
      </c>
      <c r="C50" s="381"/>
      <c r="D50" s="381"/>
      <c r="E50" s="381">
        <f t="shared" ref="E50:AC50" si="154">IFERROR(E49/D49-1,"n.a.")</f>
        <v>4.2469847225944788</v>
      </c>
      <c r="F50" s="381">
        <f t="shared" si="154"/>
        <v>-0.21598600362679699</v>
      </c>
      <c r="G50" s="381">
        <f t="shared" si="154"/>
        <v>-1.3100027690453309</v>
      </c>
      <c r="H50" s="381">
        <f t="shared" si="154"/>
        <v>0.31567885666246309</v>
      </c>
      <c r="I50" s="381">
        <f t="shared" si="154"/>
        <v>3.8043530351437704</v>
      </c>
      <c r="J50" s="381">
        <f t="shared" si="154"/>
        <v>-0.88542904880258688</v>
      </c>
      <c r="K50" s="381">
        <f t="shared" si="154"/>
        <v>-1.8049771457592687</v>
      </c>
      <c r="L50" s="381">
        <f t="shared" si="154"/>
        <v>-3.5195132942767011</v>
      </c>
      <c r="M50" s="381">
        <f t="shared" si="154"/>
        <v>-0.41979680904342842</v>
      </c>
      <c r="N50" s="381">
        <f t="shared" si="154"/>
        <v>0.17824773413897277</v>
      </c>
      <c r="O50" s="381">
        <f t="shared" si="154"/>
        <v>-1.2017268445839875</v>
      </c>
      <c r="P50" s="381">
        <f t="shared" si="154"/>
        <v>-1</v>
      </c>
      <c r="Q50" s="381" t="str">
        <f t="shared" si="154"/>
        <v>n.a.</v>
      </c>
      <c r="R50" s="381" t="str">
        <f t="shared" si="154"/>
        <v>n.a.</v>
      </c>
      <c r="S50" s="381" t="str">
        <f t="shared" si="154"/>
        <v>n.a.</v>
      </c>
      <c r="T50" s="381" t="str">
        <f t="shared" si="154"/>
        <v>n.a.</v>
      </c>
      <c r="U50" s="381" t="str">
        <f t="shared" si="154"/>
        <v>n.a.</v>
      </c>
      <c r="V50" s="381" t="str">
        <f t="shared" si="154"/>
        <v>n.a.</v>
      </c>
      <c r="W50" s="381" t="str">
        <f t="shared" si="154"/>
        <v>n.a.</v>
      </c>
      <c r="X50" s="381" t="str">
        <f t="shared" si="154"/>
        <v>n.a.</v>
      </c>
      <c r="Y50" s="381" t="str">
        <f t="shared" si="154"/>
        <v>n.a.</v>
      </c>
      <c r="Z50" s="381" t="str">
        <f t="shared" si="154"/>
        <v>n.a.</v>
      </c>
      <c r="AA50" s="381" t="str">
        <f t="shared" si="154"/>
        <v>n.a.</v>
      </c>
      <c r="AB50" s="381" t="str">
        <f t="shared" si="154"/>
        <v>n.a.</v>
      </c>
      <c r="AC50" s="381" t="str">
        <f t="shared" si="154"/>
        <v>n.a.</v>
      </c>
      <c r="AD50" s="381" t="str">
        <f t="shared" ref="AD50" si="155">IFERROR(AD49/AC49-1,"n.a.")</f>
        <v>n.a.</v>
      </c>
      <c r="AE50" s="381" t="str">
        <f t="shared" ref="AE50" si="156">IFERROR(AE49/AD49-1,"n.a.")</f>
        <v>n.a.</v>
      </c>
      <c r="AF50" s="381" t="str">
        <f t="shared" ref="AF50:AG50" si="157">IFERROR(AF49/AE49-1,"n.a.")</f>
        <v>n.a.</v>
      </c>
      <c r="AG50" s="381" t="str">
        <f t="shared" si="157"/>
        <v>n.a.</v>
      </c>
    </row>
    <row r="51" spans="1:33" s="312" customFormat="1" x14ac:dyDescent="0.4">
      <c r="A51" s="404" t="s">
        <v>367</v>
      </c>
      <c r="B51" s="1682" t="s">
        <v>29</v>
      </c>
      <c r="C51" s="381"/>
      <c r="D51" s="381">
        <f t="shared" ref="D51:AC51" si="158">IFERROR(D49/D10,"n.a.")</f>
        <v>1.1952127421018572E-2</v>
      </c>
      <c r="E51" s="381">
        <f t="shared" si="158"/>
        <v>3.239977011579858E-2</v>
      </c>
      <c r="F51" s="381">
        <f t="shared" si="158"/>
        <v>3.2834888533166767E-2</v>
      </c>
      <c r="G51" s="381">
        <f t="shared" si="158"/>
        <v>-1.943401197164546E-2</v>
      </c>
      <c r="H51" s="381">
        <f t="shared" si="158"/>
        <v>-2.9880062098978897E-2</v>
      </c>
      <c r="I51" s="381">
        <f t="shared" si="158"/>
        <v>1.0126346801346802</v>
      </c>
      <c r="J51" s="381">
        <f t="shared" si="158"/>
        <v>-0.2373269508919347</v>
      </c>
      <c r="K51" s="381">
        <f t="shared" si="158"/>
        <v>0.69218291846029079</v>
      </c>
      <c r="L51" s="381" t="str">
        <f t="shared" si="158"/>
        <v>n.a.</v>
      </c>
      <c r="M51" s="381" t="str">
        <f t="shared" si="158"/>
        <v>n.a.</v>
      </c>
      <c r="N51" s="381" t="str">
        <f t="shared" si="158"/>
        <v>n.a.</v>
      </c>
      <c r="O51" s="381" t="str">
        <f t="shared" si="158"/>
        <v>n.a.</v>
      </c>
      <c r="P51" s="381" t="str">
        <f t="shared" si="158"/>
        <v>n.a.</v>
      </c>
      <c r="Q51" s="381" t="str">
        <f t="shared" si="158"/>
        <v>n.a.</v>
      </c>
      <c r="R51" s="381" t="str">
        <f t="shared" si="158"/>
        <v>n.a.</v>
      </c>
      <c r="S51" s="381" t="str">
        <f t="shared" si="158"/>
        <v>n.a.</v>
      </c>
      <c r="T51" s="381" t="str">
        <f t="shared" si="158"/>
        <v>n.a.</v>
      </c>
      <c r="U51" s="381" t="str">
        <f t="shared" ref="U51" si="159">IFERROR(U49/U10,"n.a.")</f>
        <v>n.a.</v>
      </c>
      <c r="V51" s="381" t="str">
        <f t="shared" si="158"/>
        <v>n.a.</v>
      </c>
      <c r="W51" s="381" t="str">
        <f t="shared" ref="W51" si="160">IFERROR(W49/W10,"n.a.")</f>
        <v>n.a.</v>
      </c>
      <c r="X51" s="381" t="str">
        <f t="shared" si="158"/>
        <v>n.a.</v>
      </c>
      <c r="Y51" s="381" t="str">
        <f t="shared" si="158"/>
        <v>n.a.</v>
      </c>
      <c r="Z51" s="381" t="str">
        <f t="shared" si="158"/>
        <v>n.a.</v>
      </c>
      <c r="AA51" s="381" t="str">
        <f t="shared" si="158"/>
        <v>n.a.</v>
      </c>
      <c r="AB51" s="381" t="str">
        <f t="shared" si="158"/>
        <v>n.a.</v>
      </c>
      <c r="AC51" s="381" t="str">
        <f t="shared" si="158"/>
        <v>n.a.</v>
      </c>
      <c r="AD51" s="381" t="str">
        <f t="shared" ref="AD51:AF51" si="161">IFERROR(AD49/AD10,"n.a.")</f>
        <v>n.a.</v>
      </c>
      <c r="AE51" s="381" t="str">
        <f t="shared" si="161"/>
        <v>n.a.</v>
      </c>
      <c r="AF51" s="381" t="str">
        <f t="shared" si="161"/>
        <v>n.a.</v>
      </c>
      <c r="AG51" s="381" t="str">
        <f t="shared" ref="AG51" si="162">IFERROR(AG49/AG10,"n.a.")</f>
        <v>n.a.</v>
      </c>
    </row>
    <row r="52" spans="1:33" s="346" customFormat="1" x14ac:dyDescent="0.4">
      <c r="A52" s="370" t="s">
        <v>368</v>
      </c>
      <c r="B52" s="1685" t="s">
        <v>143</v>
      </c>
      <c r="C52" s="405"/>
      <c r="D52" s="406">
        <v>68.894000000000005</v>
      </c>
      <c r="E52" s="406">
        <v>298.904</v>
      </c>
      <c r="F52" s="406">
        <v>338</v>
      </c>
      <c r="G52" s="406">
        <f>+'MainLand China'!G42</f>
        <v>364.767</v>
      </c>
      <c r="H52" s="406">
        <f>+'MainLand China'!H42</f>
        <v>919.94299999999998</v>
      </c>
      <c r="I52" s="406">
        <f>+'MainLand China'!I42</f>
        <v>1209.9079999999999</v>
      </c>
      <c r="J52" s="406">
        <f>+'MainLand China'!J42</f>
        <v>1770.463</v>
      </c>
      <c r="K52" s="406">
        <f>+'MainLand China'!K42</f>
        <v>2792.3780000000002</v>
      </c>
      <c r="L52" s="406">
        <f>+'MainLand China'!L42</f>
        <v>3575.4929999999999</v>
      </c>
      <c r="M52" s="406">
        <f>+'MainLand China'!M42</f>
        <v>3635.761</v>
      </c>
      <c r="N52" s="406">
        <f>+'MainLand China'!N42</f>
        <v>4027.989</v>
      </c>
      <c r="O52" s="406">
        <f>+'MainLand China'!O42</f>
        <v>5362.2849999999999</v>
      </c>
      <c r="P52" s="406">
        <f>+'MainLand China'!P42</f>
        <v>6384.0590000000002</v>
      </c>
      <c r="Q52" s="406">
        <f>+'MainLand China'!Q42</f>
        <v>6832.2380000000003</v>
      </c>
      <c r="R52" s="406">
        <f>+'MainLand China'!R42</f>
        <v>7087.3530000000001</v>
      </c>
      <c r="S52" s="406">
        <f>+'MainLand China'!S42</f>
        <v>9432.7790000000005</v>
      </c>
      <c r="T52" s="406">
        <f>+'MainLand China'!T42</f>
        <v>11014.847</v>
      </c>
      <c r="U52" s="406">
        <f>+'MainLand China'!U42</f>
        <v>12854.8</v>
      </c>
      <c r="V52" s="406">
        <f>+'MainLand China'!V42</f>
        <v>14167.558000000001</v>
      </c>
      <c r="W52" s="406">
        <f>+'MainLand China'!W42</f>
        <v>13331.32</v>
      </c>
      <c r="X52" s="406">
        <f>+'MainLand China'!X42</f>
        <v>14249.133119999999</v>
      </c>
      <c r="Y52" s="406">
        <f>+'MainLand China'!Y42</f>
        <v>15391.3853151</v>
      </c>
      <c r="Z52" s="406">
        <f>+'MainLand China'!Z42</f>
        <v>15961.511790913997</v>
      </c>
      <c r="AA52" s="406">
        <f>+'MainLand China'!AA42</f>
        <v>17645.599297039502</v>
      </c>
      <c r="AB52" s="406">
        <f>+'MainLand China'!AB42</f>
        <v>19188.608558219919</v>
      </c>
      <c r="AC52" s="406">
        <f>+'MainLand China'!AC42</f>
        <v>20608.395191972475</v>
      </c>
      <c r="AD52" s="406">
        <f>+'MainLand China'!AD42</f>
        <v>21919.336889287351</v>
      </c>
      <c r="AE52" s="406">
        <f>+'MainLand China'!AE42</f>
        <v>23132.904498998148</v>
      </c>
      <c r="AF52" s="406">
        <f>+'MainLand China'!AF42</f>
        <v>24258.147120342368</v>
      </c>
      <c r="AG52" s="406">
        <f>+'MainLand China'!AG42</f>
        <v>25302.104930515903</v>
      </c>
    </row>
    <row r="53" spans="1:33" s="419" customFormat="1" x14ac:dyDescent="0.4">
      <c r="A53" s="422" t="s">
        <v>1636</v>
      </c>
      <c r="B53" s="1705" t="s">
        <v>1636</v>
      </c>
      <c r="C53" s="381"/>
      <c r="D53" s="381"/>
      <c r="E53" s="381">
        <f t="shared" ref="E53:AC53" si="163">E52/D52-1</f>
        <v>3.3386071355996165</v>
      </c>
      <c r="F53" s="381">
        <f t="shared" si="163"/>
        <v>0.13079784813853279</v>
      </c>
      <c r="G53" s="381">
        <f t="shared" si="163"/>
        <v>7.9192307692307784E-2</v>
      </c>
      <c r="H53" s="381">
        <f t="shared" si="163"/>
        <v>1.5220017161640169</v>
      </c>
      <c r="I53" s="381">
        <f t="shared" si="163"/>
        <v>0.31519887645212785</v>
      </c>
      <c r="J53" s="381">
        <f t="shared" si="163"/>
        <v>0.46330382144758131</v>
      </c>
      <c r="K53" s="381">
        <f t="shared" si="163"/>
        <v>0.57720212170488749</v>
      </c>
      <c r="L53" s="381">
        <f t="shared" si="163"/>
        <v>0.2804473463119963</v>
      </c>
      <c r="M53" s="381">
        <f t="shared" si="163"/>
        <v>1.6855857360089876E-2</v>
      </c>
      <c r="N53" s="381">
        <f t="shared" si="163"/>
        <v>0.10788057850887345</v>
      </c>
      <c r="O53" s="381">
        <f t="shared" si="163"/>
        <v>0.33125611812743272</v>
      </c>
      <c r="P53" s="381">
        <f t="shared" si="163"/>
        <v>0.19054824575717255</v>
      </c>
      <c r="Q53" s="381">
        <f t="shared" si="163"/>
        <v>7.0202828639271742E-2</v>
      </c>
      <c r="R53" s="381">
        <f t="shared" si="163"/>
        <v>3.7339887749811895E-2</v>
      </c>
      <c r="S53" s="381">
        <f t="shared" si="163"/>
        <v>0.33093116710851</v>
      </c>
      <c r="T53" s="381">
        <f t="shared" si="163"/>
        <v>0.16772024447938394</v>
      </c>
      <c r="U53" s="381">
        <f t="shared" si="163"/>
        <v>0.16704299206334872</v>
      </c>
      <c r="V53" s="381">
        <f t="shared" si="163"/>
        <v>0.10212200889939949</v>
      </c>
      <c r="W53" s="381">
        <f t="shared" si="163"/>
        <v>-5.9024851001139411E-2</v>
      </c>
      <c r="X53" s="381">
        <f t="shared" si="163"/>
        <v>6.8846379803350288E-2</v>
      </c>
      <c r="Y53" s="381">
        <f t="shared" si="163"/>
        <v>8.0162925385035777E-2</v>
      </c>
      <c r="Z53" s="381">
        <f t="shared" si="163"/>
        <v>3.7041920798036587E-2</v>
      </c>
      <c r="AA53" s="381">
        <f t="shared" si="163"/>
        <v>0.10550927306799118</v>
      </c>
      <c r="AB53" s="381">
        <f t="shared" si="163"/>
        <v>8.7444423689214013E-2</v>
      </c>
      <c r="AC53" s="381">
        <f t="shared" si="163"/>
        <v>7.399111975445205E-2</v>
      </c>
      <c r="AD53" s="381">
        <f t="shared" ref="AD53" si="164">AD52/AC52-1</f>
        <v>6.3612022435668436E-2</v>
      </c>
      <c r="AE53" s="381">
        <f t="shared" ref="AE53" si="165">AE52/AD52-1</f>
        <v>5.5365160718155781E-2</v>
      </c>
      <c r="AF53" s="381">
        <f t="shared" ref="AF53:AG53" si="166">AF52/AE52-1</f>
        <v>4.8642513584619351E-2</v>
      </c>
      <c r="AG53" s="381">
        <f t="shared" si="166"/>
        <v>4.3035348289156561E-2</v>
      </c>
    </row>
    <row r="54" spans="1:33" s="312" customFormat="1" x14ac:dyDescent="0.4">
      <c r="A54" s="404" t="s">
        <v>367</v>
      </c>
      <c r="B54" s="1682" t="s">
        <v>29</v>
      </c>
      <c r="C54" s="381"/>
      <c r="D54" s="381">
        <f t="shared" ref="D54:AC54" si="167">D52/D12</f>
        <v>8.1515733078392077E-2</v>
      </c>
      <c r="E54" s="381">
        <f t="shared" si="167"/>
        <v>0.39000585849070146</v>
      </c>
      <c r="F54" s="381">
        <f t="shared" si="167"/>
        <v>0.32124910777337301</v>
      </c>
      <c r="G54" s="381">
        <f t="shared" si="167"/>
        <v>0.17089275649936123</v>
      </c>
      <c r="H54" s="381">
        <f t="shared" si="167"/>
        <v>0.19064939414292917</v>
      </c>
      <c r="I54" s="381">
        <f t="shared" si="167"/>
        <v>0.16030902510391729</v>
      </c>
      <c r="J54" s="381">
        <f t="shared" si="167"/>
        <v>0.20096173066115805</v>
      </c>
      <c r="K54" s="381">
        <f t="shared" si="167"/>
        <v>0.2000531731252336</v>
      </c>
      <c r="L54" s="381">
        <f t="shared" si="167"/>
        <v>0.23042559571626026</v>
      </c>
      <c r="M54" s="381">
        <f t="shared" si="167"/>
        <v>0.24849675552353834</v>
      </c>
      <c r="N54" s="381">
        <f t="shared" si="167"/>
        <v>0.22053544268285713</v>
      </c>
      <c r="O54" s="381">
        <f t="shared" si="167"/>
        <v>0.215787393189006</v>
      </c>
      <c r="P54" s="381">
        <f t="shared" si="167"/>
        <v>0.20848776411186062</v>
      </c>
      <c r="Q54" s="381">
        <f t="shared" si="167"/>
        <v>0.21393828245858629</v>
      </c>
      <c r="R54" s="381">
        <f t="shared" si="167"/>
        <v>0.21908574911229406</v>
      </c>
      <c r="S54" s="381">
        <f t="shared" si="167"/>
        <v>0.23273902849596312</v>
      </c>
      <c r="T54" s="381">
        <f t="shared" si="167"/>
        <v>0.22649785326814931</v>
      </c>
      <c r="U54" s="381">
        <f t="shared" ref="U54" si="168">U52/U12</f>
        <v>0.19422413608538283</v>
      </c>
      <c r="V54" s="381">
        <f t="shared" si="167"/>
        <v>0.23448764448405804</v>
      </c>
      <c r="W54" s="381">
        <f t="shared" ref="W54" si="169">W52/W12</f>
        <v>0.248721487315434</v>
      </c>
      <c r="X54" s="381">
        <f t="shared" si="167"/>
        <v>0.24</v>
      </c>
      <c r="Y54" s="381">
        <f t="shared" si="167"/>
        <v>0.23499999999999999</v>
      </c>
      <c r="Z54" s="381">
        <f t="shared" si="167"/>
        <v>0.22999999999999998</v>
      </c>
      <c r="AA54" s="381">
        <f t="shared" si="167"/>
        <v>0.22999999999999998</v>
      </c>
      <c r="AB54" s="381">
        <f t="shared" si="167"/>
        <v>0.22999999999999998</v>
      </c>
      <c r="AC54" s="381">
        <f t="shared" si="167"/>
        <v>0.22999999999999998</v>
      </c>
      <c r="AD54" s="381">
        <f t="shared" ref="AD54:AF54" si="170">AD52/AD12</f>
        <v>0.22999999999999998</v>
      </c>
      <c r="AE54" s="381">
        <f t="shared" si="170"/>
        <v>0.22999999999999998</v>
      </c>
      <c r="AF54" s="381">
        <f t="shared" si="170"/>
        <v>0.22999999999999998</v>
      </c>
      <c r="AG54" s="381">
        <f t="shared" ref="AG54" si="171">AG52/AG12</f>
        <v>0.22999999999999998</v>
      </c>
    </row>
    <row r="55" spans="1:33" s="346" customFormat="1" x14ac:dyDescent="0.4">
      <c r="A55" s="370" t="s">
        <v>2242</v>
      </c>
      <c r="B55" s="1685" t="s">
        <v>2992</v>
      </c>
      <c r="C55" s="405"/>
      <c r="D55" s="406"/>
      <c r="E55" s="406"/>
      <c r="F55" s="406"/>
      <c r="G55" s="406"/>
      <c r="H55" s="406"/>
      <c r="I55" s="406"/>
      <c r="J55" s="406">
        <f>CSCD!C18</f>
        <v>112.467</v>
      </c>
      <c r="K55" s="406">
        <f>CSCD!D18</f>
        <v>9.83</v>
      </c>
      <c r="L55" s="406">
        <f>CSCD!E18</f>
        <v>88.388999999999996</v>
      </c>
      <c r="M55" s="406">
        <f>CSCD!F18</f>
        <v>184.06700000000001</v>
      </c>
      <c r="N55" s="406">
        <f>CSCD!G18</f>
        <v>158.44200000000001</v>
      </c>
      <c r="O55" s="406">
        <f>CSCD!H18</f>
        <v>436.5</v>
      </c>
      <c r="P55" s="406">
        <f>CSCD!I18</f>
        <v>353.54300000000001</v>
      </c>
      <c r="Q55" s="406">
        <f>CSCD!J18</f>
        <v>609.20900000000006</v>
      </c>
      <c r="R55" s="406">
        <f>CSCD!K18</f>
        <v>488.678</v>
      </c>
      <c r="S55" s="406">
        <f>CSCD!L18</f>
        <v>667.60400000000004</v>
      </c>
      <c r="T55" s="406">
        <f>CSCD!M18</f>
        <v>732.92200000000003</v>
      </c>
      <c r="U55" s="406">
        <f>CSCD!N18</f>
        <v>975.71799999999996</v>
      </c>
      <c r="V55" s="406">
        <f>CSCD!O18</f>
        <v>967.49400000000003</v>
      </c>
      <c r="W55" s="406">
        <f>CSCD!P18</f>
        <v>415.87799999999999</v>
      </c>
      <c r="X55" s="406">
        <f>CSCD!Q18</f>
        <v>385.45437606701233</v>
      </c>
      <c r="Y55" s="406">
        <f>CSCD!R18</f>
        <v>422.19422744887692</v>
      </c>
      <c r="Z55" s="406">
        <f>CSCD!S18</f>
        <v>454.43887237851743</v>
      </c>
      <c r="AA55" s="406">
        <f>CSCD!T18</f>
        <v>484.75582343181878</v>
      </c>
      <c r="AB55" s="406">
        <f>CSCD!U18</f>
        <v>515.46558188584436</v>
      </c>
      <c r="AC55" s="406">
        <f>CSCD!V18</f>
        <v>546.75384709000184</v>
      </c>
      <c r="AD55" s="406">
        <f>CSCD!W18</f>
        <v>578.79104895447074</v>
      </c>
      <c r="AE55" s="406">
        <f>CSCD!X18</f>
        <v>611.73521522973931</v>
      </c>
      <c r="AF55" s="406">
        <f>CSCD!Y18</f>
        <v>645.73444528695768</v>
      </c>
      <c r="AG55" s="406">
        <f>CSCD!Z18</f>
        <v>680.9290501077237</v>
      </c>
    </row>
    <row r="56" spans="1:33" s="419" customFormat="1" x14ac:dyDescent="0.4">
      <c r="A56" s="422" t="s">
        <v>1636</v>
      </c>
      <c r="B56" s="1705" t="s">
        <v>1636</v>
      </c>
      <c r="C56" s="381"/>
      <c r="D56" s="381"/>
      <c r="E56" s="381"/>
      <c r="F56" s="381"/>
      <c r="G56" s="381"/>
      <c r="H56" s="381"/>
      <c r="I56" s="381"/>
      <c r="J56" s="381"/>
      <c r="K56" s="381"/>
      <c r="L56" s="381"/>
      <c r="M56" s="381">
        <f t="shared" ref="M56:AC56" si="172">M55/L55-1</f>
        <v>1.082465012614692</v>
      </c>
      <c r="N56" s="381">
        <f t="shared" si="172"/>
        <v>-0.13921561170660679</v>
      </c>
      <c r="O56" s="381">
        <f t="shared" si="172"/>
        <v>1.7549513386602036</v>
      </c>
      <c r="P56" s="381">
        <f t="shared" si="172"/>
        <v>-0.19005040091638026</v>
      </c>
      <c r="Q56" s="381">
        <f t="shared" si="172"/>
        <v>0.72315390207131824</v>
      </c>
      <c r="R56" s="381">
        <f t="shared" si="172"/>
        <v>-0.19784835746024776</v>
      </c>
      <c r="S56" s="381">
        <f t="shared" si="172"/>
        <v>0.36614294075035114</v>
      </c>
      <c r="T56" s="381">
        <f t="shared" si="172"/>
        <v>9.7839437750522729E-2</v>
      </c>
      <c r="U56" s="381">
        <f t="shared" si="172"/>
        <v>0.33127126761101455</v>
      </c>
      <c r="V56" s="381">
        <f t="shared" si="172"/>
        <v>-8.428664839636002E-3</v>
      </c>
      <c r="W56" s="381">
        <f t="shared" si="172"/>
        <v>-0.57014927224354883</v>
      </c>
      <c r="X56" s="381">
        <f t="shared" si="172"/>
        <v>-7.3155165536497813E-2</v>
      </c>
      <c r="Y56" s="381">
        <f t="shared" si="172"/>
        <v>9.5315694056298028E-2</v>
      </c>
      <c r="Z56" s="381">
        <f t="shared" si="172"/>
        <v>7.6373959739999053E-2</v>
      </c>
      <c r="AA56" s="381">
        <f t="shared" si="172"/>
        <v>6.6712935217499103E-2</v>
      </c>
      <c r="AB56" s="381">
        <f t="shared" si="172"/>
        <v>6.335098408228812E-2</v>
      </c>
      <c r="AC56" s="381">
        <f t="shared" si="172"/>
        <v>6.0699038507456837E-2</v>
      </c>
      <c r="AD56" s="381">
        <f t="shared" ref="AD56" si="173">AD55/AC55-1</f>
        <v>5.8595292991500791E-2</v>
      </c>
      <c r="AE56" s="381">
        <f t="shared" ref="AE56" si="174">AE55/AD55-1</f>
        <v>5.6918928402191149E-2</v>
      </c>
      <c r="AF56" s="381">
        <f t="shared" ref="AF56:AG56" si="175">AF55/AE55-1</f>
        <v>5.5578343719267176E-2</v>
      </c>
      <c r="AG56" s="381">
        <f t="shared" si="175"/>
        <v>5.4503217348310873E-2</v>
      </c>
    </row>
    <row r="57" spans="1:33" s="312" customFormat="1" x14ac:dyDescent="0.4">
      <c r="A57" s="404" t="s">
        <v>367</v>
      </c>
      <c r="B57" s="1682" t="s">
        <v>29</v>
      </c>
      <c r="C57" s="381"/>
      <c r="D57" s="381"/>
      <c r="E57" s="381"/>
      <c r="F57" s="381"/>
      <c r="G57" s="381"/>
      <c r="H57" s="381"/>
      <c r="I57" s="381"/>
      <c r="J57" s="381">
        <f t="shared" ref="J57:AC57" si="176">J55/J14</f>
        <v>0.10676267051441481</v>
      </c>
      <c r="K57" s="381">
        <f t="shared" si="176"/>
        <v>7.3312470727217947E-3</v>
      </c>
      <c r="L57" s="381">
        <f t="shared" si="176"/>
        <v>6.3956475241277608E-2</v>
      </c>
      <c r="M57" s="381">
        <f t="shared" si="176"/>
        <v>0.1031545971149643</v>
      </c>
      <c r="N57" s="381">
        <f t="shared" si="176"/>
        <v>9.6517812379879664E-2</v>
      </c>
      <c r="O57" s="381">
        <f t="shared" si="176"/>
        <v>0.19563560056992035</v>
      </c>
      <c r="P57" s="381">
        <f t="shared" si="176"/>
        <v>0.1138350201513387</v>
      </c>
      <c r="Q57" s="381">
        <f t="shared" si="176"/>
        <v>0.16832223450820077</v>
      </c>
      <c r="R57" s="381">
        <f t="shared" si="176"/>
        <v>0.1526654551600404</v>
      </c>
      <c r="S57" s="381">
        <f t="shared" si="176"/>
        <v>0.14735495468133911</v>
      </c>
      <c r="T57" s="381">
        <f t="shared" si="176"/>
        <v>0.13115627725629805</v>
      </c>
      <c r="U57" s="381">
        <f t="shared" ref="U57" si="177">U55/U14</f>
        <v>0.16379580242598646</v>
      </c>
      <c r="V57" s="381">
        <f t="shared" si="176"/>
        <v>0.20086008093413907</v>
      </c>
      <c r="W57" s="381">
        <f t="shared" ref="W57" si="178">W55/W14</f>
        <v>0.11218751601703808</v>
      </c>
      <c r="X57" s="381">
        <f t="shared" si="176"/>
        <v>0.11218751601703808</v>
      </c>
      <c r="Y57" s="381">
        <f t="shared" si="176"/>
        <v>0.11218751601703808</v>
      </c>
      <c r="Z57" s="381">
        <f t="shared" si="176"/>
        <v>0.11218751601703808</v>
      </c>
      <c r="AA57" s="381">
        <f t="shared" si="176"/>
        <v>0.11218751601703808</v>
      </c>
      <c r="AB57" s="381">
        <f t="shared" si="176"/>
        <v>0.11218751601703809</v>
      </c>
      <c r="AC57" s="381">
        <f t="shared" si="176"/>
        <v>0.11218751601703807</v>
      </c>
      <c r="AD57" s="381">
        <f t="shared" ref="AD57:AF57" si="179">AD55/AD14</f>
        <v>0.11218751601703808</v>
      </c>
      <c r="AE57" s="381">
        <f t="shared" si="179"/>
        <v>0.11218751601703807</v>
      </c>
      <c r="AF57" s="381">
        <f t="shared" si="179"/>
        <v>0.11218751601703808</v>
      </c>
      <c r="AG57" s="381">
        <f t="shared" ref="AG57" si="180">AG55/AG14</f>
        <v>0.11218751601703807</v>
      </c>
    </row>
    <row r="58" spans="1:33" s="346" customFormat="1" x14ac:dyDescent="0.4">
      <c r="A58" s="423" t="s">
        <v>352</v>
      </c>
      <c r="B58" s="1685" t="s">
        <v>351</v>
      </c>
      <c r="C58" s="407"/>
      <c r="D58" s="406">
        <f>D40-SUM(D43,D46,D49,D52,D55)</f>
        <v>-82.316000000000713</v>
      </c>
      <c r="E58" s="406">
        <f>E40-SUM(E43,E46,E49,E52,E55)</f>
        <v>-64.561000000000035</v>
      </c>
      <c r="F58" s="406">
        <f>F40-SUM(F43,F46,F49,F52,F55)</f>
        <v>0</v>
      </c>
      <c r="G58" s="406">
        <v>0</v>
      </c>
      <c r="H58" s="406">
        <v>0</v>
      </c>
      <c r="I58" s="406">
        <v>0</v>
      </c>
      <c r="J58" s="406">
        <v>0</v>
      </c>
      <c r="K58" s="406">
        <v>0</v>
      </c>
      <c r="L58" s="406">
        <v>1</v>
      </c>
      <c r="M58" s="406">
        <v>0</v>
      </c>
      <c r="N58" s="406">
        <v>0</v>
      </c>
      <c r="O58" s="406">
        <v>0</v>
      </c>
      <c r="P58" s="406">
        <v>0</v>
      </c>
      <c r="Q58" s="406">
        <v>0</v>
      </c>
      <c r="R58" s="406">
        <v>0</v>
      </c>
      <c r="S58" s="406">
        <v>0</v>
      </c>
      <c r="T58" s="406">
        <v>1</v>
      </c>
      <c r="U58" s="406">
        <v>2</v>
      </c>
      <c r="V58" s="406">
        <v>0</v>
      </c>
      <c r="W58" s="406">
        <v>1</v>
      </c>
      <c r="X58" s="406">
        <v>1</v>
      </c>
      <c r="Y58" s="406">
        <v>2</v>
      </c>
      <c r="Z58" s="406">
        <v>2</v>
      </c>
      <c r="AA58" s="406">
        <v>2</v>
      </c>
      <c r="AB58" s="406">
        <v>2</v>
      </c>
      <c r="AC58" s="406">
        <v>2</v>
      </c>
      <c r="AD58" s="406">
        <v>2</v>
      </c>
      <c r="AE58" s="406">
        <v>2</v>
      </c>
      <c r="AF58" s="406">
        <v>2</v>
      </c>
      <c r="AG58" s="406">
        <v>2</v>
      </c>
    </row>
    <row r="59" spans="1:33" s="312" customFormat="1" x14ac:dyDescent="0.4">
      <c r="A59" s="409" t="s">
        <v>1636</v>
      </c>
      <c r="B59" s="1686" t="s">
        <v>1636</v>
      </c>
      <c r="C59" s="411"/>
      <c r="D59" s="411"/>
      <c r="E59" s="411"/>
      <c r="F59" s="411"/>
      <c r="G59" s="411"/>
      <c r="H59" s="411"/>
      <c r="I59" s="411"/>
      <c r="J59" s="411"/>
      <c r="K59" s="411"/>
      <c r="L59" s="411"/>
      <c r="M59" s="411"/>
      <c r="N59" s="424"/>
      <c r="O59" s="424"/>
      <c r="P59" s="424"/>
      <c r="Q59" s="424"/>
      <c r="R59" s="424"/>
      <c r="S59" s="424"/>
      <c r="T59" s="424"/>
      <c r="U59" s="424"/>
      <c r="V59" s="424"/>
      <c r="W59" s="424"/>
      <c r="X59" s="424"/>
      <c r="Y59" s="424"/>
      <c r="Z59" s="424"/>
      <c r="AA59" s="424"/>
      <c r="AB59" s="424"/>
      <c r="AC59" s="424"/>
      <c r="AD59" s="424"/>
      <c r="AE59" s="424"/>
      <c r="AF59" s="424"/>
      <c r="AG59" s="424"/>
    </row>
    <row r="60" spans="1:33" x14ac:dyDescent="0.4">
      <c r="A60" s="323"/>
      <c r="C60" s="425"/>
      <c r="D60" s="425"/>
      <c r="E60" s="425"/>
      <c r="R60" s="325"/>
      <c r="S60" s="325"/>
    </row>
    <row r="61" spans="1:33" x14ac:dyDescent="0.4">
      <c r="A61" s="310" t="s">
        <v>2243</v>
      </c>
      <c r="B61" s="354" t="s">
        <v>3048</v>
      </c>
      <c r="C61" s="426">
        <f>'PL（org）'!D7</f>
        <v>54.051000000000002</v>
      </c>
      <c r="D61" s="426">
        <f>'PL（org）'!E7</f>
        <v>77.742999999999995</v>
      </c>
      <c r="E61" s="426">
        <f>'PL（org）'!F7</f>
        <v>129.86700000000002</v>
      </c>
      <c r="F61" s="426">
        <f>'PL（org）'!G7</f>
        <v>77.986999999999995</v>
      </c>
      <c r="G61" s="426">
        <f>'PL（org）'!H7</f>
        <v>132.42400000000001</v>
      </c>
      <c r="H61" s="426">
        <f>'PL（org）'!I7</f>
        <v>188.88900000000001</v>
      </c>
      <c r="I61" s="426">
        <f>'PL（org）'!J7</f>
        <v>422.315</v>
      </c>
      <c r="J61" s="426">
        <f>'PL（org）'!K7</f>
        <v>371.09000000000003</v>
      </c>
      <c r="K61" s="426">
        <f>'PL（org）'!L7</f>
        <v>436.54199999999997</v>
      </c>
      <c r="L61" s="426">
        <f>'PL（org）'!M7</f>
        <v>475.339</v>
      </c>
      <c r="M61" s="426">
        <f>'PL（org）'!N7</f>
        <v>1159.441</v>
      </c>
      <c r="N61" s="426">
        <f>'PL（org）'!O7</f>
        <v>1260.1199999999999</v>
      </c>
      <c r="O61" s="426">
        <f>'PL（org）'!P7</f>
        <v>747.678</v>
      </c>
      <c r="P61" s="426">
        <f>'PL（org）'!Q7</f>
        <v>-360.25</v>
      </c>
      <c r="Q61" s="426">
        <f>'PL（org）'!R7</f>
        <v>636.75599999999997</v>
      </c>
      <c r="R61" s="426">
        <f>'PL（org）'!S7</f>
        <v>979.16600000000005</v>
      </c>
      <c r="S61" s="426">
        <f>'PL（org）'!T7</f>
        <v>1197.192</v>
      </c>
      <c r="T61" s="426">
        <f>'PL（org）'!U7</f>
        <v>1577.2049999999999</v>
      </c>
      <c r="U61" s="426">
        <f>'PL（org）'!V7</f>
        <v>647.33900000000006</v>
      </c>
      <c r="V61" s="426">
        <f>'PL（org）'!W7</f>
        <v>211.69300000000001</v>
      </c>
      <c r="W61" s="426">
        <f>'PL（org）'!X7</f>
        <v>248.70599999999999</v>
      </c>
      <c r="X61" s="426">
        <f ca="1">SUM(X63,X65,X67,X69,X70,X71)</f>
        <v>293.32769134484329</v>
      </c>
      <c r="Y61" s="426">
        <f ca="1">SUM(Y63,Y65,Y67,Y69,Y70,Y71)</f>
        <v>281.47053400396635</v>
      </c>
      <c r="Z61" s="426">
        <f t="shared" ref="Z61:AG61" ca="1" si="181">SUM(Z63,Z65,Z67,Z69,Z70,Z71)</f>
        <v>287.6334604380462</v>
      </c>
      <c r="AA61" s="426">
        <f t="shared" ca="1" si="181"/>
        <v>259.09480205487023</v>
      </c>
      <c r="AB61" s="426">
        <f t="shared" ca="1" si="181"/>
        <v>241.01489761039568</v>
      </c>
      <c r="AC61" s="426">
        <f t="shared" ca="1" si="181"/>
        <v>227.91105922602239</v>
      </c>
      <c r="AD61" s="426">
        <f t="shared" ca="1" si="181"/>
        <v>222.62783010892679</v>
      </c>
      <c r="AE61" s="426">
        <f t="shared" ca="1" si="181"/>
        <v>239.89059828478952</v>
      </c>
      <c r="AF61" s="426">
        <f t="shared" ca="1" si="181"/>
        <v>264.94252420030335</v>
      </c>
      <c r="AG61" s="426">
        <f t="shared" ca="1" si="181"/>
        <v>296.98729019118912</v>
      </c>
    </row>
    <row r="62" spans="1:33" s="427" customFormat="1" x14ac:dyDescent="0.4">
      <c r="A62" s="348" t="s">
        <v>354</v>
      </c>
      <c r="B62" s="1706" t="s">
        <v>3049</v>
      </c>
      <c r="C62" s="349">
        <f t="shared" ref="C62:X62" si="182">+C61/C4</f>
        <v>7.0523516189185849E-3</v>
      </c>
      <c r="D62" s="349">
        <f t="shared" si="182"/>
        <v>7.5516575025163131E-3</v>
      </c>
      <c r="E62" s="349">
        <f t="shared" si="182"/>
        <v>1.2771725046839101E-2</v>
      </c>
      <c r="F62" s="349">
        <f t="shared" si="182"/>
        <v>7.0759581015306114E-3</v>
      </c>
      <c r="G62" s="349">
        <f t="shared" si="182"/>
        <v>1.1675544291226291E-2</v>
      </c>
      <c r="H62" s="349">
        <f t="shared" si="182"/>
        <v>1.5763250726808294E-2</v>
      </c>
      <c r="I62" s="349">
        <f t="shared" si="182"/>
        <v>2.5783441073925516E-2</v>
      </c>
      <c r="J62" s="349">
        <f t="shared" si="182"/>
        <v>1.6936504879360093E-2</v>
      </c>
      <c r="K62" s="349">
        <f t="shared" si="182"/>
        <v>1.5998976750390866E-2</v>
      </c>
      <c r="L62" s="349">
        <f t="shared" si="182"/>
        <v>1.3802115734587318E-2</v>
      </c>
      <c r="M62" s="349">
        <f t="shared" si="182"/>
        <v>3.0510099027742738E-2</v>
      </c>
      <c r="N62" s="349">
        <f t="shared" si="182"/>
        <v>2.7270892860095375E-2</v>
      </c>
      <c r="O62" s="349">
        <f t="shared" si="182"/>
        <v>1.4908083190389382E-2</v>
      </c>
      <c r="P62" s="349">
        <f t="shared" si="182"/>
        <v>-6.4762526735553019E-3</v>
      </c>
      <c r="Q62" s="349">
        <f t="shared" si="182"/>
        <v>1.032526876498366E-2</v>
      </c>
      <c r="R62" s="349">
        <f t="shared" si="182"/>
        <v>1.5677188813367396E-2</v>
      </c>
      <c r="S62" s="349">
        <f t="shared" si="182"/>
        <v>1.5485680733058633E-2</v>
      </c>
      <c r="T62" s="349">
        <f t="shared" si="182"/>
        <v>1.5466544754750086E-2</v>
      </c>
      <c r="U62" s="349">
        <f t="shared" ref="U62" si="183">+U61/U4</f>
        <v>5.6916922468918775E-3</v>
      </c>
      <c r="V62" s="349">
        <f t="shared" si="182"/>
        <v>2.0099471271479625E-3</v>
      </c>
      <c r="W62" s="349">
        <f t="shared" ref="W62" si="184">+W61/W4</f>
        <v>2.4759553402987598E-3</v>
      </c>
      <c r="X62" s="349">
        <f t="shared" ca="1" si="182"/>
        <v>2.8324294012348808E-3</v>
      </c>
      <c r="Y62" s="349">
        <f ca="1">+Y61/Y4</f>
        <v>2.4648270771887222E-3</v>
      </c>
      <c r="Z62" s="349">
        <f t="shared" ref="Z62:AG62" ca="1" si="185">+Z61/Z4</f>
        <v>2.3406401306168339E-3</v>
      </c>
      <c r="AA62" s="349">
        <f t="shared" ca="1" si="185"/>
        <v>1.9215100968188222E-3</v>
      </c>
      <c r="AB62" s="349">
        <f t="shared" ca="1" si="185"/>
        <v>1.6496340595563601E-3</v>
      </c>
      <c r="AC62" s="349">
        <f t="shared" ca="1" si="185"/>
        <v>1.4534550154768472E-3</v>
      </c>
      <c r="AD62" s="349">
        <f t="shared" ca="1" si="185"/>
        <v>1.3326210834414519E-3</v>
      </c>
      <c r="AE62" s="349">
        <f t="shared" ca="1" si="185"/>
        <v>1.3556821073227488E-3</v>
      </c>
      <c r="AF62" s="349">
        <f t="shared" ca="1" si="185"/>
        <v>1.4201832864427382E-3</v>
      </c>
      <c r="AG62" s="349">
        <f t="shared" ca="1" si="185"/>
        <v>1.515780171467995E-3</v>
      </c>
    </row>
    <row r="63" spans="1:33" x14ac:dyDescent="0.4">
      <c r="A63" s="428"/>
      <c r="B63" s="1707" t="s">
        <v>3050</v>
      </c>
      <c r="C63" s="430"/>
      <c r="D63" s="430"/>
      <c r="E63" s="430"/>
      <c r="F63" s="430"/>
      <c r="G63" s="430"/>
      <c r="H63" s="430"/>
      <c r="I63" s="430"/>
      <c r="J63" s="430"/>
      <c r="K63" s="431">
        <f>92.18+8.305+21.391+2.163+2.639</f>
        <v>126.678</v>
      </c>
      <c r="L63" s="431">
        <f>87.876+6.911+14.317+45.557</f>
        <v>154.661</v>
      </c>
      <c r="M63" s="431">
        <f>67.877+5.557+15.514+112.647</f>
        <v>201.595</v>
      </c>
      <c r="N63" s="431">
        <f>69.14+5.541+12.383+59.264</f>
        <v>146.328</v>
      </c>
      <c r="O63" s="431">
        <f>83.527+9.598+7.243+27.674+70.476</f>
        <v>198.518</v>
      </c>
      <c r="P63" s="431">
        <f>136.629+14.329+7.745+66.699+35.343</f>
        <v>260.745</v>
      </c>
      <c r="Q63" s="431">
        <f>225.704+22.82+83.179+112.333</f>
        <v>444.03599999999994</v>
      </c>
      <c r="R63" s="431">
        <f>247.891+28.659+26.377+96.977</f>
        <v>399.904</v>
      </c>
      <c r="S63" s="431">
        <f>(157259+28440+51662+125614+6573)/1000</f>
        <v>369.548</v>
      </c>
      <c r="T63" s="431">
        <f>(209136+27580+24829+54903+4112)/1000</f>
        <v>320.56</v>
      </c>
      <c r="U63" s="431">
        <f>(266932+15691+13835+340+1159)/1000</f>
        <v>297.95699999999999</v>
      </c>
      <c r="V63" s="431">
        <f>299.409+9.099+18.627+0+2.247</f>
        <v>329.38200000000001</v>
      </c>
      <c r="W63" s="431">
        <f>(281235+12578+6754+860+23244)/1000</f>
        <v>324.67099999999999</v>
      </c>
      <c r="X63" s="432">
        <f ca="1">X64*CF!X36</f>
        <v>340.06459593917106</v>
      </c>
      <c r="Y63" s="432">
        <f ca="1">Y64*CF!Y36</f>
        <v>335.39361323055124</v>
      </c>
      <c r="Z63" s="432">
        <f ca="1">Z64*CF!Z36</f>
        <v>347.43003417174839</v>
      </c>
      <c r="AA63" s="432">
        <f ca="1">AA64*CF!AA36</f>
        <v>326.96826338217647</v>
      </c>
      <c r="AB63" s="432">
        <f ca="1">AB64*CF!AB36</f>
        <v>316.49924215564386</v>
      </c>
      <c r="AC63" s="432">
        <f ca="1">AC64*CF!AC36</f>
        <v>310.62887367125757</v>
      </c>
      <c r="AD63" s="432">
        <f ca="1">AD64*CF!AD36</f>
        <v>312.27457927494436</v>
      </c>
      <c r="AE63" s="432">
        <f ca="1">AE64*CF!AE36</f>
        <v>336.22175125570158</v>
      </c>
      <c r="AF63" s="432">
        <f ca="1">AF64*CF!AF36</f>
        <v>367.76303825638865</v>
      </c>
      <c r="AG63" s="432">
        <f ca="1">AG64*CF!AG36</f>
        <v>406.14305811570659</v>
      </c>
    </row>
    <row r="64" spans="1:33" x14ac:dyDescent="0.4">
      <c r="A64" s="433"/>
      <c r="B64" s="1612" t="s">
        <v>2897</v>
      </c>
      <c r="C64" s="434"/>
      <c r="D64" s="434"/>
      <c r="E64" s="434"/>
      <c r="F64" s="434"/>
      <c r="G64" s="434"/>
      <c r="H64" s="434"/>
      <c r="I64" s="434"/>
      <c r="J64" s="434"/>
      <c r="K64" s="381"/>
      <c r="L64" s="381"/>
      <c r="M64" s="381"/>
      <c r="N64" s="381"/>
      <c r="O64" s="381">
        <f>O63/CF!O36</f>
        <v>1.1283789540767534E-2</v>
      </c>
      <c r="P64" s="381">
        <f>P63/CF!P36</f>
        <v>1.4545868983250203E-2</v>
      </c>
      <c r="Q64" s="381">
        <f>Q63/CF!Q36</f>
        <v>1.9627096829459793E-2</v>
      </c>
      <c r="R64" s="381">
        <f>R63/CF!R36</f>
        <v>1.7808842271168909E-2</v>
      </c>
      <c r="S64" s="381">
        <f>S63/CF!S36</f>
        <v>1.5140806162257468E-2</v>
      </c>
      <c r="T64" s="381">
        <f>T63/CF!T36</f>
        <v>1.3422943007053285E-2</v>
      </c>
      <c r="U64" s="381">
        <f>U63/CF!U36</f>
        <v>1.0468262726246798E-2</v>
      </c>
      <c r="V64" s="381">
        <f>V63/CF!V36</f>
        <v>1.1521220736896133E-2</v>
      </c>
      <c r="W64" s="381">
        <f>W63/CF!W36</f>
        <v>1.070511002815824E-2</v>
      </c>
      <c r="X64" s="435">
        <f>W64</f>
        <v>1.070511002815824E-2</v>
      </c>
      <c r="Y64" s="435">
        <f>X64</f>
        <v>1.070511002815824E-2</v>
      </c>
      <c r="Z64" s="435">
        <f>Y64</f>
        <v>1.070511002815824E-2</v>
      </c>
      <c r="AA64" s="435">
        <f t="shared" ref="AA64:AC65" si="186">Z64</f>
        <v>1.070511002815824E-2</v>
      </c>
      <c r="AB64" s="435">
        <f t="shared" si="186"/>
        <v>1.070511002815824E-2</v>
      </c>
      <c r="AC64" s="435">
        <f t="shared" si="186"/>
        <v>1.070511002815824E-2</v>
      </c>
      <c r="AD64" s="435">
        <f t="shared" ref="AD64:AD65" si="187">AC64</f>
        <v>1.070511002815824E-2</v>
      </c>
      <c r="AE64" s="435">
        <f t="shared" ref="AE64:AE65" si="188">AD64</f>
        <v>1.070511002815824E-2</v>
      </c>
      <c r="AF64" s="435">
        <f t="shared" ref="AF64:AG65" si="189">AE64</f>
        <v>1.070511002815824E-2</v>
      </c>
      <c r="AG64" s="435">
        <f t="shared" si="189"/>
        <v>1.070511002815824E-2</v>
      </c>
    </row>
    <row r="65" spans="1:33" x14ac:dyDescent="0.4">
      <c r="A65" s="428"/>
      <c r="B65" s="1708" t="s">
        <v>3051</v>
      </c>
      <c r="C65" s="437"/>
      <c r="D65" s="437"/>
      <c r="E65" s="437"/>
      <c r="F65" s="437"/>
      <c r="G65" s="437"/>
      <c r="H65" s="437"/>
      <c r="I65" s="437"/>
      <c r="J65" s="437"/>
      <c r="K65" s="438">
        <f>85.384+0.181</f>
        <v>85.564999999999998</v>
      </c>
      <c r="L65" s="438">
        <v>15.289</v>
      </c>
      <c r="M65" s="438">
        <v>15.458</v>
      </c>
      <c r="N65" s="438">
        <v>38.927999999999997</v>
      </c>
      <c r="O65" s="438">
        <v>29.463999999999999</v>
      </c>
      <c r="P65" s="438">
        <v>27.138000000000002</v>
      </c>
      <c r="Q65" s="438">
        <v>31.154</v>
      </c>
      <c r="R65" s="438">
        <v>35.384</v>
      </c>
      <c r="S65" s="438">
        <v>109.547</v>
      </c>
      <c r="T65" s="438">
        <v>7.2229999999999999</v>
      </c>
      <c r="U65" s="438">
        <v>21.454000000000001</v>
      </c>
      <c r="V65" s="438">
        <v>21.88</v>
      </c>
      <c r="W65" s="438">
        <v>23.244</v>
      </c>
      <c r="X65" s="439">
        <f t="shared" ref="X65:Y65" si="190">W65</f>
        <v>23.244</v>
      </c>
      <c r="Y65" s="439">
        <f t="shared" si="190"/>
        <v>23.244</v>
      </c>
      <c r="Z65" s="439">
        <f>Y65</f>
        <v>23.244</v>
      </c>
      <c r="AA65" s="439">
        <f t="shared" si="186"/>
        <v>23.244</v>
      </c>
      <c r="AB65" s="439">
        <f t="shared" si="186"/>
        <v>23.244</v>
      </c>
      <c r="AC65" s="439">
        <f t="shared" si="186"/>
        <v>23.244</v>
      </c>
      <c r="AD65" s="439">
        <f t="shared" si="187"/>
        <v>23.244</v>
      </c>
      <c r="AE65" s="439">
        <f t="shared" si="188"/>
        <v>23.244</v>
      </c>
      <c r="AF65" s="439">
        <f t="shared" si="189"/>
        <v>23.244</v>
      </c>
      <c r="AG65" s="439">
        <f t="shared" si="189"/>
        <v>23.244</v>
      </c>
    </row>
    <row r="66" spans="1:33" x14ac:dyDescent="0.4">
      <c r="A66" s="433"/>
      <c r="B66" s="1612" t="s">
        <v>2970</v>
      </c>
      <c r="C66" s="434"/>
      <c r="D66" s="434"/>
      <c r="E66" s="434"/>
      <c r="F66" s="434"/>
      <c r="G66" s="434"/>
      <c r="H66" s="434"/>
      <c r="I66" s="434"/>
      <c r="J66" s="434"/>
      <c r="K66" s="381">
        <f t="shared" ref="K66:T66" si="191">K65/K$4</f>
        <v>3.1359008884533318E-3</v>
      </c>
      <c r="L66" s="381">
        <f t="shared" si="191"/>
        <v>4.4393695334509793E-4</v>
      </c>
      <c r="M66" s="381">
        <f t="shared" si="191"/>
        <v>4.0676939212158896E-4</v>
      </c>
      <c r="N66" s="381">
        <f t="shared" si="191"/>
        <v>8.4246049364964661E-4</v>
      </c>
      <c r="O66" s="381">
        <f t="shared" si="191"/>
        <v>5.8748787997190332E-4</v>
      </c>
      <c r="P66" s="381">
        <f t="shared" si="191"/>
        <v>4.8786272048561771E-4</v>
      </c>
      <c r="Q66" s="381">
        <f t="shared" si="191"/>
        <v>5.0517533105977949E-4</v>
      </c>
      <c r="R66" s="381">
        <f t="shared" si="191"/>
        <v>5.6652462296708818E-4</v>
      </c>
      <c r="S66" s="381">
        <f t="shared" si="191"/>
        <v>1.4169906475021334E-3</v>
      </c>
      <c r="T66" s="381">
        <f t="shared" si="191"/>
        <v>7.0830901983927176E-5</v>
      </c>
      <c r="U66" s="381">
        <f t="shared" ref="U66:AC66" si="192">U65/U$4</f>
        <v>1.8863310485667993E-4</v>
      </c>
      <c r="V66" s="381">
        <f t="shared" si="192"/>
        <v>2.0774254766098743E-4</v>
      </c>
      <c r="W66" s="381">
        <f t="shared" ref="W66" si="193">W65/W$4</f>
        <v>2.3140216130654016E-4</v>
      </c>
      <c r="X66" s="381">
        <f t="shared" si="192"/>
        <v>2.2444859774559771E-4</v>
      </c>
      <c r="Y66" s="381">
        <f t="shared" si="192"/>
        <v>2.0354685006341487E-4</v>
      </c>
      <c r="Z66" s="381">
        <f>Z65/Z$4</f>
        <v>1.8914989623669407E-4</v>
      </c>
      <c r="AA66" s="381">
        <f t="shared" si="192"/>
        <v>1.7238315989449298E-4</v>
      </c>
      <c r="AB66" s="381">
        <f t="shared" si="192"/>
        <v>1.5909429027209703E-4</v>
      </c>
      <c r="AC66" s="381">
        <f t="shared" si="192"/>
        <v>1.4823373861046248E-4</v>
      </c>
      <c r="AD66" s="381">
        <f t="shared" ref="AD66:AF66" si="194">AD65/AD$4</f>
        <v>1.3913554495121981E-4</v>
      </c>
      <c r="AE66" s="381">
        <f t="shared" si="194"/>
        <v>1.3135769024678776E-4</v>
      </c>
      <c r="AF66" s="381">
        <f t="shared" si="194"/>
        <v>1.2459585493009812E-4</v>
      </c>
      <c r="AG66" s="381">
        <f t="shared" ref="AG66" si="195">AG65/AG$4</f>
        <v>1.1863401387621854E-4</v>
      </c>
    </row>
    <row r="67" spans="1:33" x14ac:dyDescent="0.4">
      <c r="A67" s="428"/>
      <c r="B67" s="1708" t="s">
        <v>3052</v>
      </c>
      <c r="C67" s="437"/>
      <c r="D67" s="437"/>
      <c r="E67" s="437"/>
      <c r="F67" s="437"/>
      <c r="G67" s="437"/>
      <c r="H67" s="437"/>
      <c r="I67" s="437"/>
      <c r="J67" s="437"/>
      <c r="K67" s="438">
        <f>7.525+1.715+64.568+22.101</f>
        <v>95.908999999999992</v>
      </c>
      <c r="L67" s="438">
        <f>13.992+244.166</f>
        <v>258.15800000000002</v>
      </c>
      <c r="M67" s="438">
        <f>90.569+1.341+75.682</f>
        <v>167.59199999999998</v>
      </c>
      <c r="N67" s="438">
        <f>1.123+19.966+7.816</f>
        <v>28.905000000000001</v>
      </c>
      <c r="O67" s="438">
        <v>3.7519999999999998</v>
      </c>
      <c r="P67" s="438">
        <f>0.113+0.669</f>
        <v>0.78200000000000003</v>
      </c>
      <c r="Q67" s="438">
        <f>7.376+9.138+4.028</f>
        <v>20.541999999999998</v>
      </c>
      <c r="R67" s="438">
        <f>5.242+570.035</f>
        <v>575.27699999999993</v>
      </c>
      <c r="S67" s="438">
        <f>(14827+26323)/1000</f>
        <v>41.15</v>
      </c>
      <c r="T67" s="438">
        <f>5.071+38.351+189.472+80.654</f>
        <v>313.548</v>
      </c>
      <c r="U67" s="438">
        <f>5.241+33.143</f>
        <v>38.384</v>
      </c>
      <c r="V67" s="438">
        <f>21.827+68.101</f>
        <v>89.927999999999997</v>
      </c>
      <c r="W67" s="438">
        <f>111.853+6.442+0.16</f>
        <v>118.45499999999998</v>
      </c>
      <c r="X67" s="439"/>
      <c r="Y67" s="439"/>
      <c r="Z67" s="439"/>
      <c r="AA67" s="439"/>
      <c r="AB67" s="439"/>
      <c r="AC67" s="439"/>
      <c r="AD67" s="439"/>
      <c r="AE67" s="439"/>
      <c r="AF67" s="439"/>
      <c r="AG67" s="439"/>
    </row>
    <row r="68" spans="1:33" x14ac:dyDescent="0.4">
      <c r="A68" s="433"/>
      <c r="B68" s="1612" t="s">
        <v>2970</v>
      </c>
      <c r="C68" s="434"/>
      <c r="D68" s="434"/>
      <c r="E68" s="434"/>
      <c r="F68" s="434"/>
      <c r="G68" s="434"/>
      <c r="H68" s="434"/>
      <c r="I68" s="434"/>
      <c r="J68" s="434"/>
      <c r="K68" s="381">
        <f t="shared" ref="K68:T68" si="196">K67/K$4</f>
        <v>3.5150016748748971E-3</v>
      </c>
      <c r="L68" s="381">
        <f t="shared" si="196"/>
        <v>7.4959693898661653E-3</v>
      </c>
      <c r="M68" s="381">
        <f t="shared" si="196"/>
        <v>4.4100980698952861E-3</v>
      </c>
      <c r="N68" s="381">
        <f t="shared" si="196"/>
        <v>6.2554769237934229E-4</v>
      </c>
      <c r="O68" s="381">
        <f t="shared" si="196"/>
        <v>7.4811788136525294E-5</v>
      </c>
      <c r="P68" s="381">
        <f t="shared" si="196"/>
        <v>1.4058097406579449E-5</v>
      </c>
      <c r="Q68" s="381">
        <f t="shared" si="196"/>
        <v>3.3309724756467836E-4</v>
      </c>
      <c r="R68" s="381">
        <f t="shared" si="196"/>
        <v>9.2106202104521133E-3</v>
      </c>
      <c r="S68" s="381">
        <f t="shared" si="196"/>
        <v>5.3227532606746678E-4</v>
      </c>
      <c r="T68" s="381">
        <f t="shared" si="196"/>
        <v>3.07474562581426E-3</v>
      </c>
      <c r="U68" s="381">
        <f t="shared" ref="U68:AC68" si="197">U67/U$4</f>
        <v>3.3748919067860551E-4</v>
      </c>
      <c r="V68" s="381">
        <f t="shared" si="197"/>
        <v>8.53833264445031E-4</v>
      </c>
      <c r="W68" s="381">
        <f t="shared" ref="W68" si="198">W67/W$4</f>
        <v>1.1792610143506372E-3</v>
      </c>
      <c r="X68" s="381">
        <f t="shared" si="197"/>
        <v>0</v>
      </c>
      <c r="Y68" s="381">
        <f t="shared" si="197"/>
        <v>0</v>
      </c>
      <c r="Z68" s="381">
        <f t="shared" si="197"/>
        <v>0</v>
      </c>
      <c r="AA68" s="381">
        <f t="shared" si="197"/>
        <v>0</v>
      </c>
      <c r="AB68" s="381">
        <f t="shared" si="197"/>
        <v>0</v>
      </c>
      <c r="AC68" s="381">
        <f t="shared" si="197"/>
        <v>0</v>
      </c>
      <c r="AD68" s="381">
        <f t="shared" ref="AD68:AF68" si="199">AD67/AD$4</f>
        <v>0</v>
      </c>
      <c r="AE68" s="381">
        <f t="shared" si="199"/>
        <v>0</v>
      </c>
      <c r="AF68" s="381">
        <f t="shared" si="199"/>
        <v>0</v>
      </c>
      <c r="AG68" s="381">
        <f t="shared" ref="AG68" si="200">AG67/AG$4</f>
        <v>0</v>
      </c>
    </row>
    <row r="69" spans="1:33" x14ac:dyDescent="0.4">
      <c r="A69" s="428"/>
      <c r="B69" s="1708" t="s">
        <v>3053</v>
      </c>
      <c r="C69" s="438"/>
      <c r="D69" s="438"/>
      <c r="E69" s="438"/>
      <c r="F69" s="438"/>
      <c r="G69" s="438"/>
      <c r="H69" s="438"/>
      <c r="I69" s="438"/>
      <c r="J69" s="438"/>
      <c r="K69" s="438">
        <v>0</v>
      </c>
      <c r="L69" s="438">
        <v>0</v>
      </c>
      <c r="M69" s="438">
        <v>326.62799999999999</v>
      </c>
      <c r="N69" s="438">
        <v>1202.4369999999999</v>
      </c>
      <c r="O69" s="438">
        <v>445.64</v>
      </c>
      <c r="P69" s="438">
        <v>-6.8280000000000003</v>
      </c>
      <c r="Q69" s="438">
        <v>0</v>
      </c>
      <c r="R69" s="438">
        <v>-186.30199999999999</v>
      </c>
      <c r="S69" s="438">
        <v>487.72199999999998</v>
      </c>
      <c r="T69" s="438">
        <v>221.81700000000001</v>
      </c>
      <c r="U69" s="438">
        <v>305.77800000000002</v>
      </c>
      <c r="V69" s="438">
        <v>-159.33699999999999</v>
      </c>
      <c r="W69" s="438">
        <v>-65.786000000000001</v>
      </c>
      <c r="X69" s="439"/>
      <c r="Y69" s="439"/>
      <c r="Z69" s="439"/>
      <c r="AA69" s="439"/>
      <c r="AB69" s="439"/>
      <c r="AC69" s="439"/>
      <c r="AD69" s="439"/>
      <c r="AE69" s="439"/>
      <c r="AF69" s="439"/>
      <c r="AG69" s="439"/>
    </row>
    <row r="70" spans="1:33" x14ac:dyDescent="0.4">
      <c r="A70" s="428"/>
      <c r="B70" s="1708" t="s">
        <v>2436</v>
      </c>
      <c r="C70" s="438"/>
      <c r="D70" s="438"/>
      <c r="E70" s="438"/>
      <c r="F70" s="438"/>
      <c r="G70" s="438"/>
      <c r="H70" s="438"/>
      <c r="I70" s="438"/>
      <c r="J70" s="438"/>
      <c r="K70" s="438">
        <v>0</v>
      </c>
      <c r="L70" s="438">
        <v>0</v>
      </c>
      <c r="M70" s="438">
        <v>0</v>
      </c>
      <c r="N70" s="438">
        <v>-225.917</v>
      </c>
      <c r="O70" s="438">
        <v>0</v>
      </c>
      <c r="P70" s="438">
        <v>-817</v>
      </c>
      <c r="Q70" s="438">
        <v>0</v>
      </c>
      <c r="R70" s="438">
        <v>0</v>
      </c>
      <c r="S70" s="438">
        <v>0</v>
      </c>
      <c r="T70" s="438">
        <v>0</v>
      </c>
      <c r="U70" s="438">
        <v>0</v>
      </c>
      <c r="V70" s="438">
        <v>0</v>
      </c>
      <c r="W70" s="438">
        <v>-84</v>
      </c>
      <c r="X70" s="439">
        <v>0</v>
      </c>
      <c r="Y70" s="439">
        <v>0</v>
      </c>
      <c r="Z70" s="439">
        <v>0</v>
      </c>
      <c r="AA70" s="439">
        <v>0</v>
      </c>
      <c r="AB70" s="439">
        <v>0</v>
      </c>
      <c r="AC70" s="439">
        <v>0</v>
      </c>
      <c r="AD70" s="439">
        <v>0</v>
      </c>
      <c r="AE70" s="439">
        <v>0</v>
      </c>
      <c r="AF70" s="439">
        <v>0</v>
      </c>
      <c r="AG70" s="439">
        <v>0</v>
      </c>
    </row>
    <row r="71" spans="1:33" x14ac:dyDescent="0.4">
      <c r="A71" s="428"/>
      <c r="B71" s="1708" t="s">
        <v>551</v>
      </c>
      <c r="C71" s="437"/>
      <c r="D71" s="437"/>
      <c r="E71" s="437"/>
      <c r="F71" s="437"/>
      <c r="G71" s="437"/>
      <c r="H71" s="437"/>
      <c r="I71" s="437"/>
      <c r="J71" s="437"/>
      <c r="K71" s="378">
        <f t="shared" ref="K71:V71" si="201">K61-SUM(K63,K65,K67,K69,K70)</f>
        <v>128.38999999999999</v>
      </c>
      <c r="L71" s="378">
        <f t="shared" si="201"/>
        <v>47.230999999999995</v>
      </c>
      <c r="M71" s="378">
        <f t="shared" si="201"/>
        <v>448.16800000000012</v>
      </c>
      <c r="N71" s="378">
        <f t="shared" si="201"/>
        <v>69.438999999999851</v>
      </c>
      <c r="O71" s="378">
        <f t="shared" si="201"/>
        <v>70.303999999999974</v>
      </c>
      <c r="P71" s="378">
        <f t="shared" si="201"/>
        <v>174.91300000000001</v>
      </c>
      <c r="Q71" s="378">
        <f t="shared" si="201"/>
        <v>141.02400000000006</v>
      </c>
      <c r="R71" s="378">
        <f t="shared" si="201"/>
        <v>154.90300000000013</v>
      </c>
      <c r="S71" s="378">
        <f t="shared" si="201"/>
        <v>189.22500000000002</v>
      </c>
      <c r="T71" s="378">
        <f t="shared" si="201"/>
        <v>714.0569999999999</v>
      </c>
      <c r="U71" s="378">
        <f t="shared" si="201"/>
        <v>-16.234000000000037</v>
      </c>
      <c r="V71" s="378">
        <f t="shared" si="201"/>
        <v>-70.16</v>
      </c>
      <c r="W71" s="378">
        <f t="shared" ref="W71" si="202">W61-SUM(W63,W65,W67,W69,W70)</f>
        <v>-67.877999999999957</v>
      </c>
      <c r="X71" s="378">
        <f t="shared" ref="X71:AG71" si="203">X$4*X72</f>
        <v>-69.980904594327768</v>
      </c>
      <c r="Y71" s="378">
        <f t="shared" si="203"/>
        <v>-77.167079226584846</v>
      </c>
      <c r="Z71" s="378">
        <f>Z$4*Z72</f>
        <v>-83.040573733702246</v>
      </c>
      <c r="AA71" s="378">
        <f t="shared" si="203"/>
        <v>-91.117461327306302</v>
      </c>
      <c r="AB71" s="378">
        <f t="shared" si="203"/>
        <v>-98.728344545248191</v>
      </c>
      <c r="AC71" s="378">
        <f t="shared" si="203"/>
        <v>-105.96181444523521</v>
      </c>
      <c r="AD71" s="378">
        <f t="shared" si="203"/>
        <v>-112.89074916601761</v>
      </c>
      <c r="AE71" s="378">
        <f t="shared" si="203"/>
        <v>-119.57515297091203</v>
      </c>
      <c r="AF71" s="378">
        <f t="shared" si="203"/>
        <v>-126.06451405608533</v>
      </c>
      <c r="AG71" s="378">
        <f t="shared" si="203"/>
        <v>-132.3997679245175</v>
      </c>
    </row>
    <row r="72" spans="1:33" x14ac:dyDescent="0.4">
      <c r="A72" s="433"/>
      <c r="B72" s="1612" t="s">
        <v>2970</v>
      </c>
      <c r="C72" s="434"/>
      <c r="D72" s="434"/>
      <c r="E72" s="434"/>
      <c r="F72" s="434"/>
      <c r="G72" s="434"/>
      <c r="H72" s="434"/>
      <c r="I72" s="434"/>
      <c r="J72" s="434"/>
      <c r="K72" s="381">
        <f t="shared" ref="K72:T72" si="204">K71/K$4</f>
        <v>4.7054089296853065E-3</v>
      </c>
      <c r="L72" s="381">
        <f t="shared" si="204"/>
        <v>1.3714164591171639E-3</v>
      </c>
      <c r="M72" s="381">
        <f t="shared" si="204"/>
        <v>1.1793312519624035E-2</v>
      </c>
      <c r="N72" s="381">
        <f t="shared" si="204"/>
        <v>1.5027644425230603E-3</v>
      </c>
      <c r="O72" s="381">
        <f t="shared" si="204"/>
        <v>1.4018038254664906E-3</v>
      </c>
      <c r="P72" s="381">
        <f t="shared" si="204"/>
        <v>3.1444296568759987E-3</v>
      </c>
      <c r="Q72" s="381">
        <f t="shared" si="204"/>
        <v>2.286764007426795E-3</v>
      </c>
      <c r="R72" s="381">
        <f t="shared" si="204"/>
        <v>2.4801142796594773E-3</v>
      </c>
      <c r="S72" s="381">
        <f t="shared" si="204"/>
        <v>2.4476257247901924E-3</v>
      </c>
      <c r="T72" s="381">
        <f t="shared" si="204"/>
        <v>7.002256870820585E-3</v>
      </c>
      <c r="U72" s="381">
        <f t="shared" ref="U72:V72" si="205">U71/U$4</f>
        <v>-1.427365444319637E-4</v>
      </c>
      <c r="V72" s="381">
        <f t="shared" si="205"/>
        <v>-6.661433795198756E-4</v>
      </c>
      <c r="W72" s="381">
        <f t="shared" ref="W72" si="206">W71/W$4</f>
        <v>-6.7574926454849955E-4</v>
      </c>
      <c r="X72" s="435">
        <f>W72</f>
        <v>-6.7574926454849955E-4</v>
      </c>
      <c r="Y72" s="435">
        <f t="shared" ref="Y72:AC72" si="207">X72</f>
        <v>-6.7574926454849955E-4</v>
      </c>
      <c r="Z72" s="435">
        <f>Y72</f>
        <v>-6.7574926454849955E-4</v>
      </c>
      <c r="AA72" s="435">
        <f t="shared" si="207"/>
        <v>-6.7574926454849955E-4</v>
      </c>
      <c r="AB72" s="435">
        <f t="shared" si="207"/>
        <v>-6.7574926454849955E-4</v>
      </c>
      <c r="AC72" s="435">
        <f t="shared" si="207"/>
        <v>-6.7574926454849955E-4</v>
      </c>
      <c r="AD72" s="435">
        <f t="shared" ref="AD72" si="208">AC72</f>
        <v>-6.7574926454849955E-4</v>
      </c>
      <c r="AE72" s="435">
        <f t="shared" ref="AE72" si="209">AD72</f>
        <v>-6.7574926454849955E-4</v>
      </c>
      <c r="AF72" s="435">
        <f t="shared" ref="AF72:AG72" si="210">AE72</f>
        <v>-6.7574926454849955E-4</v>
      </c>
      <c r="AG72" s="435">
        <f t="shared" si="210"/>
        <v>-6.7574926454849955E-4</v>
      </c>
    </row>
    <row r="73" spans="1:33" x14ac:dyDescent="0.4">
      <c r="A73" s="433"/>
      <c r="B73" s="1612"/>
      <c r="C73" s="434"/>
      <c r="D73" s="434"/>
      <c r="E73" s="434"/>
      <c r="F73" s="434"/>
      <c r="G73" s="434"/>
      <c r="H73" s="434"/>
      <c r="I73" s="434"/>
      <c r="J73" s="434"/>
      <c r="K73" s="381"/>
      <c r="L73" s="381"/>
      <c r="M73" s="381"/>
      <c r="N73" s="381"/>
      <c r="O73" s="381"/>
      <c r="P73" s="381"/>
      <c r="Q73" s="381"/>
      <c r="R73" s="381"/>
      <c r="S73" s="381"/>
      <c r="T73" s="435"/>
      <c r="U73" s="435"/>
      <c r="V73" s="435"/>
      <c r="W73" s="435"/>
      <c r="X73" s="435"/>
      <c r="Y73" s="435"/>
      <c r="Z73" s="435"/>
      <c r="AA73" s="435"/>
      <c r="AB73" s="435"/>
      <c r="AC73" s="435"/>
      <c r="AD73" s="435"/>
      <c r="AE73" s="435"/>
      <c r="AF73" s="435"/>
      <c r="AG73" s="435"/>
    </row>
    <row r="74" spans="1:33" x14ac:dyDescent="0.35">
      <c r="A74" s="440" t="s">
        <v>1590</v>
      </c>
      <c r="B74" s="1708" t="s">
        <v>3054</v>
      </c>
      <c r="C74" s="380">
        <f>'PL（org）'!D8</f>
        <v>36.107999999999997</v>
      </c>
      <c r="D74" s="380">
        <f>'PL（org）'!E8</f>
        <v>64.489999999999995</v>
      </c>
      <c r="E74" s="380">
        <f>'PL（org）'!F8</f>
        <v>99.7</v>
      </c>
      <c r="F74" s="380">
        <f>'PL（org）'!G8</f>
        <v>33.469000000000001</v>
      </c>
      <c r="G74" s="380">
        <f>'PL（org）'!H8</f>
        <v>43.298000000000002</v>
      </c>
      <c r="H74" s="380">
        <f>'PL（org）'!I8</f>
        <v>85.58</v>
      </c>
      <c r="I74" s="380">
        <f>'PL（org）'!J8</f>
        <v>316.29599999999999</v>
      </c>
      <c r="J74" s="380">
        <f>'PL（org）'!K8</f>
        <v>238.869</v>
      </c>
      <c r="K74" s="380"/>
      <c r="L74" s="380"/>
      <c r="M74" s="380"/>
      <c r="N74" s="380"/>
      <c r="O74" s="380"/>
      <c r="P74" s="441"/>
      <c r="Q74" s="441"/>
      <c r="R74" s="441"/>
      <c r="S74" s="441"/>
      <c r="T74" s="441"/>
      <c r="U74" s="441"/>
      <c r="V74" s="441"/>
      <c r="W74" s="441"/>
      <c r="X74" s="441"/>
      <c r="Y74" s="441"/>
      <c r="Z74" s="441"/>
      <c r="AA74" s="441"/>
      <c r="AB74" s="441"/>
      <c r="AC74" s="441"/>
      <c r="AD74" s="441"/>
      <c r="AE74" s="441"/>
      <c r="AF74" s="441"/>
      <c r="AG74" s="441"/>
    </row>
    <row r="75" spans="1:33" x14ac:dyDescent="0.4">
      <c r="A75" s="433" t="s">
        <v>354</v>
      </c>
      <c r="B75" s="1612" t="s">
        <v>2970</v>
      </c>
      <c r="C75" s="434">
        <f t="shared" ref="C75:J75" si="211">C74/C4</f>
        <v>4.7112229608316626E-3</v>
      </c>
      <c r="D75" s="434">
        <f t="shared" si="211"/>
        <v>6.2643118008988202E-3</v>
      </c>
      <c r="E75" s="434">
        <f t="shared" si="211"/>
        <v>9.804961900789718E-3</v>
      </c>
      <c r="F75" s="434">
        <f t="shared" si="211"/>
        <v>3.0367271686323112E-3</v>
      </c>
      <c r="G75" s="434">
        <f t="shared" si="211"/>
        <v>3.817493178891409E-3</v>
      </c>
      <c r="H75" s="434">
        <f t="shared" si="211"/>
        <v>7.1418610782007083E-3</v>
      </c>
      <c r="I75" s="434">
        <f t="shared" si="211"/>
        <v>1.931070238546664E-2</v>
      </c>
      <c r="J75" s="434">
        <f t="shared" si="211"/>
        <v>1.0901953660912086E-2</v>
      </c>
      <c r="K75" s="434"/>
      <c r="L75" s="434"/>
      <c r="M75" s="434"/>
      <c r="N75" s="434"/>
      <c r="O75" s="434"/>
      <c r="P75" s="434"/>
      <c r="Q75" s="434"/>
      <c r="R75" s="434"/>
      <c r="S75" s="434"/>
      <c r="T75" s="434"/>
      <c r="U75" s="434"/>
      <c r="V75" s="434"/>
      <c r="W75" s="434"/>
      <c r="X75" s="434"/>
      <c r="Y75" s="434"/>
      <c r="Z75" s="434"/>
      <c r="AA75" s="434"/>
      <c r="AB75" s="434"/>
      <c r="AC75" s="434"/>
      <c r="AD75" s="434"/>
      <c r="AE75" s="434"/>
      <c r="AF75" s="434"/>
      <c r="AG75" s="434"/>
    </row>
    <row r="76" spans="1:33" x14ac:dyDescent="0.35">
      <c r="A76" s="440" t="s">
        <v>1591</v>
      </c>
      <c r="B76" s="1683" t="s">
        <v>3055</v>
      </c>
      <c r="C76" s="380">
        <f>'PL（org）'!D9</f>
        <v>17.943000000000001</v>
      </c>
      <c r="D76" s="380">
        <f>'PL（org）'!E9</f>
        <v>13.253</v>
      </c>
      <c r="E76" s="380">
        <f>'PL（org）'!F9</f>
        <v>30.167000000000002</v>
      </c>
      <c r="F76" s="380">
        <f>'PL（org）'!G9</f>
        <v>44.518000000000001</v>
      </c>
      <c r="G76" s="380">
        <f>'PL（org）'!H9</f>
        <v>89.126000000000005</v>
      </c>
      <c r="H76" s="380">
        <f>'PL（org）'!I9</f>
        <v>103.309</v>
      </c>
      <c r="I76" s="442">
        <f>'PL（org）'!J9</f>
        <v>106.01900000000001</v>
      </c>
      <c r="J76" s="380">
        <f>'PL（org）'!K9</f>
        <v>132.221</v>
      </c>
      <c r="K76" s="380"/>
      <c r="L76" s="380"/>
      <c r="M76" s="380"/>
      <c r="N76" s="380"/>
      <c r="O76" s="380"/>
      <c r="P76" s="443"/>
      <c r="Q76" s="443"/>
      <c r="R76" s="443"/>
      <c r="S76" s="443"/>
      <c r="T76" s="443"/>
      <c r="U76" s="443"/>
      <c r="V76" s="443"/>
      <c r="W76" s="443"/>
      <c r="X76" s="443"/>
      <c r="Y76" s="443"/>
      <c r="Z76" s="443"/>
      <c r="AA76" s="443"/>
      <c r="AB76" s="443"/>
      <c r="AC76" s="443"/>
      <c r="AD76" s="443"/>
      <c r="AE76" s="443"/>
      <c r="AF76" s="443"/>
      <c r="AG76" s="443"/>
    </row>
    <row r="77" spans="1:33" s="413" customFormat="1" x14ac:dyDescent="0.4">
      <c r="A77" s="444" t="s">
        <v>354</v>
      </c>
      <c r="B77" s="1686" t="s">
        <v>2970</v>
      </c>
      <c r="C77" s="410">
        <f t="shared" ref="C77:J77" si="212">C76/C4</f>
        <v>2.3411286580869209E-3</v>
      </c>
      <c r="D77" s="410">
        <f t="shared" si="212"/>
        <v>1.2873457016174923E-3</v>
      </c>
      <c r="E77" s="410">
        <f t="shared" si="212"/>
        <v>2.9667631460493825E-3</v>
      </c>
      <c r="F77" s="410">
        <f t="shared" si="212"/>
        <v>4.0392309328983007E-3</v>
      </c>
      <c r="G77" s="410">
        <f t="shared" si="212"/>
        <v>7.8580511123348823E-3</v>
      </c>
      <c r="H77" s="410">
        <f t="shared" si="212"/>
        <v>8.6213896486075844E-3</v>
      </c>
      <c r="I77" s="410">
        <f t="shared" si="212"/>
        <v>6.4727386884588737E-3</v>
      </c>
      <c r="J77" s="410">
        <f t="shared" si="212"/>
        <v>6.0345512184480071E-3</v>
      </c>
      <c r="K77" s="410"/>
      <c r="L77" s="410"/>
      <c r="M77" s="410"/>
      <c r="N77" s="410"/>
      <c r="O77" s="410"/>
      <c r="P77" s="445"/>
      <c r="Q77" s="445"/>
      <c r="R77" s="445"/>
      <c r="S77" s="445"/>
      <c r="T77" s="445"/>
      <c r="U77" s="445"/>
      <c r="V77" s="445"/>
      <c r="W77" s="445"/>
      <c r="X77" s="445"/>
      <c r="Y77" s="445"/>
      <c r="Z77" s="445"/>
      <c r="AA77" s="445"/>
      <c r="AB77" s="445"/>
      <c r="AC77" s="445"/>
      <c r="AD77" s="445"/>
      <c r="AE77" s="445"/>
      <c r="AF77" s="445"/>
      <c r="AG77" s="445"/>
    </row>
    <row r="78" spans="1:33" x14ac:dyDescent="0.4">
      <c r="B78" s="1709"/>
      <c r="C78" s="446"/>
      <c r="D78" s="446"/>
      <c r="E78" s="446"/>
      <c r="F78" s="446"/>
      <c r="G78" s="446"/>
      <c r="H78" s="446"/>
      <c r="I78" s="446"/>
      <c r="J78" s="446"/>
      <c r="K78" s="446"/>
      <c r="L78" s="446"/>
      <c r="M78" s="446"/>
      <c r="N78" s="447"/>
      <c r="O78" s="447"/>
      <c r="P78" s="447"/>
      <c r="Q78" s="447"/>
      <c r="R78" s="447"/>
      <c r="S78" s="447"/>
      <c r="T78" s="447"/>
      <c r="U78" s="447"/>
      <c r="V78" s="447"/>
      <c r="W78" s="447"/>
      <c r="X78" s="447"/>
      <c r="Y78" s="447"/>
      <c r="Z78" s="447"/>
      <c r="AA78" s="447"/>
      <c r="AB78" s="447"/>
      <c r="AC78" s="447"/>
      <c r="AD78" s="447"/>
      <c r="AE78" s="447"/>
      <c r="AF78" s="447"/>
      <c r="AG78" s="447"/>
    </row>
    <row r="79" spans="1:33" x14ac:dyDescent="0.4">
      <c r="A79" s="310" t="s">
        <v>2246</v>
      </c>
      <c r="B79" s="1709" t="s">
        <v>3056</v>
      </c>
      <c r="C79" s="327">
        <f t="shared" ref="C79:L79" si="213">C81+C83+C85</f>
        <v>212.16899999999998</v>
      </c>
      <c r="D79" s="327">
        <f t="shared" si="213"/>
        <v>271.05599999999998</v>
      </c>
      <c r="E79" s="327">
        <f t="shared" si="213"/>
        <v>372.63799999999998</v>
      </c>
      <c r="F79" s="327">
        <f t="shared" si="213"/>
        <v>414.67499999999995</v>
      </c>
      <c r="G79" s="327">
        <f t="shared" si="213"/>
        <v>388.70200000000006</v>
      </c>
      <c r="H79" s="327">
        <f t="shared" si="213"/>
        <v>497.88800000000003</v>
      </c>
      <c r="I79" s="327">
        <f t="shared" si="213"/>
        <v>577.15699999999993</v>
      </c>
      <c r="J79" s="327">
        <f t="shared" si="213"/>
        <v>740.07399999999996</v>
      </c>
      <c r="K79" s="327">
        <f t="shared" si="213"/>
        <v>1042.4579999999999</v>
      </c>
      <c r="L79" s="327">
        <f t="shared" si="213"/>
        <v>1033.1400000000001</v>
      </c>
      <c r="M79" s="327">
        <f>-'PL（org）'!N10</f>
        <v>1007.396</v>
      </c>
      <c r="N79" s="327">
        <f>-'PL（org）'!O10</f>
        <v>1106.0840000000001</v>
      </c>
      <c r="O79" s="327">
        <f>-'PL（org）'!P10</f>
        <v>1394.6680000000001</v>
      </c>
      <c r="P79" s="327">
        <f>-'PL（org）'!Q10</f>
        <v>1396.5940000000001</v>
      </c>
      <c r="Q79" s="327">
        <f>-'PL（org）'!R10</f>
        <v>1681.8</v>
      </c>
      <c r="R79" s="327">
        <f>-'PL（org）'!S10</f>
        <v>1920.393</v>
      </c>
      <c r="S79" s="327">
        <f>-'PL（org）'!T10</f>
        <v>2278.6089999999999</v>
      </c>
      <c r="T79" s="327">
        <f>-'PL（org）'!U10</f>
        <v>2434.7640000000001</v>
      </c>
      <c r="U79" s="327">
        <f>-'PL（org）'!V10</f>
        <v>2622.9009999999998</v>
      </c>
      <c r="V79" s="327">
        <f>-'PL（org）'!W10</f>
        <v>2582.0259999999998</v>
      </c>
      <c r="W79" s="327">
        <f>-'PL（org）'!X10</f>
        <v>2651.7429999999999</v>
      </c>
      <c r="X79" s="448">
        <f t="shared" ref="X79:AC79" si="214">X4*X80</f>
        <v>2231.7279102262723</v>
      </c>
      <c r="Y79" s="448">
        <f t="shared" si="214"/>
        <v>2460.8988045943347</v>
      </c>
      <c r="Z79" s="448">
        <f t="shared" si="214"/>
        <v>2648.2076383123408</v>
      </c>
      <c r="AA79" s="448">
        <f t="shared" si="214"/>
        <v>2905.7838382042687</v>
      </c>
      <c r="AB79" s="448">
        <f t="shared" si="214"/>
        <v>3148.4989130867157</v>
      </c>
      <c r="AC79" s="448">
        <f t="shared" si="214"/>
        <v>3379.1780784556518</v>
      </c>
      <c r="AD79" s="448">
        <f t="shared" ref="AD79:AF79" si="215">AD4*AD80</f>
        <v>3600.1454565446652</v>
      </c>
      <c r="AE79" s="448">
        <f t="shared" si="215"/>
        <v>3813.3146149184008</v>
      </c>
      <c r="AF79" s="448">
        <f t="shared" si="215"/>
        <v>4020.2637582207208</v>
      </c>
      <c r="AG79" s="448">
        <f t="shared" ref="AG79" si="216">AG4*AG80</f>
        <v>4222.2983412045915</v>
      </c>
    </row>
    <row r="80" spans="1:33" s="427" customFormat="1" x14ac:dyDescent="0.4">
      <c r="A80" s="449" t="s">
        <v>354</v>
      </c>
      <c r="B80" s="1710" t="s">
        <v>3057</v>
      </c>
      <c r="C80" s="450">
        <f t="shared" ref="C80:V80" si="217">C79/C4</f>
        <v>2.7682936312636897E-2</v>
      </c>
      <c r="D80" s="450">
        <f t="shared" si="217"/>
        <v>2.6329342526041723E-2</v>
      </c>
      <c r="E80" s="450">
        <f t="shared" si="217"/>
        <v>3.6646954792241511E-2</v>
      </c>
      <c r="F80" s="450">
        <f t="shared" si="217"/>
        <v>3.762451339008048E-2</v>
      </c>
      <c r="G80" s="450">
        <f t="shared" si="217"/>
        <v>3.4271034080591449E-2</v>
      </c>
      <c r="H80" s="450">
        <f t="shared" si="217"/>
        <v>4.1549975794615501E-2</v>
      </c>
      <c r="I80" s="450">
        <f t="shared" si="217"/>
        <v>3.5236952274732433E-2</v>
      </c>
      <c r="J80" s="450">
        <f t="shared" si="217"/>
        <v>3.3776892161167214E-2</v>
      </c>
      <c r="K80" s="450">
        <f t="shared" si="217"/>
        <v>3.8205399034363152E-2</v>
      </c>
      <c r="L80" s="450">
        <f t="shared" si="217"/>
        <v>2.9998628031849991E-2</v>
      </c>
      <c r="M80" s="450">
        <f t="shared" si="217"/>
        <v>2.6509112339611868E-2</v>
      </c>
      <c r="N80" s="450">
        <f t="shared" si="217"/>
        <v>2.3937322047317505E-2</v>
      </c>
      <c r="O80" s="450">
        <f t="shared" si="217"/>
        <v>2.7808530633473206E-2</v>
      </c>
      <c r="P80" s="450">
        <f t="shared" si="217"/>
        <v>2.5106719295964728E-2</v>
      </c>
      <c r="Q80" s="450">
        <f t="shared" si="217"/>
        <v>2.7271100718249251E-2</v>
      </c>
      <c r="R80" s="450">
        <f t="shared" si="217"/>
        <v>3.0746945519829171E-2</v>
      </c>
      <c r="S80" s="450">
        <f t="shared" si="217"/>
        <v>2.9473811627102418E-2</v>
      </c>
      <c r="T80" s="450">
        <f t="shared" si="217"/>
        <v>2.3876025230235982E-2</v>
      </c>
      <c r="U80" s="450">
        <f t="shared" si="217"/>
        <v>2.3061711539185729E-2</v>
      </c>
      <c r="V80" s="450">
        <f t="shared" si="217"/>
        <v>2.4515386625544273E-2</v>
      </c>
      <c r="W80" s="450">
        <f t="shared" ref="W80" si="218">W79/W4</f>
        <v>2.6399030348885247E-2</v>
      </c>
      <c r="X80" s="451">
        <v>2.155E-2</v>
      </c>
      <c r="Y80" s="451">
        <f t="shared" ref="Y80:AC80" si="219">X80</f>
        <v>2.155E-2</v>
      </c>
      <c r="Z80" s="451">
        <f t="shared" si="219"/>
        <v>2.155E-2</v>
      </c>
      <c r="AA80" s="451">
        <f t="shared" si="219"/>
        <v>2.155E-2</v>
      </c>
      <c r="AB80" s="451">
        <f t="shared" si="219"/>
        <v>2.155E-2</v>
      </c>
      <c r="AC80" s="451">
        <f t="shared" si="219"/>
        <v>2.155E-2</v>
      </c>
      <c r="AD80" s="451">
        <f t="shared" ref="AD80" si="220">AC80</f>
        <v>2.155E-2</v>
      </c>
      <c r="AE80" s="451">
        <f t="shared" ref="AE80" si="221">AD80</f>
        <v>2.155E-2</v>
      </c>
      <c r="AF80" s="451">
        <f t="shared" ref="AF80:AG80" si="222">AE80</f>
        <v>2.155E-2</v>
      </c>
      <c r="AG80" s="451">
        <f t="shared" si="222"/>
        <v>2.155E-2</v>
      </c>
    </row>
    <row r="81" spans="1:33" x14ac:dyDescent="0.4">
      <c r="A81" s="429" t="s">
        <v>373</v>
      </c>
      <c r="B81" s="1711" t="s">
        <v>3058</v>
      </c>
      <c r="C81" s="452">
        <f>-'PL（org）'!D12</f>
        <v>3.6110000000000002</v>
      </c>
      <c r="D81" s="452">
        <f>-'PL（org）'!E12</f>
        <v>4.82</v>
      </c>
      <c r="E81" s="452">
        <f>-'PL（org）'!F12</f>
        <v>10.718999999999999</v>
      </c>
      <c r="F81" s="452">
        <f>-'PL（org）'!G12</f>
        <v>17.795999999999999</v>
      </c>
      <c r="G81" s="452">
        <f>-'PL（org）'!H12</f>
        <v>9.843</v>
      </c>
      <c r="H81" s="452">
        <f>-'PL（org）'!I12</f>
        <v>4.7359999999999998</v>
      </c>
      <c r="I81" s="452">
        <f>-'PL（org）'!J12</f>
        <v>15.523</v>
      </c>
      <c r="J81" s="452">
        <f>-'PL（org）'!K12</f>
        <v>5.5049999999999999</v>
      </c>
      <c r="K81" s="452">
        <f>-'PL（org）'!L12</f>
        <v>82.945999999999998</v>
      </c>
      <c r="L81" s="452">
        <f>-'PL（org）'!M12</f>
        <v>133.87100000000001</v>
      </c>
      <c r="M81" s="452"/>
      <c r="N81" s="452"/>
      <c r="O81" s="452"/>
      <c r="P81" s="452"/>
      <c r="Q81" s="452"/>
      <c r="R81" s="452"/>
      <c r="S81" s="452"/>
      <c r="T81" s="452"/>
      <c r="U81" s="452"/>
      <c r="V81" s="452"/>
      <c r="W81" s="452"/>
      <c r="X81" s="452"/>
      <c r="Y81" s="452"/>
      <c r="Z81" s="452"/>
      <c r="AA81" s="452"/>
      <c r="AB81" s="452"/>
      <c r="AC81" s="452"/>
      <c r="AD81" s="452"/>
      <c r="AE81" s="452"/>
      <c r="AF81" s="452"/>
      <c r="AG81" s="452"/>
    </row>
    <row r="82" spans="1:33" x14ac:dyDescent="0.4">
      <c r="A82" s="433" t="s">
        <v>354</v>
      </c>
      <c r="B82" s="1612" t="s">
        <v>3059</v>
      </c>
      <c r="C82" s="434">
        <f t="shared" ref="C82:L82" si="223">C81/C4</f>
        <v>4.7114839125853377E-4</v>
      </c>
      <c r="D82" s="434">
        <f t="shared" si="223"/>
        <v>4.6819635416858925E-4</v>
      </c>
      <c r="E82" s="434">
        <f t="shared" si="223"/>
        <v>1.0541563351511032E-3</v>
      </c>
      <c r="F82" s="434">
        <f t="shared" si="223"/>
        <v>1.6146761687824737E-3</v>
      </c>
      <c r="G82" s="434">
        <f t="shared" si="223"/>
        <v>8.6783651346085584E-4</v>
      </c>
      <c r="H82" s="434">
        <f t="shared" si="223"/>
        <v>3.9523082573450052E-4</v>
      </c>
      <c r="I82" s="434">
        <f t="shared" si="223"/>
        <v>9.4771996209120149E-4</v>
      </c>
      <c r="J82" s="434">
        <f t="shared" si="223"/>
        <v>2.512475662531389E-4</v>
      </c>
      <c r="K82" s="434">
        <f t="shared" si="223"/>
        <v>3.0399162635849947E-3</v>
      </c>
      <c r="L82" s="434">
        <f t="shared" si="223"/>
        <v>3.8871269462529669E-3</v>
      </c>
      <c r="M82" s="434"/>
      <c r="N82" s="453"/>
      <c r="O82" s="453"/>
      <c r="P82" s="453"/>
      <c r="Q82" s="453"/>
      <c r="R82" s="453"/>
      <c r="S82" s="453"/>
      <c r="T82" s="453"/>
      <c r="U82" s="453"/>
      <c r="V82" s="453"/>
      <c r="W82" s="453"/>
      <c r="X82" s="453"/>
      <c r="Y82" s="453"/>
      <c r="Z82" s="453"/>
      <c r="AA82" s="453"/>
      <c r="AB82" s="453"/>
      <c r="AC82" s="453"/>
      <c r="AD82" s="453"/>
      <c r="AE82" s="453"/>
      <c r="AF82" s="453"/>
      <c r="AG82" s="453"/>
    </row>
    <row r="83" spans="1:33" x14ac:dyDescent="0.4">
      <c r="A83" s="436" t="s">
        <v>375</v>
      </c>
      <c r="B83" s="1683" t="s">
        <v>3060</v>
      </c>
      <c r="C83" s="441">
        <f>-'PL（org）'!D11</f>
        <v>187.624</v>
      </c>
      <c r="D83" s="441">
        <f>-'PL（org）'!E11</f>
        <v>249.71100000000001</v>
      </c>
      <c r="E83" s="441">
        <f>-'PL（org）'!F11</f>
        <v>332</v>
      </c>
      <c r="F83" s="441">
        <f>-'PL（org）'!G11</f>
        <v>394.03199999999998</v>
      </c>
      <c r="G83" s="441">
        <f>-'PL（org）'!H11</f>
        <v>356.53500000000003</v>
      </c>
      <c r="H83" s="441">
        <f>-'PL（org）'!I11</f>
        <v>466.76600000000002</v>
      </c>
      <c r="I83" s="441">
        <f>-'PL（org）'!J11</f>
        <v>538.67999999999995</v>
      </c>
      <c r="J83" s="441">
        <f>-'PL（org）'!K11</f>
        <v>704.13900000000001</v>
      </c>
      <c r="K83" s="441">
        <f>-'PL（org）'!L11</f>
        <v>959.51199999999994</v>
      </c>
      <c r="L83" s="441">
        <f>-'PL（org）'!M11</f>
        <v>899.26900000000001</v>
      </c>
      <c r="M83" s="441"/>
      <c r="N83" s="441"/>
      <c r="O83" s="441"/>
      <c r="P83" s="441"/>
      <c r="Q83" s="441"/>
      <c r="R83" s="441"/>
      <c r="S83" s="441"/>
      <c r="T83" s="441"/>
      <c r="U83" s="441"/>
      <c r="V83" s="441"/>
      <c r="W83" s="441"/>
      <c r="X83" s="441"/>
      <c r="Y83" s="441"/>
      <c r="Z83" s="441"/>
      <c r="AA83" s="441"/>
      <c r="AB83" s="441"/>
      <c r="AC83" s="441"/>
      <c r="AD83" s="441"/>
      <c r="AE83" s="441"/>
      <c r="AF83" s="441"/>
      <c r="AG83" s="441"/>
    </row>
    <row r="84" spans="1:33" x14ac:dyDescent="0.4">
      <c r="A84" s="433" t="s">
        <v>354</v>
      </c>
      <c r="B84" s="1612" t="s">
        <v>3061</v>
      </c>
      <c r="C84" s="434">
        <f t="shared" ref="C84:L84" si="224">C83/C4</f>
        <v>2.4480405915671872E-2</v>
      </c>
      <c r="D84" s="434">
        <f t="shared" si="224"/>
        <v>2.4255970911990162E-2</v>
      </c>
      <c r="E84" s="434">
        <f t="shared" si="224"/>
        <v>3.2650424784976789E-2</v>
      </c>
      <c r="F84" s="434">
        <f t="shared" si="224"/>
        <v>3.5751521698004926E-2</v>
      </c>
      <c r="G84" s="434">
        <f t="shared" si="224"/>
        <v>3.1434937653841949E-2</v>
      </c>
      <c r="H84" s="434">
        <f t="shared" si="224"/>
        <v>3.8952768497633003E-2</v>
      </c>
      <c r="I84" s="434">
        <f t="shared" si="224"/>
        <v>3.2887830263434156E-2</v>
      </c>
      <c r="J84" s="434">
        <f t="shared" si="224"/>
        <v>3.213682289807792E-2</v>
      </c>
      <c r="K84" s="434">
        <f t="shared" si="224"/>
        <v>3.5165482770778161E-2</v>
      </c>
      <c r="L84" s="434">
        <f t="shared" si="224"/>
        <v>2.6111501085597021E-2</v>
      </c>
      <c r="M84" s="434"/>
      <c r="N84" s="453"/>
      <c r="O84" s="453"/>
      <c r="P84" s="453"/>
      <c r="Q84" s="453"/>
      <c r="R84" s="453"/>
      <c r="S84" s="453"/>
      <c r="T84" s="453"/>
      <c r="U84" s="453"/>
      <c r="V84" s="453"/>
      <c r="W84" s="453"/>
      <c r="X84" s="453"/>
      <c r="Y84" s="453"/>
      <c r="Z84" s="453"/>
      <c r="AA84" s="453"/>
      <c r="AB84" s="453"/>
      <c r="AC84" s="453"/>
      <c r="AD84" s="453"/>
      <c r="AE84" s="453"/>
      <c r="AF84" s="453"/>
      <c r="AG84" s="453"/>
    </row>
    <row r="85" spans="1:33" x14ac:dyDescent="0.4">
      <c r="A85" s="436" t="s">
        <v>2247</v>
      </c>
      <c r="B85" s="1612" t="s">
        <v>3062</v>
      </c>
      <c r="C85" s="454">
        <f>-'PL（org）'!D13</f>
        <v>20.934000000000001</v>
      </c>
      <c r="D85" s="454">
        <f>-'PL（org）'!E13</f>
        <v>16.524999999999999</v>
      </c>
      <c r="E85" s="454">
        <f>-'PL（org）'!F13</f>
        <v>29.919</v>
      </c>
      <c r="F85" s="454">
        <f>-'PL（org）'!G13</f>
        <v>2.847</v>
      </c>
      <c r="G85" s="454">
        <f>-'PL（org）'!H13</f>
        <v>22.324000000000002</v>
      </c>
      <c r="H85" s="454">
        <f>-'PL（org）'!I13</f>
        <v>26.385999999999999</v>
      </c>
      <c r="I85" s="454">
        <f>-'PL（org）'!J13</f>
        <v>22.954000000000001</v>
      </c>
      <c r="J85" s="454">
        <f>-'PL（org）'!K13</f>
        <v>30.43</v>
      </c>
      <c r="K85" s="454">
        <f>-'PL（org）'!L13</f>
        <v>0</v>
      </c>
      <c r="L85" s="454">
        <f>-'PL（org）'!M13</f>
        <v>0</v>
      </c>
      <c r="M85" s="454"/>
      <c r="N85" s="453"/>
      <c r="O85" s="453"/>
      <c r="P85" s="453"/>
      <c r="Q85" s="453"/>
      <c r="R85" s="453"/>
      <c r="S85" s="453"/>
      <c r="T85" s="453"/>
      <c r="U85" s="453"/>
      <c r="V85" s="453"/>
      <c r="W85" s="453"/>
      <c r="X85" s="453"/>
      <c r="Y85" s="453"/>
      <c r="Z85" s="453"/>
      <c r="AA85" s="453"/>
      <c r="AB85" s="453"/>
      <c r="AC85" s="453"/>
      <c r="AD85" s="453"/>
      <c r="AE85" s="453"/>
      <c r="AF85" s="453"/>
      <c r="AG85" s="453"/>
    </row>
    <row r="86" spans="1:33" x14ac:dyDescent="0.4">
      <c r="A86" s="444" t="s">
        <v>354</v>
      </c>
      <c r="B86" s="1712" t="s">
        <v>3063</v>
      </c>
      <c r="C86" s="410">
        <f t="shared" ref="C86:L86" si="225">C85/C4</f>
        <v>2.7313820057064931E-3</v>
      </c>
      <c r="D86" s="410">
        <f t="shared" si="225"/>
        <v>1.6051752598829742E-3</v>
      </c>
      <c r="E86" s="410">
        <f t="shared" si="225"/>
        <v>2.9423736721136164E-3</v>
      </c>
      <c r="F86" s="410">
        <f t="shared" si="225"/>
        <v>2.5831552329308287E-4</v>
      </c>
      <c r="G86" s="410">
        <f t="shared" si="225"/>
        <v>1.9682599132886465E-3</v>
      </c>
      <c r="H86" s="410">
        <f t="shared" si="225"/>
        <v>2.2019764712480007E-3</v>
      </c>
      <c r="I86" s="410">
        <f t="shared" si="225"/>
        <v>1.4014020492070761E-3</v>
      </c>
      <c r="J86" s="410">
        <f t="shared" si="225"/>
        <v>1.3888216968361519E-3</v>
      </c>
      <c r="K86" s="410">
        <f t="shared" si="225"/>
        <v>0</v>
      </c>
      <c r="L86" s="410">
        <f t="shared" si="225"/>
        <v>0</v>
      </c>
      <c r="M86" s="410"/>
      <c r="N86" s="455"/>
      <c r="O86" s="455"/>
      <c r="P86" s="455"/>
      <c r="Q86" s="455"/>
      <c r="R86" s="455"/>
      <c r="S86" s="455"/>
      <c r="T86" s="455"/>
      <c r="U86" s="455"/>
      <c r="V86" s="455"/>
      <c r="W86" s="455"/>
      <c r="X86" s="455"/>
      <c r="Y86" s="455"/>
      <c r="Z86" s="455"/>
      <c r="AA86" s="455"/>
      <c r="AB86" s="455"/>
      <c r="AC86" s="455"/>
      <c r="AD86" s="455"/>
      <c r="AE86" s="455"/>
      <c r="AF86" s="455"/>
      <c r="AG86" s="455"/>
    </row>
    <row r="87" spans="1:33" x14ac:dyDescent="0.4">
      <c r="A87" s="348"/>
      <c r="B87" s="1680"/>
      <c r="C87" s="456"/>
      <c r="D87" s="456"/>
      <c r="E87" s="456"/>
      <c r="F87" s="456"/>
      <c r="G87" s="456"/>
      <c r="H87" s="456"/>
      <c r="I87" s="456"/>
      <c r="J87" s="456"/>
      <c r="K87" s="456"/>
      <c r="L87" s="457"/>
      <c r="M87" s="458"/>
      <c r="N87" s="459"/>
      <c r="O87" s="459"/>
      <c r="P87" s="459"/>
      <c r="Q87" s="459"/>
      <c r="R87" s="459"/>
      <c r="S87" s="459"/>
      <c r="T87" s="459"/>
      <c r="U87" s="459"/>
      <c r="V87" s="459"/>
      <c r="W87" s="459"/>
      <c r="X87" s="459"/>
      <c r="Y87" s="459"/>
      <c r="Z87" s="459"/>
      <c r="AA87" s="459"/>
      <c r="AB87" s="459"/>
      <c r="AC87" s="459"/>
      <c r="AD87" s="459"/>
      <c r="AE87" s="459"/>
      <c r="AF87" s="459"/>
      <c r="AG87" s="459"/>
    </row>
    <row r="88" spans="1:33" x14ac:dyDescent="0.4">
      <c r="A88" s="310" t="s">
        <v>2248</v>
      </c>
      <c r="B88" s="354" t="s">
        <v>3064</v>
      </c>
      <c r="C88" s="426">
        <f>SUM('PL（org）'!D14:D16)</f>
        <v>0</v>
      </c>
      <c r="D88" s="426">
        <f>SUM('PL（org）'!E14:E16)</f>
        <v>0</v>
      </c>
      <c r="E88" s="426">
        <f>SUM('PL（org）'!F14:F16)</f>
        <v>0</v>
      </c>
      <c r="F88" s="426">
        <f>SUM('PL（org）'!G14:G16)</f>
        <v>8.5800000000000018</v>
      </c>
      <c r="G88" s="426">
        <f>SUM('PL（org）'!H14:H16)</f>
        <v>0</v>
      </c>
      <c r="H88" s="426">
        <f>SUM('PL（org）'!I14:I16)</f>
        <v>0</v>
      </c>
      <c r="I88" s="426">
        <f>SUM('PL（org）'!J14:J16)</f>
        <v>0</v>
      </c>
      <c r="J88" s="426">
        <f>SUM('PL（org）'!K14:K16)</f>
        <v>0</v>
      </c>
      <c r="K88" s="426">
        <f>SUM('PL（org）'!L14:L16)</f>
        <v>0</v>
      </c>
      <c r="L88" s="426">
        <f>SUM('PL（org）'!M14:M16)</f>
        <v>0</v>
      </c>
      <c r="M88" s="426">
        <f>SUM('PL（org）'!N14:N16)</f>
        <v>0</v>
      </c>
      <c r="N88" s="426">
        <f>SUM('PL（org）'!O14:O16)</f>
        <v>0</v>
      </c>
      <c r="O88" s="426">
        <f>SUM('PL（org）'!P14:P16)</f>
        <v>0</v>
      </c>
      <c r="P88" s="426">
        <f>SUM('PL（org）'!Q14:Q16)</f>
        <v>0</v>
      </c>
      <c r="Q88" s="426">
        <f>SUM('PL（org）'!R14:R16)</f>
        <v>0</v>
      </c>
      <c r="R88" s="426">
        <f>SUM('PL（org）'!S14:S16)</f>
        <v>0</v>
      </c>
      <c r="S88" s="426">
        <f>SUM('PL（org）'!T14:T16)</f>
        <v>0</v>
      </c>
      <c r="T88" s="426">
        <f>SUM('PL（org）'!U14:U16)</f>
        <v>0</v>
      </c>
      <c r="U88" s="426">
        <f>SUM('PL（org）'!V14:V16)</f>
        <v>0</v>
      </c>
      <c r="V88" s="426">
        <f>SUM('PL（org）'!W14:W16)</f>
        <v>0</v>
      </c>
      <c r="W88" s="426">
        <f>SUM('PL（org）'!X14:X16)</f>
        <v>0</v>
      </c>
      <c r="X88" s="460">
        <f t="shared" ref="X88:AC88" si="226">W88</f>
        <v>0</v>
      </c>
      <c r="Y88" s="460">
        <f t="shared" si="226"/>
        <v>0</v>
      </c>
      <c r="Z88" s="460">
        <f t="shared" si="226"/>
        <v>0</v>
      </c>
      <c r="AA88" s="460">
        <f t="shared" si="226"/>
        <v>0</v>
      </c>
      <c r="AB88" s="460">
        <f t="shared" si="226"/>
        <v>0</v>
      </c>
      <c r="AC88" s="460">
        <f t="shared" si="226"/>
        <v>0</v>
      </c>
      <c r="AD88" s="460">
        <f t="shared" ref="AD88" si="227">AC88</f>
        <v>0</v>
      </c>
      <c r="AE88" s="460">
        <f t="shared" ref="AE88" si="228">AD88</f>
        <v>0</v>
      </c>
      <c r="AF88" s="460">
        <f t="shared" ref="AF88:AG88" si="229">AE88</f>
        <v>0</v>
      </c>
      <c r="AG88" s="460">
        <f t="shared" si="229"/>
        <v>0</v>
      </c>
    </row>
    <row r="89" spans="1:33" x14ac:dyDescent="0.4">
      <c r="A89" s="413"/>
      <c r="C89" s="362"/>
      <c r="D89" s="362"/>
      <c r="E89" s="461"/>
      <c r="F89" s="361"/>
      <c r="G89" s="361"/>
      <c r="H89" s="361"/>
      <c r="I89" s="361"/>
      <c r="J89" s="361"/>
      <c r="K89" s="361"/>
    </row>
    <row r="90" spans="1:33" x14ac:dyDescent="0.4">
      <c r="A90" s="310" t="s">
        <v>380</v>
      </c>
      <c r="B90" s="354" t="s">
        <v>379</v>
      </c>
      <c r="C90" s="426">
        <f>-'PL（org）'!D19</f>
        <v>14.096</v>
      </c>
      <c r="D90" s="426">
        <f>-'PL（org）'!E19</f>
        <v>1.5529999999999999</v>
      </c>
      <c r="E90" s="426">
        <f>-'PL（org）'!F19</f>
        <v>1.823</v>
      </c>
      <c r="F90" s="426">
        <f>-'PL（org）'!G19</f>
        <v>20.065000000000001</v>
      </c>
      <c r="G90" s="426">
        <f>-'PL（org）'!H19</f>
        <v>26.135999999999999</v>
      </c>
      <c r="H90" s="426">
        <f>-'PL（org）'!I19</f>
        <v>15.552</v>
      </c>
      <c r="I90" s="426">
        <f>-'PL（org）'!J19</f>
        <v>192.69</v>
      </c>
      <c r="J90" s="426">
        <f>-'PL（org）'!K19</f>
        <v>239.375</v>
      </c>
      <c r="K90" s="426">
        <f>-'PL（org）'!L19</f>
        <v>418.44</v>
      </c>
      <c r="L90" s="426">
        <f>-'PL（org）'!M19</f>
        <v>455.82900000000001</v>
      </c>
      <c r="M90" s="426">
        <f>-'PL（org）'!N19</f>
        <v>629.10500000000002</v>
      </c>
      <c r="N90" s="426">
        <f>-'PL（org）'!O19</f>
        <v>688.15899999999999</v>
      </c>
      <c r="O90" s="426">
        <f>-'PL（org）'!P19</f>
        <v>1069.7540000000001</v>
      </c>
      <c r="P90" s="426">
        <f>-'PL（org）'!Q19</f>
        <v>1781.7170000000001</v>
      </c>
      <c r="Q90" s="426">
        <f>-'PL（org）'!R19</f>
        <v>2278.9850000000001</v>
      </c>
      <c r="R90" s="426">
        <f>-'PL（org）'!S19</f>
        <v>2679.9769999999999</v>
      </c>
      <c r="S90" s="426">
        <f>-'PL（org）'!T19</f>
        <v>2668.2020000000002</v>
      </c>
      <c r="T90" s="426">
        <f>-'PL（org）'!U19</f>
        <v>2991.4189999999999</v>
      </c>
      <c r="U90" s="426">
        <f>-'PL（org）'!V19</f>
        <v>3204.3090000000002</v>
      </c>
      <c r="V90" s="426">
        <f>-'PL（org）'!W19</f>
        <v>2948.3119999999999</v>
      </c>
      <c r="W90" s="426">
        <f>-'PL（org）'!X19</f>
        <v>2469.6680000000001</v>
      </c>
      <c r="X90" s="426">
        <f>Financing!X72</f>
        <v>2600.4000129371916</v>
      </c>
      <c r="Y90" s="426">
        <f>Financing!Y72</f>
        <v>2740.1340407071784</v>
      </c>
      <c r="Z90" s="426">
        <f>Financing!Z72</f>
        <v>2882.402039866276</v>
      </c>
      <c r="AA90" s="426">
        <f>Financing!AA72</f>
        <v>3027.2546898422688</v>
      </c>
      <c r="AB90" s="426">
        <f>Financing!AB72</f>
        <v>3174.743683651493</v>
      </c>
      <c r="AC90" s="426">
        <f>Financing!AC72</f>
        <v>3324.9217481706146</v>
      </c>
      <c r="AD90" s="426">
        <f>Financing!AD72</f>
        <v>3477.8426648138302</v>
      </c>
      <c r="AE90" s="426">
        <f>Financing!AE72</f>
        <v>3633.5612906236224</v>
      </c>
      <c r="AF90" s="426">
        <f>Financing!AF72</f>
        <v>3792.1335797833231</v>
      </c>
      <c r="AG90" s="426">
        <f>Financing!AG72</f>
        <v>3953.6166055599297</v>
      </c>
    </row>
    <row r="91" spans="1:33" s="427" customFormat="1" x14ac:dyDescent="0.4">
      <c r="A91" s="348" t="s">
        <v>354</v>
      </c>
      <c r="B91" s="1706" t="s">
        <v>2698</v>
      </c>
      <c r="C91" s="349">
        <f t="shared" ref="C91:AC91" si="230">+C90/C4</f>
        <v>1.8391879598948467E-3</v>
      </c>
      <c r="D91" s="349">
        <f t="shared" si="230"/>
        <v>1.5085247676842719E-4</v>
      </c>
      <c r="E91" s="349">
        <f t="shared" si="230"/>
        <v>1.7928230235847195E-4</v>
      </c>
      <c r="F91" s="349">
        <f t="shared" si="230"/>
        <v>1.8205482876275756E-3</v>
      </c>
      <c r="G91" s="349">
        <f t="shared" si="230"/>
        <v>2.3043558991987126E-3</v>
      </c>
      <c r="H91" s="349">
        <f t="shared" si="230"/>
        <v>1.2978525763984274E-3</v>
      </c>
      <c r="I91" s="349">
        <f t="shared" si="230"/>
        <v>1.1764231108378124E-2</v>
      </c>
      <c r="J91" s="349">
        <f t="shared" si="230"/>
        <v>1.092504744266033E-2</v>
      </c>
      <c r="K91" s="349">
        <f t="shared" si="230"/>
        <v>1.5335550374153125E-2</v>
      </c>
      <c r="L91" s="349">
        <f t="shared" si="230"/>
        <v>1.3235616293174352E-2</v>
      </c>
      <c r="M91" s="349">
        <f t="shared" si="230"/>
        <v>1.6554577463491541E-2</v>
      </c>
      <c r="N91" s="349">
        <f t="shared" si="230"/>
        <v>1.4892796209654932E-2</v>
      </c>
      <c r="O91" s="349">
        <f t="shared" si="230"/>
        <v>2.1330013221268786E-2</v>
      </c>
      <c r="P91" s="349">
        <f t="shared" si="230"/>
        <v>3.2030116543425212E-2</v>
      </c>
      <c r="Q91" s="349">
        <f t="shared" si="230"/>
        <v>3.6954708925186867E-2</v>
      </c>
      <c r="R91" s="349">
        <f t="shared" si="230"/>
        <v>4.290846030650769E-2</v>
      </c>
      <c r="S91" s="349">
        <f t="shared" si="230"/>
        <v>3.4513197802281098E-2</v>
      </c>
      <c r="T91" s="349">
        <f t="shared" si="230"/>
        <v>2.9334750932002971E-2</v>
      </c>
      <c r="U91" s="349">
        <f t="shared" si="230"/>
        <v>2.8173709126046578E-2</v>
      </c>
      <c r="V91" s="349">
        <f t="shared" si="230"/>
        <v>2.7993137393942467E-2</v>
      </c>
      <c r="W91" s="349">
        <f t="shared" si="230"/>
        <v>2.4586409951368116E-2</v>
      </c>
      <c r="X91" s="349">
        <f t="shared" si="230"/>
        <v>2.5109969733324161E-2</v>
      </c>
      <c r="Y91" s="349">
        <f t="shared" si="230"/>
        <v>2.3995252656061058E-2</v>
      </c>
      <c r="Z91" s="349">
        <f t="shared" si="230"/>
        <v>2.345577554436162E-2</v>
      </c>
      <c r="AA91" s="349">
        <f t="shared" si="230"/>
        <v>2.2450857392894236E-2</v>
      </c>
      <c r="AB91" s="349">
        <f t="shared" si="230"/>
        <v>2.17296331589381E-2</v>
      </c>
      <c r="AC91" s="349">
        <f t="shared" si="230"/>
        <v>2.1203991624443506E-2</v>
      </c>
      <c r="AD91" s="349">
        <f t="shared" ref="AD91:AF91" si="231">+AD90/AD4</f>
        <v>2.0817911479240867E-2</v>
      </c>
      <c r="AE91" s="349">
        <f t="shared" si="231"/>
        <v>2.0534168753504393E-2</v>
      </c>
      <c r="AF91" s="349">
        <f t="shared" si="231"/>
        <v>2.0327143580375004E-2</v>
      </c>
      <c r="AG91" s="349">
        <f t="shared" ref="AG91" si="232">+AG90/AG4</f>
        <v>2.0178687284686143E-2</v>
      </c>
    </row>
    <row r="92" spans="1:33" x14ac:dyDescent="0.4">
      <c r="C92" s="462"/>
      <c r="D92" s="462"/>
      <c r="E92" s="462"/>
      <c r="F92" s="462"/>
      <c r="G92" s="462"/>
      <c r="H92" s="462"/>
      <c r="I92" s="462"/>
      <c r="J92" s="462"/>
      <c r="K92" s="462"/>
      <c r="L92" s="462"/>
      <c r="M92" s="462"/>
      <c r="N92" s="463"/>
      <c r="O92" s="463"/>
      <c r="P92" s="463"/>
      <c r="Q92" s="463"/>
      <c r="R92" s="463"/>
      <c r="S92" s="463"/>
      <c r="T92" s="463"/>
      <c r="U92" s="463"/>
      <c r="V92" s="463"/>
      <c r="W92" s="463"/>
      <c r="X92" s="463"/>
      <c r="Y92" s="463"/>
      <c r="Z92" s="463"/>
      <c r="AA92" s="463"/>
      <c r="AB92" s="463"/>
      <c r="AC92" s="463"/>
      <c r="AD92" s="463"/>
      <c r="AE92" s="463"/>
      <c r="AF92" s="463"/>
      <c r="AG92" s="463"/>
    </row>
    <row r="93" spans="1:33" x14ac:dyDescent="0.4">
      <c r="B93" s="354" t="s">
        <v>2676</v>
      </c>
      <c r="C93" s="462"/>
      <c r="D93" s="462"/>
      <c r="E93" s="462"/>
      <c r="F93" s="462"/>
      <c r="G93" s="462"/>
      <c r="H93" s="462"/>
      <c r="I93" s="462"/>
      <c r="J93" s="462"/>
      <c r="K93" s="462"/>
      <c r="L93" s="462"/>
      <c r="M93" s="462"/>
      <c r="N93" s="462">
        <f t="shared" ref="N93:T93" si="233">SUM(N94:N98)</f>
        <v>21193.514999999999</v>
      </c>
      <c r="O93" s="462">
        <f t="shared" si="233"/>
        <v>29379.085999999999</v>
      </c>
      <c r="P93" s="462">
        <f t="shared" si="233"/>
        <v>41040.745000000003</v>
      </c>
      <c r="Q93" s="462">
        <f t="shared" si="233"/>
        <v>48316.499000000003</v>
      </c>
      <c r="R93" s="462">
        <f t="shared" si="233"/>
        <v>57218.853999999999</v>
      </c>
      <c r="S93" s="462">
        <f t="shared" si="233"/>
        <v>69004.362999999998</v>
      </c>
      <c r="T93" s="462">
        <f t="shared" si="233"/>
        <v>70664.388999999996</v>
      </c>
      <c r="U93" s="462">
        <f t="shared" ref="U93" si="234">SUM(U94:U98)</f>
        <v>74834.054000000004</v>
      </c>
      <c r="V93" s="462">
        <f t="shared" ref="V93:W93" si="235">SUM(V94:V98)</f>
        <v>78418.829999999987</v>
      </c>
      <c r="W93" s="462">
        <f t="shared" si="235"/>
        <v>84302.609999999986</v>
      </c>
      <c r="X93" s="463"/>
      <c r="Y93" s="463"/>
      <c r="Z93" s="463"/>
      <c r="AA93" s="463"/>
      <c r="AB93" s="463"/>
      <c r="AC93" s="463"/>
      <c r="AD93" s="463"/>
      <c r="AE93" s="463"/>
      <c r="AF93" s="463"/>
      <c r="AG93" s="463"/>
    </row>
    <row r="94" spans="1:33" x14ac:dyDescent="0.4">
      <c r="B94" s="1713" t="s">
        <v>2677</v>
      </c>
      <c r="C94" s="462"/>
      <c r="D94" s="462"/>
      <c r="E94" s="462"/>
      <c r="F94" s="462"/>
      <c r="G94" s="462"/>
      <c r="H94" s="462"/>
      <c r="I94" s="462"/>
      <c r="J94" s="462"/>
      <c r="K94" s="462"/>
      <c r="L94" s="462"/>
      <c r="M94" s="462"/>
      <c r="N94" s="462">
        <f>BS!N50</f>
        <v>15849.056</v>
      </c>
      <c r="O94" s="462">
        <f>BS!O50</f>
        <v>20592.442999999999</v>
      </c>
      <c r="P94" s="462">
        <f>BS!P50</f>
        <v>32033.95</v>
      </c>
      <c r="Q94" s="462">
        <f>BS!Q50</f>
        <v>29347.618000000002</v>
      </c>
      <c r="R94" s="462">
        <f>BS!R50</f>
        <v>35488.760999999999</v>
      </c>
      <c r="S94" s="462">
        <f>BS!S50</f>
        <v>47848.334999999999</v>
      </c>
      <c r="T94" s="462">
        <f>BS!T50</f>
        <v>45457.207000000002</v>
      </c>
      <c r="U94" s="462">
        <f>BS!U50</f>
        <v>51310.455999999998</v>
      </c>
      <c r="V94" s="462">
        <f>BS!V50</f>
        <v>54780.475999999995</v>
      </c>
      <c r="W94" s="462">
        <f>BS!W50</f>
        <v>57061.599999999999</v>
      </c>
      <c r="X94" s="463"/>
      <c r="Y94" s="463"/>
      <c r="Z94" s="463"/>
      <c r="AA94" s="463"/>
      <c r="AB94" s="463"/>
      <c r="AC94" s="463"/>
      <c r="AD94" s="463"/>
      <c r="AE94" s="463"/>
      <c r="AF94" s="463"/>
      <c r="AG94" s="463"/>
    </row>
    <row r="95" spans="1:33" x14ac:dyDescent="0.4">
      <c r="B95" s="1713" t="s">
        <v>3065</v>
      </c>
      <c r="C95" s="462"/>
      <c r="D95" s="462"/>
      <c r="E95" s="462"/>
      <c r="F95" s="462"/>
      <c r="G95" s="462"/>
      <c r="H95" s="462"/>
      <c r="I95" s="462"/>
      <c r="J95" s="462"/>
      <c r="K95" s="462"/>
      <c r="L95" s="462"/>
      <c r="M95" s="462"/>
      <c r="N95" s="462">
        <f>BS!N52</f>
        <v>0</v>
      </c>
      <c r="O95" s="462">
        <f>BS!O52</f>
        <v>0</v>
      </c>
      <c r="P95" s="462">
        <f>BS!P52</f>
        <v>0</v>
      </c>
      <c r="Q95" s="462">
        <f>BS!Q52</f>
        <v>2711.864</v>
      </c>
      <c r="R95" s="462">
        <f>BS!R52</f>
        <v>2843.6019999999999</v>
      </c>
      <c r="S95" s="462">
        <f>BS!S52</f>
        <v>2955.665</v>
      </c>
      <c r="T95" s="462">
        <f>BS!T52</f>
        <v>2727.2730000000001</v>
      </c>
      <c r="U95" s="462">
        <f>BS!U52</f>
        <v>0</v>
      </c>
      <c r="V95" s="462">
        <f>BS!V52</f>
        <v>0</v>
      </c>
      <c r="W95" s="462">
        <f>BS!W52</f>
        <v>0</v>
      </c>
      <c r="X95" s="463"/>
      <c r="Y95" s="463"/>
      <c r="Z95" s="463"/>
      <c r="AA95" s="463"/>
      <c r="AB95" s="463"/>
      <c r="AC95" s="463"/>
      <c r="AD95" s="463"/>
      <c r="AE95" s="463"/>
      <c r="AF95" s="463"/>
      <c r="AG95" s="463"/>
    </row>
    <row r="96" spans="1:33" x14ac:dyDescent="0.4">
      <c r="B96" s="1713" t="s">
        <v>3066</v>
      </c>
      <c r="C96" s="462"/>
      <c r="D96" s="462"/>
      <c r="E96" s="462"/>
      <c r="F96" s="462"/>
      <c r="G96" s="462"/>
      <c r="H96" s="462"/>
      <c r="I96" s="462"/>
      <c r="J96" s="462"/>
      <c r="K96" s="462"/>
      <c r="L96" s="462"/>
      <c r="M96" s="462"/>
      <c r="N96" s="462">
        <f>BS!N53</f>
        <v>3888.8389999999999</v>
      </c>
      <c r="O96" s="462">
        <f>BS!O53</f>
        <v>6206.0529999999999</v>
      </c>
      <c r="P96" s="462">
        <f>BS!P53</f>
        <v>6210.9629999999997</v>
      </c>
      <c r="Q96" s="462">
        <f>BS!Q53</f>
        <v>6216.049</v>
      </c>
      <c r="R96" s="462">
        <f>BS!R53</f>
        <v>9179</v>
      </c>
      <c r="S96" s="462">
        <f>BS!S53</f>
        <v>8095.4179999999997</v>
      </c>
      <c r="T96" s="462">
        <f>BS!T53</f>
        <v>8760.2520000000004</v>
      </c>
      <c r="U96" s="462">
        <f>BS!U53</f>
        <v>7008.5910000000003</v>
      </c>
      <c r="V96" s="462">
        <f>BS!V53</f>
        <v>10342.598</v>
      </c>
      <c r="W96" s="462">
        <f>BS!W53</f>
        <v>12144.64</v>
      </c>
      <c r="X96" s="463"/>
      <c r="Y96" s="463"/>
      <c r="Z96" s="463"/>
      <c r="AA96" s="463"/>
      <c r="AB96" s="463"/>
      <c r="AC96" s="463"/>
      <c r="AD96" s="463"/>
      <c r="AE96" s="463"/>
      <c r="AF96" s="463"/>
      <c r="AG96" s="463"/>
    </row>
    <row r="97" spans="1:33" x14ac:dyDescent="0.4">
      <c r="B97" s="1713" t="s">
        <v>2678</v>
      </c>
      <c r="C97" s="462"/>
      <c r="D97" s="462"/>
      <c r="E97" s="462"/>
      <c r="F97" s="462"/>
      <c r="G97" s="462"/>
      <c r="H97" s="462"/>
      <c r="I97" s="462"/>
      <c r="J97" s="462"/>
      <c r="K97" s="462"/>
      <c r="L97" s="462"/>
      <c r="M97" s="462"/>
      <c r="N97" s="462">
        <f>BS!N66</f>
        <v>1455.62</v>
      </c>
      <c r="O97" s="462">
        <f>BS!O66</f>
        <v>2580.59</v>
      </c>
      <c r="P97" s="462">
        <f>BS!P66</f>
        <v>2795.8319999999999</v>
      </c>
      <c r="Q97" s="462">
        <f>BS!Q66</f>
        <v>10040.968000000001</v>
      </c>
      <c r="R97" s="462">
        <f>BS!R66</f>
        <v>9707.491</v>
      </c>
      <c r="S97" s="462">
        <f>BS!S66</f>
        <v>10104.945</v>
      </c>
      <c r="T97" s="462">
        <f>BS!T66</f>
        <v>13719.656999999999</v>
      </c>
      <c r="U97" s="462">
        <f>BS!U66</f>
        <v>16515.007000000001</v>
      </c>
      <c r="V97" s="462">
        <f>BS!V66</f>
        <v>13295.755999999999</v>
      </c>
      <c r="W97" s="462">
        <f>BS!W66</f>
        <v>15096.37</v>
      </c>
      <c r="X97" s="463"/>
      <c r="Y97" s="463"/>
      <c r="Z97" s="463"/>
      <c r="AA97" s="463"/>
      <c r="AB97" s="463"/>
      <c r="AC97" s="463"/>
      <c r="AD97" s="463"/>
      <c r="AE97" s="463"/>
      <c r="AF97" s="463"/>
      <c r="AG97" s="463"/>
    </row>
    <row r="98" spans="1:33" x14ac:dyDescent="0.4">
      <c r="B98" s="1713" t="s">
        <v>3065</v>
      </c>
      <c r="C98" s="462"/>
      <c r="D98" s="462"/>
      <c r="E98" s="462"/>
      <c r="F98" s="462"/>
      <c r="G98" s="462"/>
      <c r="H98" s="462"/>
      <c r="I98" s="462"/>
      <c r="J98" s="462"/>
      <c r="K98" s="462"/>
      <c r="L98" s="462"/>
      <c r="M98" s="462"/>
      <c r="N98" s="462">
        <f>BS!N68</f>
        <v>0</v>
      </c>
      <c r="O98" s="462">
        <f>BS!O68</f>
        <v>0</v>
      </c>
      <c r="P98" s="462">
        <f>BS!P68</f>
        <v>0</v>
      </c>
      <c r="Q98" s="462">
        <f>BS!Q68</f>
        <v>0</v>
      </c>
      <c r="R98" s="462">
        <f>BS!R68</f>
        <v>0</v>
      </c>
      <c r="S98" s="462">
        <f>BS!S68</f>
        <v>0</v>
      </c>
      <c r="T98" s="462">
        <f>BS!T68</f>
        <v>0</v>
      </c>
      <c r="U98" s="462">
        <f>BS!U68</f>
        <v>0</v>
      </c>
      <c r="V98" s="462">
        <f>BS!V68</f>
        <v>0</v>
      </c>
      <c r="W98" s="462">
        <f>BS!W68</f>
        <v>0</v>
      </c>
      <c r="X98" s="463"/>
      <c r="Y98" s="463"/>
      <c r="Z98" s="463"/>
      <c r="AA98" s="463"/>
      <c r="AB98" s="463"/>
      <c r="AC98" s="463"/>
      <c r="AD98" s="463"/>
      <c r="AE98" s="463"/>
      <c r="AF98" s="463"/>
      <c r="AG98" s="463"/>
    </row>
    <row r="99" spans="1:33" x14ac:dyDescent="0.4">
      <c r="C99" s="462"/>
      <c r="D99" s="462"/>
      <c r="E99" s="462"/>
      <c r="F99" s="462"/>
      <c r="G99" s="462"/>
      <c r="H99" s="462"/>
      <c r="I99" s="462"/>
      <c r="J99" s="462"/>
      <c r="K99" s="462"/>
      <c r="L99" s="462"/>
      <c r="M99" s="462"/>
      <c r="N99" s="463"/>
      <c r="O99" s="463"/>
      <c r="P99" s="463"/>
      <c r="Q99" s="463"/>
      <c r="R99" s="463"/>
      <c r="S99" s="463"/>
      <c r="T99" s="463"/>
      <c r="U99" s="463"/>
      <c r="V99" s="463"/>
      <c r="W99" s="463"/>
      <c r="X99" s="463"/>
      <c r="Y99" s="463"/>
      <c r="Z99" s="463"/>
      <c r="AA99" s="463"/>
      <c r="AB99" s="463"/>
      <c r="AC99" s="463"/>
      <c r="AD99" s="463"/>
      <c r="AE99" s="463"/>
      <c r="AF99" s="463"/>
      <c r="AG99" s="463"/>
    </row>
    <row r="100" spans="1:33" x14ac:dyDescent="0.4">
      <c r="A100" s="310" t="s">
        <v>2250</v>
      </c>
      <c r="B100" s="354" t="s">
        <v>382</v>
      </c>
      <c r="C100" s="426">
        <f>'PL（org）'!D17+'PL（org）'!D18</f>
        <v>9.2840000000000007</v>
      </c>
      <c r="D100" s="426">
        <f>'PL（org）'!E17+'PL（org）'!E18</f>
        <v>6.86</v>
      </c>
      <c r="E100" s="426">
        <f>'PL（org）'!F17+'PL（org）'!F18</f>
        <v>8.7880000000000003</v>
      </c>
      <c r="F100" s="426">
        <f>'PL（org）'!G17+'PL（org）'!G18</f>
        <v>9.4450000000000003</v>
      </c>
      <c r="G100" s="426">
        <f>'PL（org）'!H17+'PL（org）'!H18</f>
        <v>11.592000000000001</v>
      </c>
      <c r="H100" s="426">
        <f>'PL（org）'!I17+'PL（org）'!I18</f>
        <v>342.16399999999999</v>
      </c>
      <c r="I100" s="426">
        <f>'PL（org）'!J17+'PL（org）'!J18</f>
        <v>393.649</v>
      </c>
      <c r="J100" s="426">
        <f>'PL（org）'!K17+'PL（org）'!K18</f>
        <v>431.53899999999999</v>
      </c>
      <c r="K100" s="426">
        <f>'PL（org）'!L17+'PL（org）'!L18</f>
        <v>452.16899999999998</v>
      </c>
      <c r="L100" s="426">
        <f>'PL（org）'!M17+'PL（org）'!M18</f>
        <v>318.13200000000001</v>
      </c>
      <c r="M100" s="426">
        <f>'PL（org）'!N17+'PL（org）'!N18</f>
        <v>496.19</v>
      </c>
      <c r="N100" s="426">
        <f>'PL（org）'!O17+'PL（org）'!O18</f>
        <v>562.96500000000003</v>
      </c>
      <c r="O100" s="426">
        <f>'PL（org）'!P17+'PL（org）'!P18</f>
        <v>891.68000000000006</v>
      </c>
      <c r="P100" s="426">
        <f>'PL（org）'!Q17+'PL（org）'!Q18</f>
        <v>1047.645</v>
      </c>
      <c r="Q100" s="426">
        <f>'PL（org）'!R17+'PL（org）'!R18</f>
        <v>1372.797</v>
      </c>
      <c r="R100" s="426">
        <f>'PL（org）'!S17+'PL（org）'!S18</f>
        <v>2581.5209999999997</v>
      </c>
      <c r="S100" s="426">
        <f>'PL（org）'!T17+'PL（org）'!T18</f>
        <v>1152.0540000000001</v>
      </c>
      <c r="T100" s="426">
        <f>'PL（org）'!U17+'PL（org）'!U18</f>
        <v>609.13000000000011</v>
      </c>
      <c r="U100" s="426">
        <f>'PL（org）'!V17+'PL（org）'!V18</f>
        <v>944.50800000000004</v>
      </c>
      <c r="V100" s="426">
        <f>'PL（org）'!W17+'PL（org）'!W18</f>
        <v>828.31200000000001</v>
      </c>
      <c r="W100" s="426">
        <f>'PL（org）'!X17+'PL（org）'!X18</f>
        <v>858.47699999999998</v>
      </c>
      <c r="X100" s="426">
        <f t="shared" ref="X100:AC100" si="236">W100*(1+X101)</f>
        <v>889.74053198432478</v>
      </c>
      <c r="Y100" s="426">
        <f t="shared" si="236"/>
        <v>922.14260167220471</v>
      </c>
      <c r="Z100" s="426">
        <f t="shared" si="236"/>
        <v>955.72467168862613</v>
      </c>
      <c r="AA100" s="426">
        <f t="shared" si="236"/>
        <v>990.52971462110497</v>
      </c>
      <c r="AB100" s="426">
        <f t="shared" si="236"/>
        <v>1026.6022680086517</v>
      </c>
      <c r="AC100" s="426">
        <f t="shared" si="236"/>
        <v>1063.9884913332937</v>
      </c>
      <c r="AD100" s="426">
        <f t="shared" ref="AD100" si="237">AC100*(1+AD101)</f>
        <v>1102.7362250870831</v>
      </c>
      <c r="AE100" s="426">
        <f t="shared" ref="AE100" si="238">AD100*(1+AE101)</f>
        <v>1142.8950519901725</v>
      </c>
      <c r="AF100" s="426">
        <f t="shared" ref="AF100:AG100" si="239">AE100*(1+AF101)</f>
        <v>1184.5163604382979</v>
      </c>
      <c r="AG100" s="426">
        <f t="shared" si="239"/>
        <v>1227.6534102608541</v>
      </c>
    </row>
    <row r="101" spans="1:33" s="348" customFormat="1" x14ac:dyDescent="0.4">
      <c r="A101" s="348" t="s">
        <v>577</v>
      </c>
      <c r="B101" s="1701" t="s">
        <v>577</v>
      </c>
      <c r="C101" s="349"/>
      <c r="D101" s="349"/>
      <c r="E101" s="349"/>
      <c r="F101" s="349"/>
      <c r="G101" s="349"/>
      <c r="H101" s="349">
        <f t="shared" ref="H101:U101" si="240">H100/G100-1</f>
        <v>28.51725327812284</v>
      </c>
      <c r="I101" s="349">
        <f t="shared" si="240"/>
        <v>0.15046878105236083</v>
      </c>
      <c r="J101" s="349">
        <f t="shared" si="240"/>
        <v>9.6253261153972147E-2</v>
      </c>
      <c r="K101" s="349">
        <f t="shared" si="240"/>
        <v>4.7805644449284923E-2</v>
      </c>
      <c r="L101" s="349">
        <f t="shared" si="240"/>
        <v>-0.29643120160824821</v>
      </c>
      <c r="M101" s="349">
        <f t="shared" si="240"/>
        <v>0.55969848993499549</v>
      </c>
      <c r="N101" s="349">
        <f t="shared" si="240"/>
        <v>0.1345754650436326</v>
      </c>
      <c r="O101" s="349">
        <f t="shared" si="240"/>
        <v>0.58389953194248312</v>
      </c>
      <c r="P101" s="349">
        <f t="shared" si="240"/>
        <v>0.17491140319397092</v>
      </c>
      <c r="Q101" s="349">
        <f t="shared" si="240"/>
        <v>0.31036467505691334</v>
      </c>
      <c r="R101" s="349">
        <f t="shared" si="240"/>
        <v>0.88048269336252893</v>
      </c>
      <c r="S101" s="349">
        <f t="shared" si="240"/>
        <v>-0.55373053327863686</v>
      </c>
      <c r="T101" s="349">
        <f t="shared" si="240"/>
        <v>-0.47126610384582657</v>
      </c>
      <c r="U101" s="349">
        <f t="shared" si="240"/>
        <v>0.55058526094593918</v>
      </c>
      <c r="V101" s="349">
        <f>V100/U100-1</f>
        <v>-0.12302278011409118</v>
      </c>
      <c r="W101" s="349">
        <f>W100/V100-1</f>
        <v>3.6417436907831835E-2</v>
      </c>
      <c r="X101" s="465">
        <f t="shared" ref="X101:AC101" si="241">W101</f>
        <v>3.6417436907831835E-2</v>
      </c>
      <c r="Y101" s="465">
        <f t="shared" si="241"/>
        <v>3.6417436907831835E-2</v>
      </c>
      <c r="Z101" s="465">
        <f t="shared" si="241"/>
        <v>3.6417436907831835E-2</v>
      </c>
      <c r="AA101" s="465">
        <f t="shared" si="241"/>
        <v>3.6417436907831835E-2</v>
      </c>
      <c r="AB101" s="465">
        <f t="shared" si="241"/>
        <v>3.6417436907831835E-2</v>
      </c>
      <c r="AC101" s="465">
        <f t="shared" si="241"/>
        <v>3.6417436907831835E-2</v>
      </c>
      <c r="AD101" s="465">
        <f t="shared" ref="AD101" si="242">AC101</f>
        <v>3.6417436907831835E-2</v>
      </c>
      <c r="AE101" s="465">
        <f t="shared" ref="AE101" si="243">AD101</f>
        <v>3.6417436907831835E-2</v>
      </c>
      <c r="AF101" s="465">
        <f t="shared" ref="AF101:AG101" si="244">AE101</f>
        <v>3.6417436907831835E-2</v>
      </c>
      <c r="AG101" s="465">
        <f t="shared" si="244"/>
        <v>3.6417436907831835E-2</v>
      </c>
    </row>
    <row r="102" spans="1:33" s="348" customFormat="1" x14ac:dyDescent="0.4">
      <c r="B102" s="1701"/>
      <c r="C102" s="349"/>
      <c r="D102" s="349"/>
      <c r="E102" s="349"/>
      <c r="F102" s="349"/>
      <c r="G102" s="349"/>
      <c r="H102" s="349"/>
      <c r="I102" s="426">
        <f>I40+I61-I79-I88-I90+I100</f>
        <v>1844.3009999999995</v>
      </c>
      <c r="J102" s="349"/>
      <c r="K102" s="349"/>
      <c r="L102" s="349"/>
      <c r="M102" s="349"/>
      <c r="N102" s="465"/>
      <c r="O102" s="465"/>
      <c r="P102" s="465"/>
      <c r="Q102" s="466"/>
      <c r="R102" s="466"/>
      <c r="S102" s="466"/>
      <c r="T102" s="465"/>
      <c r="U102" s="465"/>
      <c r="V102" s="465"/>
      <c r="W102" s="465"/>
      <c r="X102" s="465"/>
      <c r="Y102" s="465"/>
      <c r="Z102" s="465"/>
      <c r="AA102" s="465"/>
      <c r="AB102" s="465"/>
      <c r="AC102" s="465"/>
      <c r="AD102" s="465"/>
      <c r="AE102" s="465"/>
      <c r="AF102" s="465"/>
      <c r="AG102" s="465"/>
    </row>
    <row r="103" spans="1:33" s="323" customFormat="1" x14ac:dyDescent="0.4">
      <c r="A103" s="337" t="s">
        <v>384</v>
      </c>
      <c r="B103" s="1679" t="s">
        <v>62</v>
      </c>
      <c r="C103" s="400">
        <f t="shared" ref="C103:AC103" si="245">C40+C61-C79+C88-C90+C100</f>
        <v>201.52400000000063</v>
      </c>
      <c r="D103" s="400">
        <f t="shared" si="245"/>
        <v>271.04399999999924</v>
      </c>
      <c r="E103" s="400">
        <f t="shared" si="245"/>
        <v>530.31000000000006</v>
      </c>
      <c r="F103" s="400">
        <f t="shared" si="245"/>
        <v>570.66500000000008</v>
      </c>
      <c r="G103" s="400">
        <f t="shared" si="245"/>
        <v>722.08</v>
      </c>
      <c r="H103" s="400">
        <f t="shared" si="245"/>
        <v>1333.4669999999994</v>
      </c>
      <c r="I103" s="400">
        <f t="shared" si="245"/>
        <v>1844.3009999999995</v>
      </c>
      <c r="J103" s="400">
        <f t="shared" si="245"/>
        <v>2541.3970000000008</v>
      </c>
      <c r="K103" s="400">
        <f t="shared" si="245"/>
        <v>3173.7580000000003</v>
      </c>
      <c r="L103" s="400">
        <f t="shared" si="245"/>
        <v>4047.5939999999964</v>
      </c>
      <c r="M103" s="400">
        <f t="shared" si="245"/>
        <v>5132.2449999999981</v>
      </c>
      <c r="N103" s="400">
        <f t="shared" si="245"/>
        <v>6011.7200000000048</v>
      </c>
      <c r="O103" s="400">
        <f t="shared" si="245"/>
        <v>6789.9659999999994</v>
      </c>
      <c r="P103" s="400">
        <f t="shared" si="245"/>
        <v>6205.5050000000028</v>
      </c>
      <c r="Q103" s="400">
        <f t="shared" si="245"/>
        <v>7284.4710000000014</v>
      </c>
      <c r="R103" s="400">
        <f t="shared" si="245"/>
        <v>8244.4759999999987</v>
      </c>
      <c r="S103" s="400">
        <f t="shared" si="245"/>
        <v>9385.1779999999999</v>
      </c>
      <c r="T103" s="400">
        <f t="shared" si="245"/>
        <v>10778.684999999994</v>
      </c>
      <c r="U103" s="400">
        <f t="shared" si="245"/>
        <v>12103.547000000004</v>
      </c>
      <c r="V103" s="400">
        <f t="shared" si="245"/>
        <v>11839.239</v>
      </c>
      <c r="W103" s="400">
        <f t="shared" ref="W103" si="246">W40+W61-W79+W88-W90+W100</f>
        <v>11967.471999999998</v>
      </c>
      <c r="X103" s="400">
        <f t="shared" ca="1" si="245"/>
        <v>13423.970433482549</v>
      </c>
      <c r="Y103" s="400">
        <f t="shared" ca="1" si="245"/>
        <v>14554.861349565783</v>
      </c>
      <c r="Z103" s="400">
        <f ca="1">Z40+Z61-Z79+Z88-Z90+Z100</f>
        <v>15250.498832947418</v>
      </c>
      <c r="AA103" s="400">
        <f t="shared" ca="1" si="245"/>
        <v>16942.233958002154</v>
      </c>
      <c r="AB103" s="400">
        <f t="shared" ca="1" si="245"/>
        <v>18511.643373056053</v>
      </c>
      <c r="AC103" s="400">
        <f t="shared" ca="1" si="245"/>
        <v>19971.960494712788</v>
      </c>
      <c r="AD103" s="400">
        <f t="shared" ref="AD103:AF103" ca="1" si="247">AD40+AD61-AD79+AD88-AD90+AD100</f>
        <v>21341.347133430962</v>
      </c>
      <c r="AE103" s="400">
        <f t="shared" ca="1" si="247"/>
        <v>22647.012115072677</v>
      </c>
      <c r="AF103" s="400">
        <f t="shared" ca="1" si="247"/>
        <v>23884.327519007631</v>
      </c>
      <c r="AG103" s="400">
        <f t="shared" ref="AG103" ca="1" si="248">AG40+AG61-AG79+AG88-AG90+AG100</f>
        <v>25060.678943589297</v>
      </c>
    </row>
    <row r="104" spans="1:33" x14ac:dyDescent="0.4">
      <c r="A104" s="413" t="s">
        <v>341</v>
      </c>
      <c r="B104" s="1702" t="s">
        <v>1636</v>
      </c>
      <c r="C104" s="349"/>
      <c r="D104" s="349"/>
      <c r="E104" s="349">
        <f t="shared" ref="E104:AC104" si="249">E103/D103-1</f>
        <v>0.95654580068181372</v>
      </c>
      <c r="F104" s="349">
        <f t="shared" si="249"/>
        <v>7.6096999868001669E-2</v>
      </c>
      <c r="G104" s="349">
        <f t="shared" si="249"/>
        <v>0.26533079827920059</v>
      </c>
      <c r="H104" s="349">
        <f t="shared" si="249"/>
        <v>0.84670258143141952</v>
      </c>
      <c r="I104" s="349">
        <f t="shared" si="249"/>
        <v>0.38308709551867448</v>
      </c>
      <c r="J104" s="349">
        <f t="shared" si="249"/>
        <v>0.37797300982865689</v>
      </c>
      <c r="K104" s="349">
        <f t="shared" si="249"/>
        <v>0.24882417032836623</v>
      </c>
      <c r="L104" s="349">
        <f t="shared" si="249"/>
        <v>0.27533164154292677</v>
      </c>
      <c r="M104" s="349">
        <f t="shared" si="249"/>
        <v>0.26797425828776378</v>
      </c>
      <c r="N104" s="349">
        <f t="shared" si="249"/>
        <v>0.17136262980430739</v>
      </c>
      <c r="O104" s="349">
        <f t="shared" si="249"/>
        <v>0.12945479829399797</v>
      </c>
      <c r="P104" s="349">
        <f t="shared" si="249"/>
        <v>-8.6077161505668354E-2</v>
      </c>
      <c r="Q104" s="349">
        <f t="shared" si="249"/>
        <v>0.17387239233551477</v>
      </c>
      <c r="R104" s="349">
        <f t="shared" si="249"/>
        <v>0.13178788137120701</v>
      </c>
      <c r="S104" s="349">
        <f t="shared" si="249"/>
        <v>0.13835955129228372</v>
      </c>
      <c r="T104" s="349">
        <f t="shared" si="249"/>
        <v>0.14847954934898344</v>
      </c>
      <c r="U104" s="349">
        <f t="shared" si="249"/>
        <v>0.12291499380490389</v>
      </c>
      <c r="V104" s="349">
        <f t="shared" si="249"/>
        <v>-2.1837234985744636E-2</v>
      </c>
      <c r="W104" s="349">
        <f t="shared" si="249"/>
        <v>1.0831186024709671E-2</v>
      </c>
      <c r="X104" s="349">
        <f t="shared" ca="1" si="249"/>
        <v>0.12170477052150619</v>
      </c>
      <c r="Y104" s="349">
        <f t="shared" ca="1" si="249"/>
        <v>8.4244145328458586E-2</v>
      </c>
      <c r="Z104" s="349">
        <f t="shared" ca="1" si="249"/>
        <v>4.7794167644364949E-2</v>
      </c>
      <c r="AA104" s="349">
        <f t="shared" ca="1" si="249"/>
        <v>0.11092982226914994</v>
      </c>
      <c r="AB104" s="349">
        <f t="shared" ca="1" si="249"/>
        <v>9.2632967939427768E-2</v>
      </c>
      <c r="AC104" s="349">
        <f t="shared" ca="1" si="249"/>
        <v>7.8886411769483855E-2</v>
      </c>
      <c r="AD104" s="349">
        <f t="shared" ref="AD104" ca="1" si="250">AD103/AC103-1</f>
        <v>6.8565459013435026E-2</v>
      </c>
      <c r="AE104" s="349">
        <f t="shared" ref="AE104" ca="1" si="251">AE103/AD103-1</f>
        <v>6.1180063914353822E-2</v>
      </c>
      <c r="AF104" s="349">
        <f t="shared" ref="AF104:AG104" ca="1" si="252">AF103/AE103-1</f>
        <v>5.463481882943233E-2</v>
      </c>
      <c r="AG104" s="349">
        <f t="shared" ca="1" si="252"/>
        <v>4.9252022006711416E-2</v>
      </c>
    </row>
    <row r="105" spans="1:33" x14ac:dyDescent="0.4">
      <c r="A105" s="310" t="s">
        <v>2251</v>
      </c>
      <c r="B105" s="354" t="s">
        <v>63</v>
      </c>
      <c r="C105" s="426">
        <f>-'PL（org）'!D23</f>
        <v>33.295999999999999</v>
      </c>
      <c r="D105" s="426">
        <f>-'PL（org）'!E23</f>
        <v>49.180999999999997</v>
      </c>
      <c r="E105" s="426">
        <f>-'PL（org）'!F23</f>
        <v>82.355000000000004</v>
      </c>
      <c r="F105" s="426">
        <f>-'PL（org）'!G23</f>
        <v>66.275999999999996</v>
      </c>
      <c r="G105" s="426">
        <f>-'PL（org）'!H23</f>
        <v>109.54900000000001</v>
      </c>
      <c r="H105" s="426">
        <f>-'PL（org）'!I23</f>
        <v>213.21799999999999</v>
      </c>
      <c r="I105" s="426">
        <f>-'PL（org）'!J23</f>
        <v>334.12200000000001</v>
      </c>
      <c r="J105" s="426">
        <f>-'PL（org）'!K23</f>
        <v>-404.89600000000002</v>
      </c>
      <c r="K105" s="426">
        <f>-'PL（org）'!L23</f>
        <v>503.07100000000003</v>
      </c>
      <c r="L105" s="426">
        <f>-'PL（org）'!M23</f>
        <v>659.71600000000001</v>
      </c>
      <c r="M105" s="426">
        <f>-'PL（org）'!N23</f>
        <v>659.56200000000001</v>
      </c>
      <c r="N105" s="426">
        <f>-'PL（org）'!O23</f>
        <v>1004.504</v>
      </c>
      <c r="O105" s="426">
        <f>-'PL（org）'!P23</f>
        <v>1255.662</v>
      </c>
      <c r="P105" s="426">
        <f>-'PL（org）'!Q23</f>
        <v>1648.8720000000001</v>
      </c>
      <c r="Q105" s="426">
        <f>-'PL（org）'!R23</f>
        <v>1560.8910000000001</v>
      </c>
      <c r="R105" s="426">
        <f>-'PL（org）'!S23</f>
        <v>1760.3019999999999</v>
      </c>
      <c r="S105" s="426">
        <f>-'PL（org）'!T23</f>
        <v>1949.2940000000001</v>
      </c>
      <c r="T105" s="426">
        <f>-'PL（org）'!U23</f>
        <v>2309.221</v>
      </c>
      <c r="U105" s="426">
        <f>-'PL（org）'!V23</f>
        <v>2390.5990000000002</v>
      </c>
      <c r="V105" s="426">
        <f>-'PL（org）'!W23</f>
        <v>2618.9569999999999</v>
      </c>
      <c r="W105" s="426">
        <f>-'PL（org）'!X23</f>
        <v>2962.098</v>
      </c>
      <c r="X105" s="426">
        <f t="shared" ref="X105:AC105" ca="1" si="253">X103*X106</f>
        <v>3322.5994573522125</v>
      </c>
      <c r="Y105" s="426">
        <f t="shared" ca="1" si="253"/>
        <v>3602.5090089056498</v>
      </c>
      <c r="Z105" s="426">
        <f t="shared" ca="1" si="253"/>
        <v>3774.6879284176216</v>
      </c>
      <c r="AA105" s="426">
        <f t="shared" ca="1" si="253"/>
        <v>4193.4133894384941</v>
      </c>
      <c r="AB105" s="426">
        <f t="shared" ca="1" si="253"/>
        <v>4581.8617174991177</v>
      </c>
      <c r="AC105" s="426">
        <f t="shared" ca="1" si="253"/>
        <v>4943.3083476165866</v>
      </c>
      <c r="AD105" s="426">
        <f t="shared" ref="AD105:AF105" ca="1" si="254">AD103*AD106</f>
        <v>5282.248553515863</v>
      </c>
      <c r="AE105" s="426">
        <f t="shared" ca="1" si="254"/>
        <v>5605.416857631466</v>
      </c>
      <c r="AF105" s="426">
        <f t="shared" ca="1" si="254"/>
        <v>5911.667792111607</v>
      </c>
      <c r="AG105" s="426">
        <f t="shared" ref="AG105" ca="1" si="255">AG103*AG106</f>
        <v>6202.8293843050551</v>
      </c>
    </row>
    <row r="106" spans="1:33" s="467" customFormat="1" x14ac:dyDescent="0.4">
      <c r="A106" s="348" t="s">
        <v>388</v>
      </c>
      <c r="B106" s="1702" t="s">
        <v>3067</v>
      </c>
      <c r="C106" s="349"/>
      <c r="D106" s="349">
        <f t="shared" ref="D106:T106" si="256">D105/D103</f>
        <v>0.18145024424078798</v>
      </c>
      <c r="E106" s="349">
        <f t="shared" si="256"/>
        <v>0.15529595896739642</v>
      </c>
      <c r="F106" s="349">
        <f t="shared" si="256"/>
        <v>0.11613818965592772</v>
      </c>
      <c r="G106" s="349">
        <f t="shared" si="256"/>
        <v>0.15171310658098824</v>
      </c>
      <c r="H106" s="349">
        <f t="shared" si="256"/>
        <v>0.15989747027860463</v>
      </c>
      <c r="I106" s="349">
        <f t="shared" si="256"/>
        <v>0.18116457129286387</v>
      </c>
      <c r="J106" s="349">
        <f t="shared" si="256"/>
        <v>-0.15932024787941432</v>
      </c>
      <c r="K106" s="349">
        <f t="shared" si="256"/>
        <v>0.15850956500149035</v>
      </c>
      <c r="L106" s="349">
        <f t="shared" si="256"/>
        <v>0.16298966744194221</v>
      </c>
      <c r="M106" s="349">
        <f t="shared" si="256"/>
        <v>0.12851335039539233</v>
      </c>
      <c r="N106" s="349">
        <f t="shared" si="256"/>
        <v>0.16709094901292795</v>
      </c>
      <c r="O106" s="349">
        <f t="shared" si="256"/>
        <v>0.18492905560940956</v>
      </c>
      <c r="P106" s="349">
        <f t="shared" si="256"/>
        <v>0.26571117096835783</v>
      </c>
      <c r="Q106" s="349">
        <f t="shared" si="256"/>
        <v>0.21427650683213645</v>
      </c>
      <c r="R106" s="349">
        <f t="shared" si="256"/>
        <v>0.21351290245735449</v>
      </c>
      <c r="S106" s="349">
        <f t="shared" si="256"/>
        <v>0.20769920400017988</v>
      </c>
      <c r="T106" s="349">
        <f t="shared" si="256"/>
        <v>0.21423958488442713</v>
      </c>
      <c r="U106" s="349">
        <f t="shared" ref="U106:V106" si="257">U105/U103</f>
        <v>0.19751226644553033</v>
      </c>
      <c r="V106" s="349">
        <f t="shared" si="257"/>
        <v>0.22120991053563493</v>
      </c>
      <c r="W106" s="349">
        <f t="shared" ref="W106" si="258">W105/W103</f>
        <v>0.24751242367644566</v>
      </c>
      <c r="X106" s="468">
        <f t="shared" ref="X106:AC106" si="259">W106</f>
        <v>0.24751242367644566</v>
      </c>
      <c r="Y106" s="468">
        <f t="shared" si="259"/>
        <v>0.24751242367644566</v>
      </c>
      <c r="Z106" s="468">
        <f t="shared" si="259"/>
        <v>0.24751242367644566</v>
      </c>
      <c r="AA106" s="468">
        <f t="shared" si="259"/>
        <v>0.24751242367644566</v>
      </c>
      <c r="AB106" s="468">
        <f t="shared" si="259"/>
        <v>0.24751242367644566</v>
      </c>
      <c r="AC106" s="468">
        <f t="shared" si="259"/>
        <v>0.24751242367644566</v>
      </c>
      <c r="AD106" s="468">
        <f t="shared" ref="AD106:AD107" si="260">AC106</f>
        <v>0.24751242367644566</v>
      </c>
      <c r="AE106" s="468">
        <f t="shared" ref="AE106:AE107" si="261">AD106</f>
        <v>0.24751242367644566</v>
      </c>
      <c r="AF106" s="468">
        <f t="shared" ref="AF106:AG107" si="262">AE106</f>
        <v>0.24751242367644566</v>
      </c>
      <c r="AG106" s="468">
        <f t="shared" si="262"/>
        <v>0.24751242367644566</v>
      </c>
    </row>
    <row r="107" spans="1:33" s="467" customFormat="1" x14ac:dyDescent="0.4">
      <c r="A107" s="310" t="s">
        <v>2252</v>
      </c>
      <c r="B107" s="354" t="s">
        <v>3068</v>
      </c>
      <c r="C107" s="349"/>
      <c r="D107" s="349"/>
      <c r="E107" s="349"/>
      <c r="F107" s="349"/>
      <c r="G107" s="349"/>
      <c r="H107" s="349"/>
      <c r="I107" s="349"/>
      <c r="J107" s="349"/>
      <c r="K107" s="349"/>
      <c r="L107" s="349"/>
      <c r="M107" s="349"/>
      <c r="N107" s="349"/>
      <c r="O107" s="349"/>
      <c r="P107" s="341">
        <f>'PL（org）'!Q27</f>
        <v>17</v>
      </c>
      <c r="Q107" s="341">
        <f>'PL（org）'!R27</f>
        <v>260.166</v>
      </c>
      <c r="R107" s="341">
        <f>'PL（org）'!S27</f>
        <v>407.24599999999998</v>
      </c>
      <c r="S107" s="341">
        <f>'PL（org）'!T27</f>
        <v>465.13200000000001</v>
      </c>
      <c r="T107" s="341">
        <f>'PL（org）'!U27</f>
        <v>295.82400000000001</v>
      </c>
      <c r="U107" s="341">
        <f>'PL（org）'!V27</f>
        <v>304.78800000000001</v>
      </c>
      <c r="V107" s="341">
        <f>'PL（org）'!W27</f>
        <v>339.29700000000003</v>
      </c>
      <c r="W107" s="341">
        <f>'PL（org）'!X27</f>
        <v>228.80799999999999</v>
      </c>
      <c r="X107" s="343">
        <f t="shared" ref="X107:AC107" si="263">W107</f>
        <v>228.80799999999999</v>
      </c>
      <c r="Y107" s="343">
        <f t="shared" si="263"/>
        <v>228.80799999999999</v>
      </c>
      <c r="Z107" s="343">
        <f t="shared" si="263"/>
        <v>228.80799999999999</v>
      </c>
      <c r="AA107" s="343">
        <f t="shared" si="263"/>
        <v>228.80799999999999</v>
      </c>
      <c r="AB107" s="343">
        <f t="shared" si="263"/>
        <v>228.80799999999999</v>
      </c>
      <c r="AC107" s="343">
        <f t="shared" si="263"/>
        <v>228.80799999999999</v>
      </c>
      <c r="AD107" s="343">
        <f t="shared" si="260"/>
        <v>228.80799999999999</v>
      </c>
      <c r="AE107" s="343">
        <f t="shared" si="261"/>
        <v>228.80799999999999</v>
      </c>
      <c r="AF107" s="343">
        <f t="shared" si="262"/>
        <v>228.80799999999999</v>
      </c>
      <c r="AG107" s="343">
        <f t="shared" si="262"/>
        <v>228.80799999999999</v>
      </c>
    </row>
    <row r="108" spans="1:33" s="467" customFormat="1" x14ac:dyDescent="0.4">
      <c r="A108" s="348" t="s">
        <v>2253</v>
      </c>
      <c r="B108" s="1701" t="s">
        <v>2592</v>
      </c>
      <c r="C108" s="349"/>
      <c r="D108" s="349"/>
      <c r="E108" s="349"/>
      <c r="F108" s="349"/>
      <c r="G108" s="349"/>
      <c r="H108" s="349"/>
      <c r="I108" s="349"/>
      <c r="J108" s="349"/>
      <c r="K108" s="349"/>
      <c r="L108" s="349"/>
      <c r="M108" s="349"/>
      <c r="N108" s="349"/>
      <c r="O108" s="349"/>
      <c r="P108" s="349">
        <f t="shared" ref="P108:AC108" si="264">P107/(P103-P105)</f>
        <v>3.7308249314790087E-3</v>
      </c>
      <c r="Q108" s="349">
        <f t="shared" si="264"/>
        <v>4.5455117251789946E-2</v>
      </c>
      <c r="R108" s="349">
        <f t="shared" si="264"/>
        <v>6.2806149248925164E-2</v>
      </c>
      <c r="S108" s="349">
        <f t="shared" si="264"/>
        <v>6.2552347508379638E-2</v>
      </c>
      <c r="T108" s="349">
        <f t="shared" si="264"/>
        <v>3.4928302428583462E-2</v>
      </c>
      <c r="U108" s="349">
        <f t="shared" ref="U108:V108" si="265">U107/(U103-U105)</f>
        <v>3.1379556443625549E-2</v>
      </c>
      <c r="V108" s="349">
        <f t="shared" si="265"/>
        <v>3.6798982937832056E-2</v>
      </c>
      <c r="W108" s="349">
        <f t="shared" ref="W108" si="266">W107/(W103-W105)</f>
        <v>2.5407939747977157E-2</v>
      </c>
      <c r="X108" s="349">
        <f t="shared" ca="1" si="264"/>
        <v>2.2651182749418481E-2</v>
      </c>
      <c r="Y108" s="349">
        <f t="shared" ca="1" si="264"/>
        <v>2.0891219793081367E-2</v>
      </c>
      <c r="Z108" s="349">
        <f t="shared" ca="1" si="264"/>
        <v>1.9938286009024739E-2</v>
      </c>
      <c r="AA108" s="349">
        <f t="shared" ca="1" si="264"/>
        <v>1.7947385702815531E-2</v>
      </c>
      <c r="AB108" s="349">
        <f t="shared" ca="1" si="264"/>
        <v>1.6425813818030866E-2</v>
      </c>
      <c r="AC108" s="349">
        <f t="shared" ca="1" si="264"/>
        <v>1.522478514776255E-2</v>
      </c>
      <c r="AD108" s="349">
        <f t="shared" ref="AD108:AF108" ca="1" si="267">AD107/(AD103-AD105)</f>
        <v>1.4247873183004625E-2</v>
      </c>
      <c r="AE108" s="349">
        <f t="shared" ca="1" si="267"/>
        <v>1.3426442568520162E-2</v>
      </c>
      <c r="AF108" s="349">
        <f t="shared" ca="1" si="267"/>
        <v>1.2730892559969273E-2</v>
      </c>
      <c r="AG108" s="349">
        <f t="shared" ref="AG108" ca="1" si="268">AG107/(AG103-AG105)</f>
        <v>1.213330286047125E-2</v>
      </c>
    </row>
    <row r="109" spans="1:33" x14ac:dyDescent="0.4">
      <c r="A109" s="310" t="s">
        <v>390</v>
      </c>
      <c r="B109" s="354" t="s">
        <v>65</v>
      </c>
      <c r="C109" s="426">
        <f>'PL（org）'!D28</f>
        <v>16.207000000000001</v>
      </c>
      <c r="D109" s="426">
        <f>'PL（org）'!E28</f>
        <v>-0.31900000000000001</v>
      </c>
      <c r="E109" s="426">
        <f>'PL（org）'!F28</f>
        <v>43.061999999999998</v>
      </c>
      <c r="F109" s="426">
        <f>'PL（org）'!G28</f>
        <v>15.068</v>
      </c>
      <c r="G109" s="426">
        <f>'PL（org）'!H28</f>
        <v>0</v>
      </c>
      <c r="H109" s="426">
        <f>'PL（org）'!I28</f>
        <v>83.971000000000004</v>
      </c>
      <c r="I109" s="426">
        <f>'PL（org）'!J28</f>
        <v>2.774</v>
      </c>
      <c r="J109" s="426">
        <f>'PL（org）'!K28</f>
        <v>5.0419999999999998</v>
      </c>
      <c r="K109" s="426">
        <f>'PL（org）'!L28</f>
        <v>-78.864000000000004</v>
      </c>
      <c r="L109" s="426">
        <f>'PL（org）'!M28</f>
        <v>-69.531999999999996</v>
      </c>
      <c r="M109" s="426">
        <f>'PL（org）'!N28</f>
        <v>-51.442999999999998</v>
      </c>
      <c r="N109" s="426">
        <f>'PL（org）'!O28</f>
        <v>-122.85</v>
      </c>
      <c r="O109" s="426">
        <f>'PL（org）'!P28</f>
        <v>44.213000000000001</v>
      </c>
      <c r="P109" s="426">
        <f>'PL（org）'!Q28</f>
        <v>39.484999999999999</v>
      </c>
      <c r="Q109" s="426">
        <f>'PL（org）'!R28</f>
        <v>50.206000000000003</v>
      </c>
      <c r="R109" s="426">
        <f>'PL（org）'!S28</f>
        <v>61.56</v>
      </c>
      <c r="S109" s="426">
        <f>'PL（org）'!T28</f>
        <v>169.87299999999999</v>
      </c>
      <c r="T109" s="426">
        <f>'PL（org）'!U28</f>
        <v>216.76400000000001</v>
      </c>
      <c r="U109" s="426">
        <f>'PL（org）'!V28</f>
        <v>244.11500000000001</v>
      </c>
      <c r="V109" s="426">
        <f>'PL（org）'!W28</f>
        <v>315.654</v>
      </c>
      <c r="W109" s="426">
        <f>'PL（org）'!X28</f>
        <v>188.12200000000001</v>
      </c>
      <c r="X109" s="426">
        <f t="shared" ref="X109:AC109" ca="1" si="269">(X103-X105)*X110</f>
        <v>211.0173448400468</v>
      </c>
      <c r="Y109" s="426">
        <f t="shared" ca="1" si="269"/>
        <v>228.79432070557715</v>
      </c>
      <c r="Z109" s="426">
        <f t="shared" ca="1" si="269"/>
        <v>239.72935482545813</v>
      </c>
      <c r="AA109" s="426">
        <f t="shared" ca="1" si="269"/>
        <v>266.32248954894419</v>
      </c>
      <c r="AB109" s="426">
        <f t="shared" ca="1" si="269"/>
        <v>290.99273218488014</v>
      </c>
      <c r="AC109" s="426">
        <f t="shared" ca="1" si="269"/>
        <v>313.94810467794372</v>
      </c>
      <c r="AD109" s="426">
        <f t="shared" ref="AD109:AF109" ca="1" si="270">(AD103-AD105)*AD110</f>
        <v>335.47410058158488</v>
      </c>
      <c r="AE109" s="426">
        <f t="shared" ca="1" si="270"/>
        <v>355.99842749677657</v>
      </c>
      <c r="AF109" s="426">
        <f t="shared" ca="1" si="270"/>
        <v>375.44833708662571</v>
      </c>
      <c r="AG109" s="426">
        <f t="shared" ref="AG109" ca="1" si="271">(AG103-AG105)*AG110</f>
        <v>393.93992684719939</v>
      </c>
    </row>
    <row r="110" spans="1:33" s="361" customFormat="1" x14ac:dyDescent="0.4">
      <c r="A110" s="348" t="s">
        <v>2253</v>
      </c>
      <c r="B110" s="1701" t="s">
        <v>2592</v>
      </c>
      <c r="C110" s="450"/>
      <c r="D110" s="349">
        <f t="shared" ref="D110:T110" si="272">D109/(D103-D105)</f>
        <v>-1.4378242428886342E-3</v>
      </c>
      <c r="E110" s="349">
        <f t="shared" si="272"/>
        <v>9.6130191648714697E-2</v>
      </c>
      <c r="F110" s="349">
        <f t="shared" si="272"/>
        <v>2.9873768063934776E-2</v>
      </c>
      <c r="G110" s="349">
        <f t="shared" si="272"/>
        <v>0</v>
      </c>
      <c r="H110" s="349">
        <f t="shared" si="272"/>
        <v>7.495744249715916E-2</v>
      </c>
      <c r="I110" s="349">
        <f t="shared" si="272"/>
        <v>1.8368683447458885E-3</v>
      </c>
      <c r="J110" s="349">
        <f t="shared" si="272"/>
        <v>1.711302983104531E-3</v>
      </c>
      <c r="K110" s="349">
        <f t="shared" si="272"/>
        <v>-2.9529480616785116E-2</v>
      </c>
      <c r="L110" s="349">
        <f t="shared" si="272"/>
        <v>-2.0523761481375677E-2</v>
      </c>
      <c r="M110" s="349">
        <f t="shared" si="272"/>
        <v>-1.1501597586951729E-2</v>
      </c>
      <c r="N110" s="349">
        <f t="shared" si="272"/>
        <v>-2.4534591677291308E-2</v>
      </c>
      <c r="O110" s="349">
        <f t="shared" si="272"/>
        <v>7.9888997785448734E-3</v>
      </c>
      <c r="P110" s="349">
        <f t="shared" si="272"/>
        <v>8.665389554085216E-3</v>
      </c>
      <c r="Q110" s="349">
        <f t="shared" si="272"/>
        <v>8.771782695445856E-3</v>
      </c>
      <c r="R110" s="349">
        <f t="shared" si="272"/>
        <v>9.4938846489930739E-3</v>
      </c>
      <c r="S110" s="349">
        <f t="shared" si="272"/>
        <v>2.2845030933780031E-2</v>
      </c>
      <c r="T110" s="349">
        <f t="shared" si="272"/>
        <v>2.5593591282754156E-2</v>
      </c>
      <c r="U110" s="349">
        <f t="shared" ref="U110:V110" si="273">U109/(U103-U105)</f>
        <v>2.5132946248656939E-2</v>
      </c>
      <c r="V110" s="349">
        <f t="shared" si="273"/>
        <v>3.4234744663991838E-2</v>
      </c>
      <c r="W110" s="349">
        <f t="shared" ref="W110" si="274">W109/(W103-W105)</f>
        <v>2.0889970810762559E-2</v>
      </c>
      <c r="X110" s="468">
        <f t="shared" ref="X110:AC110" si="275">W110</f>
        <v>2.0889970810762559E-2</v>
      </c>
      <c r="Y110" s="468">
        <f t="shared" si="275"/>
        <v>2.0889970810762559E-2</v>
      </c>
      <c r="Z110" s="468">
        <f t="shared" si="275"/>
        <v>2.0889970810762559E-2</v>
      </c>
      <c r="AA110" s="468">
        <f t="shared" si="275"/>
        <v>2.0889970810762559E-2</v>
      </c>
      <c r="AB110" s="468">
        <f t="shared" si="275"/>
        <v>2.0889970810762559E-2</v>
      </c>
      <c r="AC110" s="468">
        <f t="shared" si="275"/>
        <v>2.0889970810762559E-2</v>
      </c>
      <c r="AD110" s="468">
        <f t="shared" ref="AD110" si="276">AC110</f>
        <v>2.0889970810762559E-2</v>
      </c>
      <c r="AE110" s="468">
        <f t="shared" ref="AE110" si="277">AD110</f>
        <v>2.0889970810762559E-2</v>
      </c>
      <c r="AF110" s="468">
        <f t="shared" ref="AF110:AG110" si="278">AE110</f>
        <v>2.0889970810762559E-2</v>
      </c>
      <c r="AG110" s="468">
        <f t="shared" si="278"/>
        <v>2.0889970810762559E-2</v>
      </c>
    </row>
    <row r="111" spans="1:33" x14ac:dyDescent="0.4">
      <c r="A111" s="348"/>
      <c r="C111" s="450"/>
      <c r="D111" s="458"/>
      <c r="E111" s="458"/>
      <c r="F111" s="458"/>
      <c r="G111" s="458"/>
      <c r="H111" s="458"/>
      <c r="I111" s="458"/>
      <c r="J111" s="458"/>
      <c r="K111" s="458"/>
      <c r="L111" s="349"/>
      <c r="M111" s="349"/>
      <c r="N111" s="469"/>
      <c r="O111" s="469"/>
      <c r="P111" s="470"/>
      <c r="Q111" s="470"/>
      <c r="R111" s="470"/>
      <c r="S111" s="470"/>
      <c r="T111" s="470"/>
      <c r="U111" s="470"/>
      <c r="V111" s="468"/>
      <c r="W111" s="468"/>
      <c r="X111" s="468"/>
      <c r="Y111" s="468"/>
      <c r="Z111" s="468"/>
      <c r="AA111" s="468"/>
      <c r="AB111" s="468"/>
      <c r="AC111" s="468"/>
      <c r="AD111" s="468"/>
      <c r="AE111" s="468"/>
      <c r="AF111" s="468"/>
      <c r="AG111" s="468"/>
    </row>
    <row r="112" spans="1:33" s="323" customFormat="1" x14ac:dyDescent="0.4">
      <c r="A112" s="337" t="s">
        <v>2014</v>
      </c>
      <c r="B112" s="1679" t="s">
        <v>22</v>
      </c>
      <c r="C112" s="400">
        <f t="shared" ref="C112:O112" si="279">C103-C105-C109</f>
        <v>152.02100000000064</v>
      </c>
      <c r="D112" s="400">
        <f t="shared" si="279"/>
        <v>222.18199999999925</v>
      </c>
      <c r="E112" s="400">
        <f t="shared" si="279"/>
        <v>404.89300000000003</v>
      </c>
      <c r="F112" s="400">
        <f t="shared" si="279"/>
        <v>489.32100000000008</v>
      </c>
      <c r="G112" s="400">
        <f t="shared" si="279"/>
        <v>612.53100000000006</v>
      </c>
      <c r="H112" s="400">
        <f t="shared" si="279"/>
        <v>1036.2779999999993</v>
      </c>
      <c r="I112" s="400">
        <f t="shared" si="279"/>
        <v>1507.4049999999995</v>
      </c>
      <c r="J112" s="400">
        <f t="shared" si="279"/>
        <v>2941.2510000000011</v>
      </c>
      <c r="K112" s="400">
        <f t="shared" si="279"/>
        <v>2749.5510000000004</v>
      </c>
      <c r="L112" s="400">
        <f t="shared" si="279"/>
        <v>3457.4099999999967</v>
      </c>
      <c r="M112" s="400">
        <f t="shared" si="279"/>
        <v>4524.1259999999984</v>
      </c>
      <c r="N112" s="400">
        <f t="shared" si="279"/>
        <v>5130.0660000000053</v>
      </c>
      <c r="O112" s="400">
        <f t="shared" si="279"/>
        <v>5490.0909999999994</v>
      </c>
      <c r="P112" s="400">
        <f t="shared" ref="P112:AC112" si="280">P103-P105-P109-P107</f>
        <v>4500.1480000000029</v>
      </c>
      <c r="Q112" s="400">
        <f t="shared" si="280"/>
        <v>5413.2080000000014</v>
      </c>
      <c r="R112" s="400">
        <f t="shared" si="280"/>
        <v>6015.3679999999986</v>
      </c>
      <c r="S112" s="400">
        <f t="shared" si="280"/>
        <v>6800.8790000000008</v>
      </c>
      <c r="T112" s="400">
        <f>T103-T105-T109-T107</f>
        <v>7956.8759999999957</v>
      </c>
      <c r="U112" s="400">
        <f t="shared" ref="U112" si="281">U103-U105-U109-U107</f>
        <v>9164.0450000000037</v>
      </c>
      <c r="V112" s="400">
        <f>V103-V105-V109-V107</f>
        <v>8565.3309999999983</v>
      </c>
      <c r="W112" s="400">
        <f>W103-W105-W109-W107</f>
        <v>8588.4439999999995</v>
      </c>
      <c r="X112" s="400">
        <f t="shared" ca="1" si="280"/>
        <v>9661.5456312902897</v>
      </c>
      <c r="Y112" s="400">
        <f t="shared" ca="1" si="280"/>
        <v>10494.750019954554</v>
      </c>
      <c r="Z112" s="400">
        <f t="shared" ca="1" si="280"/>
        <v>11007.27354970434</v>
      </c>
      <c r="AA112" s="400">
        <f t="shared" ca="1" si="280"/>
        <v>12253.690079014716</v>
      </c>
      <c r="AB112" s="400">
        <f t="shared" ca="1" si="280"/>
        <v>13409.980923372055</v>
      </c>
      <c r="AC112" s="400">
        <f t="shared" ca="1" si="280"/>
        <v>14485.896042418259</v>
      </c>
      <c r="AD112" s="400">
        <f t="shared" ref="AD112:AF112" ca="1" si="282">AD103-AD105-AD109-AD107</f>
        <v>15494.816479333513</v>
      </c>
      <c r="AE112" s="400">
        <f t="shared" ca="1" si="282"/>
        <v>16456.788829944435</v>
      </c>
      <c r="AF112" s="400">
        <f t="shared" ca="1" si="282"/>
        <v>17368.403389809399</v>
      </c>
      <c r="AG112" s="400">
        <f t="shared" ref="AG112" ca="1" si="283">AG103-AG105-AG109-AG107</f>
        <v>18235.101632437039</v>
      </c>
    </row>
    <row r="113" spans="1:37" x14ac:dyDescent="0.4">
      <c r="A113" s="413" t="s">
        <v>2254</v>
      </c>
      <c r="B113" s="1702" t="s">
        <v>2254</v>
      </c>
      <c r="C113" s="349"/>
      <c r="D113" s="349">
        <f t="shared" ref="D113:AC113" si="284">D112/C112-1</f>
        <v>0.46152176344056617</v>
      </c>
      <c r="E113" s="349">
        <f t="shared" si="284"/>
        <v>0.82234834505046051</v>
      </c>
      <c r="F113" s="349">
        <f t="shared" si="284"/>
        <v>0.20851928781184181</v>
      </c>
      <c r="G113" s="349">
        <f t="shared" si="284"/>
        <v>0.25179789953833986</v>
      </c>
      <c r="H113" s="349">
        <f t="shared" si="284"/>
        <v>0.69179682334444981</v>
      </c>
      <c r="I113" s="349">
        <f t="shared" si="284"/>
        <v>0.45463379517851443</v>
      </c>
      <c r="J113" s="349">
        <f t="shared" si="284"/>
        <v>0.95120156825803415</v>
      </c>
      <c r="K113" s="349">
        <f t="shared" si="284"/>
        <v>-6.5176348431331022E-2</v>
      </c>
      <c r="L113" s="349">
        <f t="shared" si="284"/>
        <v>0.25744530652459119</v>
      </c>
      <c r="M113" s="349">
        <f t="shared" si="284"/>
        <v>0.30853037389259663</v>
      </c>
      <c r="N113" s="349">
        <f t="shared" si="284"/>
        <v>0.13393526175000581</v>
      </c>
      <c r="O113" s="349">
        <f t="shared" si="284"/>
        <v>7.0179408997855797E-2</v>
      </c>
      <c r="P113" s="349">
        <f t="shared" si="284"/>
        <v>-0.18031449751925732</v>
      </c>
      <c r="Q113" s="349">
        <f t="shared" si="284"/>
        <v>0.20289554921304775</v>
      </c>
      <c r="R113" s="349">
        <f t="shared" si="284"/>
        <v>0.11123902868687052</v>
      </c>
      <c r="S113" s="349">
        <f t="shared" si="284"/>
        <v>0.13058403076919034</v>
      </c>
      <c r="T113" s="349">
        <f t="shared" si="284"/>
        <v>0.16997758672077468</v>
      </c>
      <c r="U113" s="349">
        <f t="shared" si="284"/>
        <v>0.15171393898811658</v>
      </c>
      <c r="V113" s="349">
        <f t="shared" si="284"/>
        <v>-6.5332939766228226E-2</v>
      </c>
      <c r="W113" s="349">
        <f t="shared" si="284"/>
        <v>2.6984362892690239E-3</v>
      </c>
      <c r="X113" s="349">
        <f t="shared" ca="1" si="284"/>
        <v>0.12494715355776798</v>
      </c>
      <c r="Y113" s="349">
        <f t="shared" ca="1" si="284"/>
        <v>8.6239243746446981E-2</v>
      </c>
      <c r="Z113" s="349">
        <f t="shared" ca="1" si="284"/>
        <v>4.883618273663326E-2</v>
      </c>
      <c r="AA113" s="349">
        <f t="shared" ca="1" si="284"/>
        <v>0.11323571851667613</v>
      </c>
      <c r="AB113" s="349">
        <f t="shared" ca="1" si="284"/>
        <v>9.4362664381202777E-2</v>
      </c>
      <c r="AC113" s="349">
        <f t="shared" ca="1" si="284"/>
        <v>8.0232412349745097E-2</v>
      </c>
      <c r="AD113" s="349">
        <f t="shared" ref="AD113" ca="1" si="285">AD112/AC112-1</f>
        <v>6.9648465925814085E-2</v>
      </c>
      <c r="AE113" s="349">
        <f t="shared" ref="AE113" ca="1" si="286">AE112/AD112-1</f>
        <v>6.2083494302366926E-2</v>
      </c>
      <c r="AF113" s="349">
        <f t="shared" ref="AF113:AG113" ca="1" si="287">AF112/AE112-1</f>
        <v>5.5394437474108438E-2</v>
      </c>
      <c r="AG113" s="349">
        <f t="shared" ca="1" si="287"/>
        <v>4.9900858655560709E-2</v>
      </c>
      <c r="AH113" s="471"/>
      <c r="AI113" s="471"/>
    </row>
    <row r="114" spans="1:37" x14ac:dyDescent="0.4">
      <c r="A114" s="348" t="s">
        <v>2016</v>
      </c>
      <c r="B114" s="1702" t="s">
        <v>1</v>
      </c>
      <c r="C114" s="349">
        <f t="shared" ref="C114:AC114" si="288">C112/C4</f>
        <v>1.9835073272642997E-2</v>
      </c>
      <c r="D114" s="349">
        <f t="shared" si="288"/>
        <v>2.1581909203710607E-2</v>
      </c>
      <c r="E114" s="349">
        <f t="shared" si="288"/>
        <v>3.9819061573685567E-2</v>
      </c>
      <c r="F114" s="349">
        <f t="shared" si="288"/>
        <v>4.4397334096696391E-2</v>
      </c>
      <c r="G114" s="349">
        <f t="shared" si="288"/>
        <v>5.400556409902383E-2</v>
      </c>
      <c r="H114" s="349">
        <f t="shared" si="288"/>
        <v>8.6479942911844701E-2</v>
      </c>
      <c r="I114" s="349">
        <f t="shared" si="288"/>
        <v>9.2031038424021591E-2</v>
      </c>
      <c r="J114" s="349">
        <f t="shared" si="288"/>
        <v>0.13423835703716827</v>
      </c>
      <c r="K114" s="349">
        <f t="shared" si="288"/>
        <v>0.10076923302457487</v>
      </c>
      <c r="L114" s="349">
        <f t="shared" si="288"/>
        <v>0.100390611672763</v>
      </c>
      <c r="M114" s="349">
        <f t="shared" si="288"/>
        <v>0.11905007005443623</v>
      </c>
      <c r="N114" s="349">
        <f t="shared" si="288"/>
        <v>0.11102234727741658</v>
      </c>
      <c r="O114" s="349">
        <f t="shared" si="288"/>
        <v>0.10946789038972395</v>
      </c>
      <c r="P114" s="349">
        <f t="shared" si="288"/>
        <v>8.0899640572920373E-2</v>
      </c>
      <c r="Q114" s="349">
        <f t="shared" si="288"/>
        <v>8.7777464964224422E-2</v>
      </c>
      <c r="R114" s="349">
        <f t="shared" si="288"/>
        <v>9.6310594851014203E-2</v>
      </c>
      <c r="S114" s="349">
        <f t="shared" si="288"/>
        <v>8.7969382436704449E-2</v>
      </c>
      <c r="T114" s="349">
        <f t="shared" si="288"/>
        <v>7.8027509906446385E-2</v>
      </c>
      <c r="U114" s="349">
        <f t="shared" si="288"/>
        <v>8.0574357294506113E-2</v>
      </c>
      <c r="V114" s="349">
        <f t="shared" si="288"/>
        <v>8.1324665607844279E-2</v>
      </c>
      <c r="W114" s="349">
        <f t="shared" ref="W114" si="289">W112/W4</f>
        <v>8.5500968157812204E-2</v>
      </c>
      <c r="X114" s="349">
        <f t="shared" ca="1" si="288"/>
        <v>9.3293769101626706E-2</v>
      </c>
      <c r="Y114" s="349">
        <f t="shared" ca="1" si="288"/>
        <v>9.1902138563272673E-2</v>
      </c>
      <c r="Z114" s="349">
        <f t="shared" ca="1" si="288"/>
        <v>8.9572562802249317E-2</v>
      </c>
      <c r="AA114" s="349">
        <f t="shared" ca="1" si="288"/>
        <v>9.0876347280517814E-2</v>
      </c>
      <c r="AB114" s="349">
        <f t="shared" ca="1" si="288"/>
        <v>9.1785036894090413E-2</v>
      </c>
      <c r="AC114" s="349">
        <f t="shared" ca="1" si="288"/>
        <v>9.2380766111261448E-2</v>
      </c>
      <c r="AD114" s="349">
        <f t="shared" ref="AD114:AF114" ca="1" si="290">AD112/AD4</f>
        <v>9.2749945567510303E-2</v>
      </c>
      <c r="AE114" s="349">
        <f t="shared" ca="1" si="290"/>
        <v>9.3001452830005063E-2</v>
      </c>
      <c r="AF114" s="349">
        <f t="shared" ca="1" si="290"/>
        <v>9.3100631092932207E-2</v>
      </c>
      <c r="AG114" s="349">
        <f t="shared" ref="AG114" ca="1" si="291">AG112/AG4</f>
        <v>9.3069321119290616E-2</v>
      </c>
    </row>
    <row r="115" spans="1:37" x14ac:dyDescent="0.4">
      <c r="A115" s="348"/>
      <c r="B115" s="1702"/>
      <c r="C115" s="349"/>
      <c r="D115" s="349"/>
      <c r="E115" s="349"/>
      <c r="F115" s="349"/>
      <c r="G115" s="349"/>
      <c r="H115" s="349"/>
      <c r="I115" s="349"/>
      <c r="J115" s="349"/>
      <c r="K115" s="349"/>
      <c r="L115" s="349"/>
      <c r="M115" s="349"/>
      <c r="N115" s="457"/>
      <c r="O115" s="457"/>
      <c r="P115" s="457"/>
      <c r="Q115" s="457"/>
      <c r="R115" s="457"/>
      <c r="S115" s="457"/>
      <c r="W115" s="349"/>
      <c r="X115" s="349"/>
      <c r="Y115" s="349"/>
      <c r="Z115" s="349"/>
      <c r="AA115" s="349"/>
      <c r="AB115" s="349"/>
      <c r="AC115" s="349"/>
      <c r="AD115" s="349"/>
      <c r="AE115" s="349"/>
      <c r="AF115" s="349"/>
      <c r="AG115" s="349"/>
    </row>
    <row r="116" spans="1:37" x14ac:dyDescent="0.4">
      <c r="A116" s="361" t="s">
        <v>2255</v>
      </c>
      <c r="B116" s="354" t="s">
        <v>3069</v>
      </c>
      <c r="C116" s="341">
        <f t="shared" ref="C116:Q116" si="292">C112-C118</f>
        <v>0</v>
      </c>
      <c r="D116" s="341">
        <f t="shared" si="292"/>
        <v>0</v>
      </c>
      <c r="E116" s="341">
        <f t="shared" si="292"/>
        <v>0</v>
      </c>
      <c r="F116" s="341">
        <f t="shared" si="292"/>
        <v>0</v>
      </c>
      <c r="G116" s="341">
        <f t="shared" si="292"/>
        <v>0</v>
      </c>
      <c r="H116" s="341">
        <f t="shared" si="292"/>
        <v>0</v>
      </c>
      <c r="I116" s="341">
        <f t="shared" si="292"/>
        <v>0</v>
      </c>
      <c r="J116" s="341">
        <f t="shared" si="292"/>
        <v>809.79200000000083</v>
      </c>
      <c r="K116" s="341">
        <f t="shared" si="292"/>
        <v>0</v>
      </c>
      <c r="L116" s="341">
        <f t="shared" si="292"/>
        <v>0</v>
      </c>
      <c r="M116" s="341">
        <f t="shared" si="292"/>
        <v>371.12599999999838</v>
      </c>
      <c r="N116" s="341">
        <f t="shared" si="292"/>
        <v>976.52000000000498</v>
      </c>
      <c r="O116" s="341">
        <f t="shared" si="292"/>
        <v>417.56999999999971</v>
      </c>
      <c r="P116" s="341">
        <f>P112-P118</f>
        <v>-823.82799999999679</v>
      </c>
      <c r="Q116" s="341">
        <f t="shared" si="292"/>
        <v>0</v>
      </c>
      <c r="R116" s="470">
        <f>(1309.008571-772.84)*(1-R106)</f>
        <v>421.68966319937783</v>
      </c>
      <c r="S116" s="341">
        <f>S112-S118</f>
        <v>0</v>
      </c>
      <c r="T116" s="341">
        <v>0</v>
      </c>
      <c r="U116" s="341">
        <v>0</v>
      </c>
      <c r="V116" s="341">
        <v>0</v>
      </c>
      <c r="W116" s="341">
        <v>1</v>
      </c>
      <c r="X116" s="343">
        <f t="shared" ref="X116:AC116" si="293">W116</f>
        <v>1</v>
      </c>
      <c r="Y116" s="343">
        <f t="shared" si="293"/>
        <v>1</v>
      </c>
      <c r="Z116" s="343">
        <f t="shared" si="293"/>
        <v>1</v>
      </c>
      <c r="AA116" s="343">
        <f t="shared" si="293"/>
        <v>1</v>
      </c>
      <c r="AB116" s="343">
        <f t="shared" si="293"/>
        <v>1</v>
      </c>
      <c r="AC116" s="343">
        <f t="shared" si="293"/>
        <v>1</v>
      </c>
      <c r="AD116" s="343">
        <f t="shared" ref="AD116" si="294">AC116</f>
        <v>1</v>
      </c>
      <c r="AE116" s="343">
        <f t="shared" ref="AE116" si="295">AD116</f>
        <v>1</v>
      </c>
      <c r="AF116" s="343">
        <f t="shared" ref="AF116:AG116" si="296">AE116</f>
        <v>1</v>
      </c>
      <c r="AG116" s="343">
        <f t="shared" si="296"/>
        <v>1</v>
      </c>
    </row>
    <row r="117" spans="1:37" x14ac:dyDescent="0.4">
      <c r="A117" s="348"/>
      <c r="B117" s="1702"/>
      <c r="C117" s="349"/>
      <c r="D117" s="349"/>
      <c r="E117" s="349"/>
      <c r="F117" s="349"/>
      <c r="G117" s="349"/>
      <c r="H117" s="349"/>
      <c r="I117" s="349"/>
      <c r="J117" s="349"/>
      <c r="K117" s="349"/>
      <c r="L117" s="349"/>
      <c r="M117" s="349"/>
      <c r="N117" s="470"/>
      <c r="O117" s="470"/>
      <c r="P117" s="470"/>
      <c r="Q117" s="470"/>
      <c r="R117" s="470"/>
      <c r="S117" s="470"/>
      <c r="T117" s="349"/>
      <c r="U117" s="349"/>
      <c r="V117" s="349"/>
      <c r="W117" s="349"/>
      <c r="X117" s="349"/>
      <c r="Y117" s="349"/>
      <c r="Z117" s="349"/>
      <c r="AA117" s="349"/>
      <c r="AB117" s="349"/>
      <c r="AC117" s="349"/>
      <c r="AD117" s="349"/>
      <c r="AE117" s="349"/>
      <c r="AF117" s="349"/>
      <c r="AG117" s="349"/>
    </row>
    <row r="118" spans="1:37" x14ac:dyDescent="0.4">
      <c r="A118" s="337" t="s">
        <v>2256</v>
      </c>
      <c r="B118" s="1679" t="s">
        <v>3070</v>
      </c>
      <c r="C118" s="472">
        <v>152.02100000000064</v>
      </c>
      <c r="D118" s="472">
        <v>222.18199999999925</v>
      </c>
      <c r="E118" s="472">
        <v>404.89300000000003</v>
      </c>
      <c r="F118" s="472">
        <v>489.32100000000008</v>
      </c>
      <c r="G118" s="472">
        <v>612.53100000000006</v>
      </c>
      <c r="H118" s="472">
        <v>1036.2779999999993</v>
      </c>
      <c r="I118" s="472">
        <v>1507.4049999999995</v>
      </c>
      <c r="J118" s="472">
        <v>2131.4590000000003</v>
      </c>
      <c r="K118" s="472">
        <v>2749.5510000000004</v>
      </c>
      <c r="L118" s="472">
        <v>3457.4099999999967</v>
      </c>
      <c r="M118" s="472">
        <v>4153</v>
      </c>
      <c r="N118" s="472">
        <v>4153.5460000000003</v>
      </c>
      <c r="O118" s="472">
        <v>5072.5209999999997</v>
      </c>
      <c r="P118" s="472">
        <v>5323.9759999999997</v>
      </c>
      <c r="Q118" s="472">
        <f>Q112</f>
        <v>5413.2080000000014</v>
      </c>
      <c r="R118" s="400">
        <f>R112-R116</f>
        <v>5593.6783368006209</v>
      </c>
      <c r="S118" s="472">
        <f>S112</f>
        <v>6800.8790000000008</v>
      </c>
      <c r="T118" s="400">
        <f t="shared" ref="T118:AC118" si="297">T112-T116</f>
        <v>7956.8759999999957</v>
      </c>
      <c r="U118" s="400">
        <f>U112-U116</f>
        <v>9164.0450000000037</v>
      </c>
      <c r="V118" s="400">
        <f>V112-V116</f>
        <v>8565.3309999999983</v>
      </c>
      <c r="W118" s="400">
        <f>W112-W116</f>
        <v>8587.4439999999995</v>
      </c>
      <c r="X118" s="400">
        <f t="shared" ca="1" si="297"/>
        <v>9660.5456312902897</v>
      </c>
      <c r="Y118" s="400">
        <f t="shared" ca="1" si="297"/>
        <v>10493.750019954554</v>
      </c>
      <c r="Z118" s="400">
        <f t="shared" ca="1" si="297"/>
        <v>11006.27354970434</v>
      </c>
      <c r="AA118" s="400">
        <f t="shared" ca="1" si="297"/>
        <v>12252.690079014716</v>
      </c>
      <c r="AB118" s="400">
        <f t="shared" ca="1" si="297"/>
        <v>13408.980923372055</v>
      </c>
      <c r="AC118" s="400">
        <f t="shared" ca="1" si="297"/>
        <v>14484.896042418259</v>
      </c>
      <c r="AD118" s="400">
        <f t="shared" ref="AD118:AF118" ca="1" si="298">AD112-AD116</f>
        <v>15493.816479333513</v>
      </c>
      <c r="AE118" s="400">
        <f t="shared" ca="1" si="298"/>
        <v>16455.788829944435</v>
      </c>
      <c r="AF118" s="400">
        <f t="shared" ca="1" si="298"/>
        <v>17367.403389809399</v>
      </c>
      <c r="AG118" s="400">
        <f t="shared" ref="AG118" ca="1" si="299">AG112-AG116</f>
        <v>18234.101632437039</v>
      </c>
    </row>
    <row r="119" spans="1:37" x14ac:dyDescent="0.4">
      <c r="A119" s="413" t="s">
        <v>2254</v>
      </c>
      <c r="B119" s="1702" t="s">
        <v>2254</v>
      </c>
      <c r="C119" s="349"/>
      <c r="D119" s="349">
        <f t="shared" ref="D119:AC119" si="300">D118/C118-1</f>
        <v>0.46152176344056617</v>
      </c>
      <c r="E119" s="349">
        <f t="shared" si="300"/>
        <v>0.82234834505046051</v>
      </c>
      <c r="F119" s="349">
        <f t="shared" si="300"/>
        <v>0.20851928781184181</v>
      </c>
      <c r="G119" s="349">
        <f t="shared" si="300"/>
        <v>0.25179789953833986</v>
      </c>
      <c r="H119" s="349">
        <f t="shared" si="300"/>
        <v>0.69179682334444981</v>
      </c>
      <c r="I119" s="349">
        <f t="shared" si="300"/>
        <v>0.45463379517851443</v>
      </c>
      <c r="J119" s="349">
        <f t="shared" si="300"/>
        <v>0.41399225821859487</v>
      </c>
      <c r="K119" s="349">
        <f t="shared" si="300"/>
        <v>0.28998540436386522</v>
      </c>
      <c r="L119" s="349">
        <f t="shared" si="300"/>
        <v>0.25744530652459119</v>
      </c>
      <c r="M119" s="349">
        <f t="shared" si="300"/>
        <v>0.20118817264946998</v>
      </c>
      <c r="N119" s="349">
        <f t="shared" si="300"/>
        <v>1.3147122562018332E-4</v>
      </c>
      <c r="O119" s="349">
        <f t="shared" si="300"/>
        <v>0.2212507096346108</v>
      </c>
      <c r="P119" s="349">
        <f t="shared" si="300"/>
        <v>4.9571997829087389E-2</v>
      </c>
      <c r="Q119" s="349">
        <f t="shared" si="300"/>
        <v>1.6760406132559913E-2</v>
      </c>
      <c r="R119" s="349">
        <f t="shared" si="300"/>
        <v>3.3338888289646151E-2</v>
      </c>
      <c r="S119" s="349">
        <f t="shared" si="300"/>
        <v>0.21581517393612848</v>
      </c>
      <c r="T119" s="349">
        <f t="shared" si="300"/>
        <v>0.16997758672077468</v>
      </c>
      <c r="U119" s="349">
        <f t="shared" si="300"/>
        <v>0.15171393898811658</v>
      </c>
      <c r="V119" s="349">
        <f t="shared" si="300"/>
        <v>-6.5332939766228226E-2</v>
      </c>
      <c r="W119" s="349">
        <f t="shared" si="300"/>
        <v>2.5816865687970925E-3</v>
      </c>
      <c r="X119" s="349">
        <f t="shared" ca="1" si="300"/>
        <v>0.12496170353952696</v>
      </c>
      <c r="Y119" s="349">
        <f t="shared" ca="1" si="300"/>
        <v>8.6248170700165661E-2</v>
      </c>
      <c r="Z119" s="349">
        <f t="shared" ca="1" si="300"/>
        <v>4.884083657178695E-2</v>
      </c>
      <c r="AA119" s="349">
        <f t="shared" ca="1" si="300"/>
        <v>0.11324600680526054</v>
      </c>
      <c r="AB119" s="349">
        <f t="shared" ca="1" si="300"/>
        <v>9.4370365764635533E-2</v>
      </c>
      <c r="AC119" s="349">
        <f t="shared" ca="1" si="300"/>
        <v>8.0238395832965104E-2</v>
      </c>
      <c r="AD119" s="349">
        <f t="shared" ref="AD119" ca="1" si="301">AD118/AC118-1</f>
        <v>6.9653274276921584E-2</v>
      </c>
      <c r="AE119" s="349">
        <f t="shared" ref="AE119" ca="1" si="302">AE118/AD118-1</f>
        <v>6.2087501287630076E-2</v>
      </c>
      <c r="AF119" s="349">
        <f t="shared" ref="AF119:AG119" ca="1" si="303">AF118/AE118-1</f>
        <v>5.5397803732514239E-2</v>
      </c>
      <c r="AG119" s="349">
        <f t="shared" ca="1" si="303"/>
        <v>4.9903731903652826E-2</v>
      </c>
    </row>
    <row r="120" spans="1:37" x14ac:dyDescent="0.4">
      <c r="A120" s="348" t="s">
        <v>2257</v>
      </c>
      <c r="B120" s="1702" t="s">
        <v>3071</v>
      </c>
      <c r="C120" s="349">
        <f t="shared" ref="C120:AC120" si="304">C118/C4</f>
        <v>1.9835073272642997E-2</v>
      </c>
      <c r="D120" s="349">
        <f t="shared" si="304"/>
        <v>2.1581909203710607E-2</v>
      </c>
      <c r="E120" s="349">
        <f t="shared" si="304"/>
        <v>3.9819061573685567E-2</v>
      </c>
      <c r="F120" s="349">
        <f t="shared" si="304"/>
        <v>4.4397334096696391E-2</v>
      </c>
      <c r="G120" s="349">
        <f t="shared" si="304"/>
        <v>5.400556409902383E-2</v>
      </c>
      <c r="H120" s="349">
        <f t="shared" si="304"/>
        <v>8.6479942911844701E-2</v>
      </c>
      <c r="I120" s="349">
        <f t="shared" si="304"/>
        <v>9.2031038424021591E-2</v>
      </c>
      <c r="J120" s="349">
        <f t="shared" si="304"/>
        <v>9.7279543382079781E-2</v>
      </c>
      <c r="K120" s="349">
        <f t="shared" si="304"/>
        <v>0.10076923302457487</v>
      </c>
      <c r="L120" s="349">
        <f t="shared" si="304"/>
        <v>0.100390611672763</v>
      </c>
      <c r="M120" s="349">
        <f t="shared" si="304"/>
        <v>0.10928407850180871</v>
      </c>
      <c r="N120" s="349">
        <f t="shared" si="304"/>
        <v>8.9888985140683206E-2</v>
      </c>
      <c r="O120" s="349">
        <f t="shared" si="304"/>
        <v>0.1011418886913847</v>
      </c>
      <c r="P120" s="349">
        <f t="shared" si="304"/>
        <v>9.5709684396791839E-2</v>
      </c>
      <c r="Q120" s="349">
        <f t="shared" si="304"/>
        <v>8.7777464964224422E-2</v>
      </c>
      <c r="R120" s="349">
        <f t="shared" si="304"/>
        <v>8.9559024156543654E-2</v>
      </c>
      <c r="S120" s="349">
        <f t="shared" si="304"/>
        <v>8.7969382436704449E-2</v>
      </c>
      <c r="T120" s="349">
        <f t="shared" si="304"/>
        <v>7.8027509906446385E-2</v>
      </c>
      <c r="U120" s="349">
        <f t="shared" si="304"/>
        <v>8.0574357294506113E-2</v>
      </c>
      <c r="V120" s="349">
        <f t="shared" si="304"/>
        <v>8.1324665607844279E-2</v>
      </c>
      <c r="W120" s="349">
        <f t="shared" ref="W120" si="305">W118/W4</f>
        <v>8.5491012807558095E-2</v>
      </c>
      <c r="X120" s="349">
        <f t="shared" ca="1" si="304"/>
        <v>9.3284112906576566E-2</v>
      </c>
      <c r="Y120" s="349">
        <f t="shared" ca="1" si="304"/>
        <v>9.1893381600182691E-2</v>
      </c>
      <c r="Z120" s="349">
        <f t="shared" ca="1" si="304"/>
        <v>8.9564425222820793E-2</v>
      </c>
      <c r="AA120" s="349">
        <f t="shared" ca="1" si="304"/>
        <v>9.086893103719075E-2</v>
      </c>
      <c r="AB120" s="349">
        <f t="shared" ca="1" si="304"/>
        <v>9.1778192362586705E-2</v>
      </c>
      <c r="AC120" s="349">
        <f t="shared" ca="1" si="304"/>
        <v>9.2374388820837663E-2</v>
      </c>
      <c r="AD120" s="349">
        <f t="shared" ref="AD120:AF120" ca="1" si="306">AD118/AD4</f>
        <v>9.2743959698255815E-2</v>
      </c>
      <c r="AE120" s="349">
        <f t="shared" ca="1" si="306"/>
        <v>9.2995801578488677E-2</v>
      </c>
      <c r="AF120" s="349">
        <f t="shared" ca="1" si="306"/>
        <v>9.309527074811505E-2</v>
      </c>
      <c r="AG120" s="349">
        <f t="shared" ref="AG120" ca="1" si="307">AG118/AG4</f>
        <v>9.306421726393542E-2</v>
      </c>
    </row>
    <row r="121" spans="1:37" x14ac:dyDescent="0.4">
      <c r="A121" s="413"/>
      <c r="C121" s="349"/>
      <c r="D121" s="349"/>
      <c r="E121" s="450"/>
      <c r="F121" s="450"/>
      <c r="G121" s="450"/>
      <c r="H121" s="450"/>
      <c r="I121" s="450"/>
      <c r="J121" s="450"/>
      <c r="K121" s="450"/>
      <c r="L121" s="473"/>
      <c r="M121" s="473"/>
      <c r="N121" s="341"/>
      <c r="O121" s="341"/>
      <c r="P121" s="474"/>
      <c r="Q121" s="474"/>
      <c r="R121" s="474"/>
      <c r="S121" s="474"/>
      <c r="T121" s="475"/>
      <c r="U121" s="475"/>
      <c r="V121" s="475"/>
      <c r="W121" s="475"/>
      <c r="X121" s="475"/>
      <c r="Y121" s="475"/>
      <c r="Z121" s="475"/>
      <c r="AA121" s="475"/>
      <c r="AB121" s="475"/>
      <c r="AC121" s="475"/>
      <c r="AD121" s="475"/>
      <c r="AE121" s="475"/>
      <c r="AF121" s="475"/>
      <c r="AG121" s="475"/>
    </row>
    <row r="122" spans="1:37" s="312" customFormat="1" x14ac:dyDescent="0.4">
      <c r="A122" s="364" t="s">
        <v>2258</v>
      </c>
      <c r="B122" s="1711" t="s">
        <v>3072</v>
      </c>
      <c r="C122" s="476">
        <f>C112/BS!$T$89</f>
        <v>2.87797734613956E-2</v>
      </c>
      <c r="D122" s="476">
        <f>D112/BS!$T$89</f>
        <v>4.2062265260718906E-2</v>
      </c>
      <c r="E122" s="476">
        <f>E112/BS!$T$89</f>
        <v>7.6652099486944569E-2</v>
      </c>
      <c r="F122" s="476">
        <f>F112/BS!$T$89</f>
        <v>9.2635540681244688E-2</v>
      </c>
      <c r="G122" s="476">
        <f>G112/BS!$T$89</f>
        <v>0.11596097524738053</v>
      </c>
      <c r="H122" s="476">
        <f>H112/BS!$T$89</f>
        <v>0.19618240955544278</v>
      </c>
      <c r="I122" s="476">
        <f>I112/BS!$T$89</f>
        <v>0.28537356295889932</v>
      </c>
      <c r="J122" s="476">
        <f>J112/BS!$T$89</f>
        <v>0.5568213435847873</v>
      </c>
      <c r="K122" s="476">
        <f>K112/BS!$T$89</f>
        <v>0.52052976168130327</v>
      </c>
      <c r="L122" s="476">
        <f>L112/BS!$T$89</f>
        <v>0.65453770573251879</v>
      </c>
      <c r="M122" s="476">
        <f>M112/BS!$T$89</f>
        <v>0.85648246880897527</v>
      </c>
      <c r="N122" s="476">
        <f>N112/BS!$T$89</f>
        <v>0.9711956724531966</v>
      </c>
      <c r="O122" s="476">
        <f>O112/BS!$T$89</f>
        <v>1.039353610767237</v>
      </c>
      <c r="P122" s="476">
        <f>P112/BS!$T$89</f>
        <v>0.85194308669691698</v>
      </c>
      <c r="Q122" s="476">
        <f>Q112/BS!$T$89</f>
        <v>1.024798547170547</v>
      </c>
      <c r="R122" s="476">
        <f>R112/BS!$T$89</f>
        <v>1.1387961421575148</v>
      </c>
      <c r="S122" s="476">
        <f>S112/BS!$T$89</f>
        <v>1.2875047326248468</v>
      </c>
      <c r="T122" s="476">
        <f>T112/BS!$T$89</f>
        <v>1.5063516799679944</v>
      </c>
      <c r="U122" s="476">
        <f>U112/BS!$T$89</f>
        <v>1.7348862268373055</v>
      </c>
      <c r="V122" s="476">
        <f>V112/BS!$T$89</f>
        <v>1.6215410094780849</v>
      </c>
      <c r="W122" s="476">
        <f>W112/BS!$T$89</f>
        <v>1.6259166345825986</v>
      </c>
      <c r="X122" s="476">
        <f ca="1">X112/BS!$T$89</f>
        <v>1.8290702899959197</v>
      </c>
      <c r="Y122" s="476">
        <f ca="1">Y112/BS!$T$89</f>
        <v>1.9868079285642624</v>
      </c>
      <c r="Z122" s="476">
        <f ca="1">Z112/BS!$T$89</f>
        <v>2.0838360436262184</v>
      </c>
      <c r="AA122" s="476">
        <f ca="1">AA112/BS!$T$89</f>
        <v>2.3198007152971813</v>
      </c>
      <c r="AB122" s="476">
        <f ca="1">AB112/BS!$T$89</f>
        <v>2.5387032916260432</v>
      </c>
      <c r="AC122" s="476">
        <f ca="1">AC112/BS!$T$89</f>
        <v>2.7423895809534393</v>
      </c>
      <c r="AD122" s="476">
        <f ca="1">AD112/BS!$T$89</f>
        <v>2.9333928082377825</v>
      </c>
      <c r="AE122" s="476">
        <f ca="1">AE112/BS!$T$89</f>
        <v>3.1155080839346168</v>
      </c>
      <c r="AF122" s="476">
        <f ca="1">AF112/BS!$T$89</f>
        <v>3.2880899016902125</v>
      </c>
      <c r="AG122" s="476">
        <f ca="1">AG112/BS!$T$89</f>
        <v>3.4521684111212325</v>
      </c>
      <c r="AH122" s="477"/>
      <c r="AI122" s="477">
        <v>7.52</v>
      </c>
      <c r="AJ122" s="478"/>
      <c r="AK122" s="479"/>
    </row>
    <row r="123" spans="1:37" s="312" customFormat="1" x14ac:dyDescent="0.4">
      <c r="A123" s="372" t="s">
        <v>70</v>
      </c>
      <c r="B123" s="1708" t="s">
        <v>99</v>
      </c>
      <c r="C123" s="480"/>
      <c r="D123" s="386">
        <f>Cover!$A$2/PL!D122</f>
        <v>201.84362271921285</v>
      </c>
      <c r="E123" s="386">
        <f>Cover!$A$2/PL!E122</f>
        <v>110.76017560935851</v>
      </c>
      <c r="F123" s="386">
        <f>Cover!$A$2/PL!F122</f>
        <v>91.649489359745431</v>
      </c>
      <c r="G123" s="386">
        <f>Cover!$A$2/PL!G122</f>
        <v>73.214285943078792</v>
      </c>
      <c r="H123" s="386">
        <f>Cover!$A$2/PL!H122</f>
        <v>43.276051197651618</v>
      </c>
      <c r="I123" s="386">
        <f>Cover!$A$2/PL!I122</f>
        <v>29.750478327324124</v>
      </c>
      <c r="J123" s="386">
        <f>Cover!$A$2/PL!J122</f>
        <v>15.247260360642455</v>
      </c>
      <c r="K123" s="386">
        <f>Cover!$A$2/PL!K122</f>
        <v>16.310306585693446</v>
      </c>
      <c r="L123" s="386">
        <f>Cover!$A$2/PL!L122</f>
        <v>12.970986889897365</v>
      </c>
      <c r="M123" s="386">
        <f>Cover!$A$2/PL!M122</f>
        <v>9.9126372216423722</v>
      </c>
      <c r="N123" s="386">
        <f>Cover!$A$2/PL!N122</f>
        <v>8.7418017200948199</v>
      </c>
      <c r="O123" s="386">
        <f>Cover!$A$2/PL!O122</f>
        <v>8.1685385147532177</v>
      </c>
      <c r="P123" s="386">
        <f>Cover!$A$2/PL!P122</f>
        <v>9.9654544212768048</v>
      </c>
      <c r="Q123" s="386">
        <f>Cover!$A$2/PL!Q122</f>
        <v>8.2845550703021189</v>
      </c>
      <c r="R123" s="386">
        <f>Cover!$A$2/PL!R122</f>
        <v>7.4552412725206523</v>
      </c>
      <c r="S123" s="386">
        <f>Cover!$A$2/PL!S122</f>
        <v>6.5941505183374085</v>
      </c>
      <c r="T123" s="386">
        <f>Cover!$A$2/PL!T122</f>
        <v>5.636134053490343</v>
      </c>
      <c r="U123" s="386">
        <f>Cover!$A$2/PL!U122</f>
        <v>4.8936926633380766</v>
      </c>
      <c r="V123" s="386">
        <f>Cover!$A$2/PL!V122</f>
        <v>5.235760273946215</v>
      </c>
      <c r="W123" s="386">
        <f>Cover!$A$2/PL!W122</f>
        <v>5.2216699303156666</v>
      </c>
      <c r="X123" s="386">
        <f ca="1">Cover!$A$2/PL!X122</f>
        <v>4.6417024246886323</v>
      </c>
      <c r="Y123" s="386">
        <f ca="1">Cover!$A$2/PL!Y122</f>
        <v>4.2731860880659838</v>
      </c>
      <c r="Z123" s="386">
        <f ca="1">Cover!$A$2/PL!Z122</f>
        <v>4.0742168876328675</v>
      </c>
      <c r="AA123" s="386">
        <f ca="1">Cover!$A$2/PL!AA122</f>
        <v>3.6597971299928567</v>
      </c>
      <c r="AB123" s="386">
        <f ca="1">Cover!$A$2/PL!AB122</f>
        <v>3.3442269634283028</v>
      </c>
      <c r="AC123" s="386">
        <f ca="1">Cover!$A$2/PL!AC122</f>
        <v>3.0958402332641244</v>
      </c>
      <c r="AD123" s="386">
        <f ca="1">Cover!$A$2/PL!AD122</f>
        <v>2.8942594991566488</v>
      </c>
      <c r="AE123" s="386">
        <f ca="1">Cover!$A$2/PL!AE122</f>
        <v>2.7250771852525144</v>
      </c>
      <c r="AF123" s="386">
        <f ca="1">Cover!$A$2/PL!AF122</f>
        <v>2.5820461890764586</v>
      </c>
      <c r="AG123" s="386">
        <f ca="1">Cover!$A$2/PL!AG122</f>
        <v>2.4593238188059678</v>
      </c>
      <c r="AH123" s="481"/>
      <c r="AI123" s="481">
        <v>12.3</v>
      </c>
      <c r="AK123" s="482"/>
    </row>
    <row r="124" spans="1:37" s="312" customFormat="1" x14ac:dyDescent="0.4">
      <c r="A124" s="372"/>
      <c r="B124" s="1708"/>
      <c r="C124" s="480"/>
      <c r="D124" s="386"/>
      <c r="E124" s="386"/>
      <c r="F124" s="386"/>
      <c r="G124" s="386"/>
      <c r="H124" s="386"/>
      <c r="I124" s="386"/>
      <c r="J124" s="386"/>
      <c r="K124" s="386"/>
      <c r="L124" s="386"/>
      <c r="M124" s="386"/>
      <c r="N124" s="386"/>
      <c r="O124" s="386"/>
      <c r="P124" s="483"/>
      <c r="Q124" s="386"/>
      <c r="R124" s="386"/>
      <c r="S124" s="386"/>
      <c r="T124" s="386"/>
      <c r="U124" s="386"/>
      <c r="V124" s="386"/>
      <c r="W124" s="386"/>
      <c r="X124" s="386"/>
      <c r="Y124" s="386"/>
      <c r="Z124" s="386"/>
      <c r="AA124" s="386"/>
      <c r="AB124" s="386"/>
      <c r="AC124" s="386"/>
      <c r="AD124" s="386"/>
      <c r="AE124" s="386"/>
      <c r="AF124" s="386"/>
      <c r="AG124" s="386"/>
      <c r="AH124" s="481"/>
      <c r="AI124" s="481">
        <v>10.5</v>
      </c>
      <c r="AK124" s="482"/>
    </row>
    <row r="125" spans="1:37" s="312" customFormat="1" x14ac:dyDescent="0.4">
      <c r="A125" s="372" t="s">
        <v>2259</v>
      </c>
      <c r="B125" s="1708" t="s">
        <v>3073</v>
      </c>
      <c r="C125" s="480"/>
      <c r="D125" s="373">
        <f>D118/BS!D88</f>
        <v>9.088061584895768E-2</v>
      </c>
      <c r="E125" s="373">
        <f>E118/BS!E88</f>
        <v>0.16561613988951468</v>
      </c>
      <c r="F125" s="373">
        <f>F118/BS!F88</f>
        <v>0.20015029942942264</v>
      </c>
      <c r="G125" s="373">
        <f>G118/BS!G88</f>
        <v>0.20731627648913376</v>
      </c>
      <c r="H125" s="373">
        <f>H118/BS!H88</f>
        <v>0.34780745795337492</v>
      </c>
      <c r="I125" s="373">
        <f>I118/BS!I88</f>
        <v>0.42027119897876847</v>
      </c>
      <c r="J125" s="373">
        <f>J118/BS!J88</f>
        <v>0.54829269440944106</v>
      </c>
      <c r="K125" s="373">
        <f>K118/BS!K88</f>
        <v>0.70713557153857209</v>
      </c>
      <c r="L125" s="373">
        <f>L118/BS!L88</f>
        <v>0.88745973279258616</v>
      </c>
      <c r="M125" s="373">
        <f>M118/BS!M88</f>
        <v>1.0238357689207866</v>
      </c>
      <c r="N125" s="373">
        <f>N118/BS!N88</f>
        <v>0.92544944763468651</v>
      </c>
      <c r="O125" s="373">
        <f>O118/BS!O89</f>
        <v>0.9603015718760648</v>
      </c>
      <c r="P125" s="373">
        <f>P118/BS!P89</f>
        <v>1.0079056393123742</v>
      </c>
      <c r="Q125" s="373">
        <f>Q118/BS!Q89</f>
        <v>1.024798547170547</v>
      </c>
      <c r="R125" s="373">
        <f>R118/BS!R89</f>
        <v>1.0589641914540577</v>
      </c>
      <c r="S125" s="373">
        <f>S118/BS!S89</f>
        <v>1.2875047326248468</v>
      </c>
      <c r="T125" s="373">
        <f>T118/BS!T89</f>
        <v>1.5063516799679944</v>
      </c>
      <c r="U125" s="373">
        <f>U118/BS!U89</f>
        <v>1.7348862268373055</v>
      </c>
      <c r="V125" s="373">
        <f>V118/BS!V89</f>
        <v>1.6215410094780849</v>
      </c>
      <c r="W125" s="373">
        <f>W118/BS!W89</f>
        <v>1.625727320123008</v>
      </c>
      <c r="X125" s="373">
        <f ca="1">X118/BS!X89</f>
        <v>1.8288809755363293</v>
      </c>
      <c r="Y125" s="373">
        <f ca="1">Y118/BS!Y89</f>
        <v>1.986618614104672</v>
      </c>
      <c r="Z125" s="373">
        <f ca="1">Z118/BS!Z89</f>
        <v>2.0836467291666279</v>
      </c>
      <c r="AA125" s="373">
        <f ca="1">AA118/BS!AA89</f>
        <v>2.3196114008375908</v>
      </c>
      <c r="AB125" s="373">
        <f ca="1">AB118/BS!AB89</f>
        <v>2.5385139771664527</v>
      </c>
      <c r="AC125" s="373">
        <f ca="1">AC118/BS!AC89</f>
        <v>2.7422002664938487</v>
      </c>
      <c r="AD125" s="373">
        <f ca="1">AD118/BS!AD89</f>
        <v>2.9332034937781923</v>
      </c>
      <c r="AE125" s="373">
        <f ca="1">AE118/BS!AE89</f>
        <v>3.1153187694750266</v>
      </c>
      <c r="AF125" s="373">
        <f ca="1">AF118/BS!AF89</f>
        <v>3.287900587230622</v>
      </c>
      <c r="AG125" s="373">
        <f ca="1">AG118/BS!AG89</f>
        <v>3.4519790966616419</v>
      </c>
      <c r="AH125" s="484"/>
      <c r="AI125" s="484">
        <f>AI124/AI123-1</f>
        <v>-0.14634146341463417</v>
      </c>
      <c r="AK125" s="482"/>
    </row>
    <row r="126" spans="1:37" s="312" customFormat="1" x14ac:dyDescent="0.4">
      <c r="A126" s="372" t="s">
        <v>2260</v>
      </c>
      <c r="B126" s="1683" t="s">
        <v>3074</v>
      </c>
      <c r="C126" s="480"/>
      <c r="D126" s="386">
        <f>Cover!$A$2/PL!D125</f>
        <v>93.419261309917417</v>
      </c>
      <c r="E126" s="386">
        <f>Cover!$A$2/PL!E125</f>
        <v>51.263119679421479</v>
      </c>
      <c r="F126" s="386">
        <f>Cover!$A$2/PL!F125</f>
        <v>42.418122901653511</v>
      </c>
      <c r="G126" s="386">
        <f>Cover!$A$2/PL!G125</f>
        <v>40.951922076629586</v>
      </c>
      <c r="H126" s="386">
        <f>Cover!$A$2/PL!H125</f>
        <v>24.410057363226873</v>
      </c>
      <c r="I126" s="386">
        <f>Cover!$A$2/PL!I125</f>
        <v>20.201241533157983</v>
      </c>
      <c r="J126" s="386">
        <f>Cover!$A$2/PL!J125</f>
        <v>15.484430280699744</v>
      </c>
      <c r="K126" s="386">
        <f>Cover!$A$2/PL!K125</f>
        <v>12.006184304273678</v>
      </c>
      <c r="L126" s="386">
        <f>Cover!$A$2/PL!L125</f>
        <v>9.566631235520239</v>
      </c>
      <c r="M126" s="386">
        <f>Cover!$A$2/PL!M125</f>
        <v>8.2923455672477733</v>
      </c>
      <c r="N126" s="386">
        <f>Cover!$A$2/PL!N125</f>
        <v>9.1739208680703186</v>
      </c>
      <c r="O126" s="386">
        <f>Cover!$A$2/PL!O125</f>
        <v>8.8409727200735109</v>
      </c>
      <c r="P126" s="386">
        <f>Cover!$A$2/PL!P125</f>
        <v>8.4234075779079411</v>
      </c>
      <c r="Q126" s="386">
        <f>Cover!$A$2/PL!Q125</f>
        <v>8.2845550703021189</v>
      </c>
      <c r="R126" s="386">
        <f>Cover!$A$2/PL!R125</f>
        <v>8.0172682594134077</v>
      </c>
      <c r="S126" s="386">
        <f>Cover!$A$2/PL!S125</f>
        <v>6.5941505183374085</v>
      </c>
      <c r="T126" s="386">
        <f>Cover!$A$2/PL!T125</f>
        <v>5.636134053490343</v>
      </c>
      <c r="U126" s="386">
        <f>Cover!$A$2/PL!U125</f>
        <v>4.8936926633380766</v>
      </c>
      <c r="V126" s="386">
        <f>Cover!$A$2/PL!V125</f>
        <v>5.235760273946215</v>
      </c>
      <c r="W126" s="386">
        <f>Cover!$A$2/PL!W125</f>
        <v>5.2222779890034809</v>
      </c>
      <c r="X126" s="386">
        <f ca="1">Cover!$A$2/PL!X125</f>
        <v>4.6421829050467656</v>
      </c>
      <c r="Y126" s="386">
        <f ca="1">Cover!$A$2/PL!Y125</f>
        <v>4.2735933005572226</v>
      </c>
      <c r="Z126" s="386">
        <f ca="1">Cover!$A$2/PL!Z125</f>
        <v>4.0745870598686595</v>
      </c>
      <c r="AA126" s="386">
        <f ca="1">Cover!$A$2/PL!AA125</f>
        <v>3.6600958233496947</v>
      </c>
      <c r="AB126" s="386">
        <f ca="1">Cover!$A$2/PL!AB125</f>
        <v>3.3444763654509133</v>
      </c>
      <c r="AC126" s="386">
        <f ca="1">Cover!$A$2/PL!AC125</f>
        <v>3.0960539621182495</v>
      </c>
      <c r="AD126" s="386">
        <f ca="1">Cover!$A$2/PL!AD125</f>
        <v>2.8944463000977221</v>
      </c>
      <c r="AE126" s="386">
        <f ca="1">Cover!$A$2/PL!AE125</f>
        <v>2.7252427851647041</v>
      </c>
      <c r="AF126" s="386">
        <f ca="1">Cover!$A$2/PL!AF125</f>
        <v>2.5821948610529839</v>
      </c>
      <c r="AG126" s="386">
        <f ca="1">Cover!$A$2/PL!AG125</f>
        <v>2.4594586937709311</v>
      </c>
      <c r="AH126" s="485"/>
      <c r="AI126" s="485" t="s">
        <v>2834</v>
      </c>
      <c r="AJ126" s="485" t="s">
        <v>2803</v>
      </c>
      <c r="AK126" s="486" t="s">
        <v>2835</v>
      </c>
    </row>
    <row r="127" spans="1:37" s="312" customFormat="1" x14ac:dyDescent="0.4">
      <c r="A127" s="372"/>
      <c r="B127" s="1683"/>
      <c r="C127" s="480"/>
      <c r="D127" s="386"/>
      <c r="E127" s="386"/>
      <c r="F127" s="386"/>
      <c r="G127" s="386"/>
      <c r="H127" s="386"/>
      <c r="I127" s="386"/>
      <c r="J127" s="386"/>
      <c r="K127" s="386"/>
      <c r="L127" s="386"/>
      <c r="M127" s="386"/>
      <c r="N127" s="386"/>
      <c r="O127" s="386"/>
      <c r="P127" s="386"/>
      <c r="Q127" s="386"/>
      <c r="R127" s="386"/>
      <c r="S127" s="386"/>
      <c r="T127" s="386"/>
      <c r="U127" s="386"/>
      <c r="V127" s="386"/>
      <c r="W127" s="386"/>
      <c r="X127" s="386"/>
      <c r="Y127" s="386"/>
      <c r="Z127" s="386"/>
      <c r="AA127" s="386"/>
      <c r="AB127" s="386"/>
      <c r="AC127" s="386"/>
      <c r="AD127" s="386"/>
      <c r="AE127" s="386"/>
      <c r="AF127" s="386"/>
      <c r="AG127" s="386"/>
      <c r="AH127" s="335"/>
      <c r="AI127" s="335">
        <f>$AI$122/T125</f>
        <v>4.9921941204060518</v>
      </c>
      <c r="AJ127" s="335">
        <f>$AI$122/U125</f>
        <v>4.3345781894349038</v>
      </c>
      <c r="AK127" s="487">
        <f>$AI$122/V125</f>
        <v>4.637563870444704</v>
      </c>
    </row>
    <row r="128" spans="1:37" s="312" customFormat="1" x14ac:dyDescent="0.4">
      <c r="A128" s="372" t="s">
        <v>74</v>
      </c>
      <c r="B128" s="1683" t="s">
        <v>73</v>
      </c>
      <c r="C128" s="480"/>
      <c r="D128" s="386">
        <f>Cover!$A$2/BS!D90</f>
        <v>46.033641705356494</v>
      </c>
      <c r="E128" s="386">
        <f>Cover!$A$2/BS!E90</f>
        <v>20.803624551012373</v>
      </c>
      <c r="F128" s="386">
        <f>Cover!$A$2/BS!F90</f>
        <v>17.773068610529961</v>
      </c>
      <c r="G128" s="386">
        <f>Cover!$A$2/BS!G90</f>
        <v>10.417721450935264</v>
      </c>
      <c r="H128" s="386">
        <f>Cover!$A$2/BS!H90</f>
        <v>9.7080864135340796</v>
      </c>
      <c r="I128" s="386">
        <f>Cover!$A$2/BS!I90</f>
        <v>4.7254327113472723</v>
      </c>
      <c r="J128" s="386">
        <f>Cover!$A$2/BS!J90</f>
        <v>3.3195117703235804</v>
      </c>
      <c r="K128" s="386">
        <f>Cover!$A$2/BS!K90</f>
        <v>2.8145502873920303</v>
      </c>
      <c r="L128" s="386">
        <f>Cover!$A$2/BS!L90</f>
        <v>2.2615129943395131</v>
      </c>
      <c r="M128" s="386">
        <f>Cover!$A$2/BS!M90</f>
        <v>1.9343059082784166</v>
      </c>
      <c r="N128" s="386">
        <f>Cover!$A$2/BS!N90</f>
        <v>1.762263981377209</v>
      </c>
      <c r="O128" s="386">
        <f>Cover!$A$2/BS!O90</f>
        <v>1.1774432003367812</v>
      </c>
      <c r="P128" s="386">
        <f>Cover!$A$2/BS!P90</f>
        <v>1.1662139339541349</v>
      </c>
      <c r="Q128" s="386">
        <f>Cover!$A$2/BS!Q90</f>
        <v>1.0640087050754516</v>
      </c>
      <c r="R128" s="386">
        <f>Cover!$A$2/BS!R90</f>
        <v>0.91347672279177405</v>
      </c>
      <c r="S128" s="386">
        <f>Cover!$A$2/BS!S90</f>
        <v>0.79449188059100206</v>
      </c>
      <c r="T128" s="386">
        <f>Cover!$A$2/BS!T90</f>
        <v>0.77601479225849535</v>
      </c>
      <c r="U128" s="386">
        <f>Cover!$A$2/BS!U90</f>
        <v>0.72656409041436931</v>
      </c>
      <c r="V128" s="386">
        <f>Cover!$A$2/BS!V90</f>
        <v>0.72501418240670423</v>
      </c>
      <c r="W128" s="386">
        <f>Cover!$A$2/BS!W90</f>
        <v>0.63699443447557924</v>
      </c>
      <c r="X128" s="386">
        <f ca="1">Cover!$A$2/BS!X90</f>
        <v>0.58166472703634831</v>
      </c>
      <c r="Y128" s="386">
        <f ca="1">Cover!$A$2/BS!Y90</f>
        <v>0.53253311481692456</v>
      </c>
      <c r="Z128" s="386">
        <f ca="1">Cover!$A$2/BS!Z90</f>
        <v>0.48987013737942581</v>
      </c>
      <c r="AA128" s="386">
        <f ca="1">Cover!$A$2/BS!AA90</f>
        <v>0.44869398562804069</v>
      </c>
      <c r="AB128" s="386">
        <f ca="1">Cover!$A$2/BS!AB90</f>
        <v>0.41117076985010537</v>
      </c>
      <c r="AC128" s="386">
        <f ca="1">Cover!$A$2/BS!AC90</f>
        <v>0.37729646934496885</v>
      </c>
      <c r="AD128" s="386">
        <f ca="1">Cover!$A$2/BS!AD90</f>
        <v>0.34687387818838722</v>
      </c>
      <c r="AE128" s="386">
        <f ca="1">Cover!$A$2/BS!AE90</f>
        <v>0.31959855791965436</v>
      </c>
      <c r="AF128" s="386">
        <f ca="1">Cover!$A$2/BS!AF90</f>
        <v>0.29517870431867738</v>
      </c>
      <c r="AG128" s="386">
        <f ca="1">Cover!$A$2/BS!AG90</f>
        <v>0.27331046572088352</v>
      </c>
      <c r="AH128" s="335"/>
      <c r="AI128" s="335">
        <f>$AI$124/T125</f>
        <v>6.9704838117371732</v>
      </c>
      <c r="AJ128" s="335">
        <f>$AI$124/U125</f>
        <v>6.0522700783333105</v>
      </c>
      <c r="AK128" s="487">
        <f>$AI$124/V125</f>
        <v>6.4753218935730574</v>
      </c>
    </row>
    <row r="129" spans="1:37" s="346" customFormat="1" x14ac:dyDescent="0.4">
      <c r="A129" s="372" t="s">
        <v>76</v>
      </c>
      <c r="B129" s="1683" t="s">
        <v>75</v>
      </c>
      <c r="C129" s="488"/>
      <c r="D129" s="489">
        <v>88.58</v>
      </c>
      <c r="E129" s="489">
        <v>104.13200000000001</v>
      </c>
      <c r="F129" s="489">
        <v>199.875</v>
      </c>
      <c r="G129" s="489">
        <v>186.59200000000001</v>
      </c>
      <c r="H129" s="489">
        <v>251.56100000000001</v>
      </c>
      <c r="I129" s="489">
        <v>430.38200000000001</v>
      </c>
      <c r="J129" s="489">
        <v>622.1</v>
      </c>
      <c r="K129" s="489">
        <v>816.63599999999997</v>
      </c>
      <c r="L129" s="489">
        <f>895251/1000</f>
        <v>895.25099999999998</v>
      </c>
      <c r="M129" s="489">
        <v>1338</v>
      </c>
      <c r="N129" s="489">
        <f>N130*BS!N88</f>
        <v>1481.0000000000002</v>
      </c>
      <c r="O129" s="489">
        <f>O130*BS!O88</f>
        <v>1767.2048338</v>
      </c>
      <c r="P129" s="489">
        <f>P130*BS!P88</f>
        <v>1363.2723003600001</v>
      </c>
      <c r="Q129" s="489">
        <f>Q130*BS!Q88</f>
        <v>1615.7301337599999</v>
      </c>
      <c r="R129" s="489">
        <f>R130*BS!R88</f>
        <v>1817.69640048</v>
      </c>
      <c r="S129" s="489">
        <f>S130*BS!S88</f>
        <v>2041.1141400000001</v>
      </c>
      <c r="T129" s="489">
        <f>T130*BS!T88</f>
        <v>2418.0560159999995</v>
      </c>
      <c r="U129" s="489">
        <f>U130*BS!U88</f>
        <v>2821.0653520000001</v>
      </c>
      <c r="V129" s="489">
        <f>V130*BS!V88</f>
        <v>2911.0069605617996</v>
      </c>
      <c r="W129" s="489">
        <f>W130*BS!W88</f>
        <v>2964.644122875</v>
      </c>
      <c r="X129" s="380">
        <f ca="1">X112*X131</f>
        <v>3381.5409709516011</v>
      </c>
      <c r="Y129" s="380">
        <f ca="1">Y112*Y131</f>
        <v>3673.1625069840934</v>
      </c>
      <c r="Z129" s="380">
        <f ca="1">Z112*Z131</f>
        <v>3852.5457423965186</v>
      </c>
      <c r="AA129" s="380">
        <f t="shared" ref="AA129:AC129" ca="1" si="308">AA112*AA131</f>
        <v>4288.7915276551503</v>
      </c>
      <c r="AB129" s="380">
        <f t="shared" ca="1" si="308"/>
        <v>4693.4933231802188</v>
      </c>
      <c r="AC129" s="380">
        <f t="shared" ca="1" si="308"/>
        <v>5070.06361484639</v>
      </c>
      <c r="AD129" s="380">
        <f t="shared" ref="AD129:AF129" ca="1" si="309">AD112*AD131</f>
        <v>5423.1857677667294</v>
      </c>
      <c r="AE129" s="380">
        <f t="shared" ca="1" si="309"/>
        <v>5759.8760904805522</v>
      </c>
      <c r="AF129" s="380">
        <f t="shared" ca="1" si="309"/>
        <v>6078.9411864332887</v>
      </c>
      <c r="AG129" s="380">
        <f t="shared" ref="AG129" ca="1" si="310">AG112*AG131</f>
        <v>6382.2855713529634</v>
      </c>
      <c r="AH129" s="419"/>
      <c r="AI129" s="419">
        <f>AI124/AI122-1</f>
        <v>0.39627659574468099</v>
      </c>
      <c r="AJ129" s="419"/>
      <c r="AK129" s="490"/>
    </row>
    <row r="130" spans="1:37" s="312" customFormat="1" x14ac:dyDescent="0.4">
      <c r="A130" s="372" t="s">
        <v>2261</v>
      </c>
      <c r="B130" s="1683" t="s">
        <v>3075</v>
      </c>
      <c r="C130" s="491"/>
      <c r="D130" s="491">
        <f>D129/BS!D88</f>
        <v>3.6232480362498758E-2</v>
      </c>
      <c r="E130" s="491">
        <f>E129/BS!E88</f>
        <v>4.2593820784688652E-2</v>
      </c>
      <c r="F130" s="491">
        <f>F129/BS!F88</f>
        <v>8.1756231795602152E-2</v>
      </c>
      <c r="G130" s="491">
        <f>G129/BS!G88</f>
        <v>6.3153634122453312E-2</v>
      </c>
      <c r="H130" s="491">
        <f>H129/BS!H88</f>
        <v>8.4431775961864478E-2</v>
      </c>
      <c r="I130" s="491">
        <f>I129/BS!I88</f>
        <v>0.11999241024069868</v>
      </c>
      <c r="J130" s="491">
        <f>J129/BS!J88</f>
        <v>0.16002788943728835</v>
      </c>
      <c r="K130" s="491">
        <f>K129/BS!K88</f>
        <v>0.21002424199404673</v>
      </c>
      <c r="L130" s="491">
        <f>L129/BS!L88</f>
        <v>0.229796065043572</v>
      </c>
      <c r="M130" s="491">
        <f>M129/BS!M88</f>
        <v>0.32985607002552675</v>
      </c>
      <c r="N130" s="491">
        <v>0.32998084815889139</v>
      </c>
      <c r="O130" s="491">
        <v>0.34999999778180785</v>
      </c>
      <c r="P130" s="491">
        <v>0.26999999828882321</v>
      </c>
      <c r="Q130" s="491">
        <v>0.31999999797193857</v>
      </c>
      <c r="R130" s="491">
        <v>0.35999999771843089</v>
      </c>
      <c r="S130" s="491">
        <v>0.40517456201064289</v>
      </c>
      <c r="T130" s="491">
        <v>0.47999999999999993</v>
      </c>
      <c r="U130" s="491">
        <v>0.56000000000000005</v>
      </c>
      <c r="V130" s="491">
        <f>0.615*V1</f>
        <v>0.57785399999999998</v>
      </c>
      <c r="W130" s="491">
        <f>0.625*W1</f>
        <v>0.56125000000000003</v>
      </c>
      <c r="X130" s="491">
        <f ca="1">X129/BS!X88</f>
        <v>0.64017460149857186</v>
      </c>
      <c r="Y130" s="491">
        <f ca="1">Y129/BS!Y88</f>
        <v>0.69538277499749179</v>
      </c>
      <c r="Z130" s="491">
        <f ca="1">Z129/BS!Z88</f>
        <v>0.72934261526917643</v>
      </c>
      <c r="AA130" s="491">
        <f ca="1">AA129/BS!AA88</f>
        <v>0.81193025035401334</v>
      </c>
      <c r="AB130" s="491">
        <f ca="1">AB129/BS!AB88</f>
        <v>0.88854615206911503</v>
      </c>
      <c r="AC130" s="491">
        <f ca="1">AC129/BS!AC88</f>
        <v>0.95983635333370365</v>
      </c>
      <c r="AD130" s="491">
        <f ca="1">AD129/BS!AD88</f>
        <v>1.026687482883224</v>
      </c>
      <c r="AE130" s="491">
        <f ca="1">AE129/BS!AE88</f>
        <v>1.0904278293771159</v>
      </c>
      <c r="AF130" s="491">
        <f ca="1">AF129/BS!AF88</f>
        <v>1.1508314655915743</v>
      </c>
      <c r="AG130" s="491">
        <f ca="1">AG129/BS!AG88</f>
        <v>1.2082589438924314</v>
      </c>
      <c r="AH130" s="492"/>
      <c r="AI130" s="492">
        <f>AI128/AI127-1</f>
        <v>0.39627659574468077</v>
      </c>
      <c r="AJ130" s="492">
        <f>AJ128/AJ127-1</f>
        <v>0.39627659574468099</v>
      </c>
      <c r="AK130" s="493">
        <f>AK128/AK127-1</f>
        <v>0.39627659574468077</v>
      </c>
    </row>
    <row r="131" spans="1:37" s="494" customFormat="1" x14ac:dyDescent="0.4">
      <c r="A131" s="372" t="s">
        <v>79</v>
      </c>
      <c r="B131" s="1714" t="s">
        <v>79</v>
      </c>
      <c r="C131" s="374"/>
      <c r="D131" s="374">
        <f t="shared" ref="D131:T131" si="311">D129/D112</f>
        <v>0.39868216147122765</v>
      </c>
      <c r="E131" s="374">
        <f t="shared" si="311"/>
        <v>0.25718399675963771</v>
      </c>
      <c r="F131" s="374">
        <f t="shared" si="311"/>
        <v>0.40847419178821259</v>
      </c>
      <c r="G131" s="374">
        <f t="shared" si="311"/>
        <v>0.30462458226604039</v>
      </c>
      <c r="H131" s="374">
        <f t="shared" si="311"/>
        <v>0.24275435742146428</v>
      </c>
      <c r="I131" s="374">
        <f t="shared" si="311"/>
        <v>0.28551185646856692</v>
      </c>
      <c r="J131" s="374">
        <f t="shared" si="311"/>
        <v>0.21150864037105294</v>
      </c>
      <c r="K131" s="374">
        <f t="shared" si="311"/>
        <v>0.29700703860375743</v>
      </c>
      <c r="L131" s="374">
        <f t="shared" si="311"/>
        <v>0.25893689206660503</v>
      </c>
      <c r="M131" s="374">
        <f t="shared" si="311"/>
        <v>0.29574773116398623</v>
      </c>
      <c r="N131" s="374">
        <f t="shared" si="311"/>
        <v>0.28869024297153267</v>
      </c>
      <c r="O131" s="374">
        <f t="shared" si="311"/>
        <v>0.32188989832773268</v>
      </c>
      <c r="P131" s="374">
        <f t="shared" si="311"/>
        <v>0.30293943673852486</v>
      </c>
      <c r="Q131" s="374">
        <f t="shared" si="311"/>
        <v>0.29847922595252196</v>
      </c>
      <c r="R131" s="374">
        <f t="shared" si="311"/>
        <v>0.30217542808353542</v>
      </c>
      <c r="S131" s="374">
        <f t="shared" si="311"/>
        <v>0.30012504854151939</v>
      </c>
      <c r="T131" s="374">
        <f t="shared" si="311"/>
        <v>0.30389514879960439</v>
      </c>
      <c r="U131" s="374">
        <f t="shared" ref="U131:V131" si="312">U129/U112</f>
        <v>0.3078406262736596</v>
      </c>
      <c r="V131" s="374">
        <f t="shared" si="312"/>
        <v>0.3398592489375834</v>
      </c>
      <c r="W131" s="374">
        <f>W129/W112</f>
        <v>0.34518989969254038</v>
      </c>
      <c r="X131" s="495">
        <v>0.35</v>
      </c>
      <c r="Y131" s="495">
        <f t="shared" ref="Y131:AC131" si="313">X131</f>
        <v>0.35</v>
      </c>
      <c r="Z131" s="495">
        <f t="shared" si="313"/>
        <v>0.35</v>
      </c>
      <c r="AA131" s="495">
        <f t="shared" si="313"/>
        <v>0.35</v>
      </c>
      <c r="AB131" s="495">
        <f t="shared" si="313"/>
        <v>0.35</v>
      </c>
      <c r="AC131" s="495">
        <f t="shared" si="313"/>
        <v>0.35</v>
      </c>
      <c r="AD131" s="495">
        <f t="shared" ref="AD131" si="314">AC131</f>
        <v>0.35</v>
      </c>
      <c r="AE131" s="495">
        <f t="shared" ref="AE131" si="315">AD131</f>
        <v>0.35</v>
      </c>
      <c r="AF131" s="495">
        <f t="shared" ref="AF131:AG131" si="316">AE131</f>
        <v>0.35</v>
      </c>
      <c r="AG131" s="495">
        <f t="shared" si="316"/>
        <v>0.35</v>
      </c>
      <c r="AH131" s="312"/>
      <c r="AI131" s="312"/>
      <c r="AJ131" s="312"/>
      <c r="AK131" s="312"/>
    </row>
    <row r="132" spans="1:37" s="346" customFormat="1" x14ac:dyDescent="0.4">
      <c r="A132" s="372" t="s">
        <v>81</v>
      </c>
      <c r="B132" s="1683" t="s">
        <v>80</v>
      </c>
      <c r="C132" s="374"/>
      <c r="D132" s="374">
        <f>D130/Cover!$A$2</f>
        <v>4.2676655315075094E-3</v>
      </c>
      <c r="E132" s="374">
        <f>E130/Cover!$A$2</f>
        <v>5.0169400217536693E-3</v>
      </c>
      <c r="F132" s="374">
        <f>F130/Cover!$A$2</f>
        <v>9.6297092809896519E-3</v>
      </c>
      <c r="G132" s="374">
        <f>G130/Cover!$A$2</f>
        <v>7.4385905915728282E-3</v>
      </c>
      <c r="H132" s="374">
        <f>H130/Cover!$A$2</f>
        <v>9.944849936615369E-3</v>
      </c>
      <c r="I132" s="374">
        <f>I130/Cover!$A$2</f>
        <v>1.4133381653792541E-2</v>
      </c>
      <c r="J132" s="374">
        <f>J130/Cover!$A$2</f>
        <v>1.8848985799445037E-2</v>
      </c>
      <c r="K132" s="374">
        <f>K130/Cover!$A$2</f>
        <v>2.473783769070044E-2</v>
      </c>
      <c r="L132" s="374">
        <f>L130/Cover!$A$2</f>
        <v>2.7066674327864783E-2</v>
      </c>
      <c r="M132" s="374">
        <f>M130/Cover!$A$2</f>
        <v>3.8852305067788778E-2</v>
      </c>
      <c r="N132" s="374">
        <f>N130/Cover!$A$2</f>
        <v>3.8867002138856466E-2</v>
      </c>
      <c r="O132" s="374">
        <f>O130/Cover!$A$2</f>
        <v>4.1224970292321299E-2</v>
      </c>
      <c r="P132" s="374">
        <f>P130/Cover!$A$2</f>
        <v>3.1802119939790721E-2</v>
      </c>
      <c r="Q132" s="374">
        <f>Q130/Cover!$A$2</f>
        <v>3.7691401410122324E-2</v>
      </c>
      <c r="R132" s="374">
        <f>R130/Cover!$A$2</f>
        <v>4.2402826586387617E-2</v>
      </c>
      <c r="S132" s="374">
        <f>S130/Cover!$A$2</f>
        <v>4.7723741108438501E-2</v>
      </c>
      <c r="T132" s="374">
        <f>T130/Cover!$A$2</f>
        <v>5.6537102473498226E-2</v>
      </c>
      <c r="U132" s="374">
        <f>U130/Cover!$A$2</f>
        <v>6.5959952885747949E-2</v>
      </c>
      <c r="V132" s="374">
        <f>V130/V1/Cover!$A$2</f>
        <v>7.2438162544169613E-2</v>
      </c>
      <c r="W132" s="374">
        <f>W130/W1/Cover!$A$2</f>
        <v>7.361601884570082E-2</v>
      </c>
      <c r="X132" s="374">
        <f ca="1">X130/X1/Cover!$A$2</f>
        <v>8.4694337690141092E-2</v>
      </c>
      <c r="Y132" s="374">
        <f ca="1">Y130/Y1/Cover!$A$2</f>
        <v>9.3265882886251136E-2</v>
      </c>
      <c r="Z132" s="374">
        <f ca="1">Z130/Z1/Cover!$A$2</f>
        <v>9.7820632585977521E-2</v>
      </c>
      <c r="AA132" s="374">
        <f ca="1">AA130/AA1/Cover!$A$2</f>
        <v>0.10889742220260648</v>
      </c>
      <c r="AB132" s="374">
        <f ca="1">AB130/AB1/Cover!$A$2</f>
        <v>0.11917327310588917</v>
      </c>
      <c r="AC132" s="374">
        <f ca="1">AC130/AC1/Cover!$A$2</f>
        <v>0.12873483229478969</v>
      </c>
      <c r="AD132" s="374">
        <f ca="1">AD130/AD1/Cover!$A$2</f>
        <v>0.13770101587533876</v>
      </c>
      <c r="AE132" s="374">
        <f ca="1">AE130/AE1/Cover!$A$2</f>
        <v>0.14624997610986545</v>
      </c>
      <c r="AF132" s="374">
        <f ca="1">AF130/AF1/Cover!$A$2</f>
        <v>0.15435141126707325</v>
      </c>
      <c r="AG132" s="374">
        <f ca="1">AG130/AG1/Cover!$A$2</f>
        <v>0.16205367922399783</v>
      </c>
      <c r="AH132" s="494"/>
      <c r="AI132" s="494"/>
      <c r="AJ132" s="494"/>
      <c r="AK132" s="494"/>
    </row>
    <row r="133" spans="1:37" s="346" customFormat="1" x14ac:dyDescent="0.4">
      <c r="A133" s="372" t="s">
        <v>12</v>
      </c>
      <c r="B133" s="1683" t="s">
        <v>12</v>
      </c>
      <c r="C133" s="441"/>
      <c r="D133" s="441">
        <f>+D103+D90</f>
        <v>272.59699999999924</v>
      </c>
      <c r="E133" s="441">
        <f>+E103+E90</f>
        <v>532.13300000000004</v>
      </c>
      <c r="F133" s="441">
        <f>+F103+F90</f>
        <v>590.73000000000013</v>
      </c>
      <c r="G133" s="441">
        <f t="shared" ref="G133:AC133" si="317">G103+G90</f>
        <v>748.21600000000001</v>
      </c>
      <c r="H133" s="441">
        <f t="shared" si="317"/>
        <v>1349.0189999999993</v>
      </c>
      <c r="I133" s="441">
        <f t="shared" si="317"/>
        <v>2036.9909999999995</v>
      </c>
      <c r="J133" s="441">
        <f t="shared" si="317"/>
        <v>2780.7720000000008</v>
      </c>
      <c r="K133" s="441">
        <f t="shared" si="317"/>
        <v>3592.1980000000003</v>
      </c>
      <c r="L133" s="441">
        <f t="shared" si="317"/>
        <v>4503.4229999999961</v>
      </c>
      <c r="M133" s="441">
        <f t="shared" si="317"/>
        <v>5761.3499999999985</v>
      </c>
      <c r="N133" s="441">
        <f t="shared" si="317"/>
        <v>6699.8790000000045</v>
      </c>
      <c r="O133" s="441">
        <f t="shared" si="317"/>
        <v>7859.7199999999993</v>
      </c>
      <c r="P133" s="441">
        <f t="shared" si="317"/>
        <v>7987.2220000000034</v>
      </c>
      <c r="Q133" s="441">
        <f t="shared" si="317"/>
        <v>9563.4560000000019</v>
      </c>
      <c r="R133" s="441">
        <f t="shared" si="317"/>
        <v>10924.452999999998</v>
      </c>
      <c r="S133" s="441">
        <f t="shared" si="317"/>
        <v>12053.380000000001</v>
      </c>
      <c r="T133" s="441">
        <f t="shared" si="317"/>
        <v>13770.103999999994</v>
      </c>
      <c r="U133" s="441">
        <f t="shared" ref="U133:V133" si="318">U103+U90</f>
        <v>15307.856000000003</v>
      </c>
      <c r="V133" s="441">
        <f t="shared" si="318"/>
        <v>14787.550999999999</v>
      </c>
      <c r="W133" s="441">
        <f t="shared" ref="W133" si="319">W103+W90</f>
        <v>14437.139999999998</v>
      </c>
      <c r="X133" s="441">
        <f t="shared" ca="1" si="317"/>
        <v>16024.37044641974</v>
      </c>
      <c r="Y133" s="441">
        <f t="shared" ca="1" si="317"/>
        <v>17294.995390272961</v>
      </c>
      <c r="Z133" s="441">
        <f t="shared" ca="1" si="317"/>
        <v>18132.900872813694</v>
      </c>
      <c r="AA133" s="441">
        <f t="shared" ca="1" si="317"/>
        <v>19969.488647844424</v>
      </c>
      <c r="AB133" s="441">
        <f t="shared" ca="1" si="317"/>
        <v>21686.387056707546</v>
      </c>
      <c r="AC133" s="441">
        <f t="shared" ca="1" si="317"/>
        <v>23296.882242883403</v>
      </c>
      <c r="AD133" s="441">
        <f t="shared" ref="AD133:AF133" ca="1" si="320">AD103+AD90</f>
        <v>24819.189798244792</v>
      </c>
      <c r="AE133" s="441">
        <f t="shared" ca="1" si="320"/>
        <v>26280.573405696301</v>
      </c>
      <c r="AF133" s="441">
        <f t="shared" ca="1" si="320"/>
        <v>27676.461098790955</v>
      </c>
      <c r="AG133" s="441">
        <f t="shared" ref="AG133" ca="1" si="321">AG103+AG90</f>
        <v>29014.295549149225</v>
      </c>
    </row>
    <row r="134" spans="1:37" s="346" customFormat="1" x14ac:dyDescent="0.4">
      <c r="A134" s="372" t="s">
        <v>251</v>
      </c>
      <c r="B134" s="1683" t="s">
        <v>3076</v>
      </c>
      <c r="C134" s="374"/>
      <c r="D134" s="374">
        <f t="shared" ref="D134:AC134" si="322">D133/D4</f>
        <v>2.6479029368733309E-2</v>
      </c>
      <c r="E134" s="374">
        <f t="shared" si="322"/>
        <v>5.2332435217180895E-2</v>
      </c>
      <c r="F134" s="374">
        <f t="shared" si="322"/>
        <v>5.3598429601307646E-2</v>
      </c>
      <c r="G134" s="374">
        <f t="shared" si="322"/>
        <v>6.5968623870326912E-2</v>
      </c>
      <c r="H134" s="374">
        <f t="shared" si="322"/>
        <v>0.11257894706535683</v>
      </c>
      <c r="I134" s="374">
        <f t="shared" si="322"/>
        <v>0.12436365607808531</v>
      </c>
      <c r="J134" s="374">
        <f t="shared" si="322"/>
        <v>0.12691411395183902</v>
      </c>
      <c r="K134" s="374">
        <f t="shared" si="322"/>
        <v>0.13165169052416623</v>
      </c>
      <c r="L134" s="374">
        <f t="shared" si="322"/>
        <v>0.13076302480503887</v>
      </c>
      <c r="M134" s="374">
        <f t="shared" si="322"/>
        <v>0.15160698908653875</v>
      </c>
      <c r="N134" s="374">
        <f t="shared" si="322"/>
        <v>0.14499546264213176</v>
      </c>
      <c r="O134" s="374">
        <f t="shared" si="322"/>
        <v>0.15671633993934184</v>
      </c>
      <c r="P134" s="374">
        <f t="shared" si="322"/>
        <v>0.14358714179536364</v>
      </c>
      <c r="Q134" s="374">
        <f t="shared" si="322"/>
        <v>0.15507549755651395</v>
      </c>
      <c r="R134" s="374">
        <f t="shared" si="322"/>
        <v>0.1749087615008669</v>
      </c>
      <c r="S134" s="374">
        <f t="shared" si="322"/>
        <v>0.15591049258116851</v>
      </c>
      <c r="T134" s="374">
        <f t="shared" si="322"/>
        <v>0.13503376529592734</v>
      </c>
      <c r="U134" s="374">
        <f t="shared" si="322"/>
        <v>0.13459347468905369</v>
      </c>
      <c r="V134" s="374">
        <f t="shared" si="322"/>
        <v>0.14040235458897543</v>
      </c>
      <c r="W134" s="374">
        <f t="shared" ref="W134" si="323">W133/W4</f>
        <v>0.14372678536762618</v>
      </c>
      <c r="X134" s="374">
        <f t="shared" ca="1" si="322"/>
        <v>0.15473444658642696</v>
      </c>
      <c r="Y134" s="374">
        <f t="shared" ca="1" si="322"/>
        <v>0.15145163627393488</v>
      </c>
      <c r="Z134" s="374">
        <f t="shared" ca="1" si="322"/>
        <v>0.14755792112213775</v>
      </c>
      <c r="AA134" s="374">
        <f t="shared" ca="1" si="322"/>
        <v>0.14809858692964326</v>
      </c>
      <c r="AB134" s="374">
        <f t="shared" ca="1" si="322"/>
        <v>0.14843315941115465</v>
      </c>
      <c r="AC134" s="374">
        <f t="shared" ca="1" si="322"/>
        <v>0.14857098403159108</v>
      </c>
      <c r="AD134" s="374">
        <f t="shared" ref="AD134:AF134" ca="1" si="324">AD133/AD4</f>
        <v>0.14856442513450974</v>
      </c>
      <c r="AE134" s="374">
        <f t="shared" ca="1" si="324"/>
        <v>0.14851813031033481</v>
      </c>
      <c r="AF134" s="374">
        <f t="shared" ca="1" si="324"/>
        <v>0.14835537480827146</v>
      </c>
      <c r="AG134" s="374">
        <f t="shared" ref="AG134" ca="1" si="325">AG133/AG4</f>
        <v>0.14808476771581808</v>
      </c>
    </row>
    <row r="135" spans="1:37" s="346" customFormat="1" x14ac:dyDescent="0.4">
      <c r="A135" s="372" t="s">
        <v>128</v>
      </c>
      <c r="B135" s="1683" t="s">
        <v>128</v>
      </c>
      <c r="C135" s="441"/>
      <c r="D135" s="441">
        <f>D133+CAPEX!D43</f>
        <v>364.79899999999924</v>
      </c>
      <c r="E135" s="441">
        <f>E133+CAPEX!E43</f>
        <v>542.42400000000009</v>
      </c>
      <c r="F135" s="441">
        <f>F133+CAPEX!F43</f>
        <v>602.86200000000008</v>
      </c>
      <c r="G135" s="441">
        <f>G133+CAPEX!G43</f>
        <v>834.63499999999999</v>
      </c>
      <c r="H135" s="441">
        <f>H133+CAPEX!H43</f>
        <v>1426.7299999999993</v>
      </c>
      <c r="I135" s="441">
        <f>I133+CAPEX!I43</f>
        <v>2212.1749999999997</v>
      </c>
      <c r="J135" s="441">
        <f>J133+CAPEX!J43</f>
        <v>3050.9070000000011</v>
      </c>
      <c r="K135" s="441">
        <f>K133+CAPEX!K43</f>
        <v>3888.7770000000005</v>
      </c>
      <c r="L135" s="441">
        <f>L133+CAPEX!L43</f>
        <v>4817.7269999999962</v>
      </c>
      <c r="M135" s="441">
        <f>M133+CAPEX!M43</f>
        <v>6095.9379999999983</v>
      </c>
      <c r="N135" s="441">
        <f>N133+CAPEX!N43</f>
        <v>7053.9920000000047</v>
      </c>
      <c r="O135" s="441">
        <f>O133+CAPEX!O43</f>
        <v>8216.1419999999998</v>
      </c>
      <c r="P135" s="441">
        <f>P133+CAPEX!P43</f>
        <v>8361.859000000004</v>
      </c>
      <c r="Q135" s="441">
        <f>Q133+CAPEX!Q43</f>
        <v>10044.381000000001</v>
      </c>
      <c r="R135" s="441">
        <f>R133+CAPEX!R43</f>
        <v>11339.972999999998</v>
      </c>
      <c r="S135" s="441">
        <f>S133+CAPEX!S43</f>
        <v>12485.168000000001</v>
      </c>
      <c r="T135" s="441">
        <f>T133+CAPEX!T43</f>
        <v>14358.065999999993</v>
      </c>
      <c r="U135" s="441">
        <f>U133+CAPEX!U43</f>
        <v>16039.497000000003</v>
      </c>
      <c r="V135" s="441">
        <f>V133+CAPEX!V43</f>
        <v>15553.030999999999</v>
      </c>
      <c r="W135" s="441">
        <f>W133+CAPEX!W43</f>
        <v>15439.614999999998</v>
      </c>
      <c r="X135" s="441">
        <f ca="1">X133+CAPEX!X43</f>
        <v>16973.785140759293</v>
      </c>
      <c r="Y135" s="441">
        <f ca="1">Y133+CAPEX!Y43</f>
        <v>18299.586266002312</v>
      </c>
      <c r="Z135" s="441">
        <f ca="1">Z133+CAPEX!Z43</f>
        <v>19192.708138894086</v>
      </c>
      <c r="AA135" s="441">
        <f ca="1">AA133+CAPEX!AA43</f>
        <v>21089.521759681771</v>
      </c>
      <c r="AB135" s="441">
        <f ca="1">AB133+CAPEX!AB43</f>
        <v>22869.688227611277</v>
      </c>
      <c r="AC135" s="441">
        <f ca="1">AC133+CAPEX!AC43</f>
        <v>24547.0772304727</v>
      </c>
      <c r="AD135" s="441">
        <f ca="1">AD133+CAPEX!AD43</f>
        <v>26138.813956590195</v>
      </c>
      <c r="AE135" s="441">
        <f ca="1">AE133+CAPEX!AE43</f>
        <v>27671.982035867386</v>
      </c>
      <c r="AF135" s="441">
        <f ca="1">AF133+CAPEX!AF43</f>
        <v>29141.463947026314</v>
      </c>
      <c r="AG135" s="441">
        <f ca="1">AG133+CAPEX!AG43</f>
        <v>30554.39567878838</v>
      </c>
    </row>
    <row r="136" spans="1:37" s="346" customFormat="1" x14ac:dyDescent="0.4">
      <c r="A136" s="372" t="s">
        <v>83</v>
      </c>
      <c r="B136" s="1683" t="s">
        <v>3077</v>
      </c>
      <c r="C136" s="374"/>
      <c r="D136" s="374">
        <f t="shared" ref="D136:AC136" si="326">D135/D4</f>
        <v>3.5435178797582324E-2</v>
      </c>
      <c r="E136" s="374">
        <f t="shared" si="326"/>
        <v>5.3344500040862212E-2</v>
      </c>
      <c r="F136" s="374">
        <f t="shared" si="326"/>
        <v>5.4699196699513362E-2</v>
      </c>
      <c r="G136" s="374">
        <f t="shared" si="326"/>
        <v>7.3588004512079794E-2</v>
      </c>
      <c r="H136" s="374">
        <f t="shared" si="326"/>
        <v>0.11906412077706581</v>
      </c>
      <c r="I136" s="374">
        <f t="shared" si="326"/>
        <v>0.1350590998607939</v>
      </c>
      <c r="J136" s="374">
        <f t="shared" si="326"/>
        <v>0.13924304425334522</v>
      </c>
      <c r="K136" s="374">
        <f t="shared" si="326"/>
        <v>0.14252111551799082</v>
      </c>
      <c r="L136" s="374">
        <f t="shared" si="326"/>
        <v>0.13988926982983957</v>
      </c>
      <c r="M136" s="374">
        <f t="shared" si="326"/>
        <v>0.16041150179006949</v>
      </c>
      <c r="N136" s="374">
        <f t="shared" si="326"/>
        <v>0.15265900078402853</v>
      </c>
      <c r="O136" s="374">
        <f t="shared" si="326"/>
        <v>0.16382310090714478</v>
      </c>
      <c r="P136" s="374">
        <f t="shared" si="326"/>
        <v>0.15032203110240802</v>
      </c>
      <c r="Q136" s="374">
        <f t="shared" si="326"/>
        <v>0.16287390052531167</v>
      </c>
      <c r="R136" s="374">
        <f t="shared" si="326"/>
        <v>0.1815615512175548</v>
      </c>
      <c r="S136" s="374">
        <f t="shared" si="326"/>
        <v>0.16149567115934638</v>
      </c>
      <c r="T136" s="374">
        <f t="shared" si="326"/>
        <v>0.14079949681915505</v>
      </c>
      <c r="U136" s="374">
        <f t="shared" si="326"/>
        <v>0.1410263875943602</v>
      </c>
      <c r="V136" s="374">
        <f t="shared" si="326"/>
        <v>0.14767030547487728</v>
      </c>
      <c r="W136" s="374">
        <f t="shared" ref="W136" si="327">W135/W4</f>
        <v>0.15370677511361541</v>
      </c>
      <c r="X136" s="374">
        <f t="shared" ca="1" si="326"/>
        <v>0.16390218005844459</v>
      </c>
      <c r="Y136" s="374">
        <f t="shared" ca="1" si="326"/>
        <v>0.16024880149322401</v>
      </c>
      <c r="Z136" s="374">
        <f t="shared" ca="1" si="326"/>
        <v>0.15618218692879757</v>
      </c>
      <c r="AA136" s="374">
        <f t="shared" ca="1" si="326"/>
        <v>0.15640502502140818</v>
      </c>
      <c r="AB136" s="374">
        <f t="shared" ca="1" si="326"/>
        <v>0.15653230155377512</v>
      </c>
      <c r="AC136" s="374">
        <f t="shared" ca="1" si="326"/>
        <v>0.15654384055380852</v>
      </c>
      <c r="AD136" s="374">
        <f t="shared" ref="AD136:AF136" ca="1" si="328">AD135/AD4</f>
        <v>0.15646352281142345</v>
      </c>
      <c r="AE136" s="374">
        <f t="shared" ca="1" si="328"/>
        <v>0.15638133044149644</v>
      </c>
      <c r="AF136" s="374">
        <f t="shared" ca="1" si="328"/>
        <v>0.15620829523293647</v>
      </c>
      <c r="AG136" s="374">
        <f t="shared" ref="AG136" ca="1" si="329">AG135/AG4</f>
        <v>0.15594521601001776</v>
      </c>
    </row>
    <row r="137" spans="1:37" s="346" customFormat="1" x14ac:dyDescent="0.4">
      <c r="A137" s="372" t="s">
        <v>414</v>
      </c>
      <c r="B137" s="1683" t="s">
        <v>414</v>
      </c>
      <c r="C137" s="441"/>
      <c r="D137" s="441">
        <f>Cover!$A$2*PL!D1*BS!D89+BS!D101</f>
        <v>44490.296376489998</v>
      </c>
      <c r="E137" s="441">
        <f>Cover!$A$2*PL!E1*BS!E89+BS!E101</f>
        <v>40655.847596020001</v>
      </c>
      <c r="F137" s="441">
        <f>Cover!$A$2*PL!F1*BS!F89+BS!F101</f>
        <v>37704.359013380003</v>
      </c>
      <c r="G137" s="441">
        <f>Cover!$A$2*PL!G1*BS!G89+BS!G101</f>
        <v>35340.365409040001</v>
      </c>
      <c r="H137" s="441">
        <f>Cover!$A$2*PL!H1*BS!H89+BS!H101</f>
        <v>36825.225617720003</v>
      </c>
      <c r="I137" s="441">
        <f>Cover!$A$2*PL!I1*BS!I89+BS!I101</f>
        <v>37152.139975614096</v>
      </c>
      <c r="J137" s="441">
        <f>Cover!$A$2*PL!J1*BS!J89+BS!J101</f>
        <v>39722.569303553697</v>
      </c>
      <c r="K137" s="441">
        <f>Cover!$A$2*PL!K1*BS!K89+BS!K101</f>
        <v>44379.781790295339</v>
      </c>
      <c r="L137" s="441">
        <f>Cover!$A$2*PL!L1*BS!L89+BS!L101</f>
        <v>50641.964196632311</v>
      </c>
      <c r="M137" s="441">
        <f>Cover!$A$2*PL!M1*BS!M89+BS!M101</f>
        <v>47182.137418319064</v>
      </c>
      <c r="N137" s="441">
        <f>Cover!$A$2*PL!N1*BS!N89+BS!N101</f>
        <v>50086.349113698197</v>
      </c>
      <c r="O137" s="441">
        <f>Cover!$A$2*PL!O1*BS!O89+BS!O101</f>
        <v>53393.833469347497</v>
      </c>
      <c r="P137" s="441">
        <f>Cover!$A$2*PL!P1*BS!P89+BS!P101</f>
        <v>63408.31600991865</v>
      </c>
      <c r="Q137" s="441">
        <f>Cover!$A$2*PL!Q1*BS!Q89+BS!Q101</f>
        <v>64198.780551285905</v>
      </c>
      <c r="R137" s="441">
        <f>Cover!$A$2*PL!R1*BS!R89+BS!R101</f>
        <v>73744.111038331088</v>
      </c>
      <c r="S137" s="441">
        <f>Cover!$A$2*PL!S1*BS!S89+BS!S101</f>
        <v>84583.169580515707</v>
      </c>
      <c r="T137" s="441">
        <f>Cover!$A$2*PL!T1*BS!T89+BS!T101</f>
        <v>86214.075024674719</v>
      </c>
      <c r="U137" s="441">
        <f>Cover!$A$2*PL!U1*BS!U89+BS!U101</f>
        <v>89699.522594616807</v>
      </c>
      <c r="V137" s="441">
        <f>Cover!$A$2*PL!V1*BS!V89+BS!V101</f>
        <v>94445.66118810678</v>
      </c>
      <c r="W137" s="441">
        <f>Cover!$A$2*PL!W1*BS!W89+BS!W101</f>
        <v>97478.565765134001</v>
      </c>
      <c r="X137" s="441">
        <f ca="1">Cover!$A$2*PL!X1*BS!X89+BS!X101</f>
        <v>100676.90642541699</v>
      </c>
      <c r="Y137" s="441">
        <f ca="1">Cover!$A$2*PL!Y1*BS!Y89+BS!Y101</f>
        <v>105683.62978171537</v>
      </c>
      <c r="Z137" s="441">
        <f ca="1">Cover!$A$2*PL!Z1*BS!Z89+BS!Z101</f>
        <v>109800.04324737634</v>
      </c>
      <c r="AA137" s="441">
        <f ca="1">Cover!$A$2*PL!AA1*BS!AA89+BS!AA101</f>
        <v>117098.9193543279</v>
      </c>
      <c r="AB137" s="441">
        <f ca="1">Cover!$A$2*PL!AB1*BS!AB89+BS!AB101</f>
        <v>123612.52110553431</v>
      </c>
      <c r="AC137" s="441">
        <f ca="1">Cover!$A$2*PL!AC1*BS!AC89+BS!AC101</f>
        <v>129846.53883860749</v>
      </c>
      <c r="AD137" s="441">
        <f ca="1">Cover!$A$2*PL!AD1*BS!AD89+BS!AD101</f>
        <v>135530.66499056798</v>
      </c>
      <c r="AE137" s="441">
        <f ca="1">Cover!$A$2*PL!AE1*BS!AE89+BS!AE101</f>
        <v>139286.521307349</v>
      </c>
      <c r="AF137" s="441">
        <f ca="1">Cover!$A$2*PL!AF1*BS!AF89+BS!AF101</f>
        <v>142490.80589666244</v>
      </c>
      <c r="AG137" s="441">
        <f ca="1">Cover!$A$2*PL!AG1*BS!AG89+BS!AG101</f>
        <v>145217.17225715707</v>
      </c>
    </row>
    <row r="138" spans="1:37" s="346" customFormat="1" x14ac:dyDescent="0.4">
      <c r="A138" s="372" t="s">
        <v>84</v>
      </c>
      <c r="B138" s="1683" t="s">
        <v>84</v>
      </c>
      <c r="C138" s="496"/>
      <c r="D138" s="496">
        <f t="shared" ref="D138:AC138" si="330">D137/D135</f>
        <v>121.95838359340374</v>
      </c>
      <c r="E138" s="496">
        <f t="shared" si="330"/>
        <v>74.952154764575297</v>
      </c>
      <c r="F138" s="496">
        <f t="shared" si="330"/>
        <v>62.542271719531165</v>
      </c>
      <c r="G138" s="496">
        <f t="shared" si="330"/>
        <v>42.342299818531458</v>
      </c>
      <c r="H138" s="496">
        <f t="shared" si="330"/>
        <v>25.81092821887815</v>
      </c>
      <c r="I138" s="496">
        <f t="shared" si="330"/>
        <v>16.794394645818752</v>
      </c>
      <c r="J138" s="496">
        <f t="shared" si="330"/>
        <v>13.019921388476831</v>
      </c>
      <c r="K138" s="496">
        <f t="shared" si="330"/>
        <v>11.412272236308571</v>
      </c>
      <c r="L138" s="496">
        <f t="shared" si="330"/>
        <v>10.511588596994464</v>
      </c>
      <c r="M138" s="496">
        <f t="shared" si="330"/>
        <v>7.7399306584678316</v>
      </c>
      <c r="N138" s="496">
        <f t="shared" si="330"/>
        <v>7.1004261294453075</v>
      </c>
      <c r="O138" s="496">
        <f t="shared" si="330"/>
        <v>6.4986502751957671</v>
      </c>
      <c r="P138" s="496">
        <f t="shared" si="330"/>
        <v>7.5830405666872185</v>
      </c>
      <c r="Q138" s="496">
        <f t="shared" si="330"/>
        <v>6.3915118862263283</v>
      </c>
      <c r="R138" s="496">
        <f t="shared" si="330"/>
        <v>6.5030235114608388</v>
      </c>
      <c r="S138" s="496">
        <f t="shared" si="330"/>
        <v>6.7746921451530087</v>
      </c>
      <c r="T138" s="496">
        <f t="shared" si="330"/>
        <v>6.00457436431026</v>
      </c>
      <c r="U138" s="496">
        <f t="shared" ref="U138:V138" si="331">U137/U135</f>
        <v>5.5924149363671933</v>
      </c>
      <c r="V138" s="496">
        <f t="shared" si="331"/>
        <v>6.0724923127914288</v>
      </c>
      <c r="W138" s="496">
        <f t="shared" ref="W138" si="332">W137/W135</f>
        <v>6.3135360412247339</v>
      </c>
      <c r="X138" s="496">
        <f t="shared" ca="1" si="330"/>
        <v>5.9313173573560025</v>
      </c>
      <c r="Y138" s="496">
        <f t="shared" ca="1" si="330"/>
        <v>5.7751923046510925</v>
      </c>
      <c r="Z138" s="496">
        <f t="shared" ca="1" si="330"/>
        <v>5.7209249707114642</v>
      </c>
      <c r="AA138" s="496">
        <f t="shared" ca="1" si="330"/>
        <v>5.5524691687505978</v>
      </c>
      <c r="AB138" s="496">
        <f t="shared" ca="1" si="330"/>
        <v>5.4050811657455444</v>
      </c>
      <c r="AC138" s="496">
        <f t="shared" ca="1" si="330"/>
        <v>5.2896944764330724</v>
      </c>
      <c r="AD138" s="496">
        <f t="shared" ref="AD138:AF138" ca="1" si="333">AD137/AD135</f>
        <v>5.1850349910921487</v>
      </c>
      <c r="AE138" s="496">
        <f t="shared" ca="1" si="333"/>
        <v>5.0334855351817964</v>
      </c>
      <c r="AF138" s="496">
        <f t="shared" ca="1" si="333"/>
        <v>4.8896241505122688</v>
      </c>
      <c r="AG138" s="496">
        <f t="shared" ref="AG138" ca="1" si="334">AG137/AG135</f>
        <v>4.7527424133598704</v>
      </c>
    </row>
    <row r="139" spans="1:37" s="312" customFormat="1" x14ac:dyDescent="0.4">
      <c r="A139" s="372" t="s">
        <v>85</v>
      </c>
      <c r="B139" s="1683" t="s">
        <v>1</v>
      </c>
      <c r="C139" s="374"/>
      <c r="D139" s="374">
        <f t="shared" ref="D139:AC139" si="335">D112/D4</f>
        <v>2.1581909203710607E-2</v>
      </c>
      <c r="E139" s="374">
        <f t="shared" si="335"/>
        <v>3.9819061573685567E-2</v>
      </c>
      <c r="F139" s="374">
        <f t="shared" si="335"/>
        <v>4.4397334096696391E-2</v>
      </c>
      <c r="G139" s="374">
        <f t="shared" si="335"/>
        <v>5.400556409902383E-2</v>
      </c>
      <c r="H139" s="374">
        <f t="shared" si="335"/>
        <v>8.6479942911844701E-2</v>
      </c>
      <c r="I139" s="374">
        <f t="shared" si="335"/>
        <v>9.2031038424021591E-2</v>
      </c>
      <c r="J139" s="374">
        <f t="shared" si="335"/>
        <v>0.13423835703716827</v>
      </c>
      <c r="K139" s="374">
        <f t="shared" si="335"/>
        <v>0.10076923302457487</v>
      </c>
      <c r="L139" s="374">
        <f t="shared" si="335"/>
        <v>0.100390611672763</v>
      </c>
      <c r="M139" s="374">
        <f t="shared" si="335"/>
        <v>0.11905007005443623</v>
      </c>
      <c r="N139" s="374">
        <f t="shared" si="335"/>
        <v>0.11102234727741658</v>
      </c>
      <c r="O139" s="374">
        <f t="shared" si="335"/>
        <v>0.10946789038972395</v>
      </c>
      <c r="P139" s="374">
        <f t="shared" si="335"/>
        <v>8.0899640572920373E-2</v>
      </c>
      <c r="Q139" s="374">
        <f t="shared" si="335"/>
        <v>8.7777464964224422E-2</v>
      </c>
      <c r="R139" s="374">
        <f t="shared" si="335"/>
        <v>9.6310594851014203E-2</v>
      </c>
      <c r="S139" s="374">
        <f t="shared" si="335"/>
        <v>8.7969382436704449E-2</v>
      </c>
      <c r="T139" s="374">
        <f t="shared" si="335"/>
        <v>7.8027509906446385E-2</v>
      </c>
      <c r="U139" s="374">
        <f t="shared" si="335"/>
        <v>8.0574357294506113E-2</v>
      </c>
      <c r="V139" s="374">
        <f t="shared" si="335"/>
        <v>8.1324665607844279E-2</v>
      </c>
      <c r="W139" s="374">
        <f t="shared" ref="W139" si="336">W112/W4</f>
        <v>8.5500968157812204E-2</v>
      </c>
      <c r="X139" s="374">
        <f t="shared" ca="1" si="335"/>
        <v>9.3293769101626706E-2</v>
      </c>
      <c r="Y139" s="374">
        <f t="shared" ca="1" si="335"/>
        <v>9.1902138563272673E-2</v>
      </c>
      <c r="Z139" s="374">
        <f t="shared" ca="1" si="335"/>
        <v>8.9572562802249317E-2</v>
      </c>
      <c r="AA139" s="374">
        <f t="shared" ca="1" si="335"/>
        <v>9.0876347280517814E-2</v>
      </c>
      <c r="AB139" s="374">
        <f t="shared" ca="1" si="335"/>
        <v>9.1785036894090413E-2</v>
      </c>
      <c r="AC139" s="374">
        <f t="shared" ca="1" si="335"/>
        <v>9.2380766111261448E-2</v>
      </c>
      <c r="AD139" s="374">
        <f t="shared" ref="AD139:AF139" ca="1" si="337">AD112/AD4</f>
        <v>9.2749945567510303E-2</v>
      </c>
      <c r="AE139" s="374">
        <f t="shared" ca="1" si="337"/>
        <v>9.3001452830005063E-2</v>
      </c>
      <c r="AF139" s="374">
        <f t="shared" ca="1" si="337"/>
        <v>9.3100631092932207E-2</v>
      </c>
      <c r="AG139" s="374">
        <f t="shared" ref="AG139" ca="1" si="338">AG112/AG4</f>
        <v>9.3069321119290616E-2</v>
      </c>
      <c r="AH139" s="346"/>
      <c r="AI139" s="346"/>
      <c r="AJ139" s="346"/>
      <c r="AK139" s="346"/>
    </row>
    <row r="140" spans="1:37" s="312" customFormat="1" x14ac:dyDescent="0.4">
      <c r="A140" s="372" t="s">
        <v>86</v>
      </c>
      <c r="B140" s="1683" t="s">
        <v>86</v>
      </c>
      <c r="C140" s="374"/>
      <c r="D140" s="374">
        <f>D112/AVERAGE(BS!C77:D77)</f>
        <v>0.24659393664952384</v>
      </c>
      <c r="E140" s="374">
        <f>E112/AVERAGE(BS!D77:E77)</f>
        <v>0.25872716049540495</v>
      </c>
      <c r="F140" s="374">
        <f>F112/AVERAGE(BS!E77:F77)</f>
        <v>0.20915891206127885</v>
      </c>
      <c r="G140" s="374">
        <f>G112/AVERAGE(BS!F77:G77)</f>
        <v>0.17941637415955011</v>
      </c>
      <c r="H140" s="374">
        <f>H112/AVERAGE(BS!G77:H77)</f>
        <v>0.2322391439397809</v>
      </c>
      <c r="I140" s="374">
        <f>I112/AVERAGE(BS!H77:I77)</f>
        <v>0.21366777506870749</v>
      </c>
      <c r="J140" s="374">
        <f>J112/AVERAGE(BS!I77:J77)</f>
        <v>0.25575899940939595</v>
      </c>
      <c r="K140" s="374">
        <f>K112/AVERAGE(BS!J77:K77)</f>
        <v>0.18676819911790263</v>
      </c>
      <c r="L140" s="374">
        <f>L112/AVERAGE(BS!K77:L77)</f>
        <v>0.19334727147603031</v>
      </c>
      <c r="M140" s="374">
        <f>M112/AVERAGE(BS!L77:M77)</f>
        <v>0.21035279840705426</v>
      </c>
      <c r="N140" s="374">
        <f>N112/AVERAGE(BS!M77:N77)</f>
        <v>0.21097269250660977</v>
      </c>
      <c r="O140" s="374">
        <f>O112/AVERAGE(BS!N77:O77)</f>
        <v>0.17281939962245094</v>
      </c>
      <c r="P140" s="374">
        <f>P112/AVERAGE(BS!O77:P77)</f>
        <v>0.1175863754900464</v>
      </c>
      <c r="Q140" s="374">
        <f>Q112/AVERAGE(BS!P77:Q77)</f>
        <v>0.13431854962184941</v>
      </c>
      <c r="R140" s="374">
        <f>R112/AVERAGE(BS!Q77:R77)</f>
        <v>0.13185532302994332</v>
      </c>
      <c r="S140" s="374">
        <f>S112/AVERAGE(BS!R77:S77)</f>
        <v>0.12887782699969158</v>
      </c>
      <c r="T140" s="374">
        <f>T112/AVERAGE(BS!S77:T77)</f>
        <v>0.13930553053675757</v>
      </c>
      <c r="U140" s="374">
        <f>U112/AVERAGE(BS!T77:U77)</f>
        <v>0.15335571070668294</v>
      </c>
      <c r="V140" s="374">
        <f>V112/AVERAGE(BS!U77:V77)</f>
        <v>0.13862137893762153</v>
      </c>
      <c r="W140" s="374">
        <f>W112/AVERAGE(BS!V77:W77)</f>
        <v>0.12987419375231418</v>
      </c>
      <c r="X140" s="374">
        <f ca="1">X112/AVERAGE(BS!W77:X77)</f>
        <v>0.13100226644428831</v>
      </c>
      <c r="Y140" s="374">
        <f ca="1">Y112/AVERAGE(BS!X77:Y77)</f>
        <v>0.13011735433751684</v>
      </c>
      <c r="Z140" s="374">
        <f ca="1">Z112/AVERAGE(BS!Y77:Z77)</f>
        <v>0.12525388731245776</v>
      </c>
      <c r="AA140" s="374">
        <f ca="1">AA112/AVERAGE(BS!Z77:AA77)</f>
        <v>0.12797945255001247</v>
      </c>
      <c r="AB140" s="374">
        <f ca="1">AB112/AVERAGE(BS!AA77:AB77)</f>
        <v>0.12831475071490914</v>
      </c>
      <c r="AC140" s="374">
        <f ca="1">AC112/AVERAGE(BS!AB77:AC77)</f>
        <v>0.127107968249628</v>
      </c>
      <c r="AD140" s="374">
        <f ca="1">AD112/AVERAGE(BS!AC77:AD77)</f>
        <v>0.12488380646302229</v>
      </c>
      <c r="AE140" s="374">
        <f ca="1">AE112/AVERAGE(BS!AD77:AE77)</f>
        <v>0.1220802478280828</v>
      </c>
      <c r="AF140" s="374">
        <f ca="1">AF112/AVERAGE(BS!AE77:AF77)</f>
        <v>0.11886062930848275</v>
      </c>
      <c r="AG140" s="374">
        <f ca="1">AG112/AVERAGE(BS!AF77:AG77)</f>
        <v>0.11540732330385529</v>
      </c>
    </row>
    <row r="141" spans="1:37" s="312" customFormat="1" x14ac:dyDescent="0.4">
      <c r="A141" s="372" t="s">
        <v>87</v>
      </c>
      <c r="B141" s="1683" t="s">
        <v>87</v>
      </c>
      <c r="C141" s="374"/>
      <c r="D141" s="374">
        <f>D112/BS!D84</f>
        <v>4.1082886167887515E-2</v>
      </c>
      <c r="E141" s="374">
        <f>E112/BS!E84</f>
        <v>5.3222823192932985E-2</v>
      </c>
      <c r="F141" s="374">
        <f>F112/BS!F84</f>
        <v>5.4467865227372715E-2</v>
      </c>
      <c r="G141" s="374">
        <f>G112/BS!G84</f>
        <v>4.6546740973542888E-2</v>
      </c>
      <c r="H141" s="374">
        <f>H112/BS!H84</f>
        <v>5.5476984245015688E-2</v>
      </c>
      <c r="I141" s="374">
        <f>I112/BS!I84</f>
        <v>5.6387120048431244E-2</v>
      </c>
      <c r="J141" s="374">
        <f>J112/BS!J84</f>
        <v>7.903870160787442E-2</v>
      </c>
      <c r="K141" s="374">
        <f>K112/BS!K84</f>
        <v>5.2421615409560418E-2</v>
      </c>
      <c r="L141" s="374">
        <f>L112/BS!L84</f>
        <v>5.1929353753573118E-2</v>
      </c>
      <c r="M141" s="374">
        <f>M112/BS!M84</f>
        <v>6.1886081757800276E-2</v>
      </c>
      <c r="N141" s="374">
        <f>N112/BS!N84</f>
        <v>5.9531175396604012E-2</v>
      </c>
      <c r="O141" s="374">
        <f>O112/BS!O84</f>
        <v>4.6322738772948541E-2</v>
      </c>
      <c r="P141" s="374">
        <f>P112/BS!P84</f>
        <v>3.3059644962403656E-2</v>
      </c>
      <c r="Q141" s="374">
        <f>Q112/BS!Q84</f>
        <v>3.3534116691503864E-2</v>
      </c>
      <c r="R141" s="374">
        <f>R112/BS!R84</f>
        <v>3.2200235074636027E-2</v>
      </c>
      <c r="S141" s="374">
        <f>S112/BS!S84</f>
        <v>3.1013962801963706E-2</v>
      </c>
      <c r="T141" s="374">
        <f>T112/BS!T84</f>
        <v>3.4768938233808007E-2</v>
      </c>
      <c r="U141" s="374">
        <f>U112/BS!U84</f>
        <v>3.676283855298023E-2</v>
      </c>
      <c r="V141" s="374">
        <f>V112/BS!V84</f>
        <v>3.2513664834277693E-2</v>
      </c>
      <c r="W141" s="374">
        <f>W112/BS!W84</f>
        <v>3.0597687151046569E-2</v>
      </c>
      <c r="X141" s="374">
        <f ca="1">X112/BS!X84</f>
        <v>3.309679197266386E-2</v>
      </c>
      <c r="Y141" s="374">
        <f ca="1">Y112/BS!Y84</f>
        <v>3.3413708492579963E-2</v>
      </c>
      <c r="Z141" s="374">
        <f ca="1">Z112/BS!Z84</f>
        <v>3.2920400458087508E-2</v>
      </c>
      <c r="AA141" s="374">
        <f ca="1">AA112/BS!AA84</f>
        <v>3.4208601916667601E-2</v>
      </c>
      <c r="AB141" s="374">
        <f ca="1">AB112/BS!AB84</f>
        <v>3.512243360875595E-2</v>
      </c>
      <c r="AC141" s="374">
        <f ca="1">AC112/BS!AC84</f>
        <v>3.5741277018705546E-2</v>
      </c>
      <c r="AD141" s="374">
        <f ca="1">AD112/BS!AD84</f>
        <v>3.6137013975227963E-2</v>
      </c>
      <c r="AE141" s="374">
        <f ca="1">AE112/BS!AE84</f>
        <v>3.6381657340805638E-2</v>
      </c>
      <c r="AF141" s="374">
        <f ca="1">AF112/BS!AF84</f>
        <v>3.648601732289132E-2</v>
      </c>
      <c r="AG141" s="374">
        <f ca="1">AG112/BS!AG84</f>
        <v>3.6477450630572568E-2</v>
      </c>
    </row>
    <row r="142" spans="1:37" s="312" customFormat="1" x14ac:dyDescent="0.4">
      <c r="A142" s="372"/>
      <c r="B142" s="1683" t="s">
        <v>2681</v>
      </c>
      <c r="C142" s="374"/>
      <c r="D142" s="378">
        <f>365*AVERAGE(BS!C43:D43)/PL!D4</f>
        <v>191.74399839297917</v>
      </c>
      <c r="E142" s="378">
        <f>365*AVERAGE(BS!D43:E43)/PL!E4</f>
        <v>233.60351994198453</v>
      </c>
      <c r="F142" s="378">
        <f>365*AVERAGE(BS!E43:F43)/PL!F4</f>
        <v>274.72801403269369</v>
      </c>
      <c r="G142" s="378">
        <f>365*AVERAGE(BS!F43:G43)/PL!G4</f>
        <v>356.29737767543253</v>
      </c>
      <c r="H142" s="378">
        <f>365*AVERAGE(BS!G43:H43)/PL!H4</f>
        <v>484.90883194853723</v>
      </c>
      <c r="I142" s="378">
        <f>365*AVERAGE(BS!H43:I43)/PL!I4</f>
        <v>505.99157040244245</v>
      </c>
      <c r="J142" s="378">
        <f>365*AVERAGE(BS!I43:J43)/PL!J4</f>
        <v>532.6235662230165</v>
      </c>
      <c r="K142" s="378">
        <f>365*AVERAGE(BS!J43:K43)/PL!K4</f>
        <v>599.71447478561959</v>
      </c>
      <c r="L142" s="378">
        <f>365*AVERAGE(BS!K43:L43)/PL!L4</f>
        <v>630.75497323936202</v>
      </c>
      <c r="M142" s="378">
        <f>365*AVERAGE(BS!L43:M43)/PL!M4</f>
        <v>670.81383995358544</v>
      </c>
      <c r="N142" s="378">
        <f>365*AVERAGE(BS!M43:N43)/PL!N4</f>
        <v>629.08247616383039</v>
      </c>
      <c r="O142" s="378">
        <f>365*AVERAGE(BS!N43:O43)/PL!O4</f>
        <v>744.85625160161442</v>
      </c>
      <c r="P142" s="378">
        <f>365*AVERAGE(BS!O43:P43)/PL!P4</f>
        <v>835.42969940983323</v>
      </c>
      <c r="Q142" s="378">
        <f>365*AVERAGE(BS!P43:Q43)/PL!Q4</f>
        <v>880.53230803313102</v>
      </c>
      <c r="R142" s="378">
        <f>365*AVERAGE(BS!Q43:R43)/PL!R4</f>
        <v>1017.5304471360912</v>
      </c>
      <c r="S142" s="378">
        <f>365*AVERAGE(BS!R43:S43)/PL!S$4</f>
        <v>958.64495054909992</v>
      </c>
      <c r="T142" s="378">
        <f>365*AVERAGE(BS!S43:T43)/PL!T$4</f>
        <v>802.00385951436363</v>
      </c>
      <c r="U142" s="378">
        <f>365*AVERAGE(BS!T43:U43)/PL!U$4</f>
        <v>767.20917739005654</v>
      </c>
      <c r="V142" s="378">
        <f>365*AVERAGE(BS!U43:V43)/PL!V$4</f>
        <v>888.41312690883035</v>
      </c>
      <c r="W142" s="378">
        <f>365*AVERAGE(BS!V43:W43)/PL!W$4</f>
        <v>988.5982912636822</v>
      </c>
      <c r="X142" s="374"/>
      <c r="Y142" s="374"/>
      <c r="Z142" s="374"/>
      <c r="AA142" s="374"/>
      <c r="AB142" s="374"/>
      <c r="AC142" s="374"/>
      <c r="AD142" s="374"/>
      <c r="AE142" s="374"/>
      <c r="AF142" s="374"/>
      <c r="AG142" s="374"/>
    </row>
    <row r="143" spans="1:37" s="312" customFormat="1" x14ac:dyDescent="0.4">
      <c r="A143" s="372"/>
      <c r="B143" s="1683" t="s">
        <v>2682</v>
      </c>
      <c r="C143" s="374"/>
      <c r="D143" s="378">
        <f>365*AVERAGE(BS!C41:D41)/PL!D$4</f>
        <v>185.08560513795962</v>
      </c>
      <c r="E143" s="378">
        <f>365*AVERAGE(BS!D41:E41)/PL!E$4</f>
        <v>206.27025149973142</v>
      </c>
      <c r="F143" s="378">
        <f>365*AVERAGE(BS!E41:F41)/PL!F$4</f>
        <v>218.36749125905456</v>
      </c>
      <c r="G143" s="378">
        <f>365*AVERAGE(BS!F41:G41)/PL!G$4</f>
        <v>279.52970940393402</v>
      </c>
      <c r="H143" s="378">
        <f>365*AVERAGE(BS!G41:H41)/PL!H$4</f>
        <v>295.06525627289153</v>
      </c>
      <c r="I143" s="378">
        <f>365*AVERAGE(BS!H41:I41)/PL!I$4</f>
        <v>259.87303769981531</v>
      </c>
      <c r="J143" s="378">
        <f>365*AVERAGE(BS!I41:J41)/PL!J$4</f>
        <v>290.23070288617504</v>
      </c>
      <c r="K143" s="378">
        <f>365*AVERAGE(BS!J41:K41)/PL!K$4</f>
        <v>331.02254951509241</v>
      </c>
      <c r="L143" s="378">
        <f>365*AVERAGE(BS!K41:L41)/PL!L$4</f>
        <v>335.87504636744205</v>
      </c>
      <c r="M143" s="378">
        <f>365*AVERAGE(BS!L41:M41)/PL!M$4</f>
        <v>320.55055413580118</v>
      </c>
      <c r="N143" s="378">
        <f>365*AVERAGE(BS!M41:N41)/PL!N$4</f>
        <v>286.58974711425691</v>
      </c>
      <c r="O143" s="378">
        <f>365*AVERAGE(BS!N41:O41)/PL!O$4</f>
        <v>347.95651864899173</v>
      </c>
      <c r="P143" s="378">
        <f>365*AVERAGE(BS!O41:P41)/PL!P$4</f>
        <v>379.72333489027068</v>
      </c>
      <c r="Q143" s="378">
        <f>365*AVERAGE(BS!P41:Q41)/PL!Q$4</f>
        <v>401.76343052253333</v>
      </c>
      <c r="R143" s="378">
        <f>365*AVERAGE(BS!Q41:R41)/PL!R$4</f>
        <v>477.76049769694077</v>
      </c>
      <c r="S143" s="378">
        <f>365*AVERAGE(BS!R41:S41)/PL!S$4</f>
        <v>476.76372798860439</v>
      </c>
      <c r="T143" s="378">
        <f>365*AVERAGE(BS!S41:T41)/PL!T$4</f>
        <v>433.34087972215627</v>
      </c>
      <c r="U143" s="378">
        <f>365*AVERAGE(BS!T41:U41)/PL!U$4</f>
        <v>443.04173851229535</v>
      </c>
      <c r="V143" s="378">
        <f>365*AVERAGE(BS!U41:V41)/PL!V$4</f>
        <v>552.02930397577938</v>
      </c>
      <c r="W143" s="378">
        <f>365*AVERAGE(BS!V41:W41)/PL!W$4</f>
        <v>642.66748776736324</v>
      </c>
      <c r="X143" s="374"/>
      <c r="Y143" s="374"/>
      <c r="Z143" s="374"/>
      <c r="AA143" s="374"/>
      <c r="AB143" s="374"/>
      <c r="AC143" s="374"/>
      <c r="AD143" s="374"/>
      <c r="AE143" s="374"/>
      <c r="AF143" s="374"/>
      <c r="AG143" s="374"/>
    </row>
    <row r="144" spans="1:37" s="312" customFormat="1" x14ac:dyDescent="0.4">
      <c r="A144" s="372"/>
      <c r="B144" s="1683" t="s">
        <v>2683</v>
      </c>
      <c r="C144" s="374"/>
      <c r="D144" s="378">
        <f>365*AVERAGE(BS!C24:D24)/PL!D$4</f>
        <v>6.6583932550195613</v>
      </c>
      <c r="E144" s="378">
        <f>365*AVERAGE(BS!D24:E24)/PL!E$4</f>
        <v>27.333268442253154</v>
      </c>
      <c r="F144" s="378">
        <f>365*AVERAGE(BS!E24:F24)/PL!F$4</f>
        <v>56.360522773639119</v>
      </c>
      <c r="G144" s="378">
        <f>365*AVERAGE(BS!F24:G24)/PL!G$4</f>
        <v>76.76766827149855</v>
      </c>
      <c r="H144" s="378">
        <f>365*AVERAGE(BS!G24:H24)/PL!H$4</f>
        <v>189.84357567564567</v>
      </c>
      <c r="I144" s="378">
        <f>365*AVERAGE(BS!H24:I24)/PL!I$4</f>
        <v>246.11853270262711</v>
      </c>
      <c r="J144" s="378">
        <f>365*AVERAGE(BS!I24:J24)/PL!J$4</f>
        <v>242.39286333684154</v>
      </c>
      <c r="K144" s="378">
        <f>365*AVERAGE(BS!J24:K24)/PL!K$4</f>
        <v>268.69192527052712</v>
      </c>
      <c r="L144" s="378">
        <f>365*AVERAGE(BS!K24:L24)/PL!L$4</f>
        <v>294.87992687191996</v>
      </c>
      <c r="M144" s="378">
        <f>365*AVERAGE(BS!L24:M24)/PL!M$4</f>
        <v>350.26328581778438</v>
      </c>
      <c r="N144" s="378">
        <f>365*AVERAGE(BS!M24:N24)/PL!N$4</f>
        <v>342.49272904957348</v>
      </c>
      <c r="O144" s="378">
        <f>365*AVERAGE(BS!N24:O24)/PL!O$4</f>
        <v>396.89973295262268</v>
      </c>
      <c r="P144" s="378">
        <f>365*AVERAGE(BS!O24:P24)/PL!P$4</f>
        <v>455.70636451956256</v>
      </c>
      <c r="Q144" s="378">
        <f>365*AVERAGE(BS!P24:Q24)/PL!Q$4</f>
        <v>478.76887751059763</v>
      </c>
      <c r="R144" s="378">
        <f>365*AVERAGE(BS!Q24:R24)/PL!R$4</f>
        <v>539.76994943915042</v>
      </c>
      <c r="S144" s="378">
        <f>365*AVERAGE(BS!R24:S24)/PL!S$4</f>
        <v>481.88122256049553</v>
      </c>
      <c r="T144" s="378">
        <f>365*AVERAGE(BS!S24:T24)/PL!T$4</f>
        <v>368.66297979220747</v>
      </c>
      <c r="U144" s="378">
        <f>365*AVERAGE(BS!T24:U24)/PL!U$4</f>
        <v>324.16743887776124</v>
      </c>
      <c r="V144" s="378">
        <f>365*AVERAGE(BS!U24:V24)/PL!V$4</f>
        <v>336.38382293305119</v>
      </c>
      <c r="W144" s="378">
        <f>365*AVERAGE(BS!V24:W24)/PL!W$4</f>
        <v>345.93080349631896</v>
      </c>
      <c r="X144" s="374"/>
      <c r="Y144" s="374"/>
      <c r="Z144" s="374"/>
      <c r="AA144" s="374"/>
      <c r="AB144" s="374"/>
      <c r="AC144" s="374"/>
      <c r="AD144" s="374"/>
      <c r="AE144" s="374"/>
      <c r="AF144" s="374"/>
      <c r="AG144" s="374"/>
    </row>
    <row r="145" spans="1:246" s="312" customFormat="1" x14ac:dyDescent="0.4">
      <c r="A145" s="388" t="s">
        <v>2262</v>
      </c>
      <c r="B145" s="1715" t="s">
        <v>3078</v>
      </c>
      <c r="C145" s="497"/>
      <c r="D145" s="497">
        <f>D133*(1-D106)/(BS!E82+BS!E66+BS!E50)</f>
        <v>0.10112233009348567</v>
      </c>
      <c r="E145" s="497">
        <f>E133*(1-E106)/(BS!F82+BS!F66+BS!F50+BS!F52)</f>
        <v>0.12624895775788361</v>
      </c>
      <c r="F145" s="497">
        <f>F133*(1-F106)/(BS!G82+BS!G66+BS!G50+BS!G52)</f>
        <v>6.841021880247769E-2</v>
      </c>
      <c r="G145" s="497">
        <f>G133*(1-G106)/(BS!H82+BS!H66+BS!H50+BS!H52)</f>
        <v>6.3633727668119769E-2</v>
      </c>
      <c r="H145" s="497">
        <f>H133*(1-H106)/(BS!I82+BS!I66+BS!I50+BS!I52)</f>
        <v>7.6492284355100248E-2</v>
      </c>
      <c r="I145" s="497">
        <f>I133*(1-I106)/(BS!J82+BS!J66+BS!J50+BS!J52)</f>
        <v>6.979466611131907E-2</v>
      </c>
      <c r="J145" s="497">
        <f>J133*(1-J106)/(BS!K82+BS!K66+BS!K50+BS!K52)</f>
        <v>0.12869728778579934</v>
      </c>
      <c r="K145" s="497">
        <f>K133*(1-K106)/(BS!L82+BS!L66+BS!L50+BS!L52)</f>
        <v>9.7677517761430285E-2</v>
      </c>
      <c r="L145" s="497">
        <f>L133*(1-L106)/(BS!M82+BS!M66+BS!M50+BS!M52)</f>
        <v>0.10138630111261275</v>
      </c>
      <c r="M145" s="497">
        <f>M133*(1-M106)/(BS!N82+BS!N66+BS!N50+BS!N52)</f>
        <v>0.11683398044685019</v>
      </c>
      <c r="N145" s="497">
        <f>N133*(1-N106)/(BS!O82+BS!O66+BS!O50+BS!O52)</f>
        <v>9.0537915013003081E-2</v>
      </c>
      <c r="O145" s="497">
        <f>O133*(1-O106)/(BS!P82+BS!P66+BS!P50+BS!P52)</f>
        <v>8.2228099447379327E-2</v>
      </c>
      <c r="P145" s="497">
        <f>P133*(1-P106)/(BS!Q82+BS!Q66+BS!Q50+BS!Q52)</f>
        <v>6.3058306207220666E-2</v>
      </c>
      <c r="Q145" s="497">
        <f>Q133*(1-Q106)/(BS!R82+BS!R66+BS!R50+BS!R52)</f>
        <v>7.067601946964662E-2</v>
      </c>
      <c r="R145" s="497">
        <f>R133*(1-R106)/(BS!S82+BS!S66+BS!S50+BS!S52)</f>
        <v>6.7586444314958277E-2</v>
      </c>
      <c r="S145" s="497">
        <f>S133*(1-S106)/(BS!T82+BS!T66+BS!T50+BS!T52)</f>
        <v>7.3630370492978811E-2</v>
      </c>
      <c r="T145" s="497">
        <f>T133*(1-T106)/(BS!U82+BS!U66+BS!U50+BS!U52)</f>
        <v>7.6141927978906218E-2</v>
      </c>
      <c r="U145" s="497">
        <f>U133*(1-U106)/(BS!V82+BS!V66+BS!V50+BS!V52)</f>
        <v>8.8281945396430833E-2</v>
      </c>
      <c r="V145" s="497">
        <f>V133*(1-V106)/(BS!W82+BS!W66+BS!W50+BS!W52)</f>
        <v>7.5500017348465384E-2</v>
      </c>
      <c r="W145" s="497">
        <f ca="1">W133*(1-W106)/(BS!X82+BS!X66+BS!X50+BS!X52)</f>
        <v>6.6401882986560759E-2</v>
      </c>
      <c r="X145" s="497">
        <f ca="1">X133*(1-X106)/(BS!Y82+BS!Y66+BS!Y50+BS!Y52)</f>
        <v>6.8826972153157723E-2</v>
      </c>
      <c r="Y145" s="497">
        <f ca="1">Y133*(1-Y106)/(BS!Z82+BS!Z66+BS!Z50+BS!Z52)</f>
        <v>6.95576810934284E-2</v>
      </c>
      <c r="Z145" s="497">
        <f ca="1">Z133*(1-Z106)/(BS!AA82+BS!AA66+BS!AA50+BS!AA52)</f>
        <v>6.8160503457957017E-2</v>
      </c>
      <c r="AA145" s="497">
        <f ca="1">AA133*(1-AA106)/(BS!AB82+BS!AB66+BS!AB50+BS!AB52)</f>
        <v>7.0184280631604562E-2</v>
      </c>
      <c r="AB145" s="497">
        <f ca="1">AB133*(1-AB106)/(BS!AD82+BS!AD66+BS!AD50+BS!AD52)</f>
        <v>6.6809775725474113E-2</v>
      </c>
      <c r="AC145" s="497">
        <f ca="1">AC133*(1-AC106)/(BS!AE82+BS!AE66+BS!AE50+BS!AE52)</f>
        <v>6.7314441183808638E-2</v>
      </c>
      <c r="AD145" s="497">
        <f ca="1">AD133*(1-AD106)/(BS!AF82+BS!AF66+BS!AF50+BS!AF52)</f>
        <v>6.7352161048615147E-2</v>
      </c>
      <c r="AE145" s="497">
        <f ca="1">AE133*(1-AE106)/(BS!AG82+BS!AG66+BS!AG50+BS!AG52)</f>
        <v>6.7078357314078574E-2</v>
      </c>
      <c r="AF145" s="497" t="e">
        <f ca="1">AF133*(1-AF106)/(BS!AH82+BS!AH66+BS!AH50+BS!AH52)</f>
        <v>#DIV/0!</v>
      </c>
      <c r="AG145" s="497" t="e">
        <f ca="1">AG133*(1-AG106)/(BS!AI82+BS!AI66+BS!AI50+BS!AI52)</f>
        <v>#DIV/0!</v>
      </c>
    </row>
    <row r="146" spans="1:246" s="323" customFormat="1" x14ac:dyDescent="0.4">
      <c r="B146" s="1678"/>
      <c r="C146" s="498"/>
      <c r="D146" s="349"/>
      <c r="E146" s="349"/>
      <c r="F146" s="349"/>
      <c r="G146" s="349"/>
      <c r="H146" s="349"/>
      <c r="I146" s="349"/>
      <c r="J146" s="349"/>
      <c r="K146" s="349"/>
      <c r="L146" s="349"/>
      <c r="M146" s="349"/>
      <c r="N146" s="499"/>
      <c r="O146" s="499"/>
      <c r="P146" s="499"/>
      <c r="Q146" s="499"/>
      <c r="R146" s="499"/>
      <c r="S146" s="499"/>
      <c r="T146" s="499"/>
      <c r="U146" s="499"/>
      <c r="V146" s="499"/>
      <c r="W146" s="499"/>
      <c r="X146" s="499"/>
      <c r="AH146" s="312"/>
      <c r="AI146" s="312"/>
      <c r="AJ146" s="312"/>
      <c r="AK146" s="312"/>
    </row>
    <row r="147" spans="1:246" x14ac:dyDescent="0.4">
      <c r="C147" s="500"/>
      <c r="F147" s="461"/>
      <c r="G147" s="461"/>
      <c r="H147" s="461"/>
      <c r="I147" s="461"/>
      <c r="J147" s="461"/>
      <c r="K147" s="461"/>
      <c r="L147" s="461"/>
      <c r="M147" s="461"/>
      <c r="N147" s="461"/>
      <c r="O147" s="461"/>
      <c r="P147" s="461"/>
      <c r="Q147" s="461"/>
      <c r="R147" s="461"/>
      <c r="S147" s="461"/>
      <c r="T147" s="461"/>
      <c r="U147" s="461"/>
      <c r="V147" s="461"/>
      <c r="W147" s="461"/>
      <c r="X147" s="461"/>
      <c r="AH147" s="323"/>
      <c r="AI147" s="323"/>
      <c r="AJ147" s="323"/>
      <c r="AK147" s="323"/>
    </row>
    <row r="148" spans="1:246" x14ac:dyDescent="0.4">
      <c r="C148" s="446"/>
      <c r="D148" s="446"/>
      <c r="E148" s="446"/>
      <c r="F148" s="446"/>
      <c r="G148" s="446"/>
      <c r="H148" s="446"/>
      <c r="I148" s="446"/>
      <c r="J148" s="446"/>
      <c r="K148" s="446"/>
      <c r="L148" s="446"/>
      <c r="M148" s="446"/>
      <c r="N148" s="446"/>
      <c r="O148" s="446"/>
      <c r="P148" s="446"/>
      <c r="Q148" s="501"/>
      <c r="R148" s="501"/>
      <c r="S148" s="446"/>
      <c r="T148" s="446"/>
      <c r="U148" s="446"/>
      <c r="V148" s="446"/>
      <c r="W148" s="446"/>
      <c r="X148" s="446"/>
    </row>
    <row r="149" spans="1:246" x14ac:dyDescent="0.4">
      <c r="C149" s="446"/>
      <c r="D149" s="450"/>
      <c r="E149" s="450"/>
      <c r="F149" s="450"/>
      <c r="G149" s="450"/>
      <c r="H149" s="450"/>
      <c r="I149" s="450"/>
      <c r="J149" s="450"/>
      <c r="K149" s="450"/>
      <c r="L149" s="450"/>
      <c r="M149" s="450"/>
      <c r="N149" s="450"/>
      <c r="O149" s="450"/>
      <c r="P149" s="450"/>
      <c r="Q149" s="450"/>
      <c r="R149" s="450"/>
      <c r="S149" s="450"/>
      <c r="T149" s="450"/>
      <c r="U149" s="450"/>
      <c r="V149" s="450"/>
      <c r="W149" s="450"/>
      <c r="X149" s="450"/>
    </row>
    <row r="150" spans="1:246" x14ac:dyDescent="0.4">
      <c r="C150" s="502"/>
      <c r="D150" s="446"/>
      <c r="E150" s="446"/>
      <c r="F150" s="446"/>
      <c r="G150" s="446"/>
      <c r="H150" s="446"/>
      <c r="I150" s="446"/>
      <c r="J150" s="446"/>
      <c r="K150" s="446"/>
      <c r="L150" s="446"/>
      <c r="M150" s="446"/>
      <c r="N150" s="446"/>
      <c r="O150" s="446"/>
      <c r="P150" s="446"/>
      <c r="Q150" s="446"/>
      <c r="R150" s="446"/>
      <c r="S150" s="446"/>
      <c r="T150" s="446"/>
      <c r="U150" s="446"/>
      <c r="V150" s="446"/>
      <c r="W150" s="446"/>
      <c r="X150" s="446"/>
    </row>
    <row r="151" spans="1:246" x14ac:dyDescent="0.4">
      <c r="C151" s="502"/>
      <c r="D151" s="450"/>
      <c r="E151" s="450"/>
      <c r="F151" s="450"/>
      <c r="G151" s="450"/>
      <c r="H151" s="450"/>
      <c r="I151" s="450"/>
      <c r="J151" s="450"/>
      <c r="K151" s="450"/>
      <c r="L151" s="450"/>
      <c r="M151" s="450"/>
      <c r="N151" s="450"/>
      <c r="O151" s="450"/>
      <c r="P151" s="450"/>
      <c r="Q151" s="450"/>
      <c r="R151" s="450"/>
      <c r="S151" s="450"/>
      <c r="T151" s="450"/>
      <c r="U151" s="450"/>
      <c r="V151" s="450"/>
      <c r="W151" s="450"/>
      <c r="X151" s="450"/>
    </row>
    <row r="152" spans="1:246" x14ac:dyDescent="0.35">
      <c r="B152" s="1678"/>
      <c r="C152" s="503"/>
      <c r="D152" s="504"/>
      <c r="E152" s="504"/>
      <c r="F152" s="504"/>
      <c r="G152" s="504"/>
      <c r="H152" s="504"/>
      <c r="I152" s="504"/>
      <c r="J152" s="504"/>
      <c r="K152" s="504"/>
      <c r="L152" s="504"/>
      <c r="M152" s="503"/>
      <c r="N152" s="503"/>
      <c r="O152" s="503"/>
      <c r="P152" s="503"/>
      <c r="Q152" s="503"/>
      <c r="R152" s="503"/>
      <c r="S152" s="503"/>
      <c r="T152" s="503"/>
      <c r="U152" s="503"/>
      <c r="V152" s="503"/>
      <c r="W152" s="503"/>
      <c r="X152" s="503"/>
    </row>
    <row r="153" spans="1:246" x14ac:dyDescent="0.35">
      <c r="C153" s="505"/>
      <c r="D153" s="450"/>
      <c r="E153" s="450"/>
      <c r="F153" s="450"/>
      <c r="G153" s="450"/>
      <c r="H153" s="450"/>
      <c r="I153" s="450"/>
      <c r="J153" s="450"/>
      <c r="K153" s="450"/>
      <c r="L153" s="450"/>
      <c r="M153" s="450"/>
      <c r="N153" s="450"/>
      <c r="O153" s="450"/>
      <c r="P153" s="450"/>
      <c r="Q153" s="450"/>
      <c r="R153" s="450"/>
      <c r="S153" s="450"/>
      <c r="T153" s="450"/>
      <c r="U153" s="450"/>
      <c r="V153" s="450"/>
      <c r="W153" s="450"/>
      <c r="X153" s="450"/>
      <c r="Y153" s="461"/>
      <c r="Z153" s="461"/>
      <c r="AA153" s="461"/>
      <c r="AB153" s="461"/>
      <c r="AC153" s="461"/>
      <c r="AD153" s="461"/>
      <c r="AE153" s="461"/>
      <c r="AF153" s="461"/>
      <c r="AG153" s="461"/>
    </row>
    <row r="154" spans="1:246" x14ac:dyDescent="0.35">
      <c r="C154" s="506"/>
      <c r="D154" s="506"/>
      <c r="E154" s="506"/>
      <c r="F154" s="506"/>
      <c r="G154" s="506"/>
      <c r="H154" s="506"/>
      <c r="I154" s="506"/>
      <c r="J154" s="506"/>
      <c r="K154" s="506"/>
      <c r="L154" s="450"/>
      <c r="M154" s="450"/>
      <c r="N154" s="450"/>
      <c r="O154" s="450"/>
      <c r="P154" s="450"/>
      <c r="Q154" s="450"/>
      <c r="R154" s="450"/>
      <c r="S154" s="450"/>
      <c r="T154" s="450"/>
      <c r="U154" s="450"/>
      <c r="V154" s="450"/>
      <c r="W154" s="450"/>
      <c r="X154" s="450"/>
    </row>
    <row r="155" spans="1:246" x14ac:dyDescent="0.4">
      <c r="B155" s="1678"/>
      <c r="C155" s="507"/>
      <c r="D155" s="507"/>
      <c r="E155" s="507"/>
      <c r="F155" s="507"/>
      <c r="G155" s="507"/>
      <c r="H155" s="507"/>
      <c r="I155" s="507"/>
      <c r="J155" s="507"/>
      <c r="K155" s="507"/>
    </row>
    <row r="156" spans="1:246" x14ac:dyDescent="0.35">
      <c r="C156" s="508"/>
      <c r="D156" s="361"/>
      <c r="E156" s="361"/>
      <c r="F156" s="361"/>
      <c r="G156" s="361"/>
      <c r="H156" s="361"/>
      <c r="I156" s="361"/>
      <c r="J156" s="361"/>
      <c r="K156" s="361"/>
      <c r="L156" s="505"/>
      <c r="M156" s="509"/>
      <c r="N156" s="509"/>
      <c r="O156" s="509"/>
      <c r="P156" s="509"/>
      <c r="Q156" s="509"/>
      <c r="R156" s="509"/>
      <c r="S156" s="509"/>
      <c r="T156" s="509"/>
      <c r="U156" s="509"/>
      <c r="V156" s="509"/>
      <c r="W156" s="509"/>
      <c r="X156" s="509"/>
      <c r="Y156" s="509"/>
      <c r="Z156" s="509"/>
      <c r="AA156" s="509"/>
      <c r="AB156" s="509"/>
      <c r="AC156" s="509"/>
      <c r="AD156" s="509"/>
      <c r="AE156" s="509"/>
      <c r="AF156" s="509"/>
      <c r="AG156" s="509"/>
      <c r="AL156" s="509"/>
      <c r="AM156" s="509"/>
      <c r="AN156" s="509"/>
      <c r="AO156" s="509"/>
      <c r="AP156" s="509"/>
      <c r="AQ156" s="509"/>
      <c r="AR156" s="509"/>
      <c r="AS156" s="509"/>
      <c r="AT156" s="509"/>
      <c r="AU156" s="509"/>
      <c r="AV156" s="509"/>
      <c r="AW156" s="509"/>
      <c r="AX156" s="509"/>
      <c r="AY156" s="509"/>
      <c r="AZ156" s="509"/>
      <c r="BA156" s="509"/>
      <c r="BB156" s="509"/>
      <c r="BC156" s="509"/>
      <c r="BD156" s="509"/>
      <c r="BE156" s="509"/>
      <c r="BF156" s="509"/>
      <c r="BG156" s="509"/>
      <c r="BH156" s="509"/>
      <c r="BI156" s="509"/>
      <c r="BJ156" s="509"/>
      <c r="BK156" s="509"/>
      <c r="BL156" s="509"/>
      <c r="BM156" s="509"/>
      <c r="BN156" s="509"/>
      <c r="BO156" s="509"/>
      <c r="BP156" s="509"/>
      <c r="BQ156" s="509"/>
      <c r="BR156" s="509"/>
      <c r="BS156" s="509"/>
      <c r="BT156" s="509"/>
      <c r="BU156" s="509"/>
      <c r="BV156" s="509"/>
      <c r="BW156" s="509"/>
      <c r="BX156" s="509"/>
      <c r="BY156" s="509"/>
      <c r="BZ156" s="509"/>
      <c r="CA156" s="509"/>
      <c r="CB156" s="509"/>
      <c r="CC156" s="509"/>
      <c r="CD156" s="509"/>
      <c r="CE156" s="509"/>
      <c r="CF156" s="509"/>
      <c r="CG156" s="509"/>
      <c r="CH156" s="509"/>
      <c r="CI156" s="509"/>
      <c r="CJ156" s="509"/>
      <c r="CK156" s="509"/>
      <c r="CL156" s="509"/>
      <c r="CM156" s="509"/>
      <c r="CN156" s="509"/>
      <c r="CO156" s="509"/>
      <c r="CP156" s="509"/>
      <c r="CQ156" s="509"/>
      <c r="CR156" s="509"/>
      <c r="CS156" s="509"/>
      <c r="CT156" s="509"/>
      <c r="CU156" s="509"/>
      <c r="CV156" s="509"/>
      <c r="CW156" s="509"/>
      <c r="CX156" s="509"/>
      <c r="CY156" s="509"/>
      <c r="CZ156" s="509"/>
      <c r="DA156" s="509"/>
      <c r="DB156" s="509"/>
      <c r="DC156" s="509"/>
      <c r="DD156" s="509"/>
      <c r="DE156" s="509"/>
      <c r="DF156" s="509"/>
      <c r="DG156" s="509"/>
      <c r="DH156" s="509"/>
      <c r="DI156" s="509"/>
      <c r="DJ156" s="509"/>
      <c r="DK156" s="509"/>
      <c r="DL156" s="509"/>
      <c r="DM156" s="509"/>
      <c r="DN156" s="509"/>
      <c r="DO156" s="509"/>
      <c r="DP156" s="509"/>
      <c r="DQ156" s="509"/>
      <c r="DR156" s="509"/>
      <c r="DS156" s="509"/>
      <c r="DT156" s="509"/>
      <c r="DU156" s="509"/>
      <c r="DV156" s="509"/>
      <c r="DW156" s="509"/>
      <c r="DX156" s="509"/>
      <c r="DY156" s="509"/>
      <c r="DZ156" s="509"/>
      <c r="EA156" s="509"/>
      <c r="EB156" s="509"/>
      <c r="EC156" s="509"/>
      <c r="ED156" s="509"/>
      <c r="EE156" s="509"/>
      <c r="EF156" s="509"/>
      <c r="EG156" s="509"/>
      <c r="EH156" s="509"/>
      <c r="EI156" s="509"/>
      <c r="EJ156" s="509"/>
      <c r="EK156" s="509"/>
      <c r="EL156" s="509"/>
      <c r="EM156" s="509"/>
      <c r="EN156" s="509"/>
      <c r="EO156" s="509"/>
      <c r="EP156" s="509"/>
      <c r="EQ156" s="509"/>
      <c r="ER156" s="509"/>
      <c r="ES156" s="509"/>
      <c r="ET156" s="509"/>
      <c r="EU156" s="509"/>
      <c r="EV156" s="509"/>
      <c r="EW156" s="509"/>
      <c r="EX156" s="509"/>
      <c r="EY156" s="509"/>
      <c r="EZ156" s="509"/>
      <c r="FA156" s="509"/>
      <c r="FB156" s="509"/>
      <c r="FC156" s="509"/>
      <c r="FD156" s="509"/>
      <c r="FE156" s="509"/>
      <c r="FF156" s="509"/>
      <c r="FG156" s="509"/>
      <c r="FH156" s="509"/>
      <c r="FI156" s="509"/>
      <c r="FJ156" s="509"/>
      <c r="FK156" s="509"/>
      <c r="FL156" s="509"/>
      <c r="FM156" s="509"/>
      <c r="FN156" s="509"/>
      <c r="FO156" s="509"/>
      <c r="FP156" s="509"/>
      <c r="FQ156" s="509"/>
      <c r="FR156" s="509"/>
      <c r="FS156" s="509"/>
      <c r="FT156" s="509"/>
      <c r="FU156" s="509"/>
      <c r="FV156" s="509"/>
      <c r="FW156" s="509"/>
      <c r="FX156" s="509"/>
      <c r="FY156" s="509"/>
      <c r="FZ156" s="509"/>
      <c r="GA156" s="509"/>
      <c r="GB156" s="509"/>
      <c r="GC156" s="509"/>
      <c r="GD156" s="509"/>
      <c r="GE156" s="509"/>
      <c r="GF156" s="509"/>
      <c r="GG156" s="509"/>
      <c r="GH156" s="509"/>
      <c r="GI156" s="509"/>
      <c r="GJ156" s="509"/>
      <c r="GK156" s="509"/>
      <c r="GL156" s="509"/>
      <c r="GM156" s="509"/>
      <c r="GN156" s="509"/>
      <c r="GO156" s="509"/>
      <c r="GP156" s="509"/>
      <c r="GQ156" s="509"/>
      <c r="GR156" s="509"/>
      <c r="GS156" s="509"/>
      <c r="GT156" s="509"/>
      <c r="GU156" s="509"/>
      <c r="GV156" s="509"/>
      <c r="GW156" s="509"/>
      <c r="GX156" s="509"/>
      <c r="GY156" s="509"/>
      <c r="GZ156" s="509"/>
      <c r="HA156" s="509"/>
      <c r="HB156" s="509"/>
      <c r="HC156" s="509"/>
      <c r="HD156" s="509"/>
      <c r="HE156" s="509"/>
      <c r="HF156" s="509"/>
      <c r="HG156" s="509"/>
      <c r="HH156" s="509"/>
      <c r="HI156" s="509"/>
      <c r="HJ156" s="509"/>
      <c r="HK156" s="509"/>
      <c r="HL156" s="509"/>
      <c r="HM156" s="509"/>
      <c r="HN156" s="509"/>
      <c r="HO156" s="509"/>
      <c r="HP156" s="509"/>
      <c r="HQ156" s="509"/>
      <c r="HR156" s="509"/>
      <c r="HS156" s="509"/>
      <c r="HT156" s="509"/>
      <c r="HU156" s="509"/>
      <c r="HV156" s="509"/>
      <c r="HW156" s="509"/>
      <c r="HX156" s="509"/>
      <c r="HY156" s="509"/>
      <c r="HZ156" s="509"/>
      <c r="IA156" s="509"/>
      <c r="IB156" s="509"/>
      <c r="IC156" s="509"/>
      <c r="ID156" s="509"/>
      <c r="IE156" s="509"/>
      <c r="IF156" s="509"/>
      <c r="IG156" s="509"/>
      <c r="IH156" s="509"/>
      <c r="II156" s="509"/>
      <c r="IJ156" s="509"/>
      <c r="IK156" s="509"/>
      <c r="IL156" s="509"/>
    </row>
    <row r="157" spans="1:246" x14ac:dyDescent="0.35">
      <c r="B157" s="1678"/>
      <c r="C157" s="507"/>
      <c r="D157" s="507"/>
      <c r="E157" s="507"/>
      <c r="F157" s="507"/>
      <c r="G157" s="507"/>
      <c r="H157" s="507"/>
      <c r="I157" s="507"/>
      <c r="J157" s="507"/>
      <c r="K157" s="507"/>
      <c r="L157" s="509"/>
      <c r="M157" s="509"/>
      <c r="N157" s="509"/>
      <c r="O157" s="509"/>
      <c r="P157" s="509"/>
      <c r="Q157" s="509"/>
      <c r="R157" s="509"/>
      <c r="S157" s="509"/>
      <c r="T157" s="509"/>
      <c r="U157" s="509"/>
      <c r="V157" s="509"/>
      <c r="W157" s="509"/>
      <c r="X157" s="509"/>
      <c r="Y157" s="509"/>
      <c r="Z157" s="509"/>
      <c r="AA157" s="509"/>
      <c r="AB157" s="509"/>
      <c r="AC157" s="509"/>
      <c r="AD157" s="509"/>
      <c r="AE157" s="509"/>
      <c r="AF157" s="509"/>
      <c r="AG157" s="509"/>
      <c r="AH157" s="509"/>
      <c r="AI157" s="509"/>
      <c r="AJ157" s="509"/>
      <c r="AK157" s="509"/>
      <c r="AL157" s="509"/>
      <c r="AM157" s="509"/>
      <c r="AN157" s="509"/>
      <c r="AO157" s="509"/>
      <c r="AP157" s="509"/>
      <c r="AQ157" s="509"/>
      <c r="AR157" s="509"/>
      <c r="AS157" s="509"/>
      <c r="AT157" s="509"/>
      <c r="AU157" s="509"/>
      <c r="AV157" s="509"/>
      <c r="AW157" s="509"/>
      <c r="AX157" s="509"/>
      <c r="AY157" s="509"/>
      <c r="AZ157" s="509"/>
      <c r="BA157" s="509"/>
      <c r="BB157" s="509"/>
      <c r="BC157" s="509"/>
      <c r="BD157" s="509"/>
      <c r="BE157" s="509"/>
      <c r="BF157" s="509"/>
      <c r="BG157" s="509"/>
      <c r="BH157" s="509"/>
      <c r="BI157" s="509"/>
      <c r="BJ157" s="509"/>
      <c r="BK157" s="509"/>
      <c r="BL157" s="509"/>
      <c r="BM157" s="509"/>
      <c r="BN157" s="509"/>
      <c r="BO157" s="509"/>
      <c r="BP157" s="509"/>
      <c r="BQ157" s="509"/>
      <c r="BR157" s="509"/>
      <c r="BS157" s="509"/>
      <c r="BT157" s="509"/>
      <c r="BU157" s="509"/>
      <c r="BV157" s="509"/>
      <c r="BW157" s="509"/>
      <c r="BX157" s="509"/>
      <c r="BY157" s="509"/>
      <c r="BZ157" s="509"/>
      <c r="CA157" s="509"/>
      <c r="CB157" s="509"/>
      <c r="CC157" s="509"/>
      <c r="CD157" s="509"/>
      <c r="CE157" s="509"/>
      <c r="CF157" s="509"/>
      <c r="CG157" s="509"/>
      <c r="CH157" s="509"/>
      <c r="CI157" s="509"/>
      <c r="CJ157" s="509"/>
      <c r="CK157" s="509"/>
      <c r="CL157" s="509"/>
      <c r="CM157" s="509"/>
      <c r="CN157" s="509"/>
      <c r="CO157" s="509"/>
      <c r="CP157" s="509"/>
      <c r="CQ157" s="509"/>
      <c r="CR157" s="509"/>
      <c r="CS157" s="509"/>
      <c r="CT157" s="509"/>
      <c r="CU157" s="509"/>
      <c r="CV157" s="509"/>
      <c r="CW157" s="509"/>
      <c r="CX157" s="509"/>
      <c r="CY157" s="509"/>
      <c r="CZ157" s="509"/>
      <c r="DA157" s="509"/>
      <c r="DB157" s="509"/>
      <c r="DC157" s="509"/>
      <c r="DD157" s="509"/>
      <c r="DE157" s="509"/>
      <c r="DF157" s="509"/>
      <c r="DG157" s="509"/>
      <c r="DH157" s="509"/>
      <c r="DI157" s="509"/>
      <c r="DJ157" s="509"/>
      <c r="DK157" s="509"/>
      <c r="DL157" s="509"/>
      <c r="DM157" s="509"/>
      <c r="DN157" s="509"/>
      <c r="DO157" s="509"/>
      <c r="DP157" s="509"/>
      <c r="DQ157" s="509"/>
      <c r="DR157" s="509"/>
      <c r="DS157" s="509"/>
      <c r="DT157" s="509"/>
      <c r="DU157" s="509"/>
      <c r="DV157" s="509"/>
      <c r="DW157" s="509"/>
      <c r="DX157" s="509"/>
      <c r="DY157" s="509"/>
      <c r="DZ157" s="509"/>
      <c r="EA157" s="509"/>
      <c r="EB157" s="509"/>
      <c r="EC157" s="509"/>
      <c r="ED157" s="509"/>
      <c r="EE157" s="509"/>
      <c r="EF157" s="509"/>
      <c r="EG157" s="509"/>
      <c r="EH157" s="509"/>
      <c r="EI157" s="509"/>
      <c r="EJ157" s="509"/>
      <c r="EK157" s="509"/>
      <c r="EL157" s="509"/>
      <c r="EM157" s="509"/>
      <c r="EN157" s="509"/>
      <c r="EO157" s="509"/>
      <c r="EP157" s="509"/>
      <c r="EQ157" s="509"/>
      <c r="ER157" s="509"/>
      <c r="ES157" s="509"/>
      <c r="ET157" s="509"/>
      <c r="EU157" s="509"/>
      <c r="EV157" s="509"/>
      <c r="EW157" s="509"/>
      <c r="EX157" s="509"/>
      <c r="EY157" s="509"/>
      <c r="EZ157" s="509"/>
      <c r="FA157" s="509"/>
      <c r="FB157" s="509"/>
      <c r="FC157" s="509"/>
      <c r="FD157" s="509"/>
      <c r="FE157" s="509"/>
      <c r="FF157" s="509"/>
      <c r="FG157" s="509"/>
      <c r="FH157" s="509"/>
      <c r="FI157" s="509"/>
      <c r="FJ157" s="509"/>
      <c r="FK157" s="509"/>
      <c r="FL157" s="509"/>
      <c r="FM157" s="509"/>
      <c r="FN157" s="509"/>
      <c r="FO157" s="509"/>
      <c r="FP157" s="509"/>
      <c r="FQ157" s="509"/>
      <c r="FR157" s="509"/>
      <c r="FS157" s="509"/>
      <c r="FT157" s="509"/>
      <c r="FU157" s="509"/>
      <c r="FV157" s="509"/>
      <c r="FW157" s="509"/>
      <c r="FX157" s="509"/>
      <c r="FY157" s="509"/>
      <c r="FZ157" s="509"/>
      <c r="GA157" s="509"/>
      <c r="GB157" s="509"/>
      <c r="GC157" s="509"/>
      <c r="GD157" s="509"/>
      <c r="GE157" s="509"/>
      <c r="GF157" s="509"/>
      <c r="GG157" s="509"/>
      <c r="GH157" s="509"/>
      <c r="GI157" s="509"/>
      <c r="GJ157" s="509"/>
      <c r="GK157" s="509"/>
      <c r="GL157" s="509"/>
      <c r="GM157" s="509"/>
      <c r="GN157" s="509"/>
      <c r="GO157" s="509"/>
      <c r="GP157" s="509"/>
      <c r="GQ157" s="509"/>
      <c r="GR157" s="509"/>
      <c r="GS157" s="509"/>
      <c r="GT157" s="509"/>
      <c r="GU157" s="509"/>
      <c r="GV157" s="509"/>
      <c r="GW157" s="509"/>
      <c r="GX157" s="509"/>
      <c r="GY157" s="509"/>
      <c r="GZ157" s="509"/>
      <c r="HA157" s="509"/>
      <c r="HB157" s="509"/>
      <c r="HC157" s="509"/>
      <c r="HD157" s="509"/>
      <c r="HE157" s="509"/>
      <c r="HF157" s="509"/>
      <c r="HG157" s="509"/>
      <c r="HH157" s="509"/>
      <c r="HI157" s="509"/>
      <c r="HJ157" s="509"/>
      <c r="HK157" s="509"/>
      <c r="HL157" s="509"/>
      <c r="HM157" s="509"/>
      <c r="HN157" s="509"/>
      <c r="HO157" s="509"/>
      <c r="HP157" s="509"/>
      <c r="HQ157" s="509"/>
      <c r="HR157" s="509"/>
      <c r="HS157" s="509"/>
      <c r="HT157" s="509"/>
      <c r="HU157" s="509"/>
      <c r="HV157" s="509"/>
      <c r="HW157" s="509"/>
      <c r="HX157" s="509"/>
      <c r="HY157" s="509"/>
      <c r="HZ157" s="509"/>
      <c r="IA157" s="509"/>
      <c r="IB157" s="509"/>
      <c r="IC157" s="509"/>
      <c r="ID157" s="509"/>
      <c r="IE157" s="509"/>
      <c r="IF157" s="509"/>
      <c r="IG157" s="509"/>
      <c r="IH157" s="509"/>
      <c r="II157" s="509"/>
      <c r="IJ157" s="509"/>
      <c r="IK157" s="509"/>
      <c r="IL157" s="509"/>
    </row>
    <row r="158" spans="1:246" x14ac:dyDescent="0.35">
      <c r="C158" s="510"/>
      <c r="D158" s="506"/>
      <c r="E158" s="506"/>
      <c r="F158" s="506"/>
      <c r="G158" s="506"/>
      <c r="H158" s="506"/>
      <c r="I158" s="506"/>
      <c r="J158" s="506"/>
      <c r="K158" s="506"/>
      <c r="L158" s="509"/>
      <c r="M158" s="509"/>
      <c r="N158" s="509"/>
      <c r="O158" s="509"/>
      <c r="P158" s="509"/>
      <c r="Q158" s="509"/>
      <c r="R158" s="509"/>
      <c r="S158" s="509"/>
      <c r="T158" s="509"/>
      <c r="U158" s="509"/>
      <c r="V158" s="509"/>
      <c r="W158" s="509"/>
      <c r="X158" s="509"/>
      <c r="Y158" s="509"/>
      <c r="Z158" s="509"/>
      <c r="AA158" s="509"/>
      <c r="AB158" s="509"/>
      <c r="AC158" s="509"/>
      <c r="AD158" s="509"/>
      <c r="AE158" s="509"/>
      <c r="AF158" s="509"/>
      <c r="AG158" s="509"/>
      <c r="AH158" s="509"/>
      <c r="AI158" s="509"/>
      <c r="AJ158" s="509"/>
      <c r="AK158" s="509"/>
      <c r="AL158" s="509"/>
      <c r="AM158" s="509"/>
      <c r="AN158" s="509"/>
      <c r="AO158" s="509"/>
      <c r="AP158" s="509"/>
      <c r="AQ158" s="509"/>
      <c r="AR158" s="509"/>
      <c r="AS158" s="509"/>
      <c r="AT158" s="509"/>
      <c r="AU158" s="509"/>
      <c r="AV158" s="509"/>
      <c r="AW158" s="509"/>
      <c r="AX158" s="509"/>
      <c r="AY158" s="509"/>
      <c r="AZ158" s="509"/>
      <c r="BA158" s="509"/>
      <c r="BB158" s="509"/>
      <c r="BC158" s="509"/>
      <c r="BD158" s="509"/>
      <c r="BE158" s="509"/>
      <c r="BF158" s="509"/>
      <c r="BG158" s="509"/>
      <c r="BH158" s="509"/>
      <c r="BI158" s="509"/>
      <c r="BJ158" s="509"/>
      <c r="BK158" s="509"/>
      <c r="BL158" s="509"/>
      <c r="BM158" s="509"/>
      <c r="BN158" s="509"/>
      <c r="BO158" s="509"/>
      <c r="BP158" s="509"/>
      <c r="BQ158" s="509"/>
      <c r="BR158" s="509"/>
      <c r="BS158" s="509"/>
      <c r="BT158" s="509"/>
      <c r="BU158" s="509"/>
      <c r="BV158" s="509"/>
      <c r="BW158" s="509"/>
      <c r="BX158" s="509"/>
      <c r="BY158" s="509"/>
      <c r="BZ158" s="509"/>
      <c r="CA158" s="509"/>
      <c r="CB158" s="509"/>
      <c r="CC158" s="509"/>
      <c r="CD158" s="509"/>
      <c r="CE158" s="509"/>
      <c r="CF158" s="509"/>
      <c r="CG158" s="509"/>
      <c r="CH158" s="509"/>
      <c r="CI158" s="509"/>
      <c r="CJ158" s="509"/>
      <c r="CK158" s="509"/>
      <c r="CL158" s="509"/>
      <c r="CM158" s="509"/>
      <c r="CN158" s="509"/>
      <c r="CO158" s="509"/>
      <c r="CP158" s="509"/>
      <c r="CQ158" s="509"/>
      <c r="CR158" s="509"/>
      <c r="CS158" s="509"/>
      <c r="CT158" s="509"/>
      <c r="CU158" s="509"/>
      <c r="CV158" s="509"/>
      <c r="CW158" s="509"/>
      <c r="CX158" s="509"/>
      <c r="CY158" s="509"/>
      <c r="CZ158" s="509"/>
      <c r="DA158" s="509"/>
      <c r="DB158" s="509"/>
      <c r="DC158" s="509"/>
      <c r="DD158" s="509"/>
      <c r="DE158" s="509"/>
      <c r="DF158" s="509"/>
      <c r="DG158" s="509"/>
      <c r="DH158" s="509"/>
      <c r="DI158" s="509"/>
      <c r="DJ158" s="509"/>
      <c r="DK158" s="509"/>
      <c r="DL158" s="509"/>
      <c r="DM158" s="509"/>
      <c r="DN158" s="509"/>
      <c r="DO158" s="509"/>
      <c r="DP158" s="509"/>
      <c r="DQ158" s="509"/>
      <c r="DR158" s="509"/>
      <c r="DS158" s="509"/>
      <c r="DT158" s="509"/>
      <c r="DU158" s="509"/>
      <c r="DV158" s="509"/>
      <c r="DW158" s="509"/>
      <c r="DX158" s="509"/>
      <c r="DY158" s="509"/>
      <c r="DZ158" s="509"/>
      <c r="EA158" s="509"/>
      <c r="EB158" s="509"/>
      <c r="EC158" s="509"/>
      <c r="ED158" s="509"/>
      <c r="EE158" s="509"/>
      <c r="EF158" s="509"/>
      <c r="EG158" s="509"/>
      <c r="EH158" s="509"/>
      <c r="EI158" s="509"/>
      <c r="EJ158" s="509"/>
      <c r="EK158" s="509"/>
      <c r="EL158" s="509"/>
      <c r="EM158" s="509"/>
      <c r="EN158" s="509"/>
      <c r="EO158" s="509"/>
      <c r="EP158" s="509"/>
      <c r="EQ158" s="509"/>
      <c r="ER158" s="509"/>
      <c r="ES158" s="509"/>
      <c r="ET158" s="509"/>
      <c r="EU158" s="509"/>
      <c r="EV158" s="509"/>
      <c r="EW158" s="509"/>
      <c r="EX158" s="509"/>
      <c r="EY158" s="509"/>
      <c r="EZ158" s="509"/>
      <c r="FA158" s="509"/>
      <c r="FB158" s="509"/>
      <c r="FC158" s="509"/>
      <c r="FD158" s="509"/>
      <c r="FE158" s="509"/>
      <c r="FF158" s="509"/>
      <c r="FG158" s="509"/>
      <c r="FH158" s="509"/>
      <c r="FI158" s="509"/>
      <c r="FJ158" s="509"/>
      <c r="FK158" s="509"/>
      <c r="FL158" s="509"/>
      <c r="FM158" s="509"/>
      <c r="FN158" s="509"/>
      <c r="FO158" s="509"/>
      <c r="FP158" s="509"/>
      <c r="FQ158" s="509"/>
      <c r="FR158" s="509"/>
      <c r="FS158" s="509"/>
      <c r="FT158" s="509"/>
      <c r="FU158" s="509"/>
      <c r="FV158" s="509"/>
      <c r="FW158" s="509"/>
      <c r="FX158" s="509"/>
      <c r="FY158" s="509"/>
      <c r="FZ158" s="509"/>
      <c r="GA158" s="509"/>
      <c r="GB158" s="509"/>
      <c r="GC158" s="509"/>
      <c r="GD158" s="509"/>
      <c r="GE158" s="509"/>
      <c r="GF158" s="509"/>
      <c r="GG158" s="509"/>
      <c r="GH158" s="509"/>
      <c r="GI158" s="509"/>
      <c r="GJ158" s="509"/>
      <c r="GK158" s="509"/>
      <c r="GL158" s="509"/>
      <c r="GM158" s="509"/>
      <c r="GN158" s="509"/>
      <c r="GO158" s="509"/>
      <c r="GP158" s="509"/>
      <c r="GQ158" s="509"/>
      <c r="GR158" s="509"/>
      <c r="GS158" s="509"/>
      <c r="GT158" s="509"/>
      <c r="GU158" s="509"/>
      <c r="GV158" s="509"/>
      <c r="GW158" s="509"/>
      <c r="GX158" s="509"/>
      <c r="GY158" s="509"/>
      <c r="GZ158" s="509"/>
      <c r="HA158" s="509"/>
      <c r="HB158" s="509"/>
      <c r="HC158" s="509"/>
      <c r="HD158" s="509"/>
      <c r="HE158" s="509"/>
      <c r="HF158" s="509"/>
      <c r="HG158" s="509"/>
      <c r="HH158" s="509"/>
      <c r="HI158" s="509"/>
      <c r="HJ158" s="509"/>
      <c r="HK158" s="509"/>
      <c r="HL158" s="509"/>
      <c r="HM158" s="509"/>
      <c r="HN158" s="509"/>
      <c r="HO158" s="509"/>
      <c r="HP158" s="509"/>
      <c r="HQ158" s="509"/>
      <c r="HR158" s="509"/>
      <c r="HS158" s="509"/>
      <c r="HT158" s="509"/>
      <c r="HU158" s="509"/>
      <c r="HV158" s="509"/>
      <c r="HW158" s="509"/>
      <c r="HX158" s="509"/>
      <c r="HY158" s="509"/>
      <c r="HZ158" s="509"/>
      <c r="IA158" s="509"/>
      <c r="IB158" s="509"/>
      <c r="IC158" s="509"/>
      <c r="ID158" s="509"/>
      <c r="IE158" s="509"/>
      <c r="IF158" s="509"/>
      <c r="IG158" s="509"/>
      <c r="IH158" s="509"/>
      <c r="II158" s="509"/>
      <c r="IJ158" s="509"/>
      <c r="IK158" s="509"/>
      <c r="IL158" s="509"/>
    </row>
    <row r="159" spans="1:246" x14ac:dyDescent="0.35">
      <c r="B159" s="1678"/>
      <c r="C159" s="507"/>
      <c r="D159" s="507"/>
      <c r="E159" s="507"/>
      <c r="F159" s="507"/>
      <c r="G159" s="507"/>
      <c r="H159" s="507"/>
      <c r="I159" s="507"/>
      <c r="J159" s="507"/>
      <c r="K159" s="507"/>
      <c r="L159" s="509"/>
      <c r="M159" s="509"/>
      <c r="N159" s="509"/>
      <c r="O159" s="509"/>
      <c r="P159" s="509"/>
      <c r="Q159" s="509"/>
      <c r="R159" s="509"/>
      <c r="S159" s="509"/>
      <c r="T159" s="509"/>
      <c r="U159" s="509"/>
      <c r="V159" s="509"/>
      <c r="W159" s="509"/>
      <c r="X159" s="509"/>
      <c r="Y159" s="509"/>
      <c r="Z159" s="509"/>
      <c r="AA159" s="509"/>
      <c r="AB159" s="509"/>
      <c r="AC159" s="509"/>
      <c r="AD159" s="509"/>
      <c r="AE159" s="509"/>
      <c r="AF159" s="509"/>
      <c r="AG159" s="509"/>
      <c r="AH159" s="509"/>
      <c r="AI159" s="509"/>
      <c r="AJ159" s="509"/>
      <c r="AK159" s="509"/>
      <c r="AL159" s="509"/>
      <c r="AM159" s="509"/>
      <c r="AN159" s="509"/>
      <c r="AO159" s="509"/>
      <c r="AP159" s="509"/>
      <c r="AQ159" s="509"/>
      <c r="AR159" s="509"/>
      <c r="AS159" s="509"/>
      <c r="AT159" s="509"/>
      <c r="AU159" s="509"/>
      <c r="AV159" s="509"/>
      <c r="AW159" s="509"/>
      <c r="AX159" s="509"/>
      <c r="AY159" s="509"/>
      <c r="AZ159" s="509"/>
      <c r="BA159" s="509"/>
      <c r="BB159" s="509"/>
      <c r="BC159" s="509"/>
      <c r="BD159" s="509"/>
      <c r="BE159" s="509"/>
      <c r="BF159" s="509"/>
      <c r="BG159" s="509"/>
      <c r="BH159" s="509"/>
      <c r="BI159" s="509"/>
      <c r="BJ159" s="509"/>
      <c r="BK159" s="509"/>
      <c r="BL159" s="509"/>
      <c r="BM159" s="509"/>
      <c r="BN159" s="509"/>
      <c r="BO159" s="509"/>
      <c r="BP159" s="509"/>
      <c r="BQ159" s="509"/>
      <c r="BR159" s="509"/>
      <c r="BS159" s="509"/>
      <c r="BT159" s="509"/>
      <c r="BU159" s="509"/>
      <c r="BV159" s="509"/>
      <c r="BW159" s="509"/>
      <c r="BX159" s="509"/>
      <c r="BY159" s="509"/>
      <c r="BZ159" s="509"/>
      <c r="CA159" s="509"/>
      <c r="CB159" s="509"/>
      <c r="CC159" s="509"/>
      <c r="CD159" s="509"/>
      <c r="CE159" s="509"/>
      <c r="CF159" s="509"/>
      <c r="CG159" s="509"/>
      <c r="CH159" s="509"/>
      <c r="CI159" s="509"/>
      <c r="CJ159" s="509"/>
      <c r="CK159" s="509"/>
      <c r="CL159" s="509"/>
      <c r="CM159" s="509"/>
      <c r="CN159" s="509"/>
      <c r="CO159" s="509"/>
      <c r="CP159" s="509"/>
      <c r="CQ159" s="509"/>
      <c r="CR159" s="509"/>
      <c r="CS159" s="509"/>
      <c r="CT159" s="509"/>
      <c r="CU159" s="509"/>
      <c r="CV159" s="509"/>
      <c r="CW159" s="509"/>
      <c r="CX159" s="509"/>
      <c r="CY159" s="509"/>
      <c r="CZ159" s="509"/>
      <c r="DA159" s="509"/>
      <c r="DB159" s="509"/>
      <c r="DC159" s="509"/>
      <c r="DD159" s="509"/>
      <c r="DE159" s="509"/>
      <c r="DF159" s="509"/>
      <c r="DG159" s="509"/>
      <c r="DH159" s="509"/>
      <c r="DI159" s="509"/>
      <c r="DJ159" s="509"/>
      <c r="DK159" s="509"/>
      <c r="DL159" s="509"/>
      <c r="DM159" s="509"/>
      <c r="DN159" s="509"/>
      <c r="DO159" s="509"/>
      <c r="DP159" s="509"/>
      <c r="DQ159" s="509"/>
      <c r="DR159" s="509"/>
      <c r="DS159" s="509"/>
      <c r="DT159" s="509"/>
      <c r="DU159" s="509"/>
      <c r="DV159" s="509"/>
      <c r="DW159" s="509"/>
      <c r="DX159" s="509"/>
      <c r="DY159" s="509"/>
      <c r="DZ159" s="509"/>
      <c r="EA159" s="509"/>
      <c r="EB159" s="509"/>
      <c r="EC159" s="509"/>
      <c r="ED159" s="509"/>
      <c r="EE159" s="509"/>
      <c r="EF159" s="509"/>
      <c r="EG159" s="509"/>
      <c r="EH159" s="509"/>
      <c r="EI159" s="509"/>
      <c r="EJ159" s="509"/>
      <c r="EK159" s="509"/>
      <c r="EL159" s="509"/>
      <c r="EM159" s="509"/>
      <c r="EN159" s="509"/>
      <c r="EO159" s="509"/>
      <c r="EP159" s="509"/>
      <c r="EQ159" s="509"/>
      <c r="ER159" s="509"/>
      <c r="ES159" s="509"/>
      <c r="ET159" s="509"/>
      <c r="EU159" s="509"/>
      <c r="EV159" s="509"/>
      <c r="EW159" s="509"/>
      <c r="EX159" s="509"/>
      <c r="EY159" s="509"/>
      <c r="EZ159" s="509"/>
      <c r="FA159" s="509"/>
      <c r="FB159" s="509"/>
      <c r="FC159" s="509"/>
      <c r="FD159" s="509"/>
      <c r="FE159" s="509"/>
      <c r="FF159" s="509"/>
      <c r="FG159" s="509"/>
      <c r="FH159" s="509"/>
      <c r="FI159" s="509"/>
      <c r="FJ159" s="509"/>
      <c r="FK159" s="509"/>
      <c r="FL159" s="509"/>
      <c r="FM159" s="509"/>
      <c r="FN159" s="509"/>
      <c r="FO159" s="509"/>
      <c r="FP159" s="509"/>
      <c r="FQ159" s="509"/>
      <c r="FR159" s="509"/>
      <c r="FS159" s="509"/>
      <c r="FT159" s="509"/>
      <c r="FU159" s="509"/>
      <c r="FV159" s="509"/>
      <c r="FW159" s="509"/>
      <c r="FX159" s="509"/>
      <c r="FY159" s="509"/>
      <c r="FZ159" s="509"/>
      <c r="GA159" s="509"/>
      <c r="GB159" s="509"/>
      <c r="GC159" s="509"/>
      <c r="GD159" s="509"/>
      <c r="GE159" s="509"/>
      <c r="GF159" s="509"/>
      <c r="GG159" s="509"/>
      <c r="GH159" s="509"/>
      <c r="GI159" s="509"/>
      <c r="GJ159" s="509"/>
      <c r="GK159" s="509"/>
      <c r="GL159" s="509"/>
      <c r="GM159" s="509"/>
      <c r="GN159" s="509"/>
      <c r="GO159" s="509"/>
      <c r="GP159" s="509"/>
      <c r="GQ159" s="509"/>
      <c r="GR159" s="509"/>
      <c r="GS159" s="509"/>
      <c r="GT159" s="509"/>
      <c r="GU159" s="509"/>
      <c r="GV159" s="509"/>
      <c r="GW159" s="509"/>
      <c r="GX159" s="509"/>
      <c r="GY159" s="509"/>
      <c r="GZ159" s="509"/>
      <c r="HA159" s="509"/>
      <c r="HB159" s="509"/>
      <c r="HC159" s="509"/>
      <c r="HD159" s="509"/>
      <c r="HE159" s="509"/>
      <c r="HF159" s="509"/>
      <c r="HG159" s="509"/>
      <c r="HH159" s="509"/>
      <c r="HI159" s="509"/>
      <c r="HJ159" s="509"/>
      <c r="HK159" s="509"/>
      <c r="HL159" s="509"/>
      <c r="HM159" s="509"/>
      <c r="HN159" s="509"/>
      <c r="HO159" s="509"/>
      <c r="HP159" s="509"/>
      <c r="HQ159" s="509"/>
      <c r="HR159" s="509"/>
      <c r="HS159" s="509"/>
      <c r="HT159" s="509"/>
      <c r="HU159" s="509"/>
      <c r="HV159" s="509"/>
      <c r="HW159" s="509"/>
      <c r="HX159" s="509"/>
      <c r="HY159" s="509"/>
      <c r="HZ159" s="509"/>
      <c r="IA159" s="509"/>
      <c r="IB159" s="509"/>
      <c r="IC159" s="509"/>
      <c r="ID159" s="509"/>
      <c r="IE159" s="509"/>
      <c r="IF159" s="509"/>
      <c r="IG159" s="509"/>
      <c r="IH159" s="509"/>
      <c r="II159" s="509"/>
      <c r="IJ159" s="509"/>
      <c r="IK159" s="509"/>
      <c r="IL159" s="509"/>
    </row>
    <row r="160" spans="1:246" x14ac:dyDescent="0.35">
      <c r="C160" s="511"/>
      <c r="D160" s="450"/>
      <c r="E160" s="450"/>
      <c r="F160" s="450"/>
      <c r="G160" s="450"/>
      <c r="H160" s="450"/>
      <c r="I160" s="450"/>
      <c r="J160" s="450"/>
      <c r="K160" s="450"/>
      <c r="L160" s="506"/>
      <c r="M160" s="506"/>
      <c r="N160" s="506"/>
      <c r="O160" s="506"/>
      <c r="P160" s="506"/>
      <c r="Q160" s="506"/>
      <c r="R160" s="506"/>
      <c r="S160" s="506"/>
      <c r="T160" s="506"/>
      <c r="U160" s="506"/>
      <c r="V160" s="506"/>
      <c r="W160" s="506"/>
      <c r="X160" s="506"/>
      <c r="Y160" s="509"/>
      <c r="Z160" s="509"/>
      <c r="AA160" s="509"/>
      <c r="AB160" s="509"/>
      <c r="AC160" s="509"/>
      <c r="AD160" s="509"/>
      <c r="AE160" s="509"/>
      <c r="AF160" s="509"/>
      <c r="AG160" s="509"/>
      <c r="AH160" s="509"/>
      <c r="AI160" s="509"/>
      <c r="AJ160" s="509"/>
      <c r="AK160" s="509"/>
      <c r="AL160" s="509"/>
      <c r="AM160" s="509"/>
      <c r="AN160" s="509"/>
      <c r="AO160" s="509"/>
      <c r="AP160" s="509"/>
      <c r="AQ160" s="509"/>
      <c r="AR160" s="509"/>
      <c r="AS160" s="509"/>
      <c r="AT160" s="509"/>
      <c r="AU160" s="509"/>
      <c r="AV160" s="509"/>
      <c r="AW160" s="509"/>
      <c r="AX160" s="509"/>
      <c r="AY160" s="509"/>
      <c r="AZ160" s="509"/>
      <c r="BA160" s="509"/>
      <c r="BB160" s="509"/>
      <c r="BC160" s="509"/>
      <c r="BD160" s="509"/>
      <c r="BE160" s="509"/>
      <c r="BF160" s="509"/>
      <c r="BG160" s="509"/>
      <c r="BH160" s="509"/>
      <c r="BI160" s="509"/>
      <c r="BJ160" s="509"/>
      <c r="BK160" s="509"/>
      <c r="BL160" s="509"/>
      <c r="BM160" s="509"/>
      <c r="BN160" s="509"/>
      <c r="BO160" s="509"/>
      <c r="BP160" s="509"/>
      <c r="BQ160" s="509"/>
      <c r="BR160" s="509"/>
      <c r="BS160" s="509"/>
      <c r="BT160" s="509"/>
      <c r="BU160" s="509"/>
      <c r="BV160" s="509"/>
      <c r="BW160" s="509"/>
      <c r="BX160" s="509"/>
      <c r="BY160" s="509"/>
      <c r="BZ160" s="509"/>
      <c r="CA160" s="509"/>
      <c r="CB160" s="509"/>
      <c r="CC160" s="509"/>
      <c r="CD160" s="509"/>
      <c r="CE160" s="509"/>
      <c r="CF160" s="509"/>
      <c r="CG160" s="509"/>
      <c r="CH160" s="509"/>
      <c r="CI160" s="509"/>
      <c r="CJ160" s="509"/>
      <c r="CK160" s="509"/>
      <c r="CL160" s="509"/>
      <c r="CM160" s="509"/>
      <c r="CN160" s="509"/>
      <c r="CO160" s="509"/>
      <c r="CP160" s="509"/>
      <c r="CQ160" s="509"/>
      <c r="CR160" s="509"/>
      <c r="CS160" s="509"/>
      <c r="CT160" s="509"/>
      <c r="CU160" s="509"/>
      <c r="CV160" s="509"/>
      <c r="CW160" s="509"/>
      <c r="CX160" s="509"/>
      <c r="CY160" s="509"/>
      <c r="CZ160" s="509"/>
      <c r="DA160" s="509"/>
      <c r="DB160" s="509"/>
      <c r="DC160" s="509"/>
      <c r="DD160" s="509"/>
      <c r="DE160" s="509"/>
      <c r="DF160" s="509"/>
      <c r="DG160" s="509"/>
      <c r="DH160" s="509"/>
      <c r="DI160" s="509"/>
      <c r="DJ160" s="509"/>
      <c r="DK160" s="509"/>
      <c r="DL160" s="509"/>
      <c r="DM160" s="509"/>
      <c r="DN160" s="509"/>
      <c r="DO160" s="509"/>
      <c r="DP160" s="509"/>
      <c r="DQ160" s="509"/>
      <c r="DR160" s="509"/>
      <c r="DS160" s="509"/>
      <c r="DT160" s="509"/>
      <c r="DU160" s="509"/>
      <c r="DV160" s="509"/>
      <c r="DW160" s="509"/>
      <c r="DX160" s="509"/>
      <c r="DY160" s="509"/>
      <c r="DZ160" s="509"/>
      <c r="EA160" s="509"/>
      <c r="EB160" s="509"/>
      <c r="EC160" s="509"/>
      <c r="ED160" s="509"/>
      <c r="EE160" s="509"/>
      <c r="EF160" s="509"/>
      <c r="EG160" s="509"/>
      <c r="EH160" s="509"/>
      <c r="EI160" s="509"/>
      <c r="EJ160" s="509"/>
      <c r="EK160" s="509"/>
      <c r="EL160" s="509"/>
      <c r="EM160" s="509"/>
      <c r="EN160" s="509"/>
      <c r="EO160" s="509"/>
      <c r="EP160" s="509"/>
      <c r="EQ160" s="509"/>
      <c r="ER160" s="509"/>
      <c r="ES160" s="509"/>
      <c r="ET160" s="509"/>
      <c r="EU160" s="509"/>
      <c r="EV160" s="509"/>
      <c r="EW160" s="509"/>
      <c r="EX160" s="509"/>
      <c r="EY160" s="509"/>
      <c r="EZ160" s="509"/>
      <c r="FA160" s="509"/>
      <c r="FB160" s="509"/>
      <c r="FC160" s="509"/>
      <c r="FD160" s="509"/>
      <c r="FE160" s="509"/>
      <c r="FF160" s="509"/>
      <c r="FG160" s="509"/>
      <c r="FH160" s="509"/>
      <c r="FI160" s="509"/>
      <c r="FJ160" s="509"/>
      <c r="FK160" s="509"/>
      <c r="FL160" s="509"/>
      <c r="FM160" s="509"/>
      <c r="FN160" s="509"/>
      <c r="FO160" s="509"/>
      <c r="FP160" s="509"/>
      <c r="FQ160" s="509"/>
      <c r="FR160" s="509"/>
      <c r="FS160" s="509"/>
      <c r="FT160" s="509"/>
      <c r="FU160" s="509"/>
      <c r="FV160" s="509"/>
      <c r="FW160" s="509"/>
      <c r="FX160" s="509"/>
      <c r="FY160" s="509"/>
      <c r="FZ160" s="509"/>
      <c r="GA160" s="509"/>
      <c r="GB160" s="509"/>
      <c r="GC160" s="509"/>
      <c r="GD160" s="509"/>
      <c r="GE160" s="509"/>
      <c r="GF160" s="509"/>
      <c r="GG160" s="509"/>
      <c r="GH160" s="509"/>
      <c r="GI160" s="509"/>
      <c r="GJ160" s="509"/>
      <c r="GK160" s="509"/>
      <c r="GL160" s="509"/>
      <c r="GM160" s="509"/>
      <c r="GN160" s="509"/>
      <c r="GO160" s="509"/>
      <c r="GP160" s="509"/>
      <c r="GQ160" s="509"/>
      <c r="GR160" s="509"/>
      <c r="GS160" s="509"/>
      <c r="GT160" s="509"/>
      <c r="GU160" s="509"/>
      <c r="GV160" s="509"/>
      <c r="GW160" s="509"/>
      <c r="GX160" s="509"/>
      <c r="GY160" s="509"/>
      <c r="GZ160" s="509"/>
      <c r="HA160" s="509"/>
      <c r="HB160" s="509"/>
      <c r="HC160" s="509"/>
      <c r="HD160" s="509"/>
      <c r="HE160" s="509"/>
      <c r="HF160" s="509"/>
      <c r="HG160" s="509"/>
      <c r="HH160" s="509"/>
      <c r="HI160" s="509"/>
      <c r="HJ160" s="509"/>
      <c r="HK160" s="509"/>
      <c r="HL160" s="509"/>
      <c r="HM160" s="509"/>
      <c r="HN160" s="509"/>
      <c r="HO160" s="509"/>
      <c r="HP160" s="509"/>
      <c r="HQ160" s="509"/>
      <c r="HR160" s="509"/>
      <c r="HS160" s="509"/>
      <c r="HT160" s="509"/>
      <c r="HU160" s="509"/>
      <c r="HV160" s="509"/>
      <c r="HW160" s="509"/>
      <c r="HX160" s="509"/>
      <c r="HY160" s="509"/>
      <c r="HZ160" s="509"/>
      <c r="IA160" s="509"/>
      <c r="IB160" s="509"/>
      <c r="IC160" s="509"/>
      <c r="ID160" s="509"/>
      <c r="IE160" s="509"/>
      <c r="IF160" s="509"/>
      <c r="IG160" s="509"/>
      <c r="IH160" s="509"/>
      <c r="II160" s="509"/>
      <c r="IJ160" s="509"/>
      <c r="IK160" s="509"/>
      <c r="IL160" s="509"/>
    </row>
    <row r="161" spans="1:37" x14ac:dyDescent="0.35">
      <c r="B161" s="1678"/>
      <c r="C161" s="507"/>
      <c r="D161" s="507"/>
      <c r="E161" s="507"/>
      <c r="F161" s="507"/>
      <c r="G161" s="507"/>
      <c r="H161" s="507"/>
      <c r="I161" s="507"/>
      <c r="J161" s="507"/>
      <c r="K161" s="507"/>
      <c r="AH161" s="509"/>
      <c r="AI161" s="509"/>
      <c r="AJ161" s="509"/>
      <c r="AK161" s="509"/>
    </row>
    <row r="162" spans="1:37" x14ac:dyDescent="0.4">
      <c r="C162" s="450"/>
      <c r="D162" s="450"/>
      <c r="E162" s="450"/>
      <c r="F162" s="450"/>
      <c r="G162" s="450"/>
      <c r="H162" s="450"/>
      <c r="I162" s="450"/>
      <c r="J162" s="450"/>
      <c r="K162" s="450"/>
    </row>
    <row r="163" spans="1:37" x14ac:dyDescent="0.4">
      <c r="B163" s="1678"/>
      <c r="C163" s="507"/>
      <c r="D163" s="507"/>
      <c r="E163" s="507"/>
      <c r="F163" s="507"/>
      <c r="G163" s="507"/>
      <c r="H163" s="507"/>
      <c r="I163" s="507"/>
      <c r="J163" s="507"/>
      <c r="K163" s="507"/>
      <c r="L163" s="507"/>
      <c r="M163" s="507"/>
      <c r="N163" s="507"/>
      <c r="O163" s="507"/>
      <c r="P163" s="507"/>
      <c r="Q163" s="507"/>
      <c r="R163" s="507"/>
      <c r="S163" s="507"/>
      <c r="T163" s="507"/>
      <c r="U163" s="507"/>
      <c r="V163" s="507"/>
      <c r="W163" s="507"/>
      <c r="X163" s="507"/>
    </row>
    <row r="164" spans="1:37" x14ac:dyDescent="0.4">
      <c r="C164" s="362"/>
      <c r="D164" s="362"/>
      <c r="E164" s="362"/>
      <c r="F164" s="362"/>
      <c r="G164" s="362"/>
      <c r="H164" s="362"/>
      <c r="I164" s="362"/>
      <c r="J164" s="362"/>
      <c r="K164" s="362"/>
    </row>
    <row r="165" spans="1:37" x14ac:dyDescent="0.4">
      <c r="B165" s="1678"/>
      <c r="C165" s="362"/>
      <c r="D165" s="362"/>
      <c r="E165" s="362"/>
      <c r="F165" s="362"/>
      <c r="G165" s="362"/>
      <c r="H165" s="362"/>
      <c r="I165" s="362"/>
      <c r="J165" s="362"/>
      <c r="K165" s="362"/>
    </row>
    <row r="166" spans="1:37" x14ac:dyDescent="0.4">
      <c r="C166" s="450"/>
      <c r="D166" s="450"/>
      <c r="E166" s="450"/>
      <c r="F166" s="450"/>
      <c r="G166" s="450"/>
      <c r="H166" s="450"/>
      <c r="I166" s="450"/>
      <c r="J166" s="450"/>
      <c r="K166" s="450"/>
    </row>
    <row r="167" spans="1:37" x14ac:dyDescent="0.4">
      <c r="C167" s="450"/>
      <c r="D167" s="450"/>
      <c r="E167" s="450"/>
      <c r="F167" s="450"/>
      <c r="G167" s="450"/>
      <c r="H167" s="450"/>
      <c r="I167" s="450"/>
      <c r="J167" s="450"/>
      <c r="K167" s="450"/>
      <c r="Y167" s="461"/>
      <c r="Z167" s="461"/>
      <c r="AA167" s="461"/>
      <c r="AB167" s="461"/>
      <c r="AC167" s="461"/>
      <c r="AD167" s="461"/>
      <c r="AE167" s="461"/>
      <c r="AF167" s="461"/>
      <c r="AG167" s="461"/>
    </row>
    <row r="168" spans="1:37" x14ac:dyDescent="0.4">
      <c r="C168" s="450"/>
      <c r="D168" s="450"/>
      <c r="E168" s="450"/>
      <c r="F168" s="450"/>
      <c r="G168" s="450"/>
      <c r="H168" s="450"/>
      <c r="I168" s="450"/>
      <c r="J168" s="450"/>
      <c r="K168" s="450"/>
    </row>
    <row r="169" spans="1:37" x14ac:dyDescent="0.4">
      <c r="C169" s="450"/>
      <c r="D169" s="450"/>
      <c r="E169" s="450"/>
      <c r="F169" s="450"/>
      <c r="G169" s="450"/>
      <c r="H169" s="450"/>
      <c r="I169" s="450"/>
      <c r="J169" s="450"/>
      <c r="K169" s="450"/>
      <c r="L169" s="450"/>
      <c r="M169" s="450"/>
      <c r="N169" s="450"/>
      <c r="O169" s="450"/>
      <c r="P169" s="450"/>
      <c r="Q169" s="450"/>
      <c r="R169" s="450"/>
      <c r="S169" s="450"/>
      <c r="T169" s="450"/>
      <c r="U169" s="450"/>
      <c r="V169" s="450"/>
      <c r="W169" s="450"/>
      <c r="X169" s="450"/>
    </row>
    <row r="170" spans="1:37" x14ac:dyDescent="0.4">
      <c r="C170" s="450"/>
      <c r="D170" s="450"/>
      <c r="E170" s="450"/>
      <c r="F170" s="450"/>
      <c r="G170" s="450"/>
      <c r="H170" s="450"/>
      <c r="I170" s="450"/>
      <c r="J170" s="450"/>
      <c r="K170" s="450"/>
    </row>
    <row r="171" spans="1:37" x14ac:dyDescent="0.4">
      <c r="C171" s="362"/>
      <c r="D171" s="362"/>
      <c r="E171" s="362"/>
      <c r="F171" s="362"/>
      <c r="G171" s="362"/>
      <c r="H171" s="362"/>
      <c r="I171" s="362"/>
      <c r="J171" s="362"/>
      <c r="K171" s="362"/>
    </row>
    <row r="172" spans="1:37" x14ac:dyDescent="0.4">
      <c r="C172" s="362"/>
      <c r="D172" s="362"/>
      <c r="E172" s="362"/>
      <c r="F172" s="362"/>
      <c r="G172" s="362"/>
      <c r="H172" s="362"/>
      <c r="I172" s="362"/>
      <c r="J172" s="362"/>
      <c r="K172" s="362"/>
    </row>
    <row r="173" spans="1:37" x14ac:dyDescent="0.4">
      <c r="A173" s="311"/>
      <c r="B173" s="1678"/>
      <c r="C173" s="362"/>
      <c r="D173" s="362"/>
    </row>
    <row r="174" spans="1:37" x14ac:dyDescent="0.4">
      <c r="C174" s="450"/>
      <c r="D174" s="450"/>
      <c r="E174" s="450"/>
      <c r="F174" s="450"/>
      <c r="G174" s="450"/>
      <c r="H174" s="450"/>
      <c r="I174" s="450"/>
      <c r="J174" s="450"/>
      <c r="K174" s="450"/>
    </row>
    <row r="175" spans="1:37" x14ac:dyDescent="0.4">
      <c r="C175" s="450"/>
      <c r="D175" s="450"/>
      <c r="E175" s="450"/>
      <c r="F175" s="450"/>
      <c r="G175" s="450"/>
      <c r="H175" s="450"/>
      <c r="I175" s="450"/>
      <c r="J175" s="450"/>
      <c r="K175" s="450"/>
    </row>
    <row r="176" spans="1:37" x14ac:dyDescent="0.4">
      <c r="C176" s="450"/>
      <c r="D176" s="450"/>
      <c r="E176" s="450"/>
      <c r="F176" s="450"/>
      <c r="G176" s="450"/>
      <c r="H176" s="450"/>
      <c r="I176" s="450"/>
      <c r="J176" s="450"/>
      <c r="K176" s="450"/>
    </row>
    <row r="177" spans="1:24" x14ac:dyDescent="0.4">
      <c r="C177" s="450"/>
      <c r="D177" s="450"/>
      <c r="E177" s="450"/>
      <c r="F177" s="450"/>
      <c r="G177" s="450"/>
      <c r="H177" s="450"/>
      <c r="I177" s="450"/>
      <c r="J177" s="450"/>
      <c r="K177" s="450"/>
      <c r="L177" s="450"/>
      <c r="M177" s="450"/>
      <c r="N177" s="450"/>
      <c r="O177" s="450"/>
      <c r="P177" s="450"/>
      <c r="Q177" s="450"/>
      <c r="R177" s="450"/>
      <c r="S177" s="450"/>
      <c r="T177" s="450"/>
      <c r="U177" s="450"/>
      <c r="V177" s="450"/>
      <c r="W177" s="450"/>
      <c r="X177" s="450"/>
    </row>
    <row r="178" spans="1:24" x14ac:dyDescent="0.4">
      <c r="C178" s="450"/>
      <c r="D178" s="450"/>
      <c r="E178" s="450"/>
      <c r="F178" s="450"/>
      <c r="G178" s="450"/>
      <c r="H178" s="450"/>
      <c r="I178" s="450"/>
      <c r="J178" s="450"/>
      <c r="K178" s="450"/>
      <c r="L178" s="450"/>
      <c r="M178" s="450"/>
      <c r="N178" s="450"/>
      <c r="O178" s="450"/>
      <c r="P178" s="450"/>
      <c r="Q178" s="450"/>
      <c r="R178" s="450"/>
      <c r="S178" s="450"/>
      <c r="T178" s="450"/>
      <c r="U178" s="450"/>
      <c r="V178" s="450"/>
      <c r="W178" s="450"/>
      <c r="X178" s="450"/>
    </row>
    <row r="179" spans="1:24" x14ac:dyDescent="0.4">
      <c r="A179" s="512"/>
    </row>
    <row r="180" spans="1:24" x14ac:dyDescent="0.4">
      <c r="C180" s="395"/>
      <c r="D180" s="395"/>
      <c r="E180" s="395"/>
      <c r="F180" s="395"/>
      <c r="G180" s="395"/>
      <c r="H180" s="395"/>
      <c r="I180" s="395"/>
      <c r="J180" s="395"/>
      <c r="K180" s="395"/>
    </row>
    <row r="181" spans="1:24" x14ac:dyDescent="0.4">
      <c r="C181" s="450"/>
      <c r="D181" s="450"/>
      <c r="E181" s="450"/>
      <c r="F181" s="450"/>
      <c r="G181" s="450"/>
      <c r="H181" s="450"/>
      <c r="I181" s="450"/>
      <c r="J181" s="450"/>
      <c r="K181" s="450"/>
    </row>
    <row r="182" spans="1:24" x14ac:dyDescent="0.4">
      <c r="C182" s="450"/>
      <c r="D182" s="450"/>
      <c r="E182" s="450"/>
      <c r="F182" s="450"/>
      <c r="G182" s="450"/>
      <c r="H182" s="450"/>
      <c r="I182" s="450"/>
      <c r="J182" s="450"/>
      <c r="K182" s="450"/>
    </row>
    <row r="183" spans="1:24" x14ac:dyDescent="0.4">
      <c r="C183" s="450"/>
      <c r="D183" s="361"/>
      <c r="E183" s="361"/>
      <c r="F183" s="361"/>
      <c r="G183" s="361"/>
      <c r="H183" s="361"/>
      <c r="I183" s="361"/>
      <c r="J183" s="361"/>
      <c r="K183" s="361"/>
    </row>
    <row r="184" spans="1:24" x14ac:dyDescent="0.4">
      <c r="C184" s="450"/>
      <c r="D184" s="361"/>
      <c r="E184" s="361"/>
      <c r="F184" s="361"/>
      <c r="G184" s="361"/>
      <c r="H184" s="361"/>
      <c r="I184" s="361"/>
      <c r="J184" s="361"/>
      <c r="K184" s="361"/>
    </row>
    <row r="185" spans="1:24" x14ac:dyDescent="0.4">
      <c r="C185" s="450"/>
      <c r="D185" s="361"/>
      <c r="E185" s="361"/>
      <c r="F185" s="361"/>
      <c r="G185" s="361"/>
      <c r="H185" s="361"/>
      <c r="I185" s="361"/>
      <c r="J185" s="361"/>
      <c r="K185" s="361"/>
    </row>
    <row r="186" spans="1:24" x14ac:dyDescent="0.4">
      <c r="A186" s="512"/>
      <c r="C186" s="395"/>
      <c r="D186" s="395"/>
    </row>
    <row r="187" spans="1:24" x14ac:dyDescent="0.4">
      <c r="B187" s="1678"/>
      <c r="C187" s="513"/>
      <c r="D187" s="513"/>
    </row>
    <row r="188" spans="1:24" x14ac:dyDescent="0.4">
      <c r="C188" s="450"/>
      <c r="D188" s="450"/>
    </row>
    <row r="189" spans="1:24" x14ac:dyDescent="0.4">
      <c r="C189" s="450"/>
      <c r="D189" s="450"/>
    </row>
    <row r="191" spans="1:24" x14ac:dyDescent="0.4">
      <c r="B191" s="1678"/>
      <c r="C191" s="513"/>
      <c r="D191" s="513"/>
    </row>
    <row r="192" spans="1:24" x14ac:dyDescent="0.4">
      <c r="C192" s="450"/>
      <c r="D192" s="450"/>
    </row>
    <row r="193" spans="2:4" x14ac:dyDescent="0.4">
      <c r="C193" s="450"/>
      <c r="D193" s="450"/>
    </row>
    <row r="194" spans="2:4" x14ac:dyDescent="0.4">
      <c r="B194" s="1678"/>
      <c r="C194" s="513"/>
      <c r="D194" s="513"/>
    </row>
    <row r="195" spans="2:4" x14ac:dyDescent="0.4">
      <c r="C195" s="450"/>
      <c r="D195" s="450"/>
    </row>
    <row r="196" spans="2:4" x14ac:dyDescent="0.4">
      <c r="C196" s="450"/>
      <c r="D196" s="450"/>
    </row>
    <row r="197" spans="2:4" x14ac:dyDescent="0.4">
      <c r="B197" s="1678"/>
      <c r="C197" s="513"/>
      <c r="D197" s="513"/>
    </row>
    <row r="198" spans="2:4" x14ac:dyDescent="0.4">
      <c r="C198" s="450"/>
      <c r="D198" s="450"/>
    </row>
    <row r="199" spans="2:4" x14ac:dyDescent="0.4">
      <c r="C199" s="450"/>
      <c r="D199" s="450"/>
    </row>
    <row r="200" spans="2:4" x14ac:dyDescent="0.4">
      <c r="B200" s="1678"/>
      <c r="C200" s="513"/>
      <c r="D200" s="513"/>
    </row>
    <row r="201" spans="2:4" x14ac:dyDescent="0.4">
      <c r="C201" s="450"/>
      <c r="D201" s="450"/>
    </row>
    <row r="202" spans="2:4" x14ac:dyDescent="0.4">
      <c r="C202" s="450"/>
      <c r="D202" s="450"/>
    </row>
  </sheetData>
  <phoneticPr fontId="51" type="noConversion"/>
  <pageMargins left="0.74803149606299213" right="0.74803149606299213" top="0.5" bottom="0.81" header="0.34" footer="0.23"/>
  <pageSetup paperSize="9" scale="94"/>
  <headerFooter alignWithMargins="0">
    <oddHeader>&amp;A</oddHeader>
    <oddFooter>&amp;F</oddFooter>
  </headerFooter>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G47"/>
  <sheetViews>
    <sheetView showGridLines="0" zoomScale="145" zoomScaleNormal="145" workbookViewId="0">
      <pane xSplit="2" ySplit="2" topLeftCell="N3" activePane="bottomRight" state="frozen"/>
      <selection pane="topRight"/>
      <selection pane="bottomLeft"/>
      <selection pane="bottomRight" activeCell="X5" sqref="X5"/>
    </sheetView>
  </sheetViews>
  <sheetFormatPr defaultColWidth="8.0625" defaultRowHeight="11.65" outlineLevelCol="1" x14ac:dyDescent="0.4"/>
  <cols>
    <col min="1" max="1" width="31.0625" style="310" hidden="1" customWidth="1" outlineLevel="1"/>
    <col min="2" max="2" width="25" style="354" customWidth="1" collapsed="1"/>
    <col min="3" max="3" width="8.0625" style="310" hidden="1" customWidth="1" outlineLevel="1"/>
    <col min="4" max="4" width="8.0625" style="311" hidden="1" customWidth="1" outlineLevel="1"/>
    <col min="5" max="13" width="8.0625" style="310" hidden="1" customWidth="1" outlineLevel="1"/>
    <col min="14" max="14" width="9" style="310" bestFit="1" customWidth="1" collapsed="1"/>
    <col min="15" max="15" width="9" style="310" bestFit="1" customWidth="1"/>
    <col min="16" max="19" width="8.0625" style="310"/>
    <col min="20" max="23" width="8.0625" style="310" customWidth="1"/>
    <col min="24" max="29" width="8.0625" style="310" customWidth="1" outlineLevel="1"/>
    <col min="30" max="33" width="8.0625" style="310" outlineLevel="1"/>
    <col min="34" max="16384" width="8.0625" style="310"/>
  </cols>
  <sheetData>
    <row r="1" spans="1:33" x14ac:dyDescent="0.4">
      <c r="A1" s="314" t="s">
        <v>2011</v>
      </c>
      <c r="B1" s="1668" t="s">
        <v>2983</v>
      </c>
      <c r="C1" s="514"/>
      <c r="D1" s="328">
        <f>BS!D1</f>
        <v>0</v>
      </c>
      <c r="E1" s="328">
        <f>BS!E1</f>
        <v>0</v>
      </c>
      <c r="F1" s="328">
        <f>BS!F1</f>
        <v>0</v>
      </c>
      <c r="G1" s="328">
        <f>BS!G1</f>
        <v>0</v>
      </c>
      <c r="H1" s="328">
        <f>BS!H1</f>
        <v>0</v>
      </c>
      <c r="I1" s="328">
        <f>BS!I1</f>
        <v>0</v>
      </c>
      <c r="J1" s="328">
        <f>BS!J1</f>
        <v>0</v>
      </c>
      <c r="K1" s="328">
        <f>BS!K1</f>
        <v>0</v>
      </c>
      <c r="L1" s="328">
        <f>BS!L1</f>
        <v>0</v>
      </c>
      <c r="M1" s="328">
        <f>BS!M1</f>
        <v>0</v>
      </c>
      <c r="N1" s="328">
        <f>BS!N1</f>
        <v>0</v>
      </c>
      <c r="O1" s="328">
        <f>BS!O1</f>
        <v>0</v>
      </c>
      <c r="P1" s="328">
        <f>BS!P1</f>
        <v>0</v>
      </c>
      <c r="Q1" s="328">
        <f>BS!Q1</f>
        <v>0</v>
      </c>
      <c r="R1" s="328">
        <f>BS!R1</f>
        <v>0</v>
      </c>
      <c r="S1" s="328">
        <f>BS!S1</f>
        <v>0</v>
      </c>
      <c r="T1" s="328">
        <f>BS!T1</f>
        <v>0</v>
      </c>
      <c r="U1" s="328">
        <f>BS!U1</f>
        <v>0</v>
      </c>
      <c r="V1" s="328">
        <f>BS!V1</f>
        <v>0</v>
      </c>
      <c r="W1" s="328">
        <f>BS!W1</f>
        <v>0</v>
      </c>
      <c r="X1" s="328">
        <f ca="1">BS!X1</f>
        <v>0</v>
      </c>
      <c r="Y1" s="328">
        <f ca="1">BS!Y1</f>
        <v>0</v>
      </c>
      <c r="Z1" s="328">
        <f ca="1">BS!Z1</f>
        <v>0</v>
      </c>
      <c r="AA1" s="328">
        <f ca="1">BS!AA1</f>
        <v>0</v>
      </c>
      <c r="AB1" s="328">
        <f ca="1">BS!AB1</f>
        <v>0</v>
      </c>
      <c r="AC1" s="328">
        <f ca="1">BS!AC1</f>
        <v>0</v>
      </c>
      <c r="AD1" s="328">
        <f ca="1">BS!AD1</f>
        <v>0</v>
      </c>
      <c r="AE1" s="328">
        <f ca="1">BS!AE1</f>
        <v>0</v>
      </c>
      <c r="AF1" s="328">
        <f ca="1">BS!AF1</f>
        <v>0</v>
      </c>
      <c r="AG1" s="328">
        <f ca="1">BS!AG1</f>
        <v>0</v>
      </c>
    </row>
    <row r="2" spans="1:33" s="322" customFormat="1" x14ac:dyDescent="0.4">
      <c r="A2" s="318" t="s">
        <v>759</v>
      </c>
      <c r="B2" s="1641" t="s">
        <v>2958</v>
      </c>
      <c r="C2" s="515" t="s">
        <v>328</v>
      </c>
      <c r="D2" s="515" t="s">
        <v>323</v>
      </c>
      <c r="E2" s="515" t="s">
        <v>198</v>
      </c>
      <c r="F2" s="515" t="s">
        <v>331</v>
      </c>
      <c r="G2" s="515" t="s">
        <v>56</v>
      </c>
      <c r="H2" s="515" t="s">
        <v>721</v>
      </c>
      <c r="I2" s="515" t="s">
        <v>747</v>
      </c>
      <c r="J2" s="515" t="s">
        <v>1748</v>
      </c>
      <c r="K2" s="515" t="s">
        <v>1376</v>
      </c>
      <c r="L2" s="515" t="s">
        <v>1510</v>
      </c>
      <c r="M2" s="515" t="s">
        <v>1587</v>
      </c>
      <c r="N2" s="516" t="s">
        <v>1739</v>
      </c>
      <c r="O2" s="516" t="s">
        <v>1810</v>
      </c>
      <c r="P2" s="516" t="s">
        <v>1818</v>
      </c>
      <c r="Q2" s="516" t="s">
        <v>2012</v>
      </c>
      <c r="R2" s="516" t="s">
        <v>2593</v>
      </c>
      <c r="S2" s="516" t="s">
        <v>2653</v>
      </c>
      <c r="T2" s="516" t="str">
        <f>PL!T3</f>
        <v>2022A</v>
      </c>
      <c r="U2" s="516" t="str">
        <f>PL!U3</f>
        <v>2023A</v>
      </c>
      <c r="V2" s="516" t="str">
        <f>PL!V3</f>
        <v>2024A</v>
      </c>
      <c r="W2" s="516" t="str">
        <f>PL!W3</f>
        <v>2025A</v>
      </c>
      <c r="X2" s="516" t="str">
        <f>PL!X3</f>
        <v>2026E</v>
      </c>
      <c r="Y2" s="516" t="str">
        <f>PL!Y3</f>
        <v>2027E</v>
      </c>
      <c r="Z2" s="516" t="str">
        <f>PL!Z3</f>
        <v>2028E</v>
      </c>
      <c r="AA2" s="516" t="str">
        <f>PL!AA3</f>
        <v>2029E</v>
      </c>
      <c r="AB2" s="516" t="str">
        <f>PL!AB3</f>
        <v>2030E</v>
      </c>
      <c r="AC2" s="516" t="str">
        <f>PL!AC3</f>
        <v>2031E</v>
      </c>
      <c r="AD2" s="516" t="str">
        <f>PL!AD3</f>
        <v>2032E</v>
      </c>
      <c r="AE2" s="516" t="str">
        <f>PL!AE3</f>
        <v>2033E</v>
      </c>
      <c r="AF2" s="516" t="str">
        <f>PL!AF3</f>
        <v>2034E</v>
      </c>
      <c r="AG2" s="516" t="str">
        <f>PL!AG3</f>
        <v>2035E</v>
      </c>
    </row>
    <row r="3" spans="1:33" s="322" customFormat="1" ht="12" x14ac:dyDescent="0.35">
      <c r="A3" s="517" t="s">
        <v>314</v>
      </c>
      <c r="B3" s="1640" t="s">
        <v>100</v>
      </c>
      <c r="C3" s="518"/>
      <c r="D3" s="519"/>
      <c r="E3" s="518"/>
      <c r="F3" s="518"/>
      <c r="G3" s="518"/>
      <c r="H3" s="518"/>
    </row>
    <row r="4" spans="1:33" x14ac:dyDescent="0.4">
      <c r="A4" s="310" t="s">
        <v>2009</v>
      </c>
      <c r="B4" s="354" t="s">
        <v>3038</v>
      </c>
      <c r="C4" s="520"/>
      <c r="D4" s="521">
        <f>PL!D112</f>
        <v>222.18199999999925</v>
      </c>
      <c r="E4" s="521">
        <f>PL!E112</f>
        <v>404.89300000000003</v>
      </c>
      <c r="F4" s="521">
        <f>PL!F112</f>
        <v>489.32100000000008</v>
      </c>
      <c r="G4" s="521">
        <f>PL!G112</f>
        <v>612.53100000000006</v>
      </c>
      <c r="H4" s="521">
        <f>PL!H112</f>
        <v>1036.2779999999993</v>
      </c>
      <c r="I4" s="521">
        <f>PL!I112</f>
        <v>1507.4049999999995</v>
      </c>
      <c r="J4" s="521">
        <f>PL!J112</f>
        <v>2941.2510000000011</v>
      </c>
      <c r="K4" s="521">
        <f>PL!K112</f>
        <v>2749.5510000000004</v>
      </c>
      <c r="L4" s="521">
        <f>PL!L112</f>
        <v>3457.4099999999967</v>
      </c>
      <c r="M4" s="521">
        <f>PL!M112</f>
        <v>4524.1259999999984</v>
      </c>
      <c r="N4" s="521">
        <f>PL!N112</f>
        <v>5130.0660000000053</v>
      </c>
      <c r="O4" s="521">
        <f>PL!O112</f>
        <v>5490.0909999999994</v>
      </c>
      <c r="P4" s="521">
        <f>PL!P112</f>
        <v>4500.1480000000029</v>
      </c>
      <c r="Q4" s="521">
        <f>PL!Q112</f>
        <v>5413.2080000000014</v>
      </c>
      <c r="R4" s="521">
        <f>PL!R112</f>
        <v>6015.3679999999986</v>
      </c>
      <c r="S4" s="521">
        <f>PL!S112</f>
        <v>6800.8790000000008</v>
      </c>
      <c r="T4" s="521">
        <f>PL!T112</f>
        <v>7956.8759999999957</v>
      </c>
      <c r="U4" s="521">
        <f>PL!U112</f>
        <v>9164.0450000000037</v>
      </c>
      <c r="V4" s="521">
        <f>PL!V112</f>
        <v>8565.3309999999983</v>
      </c>
      <c r="W4" s="521">
        <f>PL!W112</f>
        <v>8588.4439999999995</v>
      </c>
      <c r="X4" s="521">
        <f ca="1">PL!X112</f>
        <v>9661.5456312902897</v>
      </c>
      <c r="Y4" s="521">
        <f ca="1">PL!Y112</f>
        <v>10494.750019954554</v>
      </c>
      <c r="Z4" s="521">
        <f ca="1">PL!Z112</f>
        <v>11007.27354970434</v>
      </c>
      <c r="AA4" s="521">
        <f ca="1">PL!AA112</f>
        <v>12253.690079014716</v>
      </c>
      <c r="AB4" s="521">
        <f ca="1">PL!AB112</f>
        <v>13409.980923372055</v>
      </c>
      <c r="AC4" s="521">
        <f ca="1">PL!AC112</f>
        <v>14485.896042418259</v>
      </c>
      <c r="AD4" s="521">
        <f ca="1">PL!AD112</f>
        <v>15494.816479333513</v>
      </c>
      <c r="AE4" s="521">
        <f ca="1">PL!AE112</f>
        <v>16456.788829944435</v>
      </c>
      <c r="AF4" s="521">
        <f ca="1">PL!AF112</f>
        <v>17368.403389809399</v>
      </c>
      <c r="AG4" s="521">
        <f ca="1">PL!AG112</f>
        <v>18235.101632437039</v>
      </c>
    </row>
    <row r="5" spans="1:33" x14ac:dyDescent="0.4">
      <c r="A5" s="310" t="s">
        <v>2302</v>
      </c>
      <c r="B5" s="354" t="s">
        <v>242</v>
      </c>
      <c r="C5" s="520"/>
      <c r="D5" s="521">
        <f>PL!D109</f>
        <v>-0.31900000000000001</v>
      </c>
      <c r="E5" s="521">
        <f>PL!E109</f>
        <v>43.061999999999998</v>
      </c>
      <c r="F5" s="521">
        <f>PL!F109</f>
        <v>15.068</v>
      </c>
      <c r="G5" s="521">
        <f>PL!G109</f>
        <v>0</v>
      </c>
      <c r="H5" s="521">
        <f>PL!H109</f>
        <v>83.971000000000004</v>
      </c>
      <c r="I5" s="521">
        <f>PL!I109</f>
        <v>2.774</v>
      </c>
      <c r="J5" s="521">
        <f>PL!J109</f>
        <v>5.0419999999999998</v>
      </c>
      <c r="K5" s="521">
        <f>PL!K109</f>
        <v>-78.864000000000004</v>
      </c>
      <c r="L5" s="521">
        <f>PL!L109</f>
        <v>-69.531999999999996</v>
      </c>
      <c r="M5" s="521">
        <f>PL!M109</f>
        <v>-51.442999999999998</v>
      </c>
      <c r="N5" s="521">
        <f>PL!N109</f>
        <v>-122.85</v>
      </c>
      <c r="O5" s="521">
        <f>PL!O109</f>
        <v>44.213000000000001</v>
      </c>
      <c r="P5" s="521">
        <f>PL!P109</f>
        <v>39.484999999999999</v>
      </c>
      <c r="Q5" s="521">
        <f>PL!Q109</f>
        <v>50.206000000000003</v>
      </c>
      <c r="R5" s="521">
        <f>PL!R109</f>
        <v>61.56</v>
      </c>
      <c r="S5" s="521">
        <f>PL!S109</f>
        <v>169.87299999999999</v>
      </c>
      <c r="T5" s="521">
        <f>PL!T109</f>
        <v>216.76400000000001</v>
      </c>
      <c r="U5" s="521">
        <f>PL!U109</f>
        <v>244.11500000000001</v>
      </c>
      <c r="V5" s="521">
        <f>PL!V109</f>
        <v>315.654</v>
      </c>
      <c r="W5" s="521">
        <f>PL!W109</f>
        <v>188.12200000000001</v>
      </c>
      <c r="X5" s="521">
        <f ca="1">PL!X109</f>
        <v>211.0173448400468</v>
      </c>
      <c r="Y5" s="521">
        <f ca="1">PL!Y109</f>
        <v>228.79432070557715</v>
      </c>
      <c r="Z5" s="521">
        <f ca="1">PL!Z109</f>
        <v>239.72935482545813</v>
      </c>
      <c r="AA5" s="521">
        <f ca="1">PL!AA109</f>
        <v>266.32248954894419</v>
      </c>
      <c r="AB5" s="521">
        <f ca="1">PL!AB109</f>
        <v>290.99273218488014</v>
      </c>
      <c r="AC5" s="521">
        <f ca="1">PL!AC109</f>
        <v>313.94810467794372</v>
      </c>
      <c r="AD5" s="521">
        <f ca="1">PL!AD109</f>
        <v>335.47410058158488</v>
      </c>
      <c r="AE5" s="521">
        <f ca="1">PL!AE109</f>
        <v>355.99842749677657</v>
      </c>
      <c r="AF5" s="521">
        <f ca="1">PL!AF109</f>
        <v>375.44833708662571</v>
      </c>
      <c r="AG5" s="521">
        <f ca="1">PL!AG109</f>
        <v>393.93992684719939</v>
      </c>
    </row>
    <row r="6" spans="1:33" x14ac:dyDescent="0.4">
      <c r="A6" s="310" t="s">
        <v>2303</v>
      </c>
      <c r="B6" s="354" t="s">
        <v>3039</v>
      </c>
      <c r="C6" s="520"/>
      <c r="D6" s="521">
        <f>'CF（org）'!C111+'CF（org）'!C112+'CF（org）'!C113+'CF（org）'!C114</f>
        <v>10.284000000000001</v>
      </c>
      <c r="E6" s="521">
        <f>'CF（org）'!D111+'CF（org）'!D112+'CF（org）'!D113+'CF（org）'!D114</f>
        <v>11.165000000000001</v>
      </c>
      <c r="F6" s="521">
        <f>'CF（org）'!E111+'CF（org）'!E112+'CF（org）'!E113+'CF（org）'!E114</f>
        <v>14.366999999999999</v>
      </c>
      <c r="G6" s="521">
        <f>'CF（org）'!F111+'CF（org）'!F112+'CF（org）'!F113+'CF（org）'!F114</f>
        <v>88.51</v>
      </c>
      <c r="H6" s="521">
        <f>'CF（org）'!G111+'CF（org）'!G112+'CF（org）'!G113+'CF（org）'!G114</f>
        <v>81.227000000000018</v>
      </c>
      <c r="I6" s="521">
        <f>'CF（org）'!H111+'CF（org）'!H112+'CF（org）'!H113+'CF（org）'!H114</f>
        <v>179.858</v>
      </c>
      <c r="J6" s="521">
        <f>'CF（org）'!I111+'CF（org）'!I112+'CF（org）'!I113+'CF（org）'!I114</f>
        <v>254.52</v>
      </c>
      <c r="K6" s="521">
        <f>'CF（org）'!J111+'CF（org）'!J112+'CF（org）'!J113+'CF（org）'!J114</f>
        <v>279.30500000000006</v>
      </c>
      <c r="L6" s="521">
        <f>'CF（org）'!K111+'CF（org）'!K112+'CF（org）'!K113+'CF（org）'!K114</f>
        <v>294.42500000000001</v>
      </c>
      <c r="M6" s="521">
        <f>'CF（org）'!L111+'CF（org）'!L112+'CF（org）'!L113+'CF（org）'!L114</f>
        <v>326.39599999999996</v>
      </c>
      <c r="N6" s="521">
        <f>'CF（org）'!M111+'CF（org）'!M112+'CF（org）'!M113+'CF（org）'!M114</f>
        <v>350.51800000000003</v>
      </c>
      <c r="O6" s="521">
        <f>'CF（org）'!N111+'CF（org）'!N112+'CF（org）'!N113+'CF（org）'!N114</f>
        <v>345.899</v>
      </c>
      <c r="P6" s="521">
        <f>'CF（org）'!O111+'CF（org）'!O112+'CF（org）'!O113+'CF（org）'!O114</f>
        <v>364.18799999999999</v>
      </c>
      <c r="Q6" s="521">
        <f>'CF（org）'!P111+'CF（org）'!P112+'CF（org）'!P113+'CF（org）'!P114</f>
        <v>464.24099999999999</v>
      </c>
      <c r="R6" s="521">
        <f>'CF（org）'!Q111+'CF（org）'!Q112+'CF（org）'!Q113+'CF（org）'!Q114</f>
        <v>404.00099999999998</v>
      </c>
      <c r="S6" s="521">
        <f>CAPEX!S46</f>
        <v>238.83699999999999</v>
      </c>
      <c r="T6" s="521">
        <f>CAPEX!T46</f>
        <v>402.00700000000001</v>
      </c>
      <c r="U6" s="521">
        <f>CAPEX!U46</f>
        <v>552.54300000000001</v>
      </c>
      <c r="V6" s="521">
        <f>CAPEX!V46</f>
        <v>590.24300000000005</v>
      </c>
      <c r="W6" s="521">
        <f>CAPEX!W46</f>
        <v>839</v>
      </c>
      <c r="X6" s="521">
        <f>CAPEX!X46</f>
        <v>794.44446371084621</v>
      </c>
      <c r="Y6" s="521">
        <f>CAPEX!Y46</f>
        <v>851.28691579435474</v>
      </c>
      <c r="Z6" s="521">
        <f>CAPEX!Z46</f>
        <v>911.50413317386437</v>
      </c>
      <c r="AA6" s="521">
        <f>CAPEX!AA46</f>
        <v>975.10587429392456</v>
      </c>
      <c r="AB6" s="521">
        <f>CAPEX!AB46</f>
        <v>1042.5411213050904</v>
      </c>
      <c r="AC6" s="521">
        <f>CAPEX!AC46</f>
        <v>1113.2170662701035</v>
      </c>
      <c r="AD6" s="521">
        <f>CAPEX!AD46</f>
        <v>1186.6156018255701</v>
      </c>
      <c r="AE6" s="521">
        <f>CAPEX!AE46</f>
        <v>1262.2784668470322</v>
      </c>
      <c r="AF6" s="521">
        <f>CAPEX!AF46</f>
        <v>1339.7952405806911</v>
      </c>
      <c r="AG6" s="521">
        <f>CAPEX!AG46</f>
        <v>1418.7936580811595</v>
      </c>
    </row>
    <row r="7" spans="1:33" x14ac:dyDescent="0.4">
      <c r="A7" s="310" t="s">
        <v>2304</v>
      </c>
      <c r="B7" s="354" t="s">
        <v>3040</v>
      </c>
      <c r="C7" s="520"/>
      <c r="D7" s="521">
        <f>-WC!D7</f>
        <v>977.33200000000079</v>
      </c>
      <c r="E7" s="521">
        <f>-WC!E7</f>
        <v>-434.20200000000068</v>
      </c>
      <c r="F7" s="521">
        <f>-WC!F7</f>
        <v>-334.01200000000063</v>
      </c>
      <c r="G7" s="521">
        <f>-WC!G7</f>
        <v>373.13500000000113</v>
      </c>
      <c r="H7" s="521">
        <f>-WC!H7</f>
        <v>2496.9849999999997</v>
      </c>
      <c r="I7" s="521">
        <f>-WC!I7</f>
        <v>-1708.8640000000005</v>
      </c>
      <c r="J7" s="521">
        <f>-WC!J7</f>
        <v>-2639.2899999999972</v>
      </c>
      <c r="K7" s="521">
        <f>-WC!K7</f>
        <v>7317.143</v>
      </c>
      <c r="L7" s="521">
        <f>-WC!L7</f>
        <v>1220.7829999999994</v>
      </c>
      <c r="M7" s="521">
        <f>-WC!M7</f>
        <v>418.39499999998952</v>
      </c>
      <c r="N7" s="521">
        <f>-WC!N7</f>
        <v>2622.1410000000033</v>
      </c>
      <c r="O7" s="521">
        <f>-WC!O7</f>
        <v>-1751.5580000000045</v>
      </c>
      <c r="P7" s="521">
        <f>-WC!P7</f>
        <v>1120.9550000000163</v>
      </c>
      <c r="Q7" s="521">
        <f>-WC!Q7</f>
        <v>-409.88800000000629</v>
      </c>
      <c r="R7" s="521">
        <f>-WC!R7</f>
        <v>-3480.3010000000068</v>
      </c>
      <c r="S7" s="521">
        <f>-WC!S7</f>
        <v>-15325.190999999999</v>
      </c>
      <c r="T7" s="521">
        <f>-WC!T7</f>
        <v>-6972.4829999999783</v>
      </c>
      <c r="U7" s="521">
        <f>-WC!U7</f>
        <v>-5342.6650000000081</v>
      </c>
      <c r="V7" s="521">
        <f>-WC!V7</f>
        <v>-8369.4349999999831</v>
      </c>
      <c r="W7" s="521">
        <f>-WC!W7</f>
        <v>-7275.4600000000064</v>
      </c>
      <c r="X7" s="521">
        <f>-WC!X7</f>
        <v>-6226.5489732083806</v>
      </c>
      <c r="Y7" s="521">
        <f>-WC!Y7</f>
        <v>-6563.0179538722732</v>
      </c>
      <c r="Z7" s="521">
        <f>-WC!Z7</f>
        <v>-5918.9920523541805</v>
      </c>
      <c r="AA7" s="521">
        <f>-WC!AA7</f>
        <v>-8408.1447621812986</v>
      </c>
      <c r="AB7" s="521">
        <f>-WC!AB7</f>
        <v>-8710.5001450695272</v>
      </c>
      <c r="AC7" s="521">
        <f>-WC!AC7</f>
        <v>-9019.4945852906967</v>
      </c>
      <c r="AD7" s="521">
        <f>-WC!AD7</f>
        <v>-9795.5431411925529</v>
      </c>
      <c r="AE7" s="521">
        <f>-WC!AE7</f>
        <v>-8724.7688986985595</v>
      </c>
      <c r="AF7" s="521">
        <f>-WC!AF7</f>
        <v>-8960.2697464278026</v>
      </c>
      <c r="AG7" s="521">
        <f>-WC!AG7</f>
        <v>-9212.3905272268457</v>
      </c>
    </row>
    <row r="8" spans="1:33" x14ac:dyDescent="0.4">
      <c r="A8" s="310" t="s">
        <v>2305</v>
      </c>
      <c r="B8" s="354" t="s">
        <v>3041</v>
      </c>
      <c r="C8" s="520"/>
      <c r="D8" s="521">
        <f>'CF（org）'!C97</f>
        <v>4.7859999999999996</v>
      </c>
      <c r="E8" s="521">
        <f>'CF（org）'!D97</f>
        <v>1.823</v>
      </c>
      <c r="F8" s="521">
        <f>'CF（org）'!E97</f>
        <v>20.065000000000001</v>
      </c>
      <c r="G8" s="521">
        <f>'CF（org）'!F97</f>
        <v>12.956</v>
      </c>
      <c r="H8" s="521">
        <f>'CF（org）'!G97</f>
        <v>15.552</v>
      </c>
      <c r="I8" s="521">
        <f>'CF（org）'!H97</f>
        <v>192.69</v>
      </c>
      <c r="J8" s="521">
        <f>'CF（org）'!I97</f>
        <v>239.375</v>
      </c>
      <c r="K8" s="521">
        <f>'CF（org）'!J97</f>
        <v>418.44</v>
      </c>
      <c r="L8" s="521">
        <f>'CF（org）'!K97</f>
        <v>455.82900000000001</v>
      </c>
      <c r="M8" s="521">
        <f>'CF（org）'!L97</f>
        <v>607.08199999999999</v>
      </c>
      <c r="N8" s="521">
        <f>'CF（org）'!M97</f>
        <v>688.15899999999999</v>
      </c>
      <c r="O8" s="521">
        <f>'CF（org）'!N97</f>
        <v>1069.7540000000001</v>
      </c>
      <c r="P8" s="521">
        <f>'CF（org）'!O97</f>
        <v>1781.7170000000001</v>
      </c>
      <c r="Q8" s="521">
        <f>'CF（org）'!P97</f>
        <v>2278.9850000000001</v>
      </c>
      <c r="R8" s="521">
        <f>'CF（org）'!Q97</f>
        <v>2679.9769999999999</v>
      </c>
      <c r="S8" s="521">
        <f>PL!S90</f>
        <v>2668.2020000000002</v>
      </c>
      <c r="T8" s="521">
        <f>PL!T90</f>
        <v>2991.4189999999999</v>
      </c>
      <c r="U8" s="521">
        <f>PL!U90</f>
        <v>3204.3090000000002</v>
      </c>
      <c r="V8" s="521">
        <f>PL!V90</f>
        <v>2948.3119999999999</v>
      </c>
      <c r="W8" s="521">
        <f>PL!W90</f>
        <v>2469.6680000000001</v>
      </c>
      <c r="X8" s="521">
        <f>PL!X90</f>
        <v>2600.4000129371916</v>
      </c>
      <c r="Y8" s="521">
        <f>PL!Y90</f>
        <v>2740.1340407071784</v>
      </c>
      <c r="Z8" s="521">
        <f>PL!Z90</f>
        <v>2882.402039866276</v>
      </c>
      <c r="AA8" s="521">
        <f>PL!AA90</f>
        <v>3027.2546898422688</v>
      </c>
      <c r="AB8" s="521">
        <f>PL!AB90</f>
        <v>3174.743683651493</v>
      </c>
      <c r="AC8" s="521">
        <f>PL!AC90</f>
        <v>3324.9217481706146</v>
      </c>
      <c r="AD8" s="521">
        <f>PL!AD90</f>
        <v>3477.8426648138302</v>
      </c>
      <c r="AE8" s="521">
        <f>PL!AE90</f>
        <v>3633.5612906236224</v>
      </c>
      <c r="AF8" s="521">
        <f>PL!AF90</f>
        <v>3792.1335797833231</v>
      </c>
      <c r="AG8" s="521">
        <f>PL!AG90</f>
        <v>3953.6166055599297</v>
      </c>
    </row>
    <row r="9" spans="1:33" x14ac:dyDescent="0.4">
      <c r="A9" s="310" t="s">
        <v>2306</v>
      </c>
      <c r="B9" s="354" t="s">
        <v>3042</v>
      </c>
      <c r="C9" s="520"/>
      <c r="D9" s="521">
        <f>'CF（org）'!C98+'CF（org）'!C101+'CF（org）'!C105+'CF（org）'!C106+'CF（org）'!C107+'CF（org）'!C110</f>
        <v>-249.15600000000001</v>
      </c>
      <c r="E9" s="521">
        <f>'CF（org）'!D98+'CF（org）'!D101+'CF（org）'!D105+'CF（org）'!D106+'CF（org）'!D107+'CF（org）'!D110</f>
        <v>-120.351</v>
      </c>
      <c r="F9" s="521">
        <f>'CF（org）'!E98+'CF（org）'!E101+'CF（org）'!E105+'CF（org）'!E106+'CF（org）'!E107+'CF（org）'!E110</f>
        <v>-42.516000000000005</v>
      </c>
      <c r="G9" s="521">
        <f>'CF（org）'!F98+'CF（org）'!F101+'CF（org）'!F105+'CF（org）'!F106+'CF（org）'!F107+'CF（org）'!F110</f>
        <v>-364.26799999999997</v>
      </c>
      <c r="H9" s="521">
        <f>'CF（org）'!G98+'CF（org）'!G101+'CF（org）'!G105+'CF（org）'!G106+'CF（org）'!G107+'CF（org）'!G110</f>
        <v>-459.97</v>
      </c>
      <c r="I9" s="521">
        <f>'CF（org）'!H98+'CF（org）'!H101+'CF（org）'!H105+'CF（org）'!H106+'CF（org）'!H107+'CF（org）'!H110</f>
        <v>-746.39800000000002</v>
      </c>
      <c r="J9" s="521">
        <f>'CF（org）'!I98+'CF（org）'!I101+'CF（org）'!I105+'CF（org）'!I106+'CF（org）'!I107+'CF（org）'!I110</f>
        <v>-735.22699999999998</v>
      </c>
      <c r="K9" s="521">
        <f>'CF（org）'!J98+'CF（org）'!J101+'CF（org）'!J105+'CF（org）'!J106+'CF（org）'!J107+'CF（org）'!J110</f>
        <v>-760.38200000000006</v>
      </c>
      <c r="L9" s="521">
        <f>'CF（org）'!K98+'CF（org）'!K101+'CF（org）'!K105+'CF（org）'!K106+'CF（org）'!K107+'CF（org）'!K110</f>
        <v>-742.08399999999995</v>
      </c>
      <c r="M9" s="521">
        <f>'CF（org）'!L98+'CF（org）'!L101+'CF（org）'!L105+'CF（org）'!L106+'CF（org）'!L107+'CF（org）'!L110</f>
        <v>-1255.95</v>
      </c>
      <c r="N9" s="521">
        <f>'CF（org）'!M98+'CF（org）'!M101+'CF（org）'!M105+'CF（org）'!M106+'CF（org）'!M107+'CF（org）'!M110</f>
        <v>-551.20900000000006</v>
      </c>
      <c r="O9" s="521">
        <f>'CF（org）'!N98+'CF（org）'!N101+'CF（org）'!N105+'CF（org）'!N106+'CF（org）'!N107+'CF（org）'!N110</f>
        <v>-1117.6610000000001</v>
      </c>
      <c r="P9" s="521">
        <f>'CF（org）'!O98+'CF（org）'!O101+'CF（org）'!O105+'CF（org）'!O106+'CF（org）'!O107+'CF（org）'!O110</f>
        <v>-1336.1969999999999</v>
      </c>
      <c r="Q9" s="521">
        <f>'CF（org）'!P98+'CF（org）'!P101+'CF（org）'!P105+'CF（org）'!P106+'CF（org）'!P107+'CF（org）'!P110</f>
        <v>-1857.125</v>
      </c>
      <c r="R9" s="521">
        <f>'CF（org）'!Q98+'CF（org）'!Q101+'CF（org）'!Q105+'CF（org）'!Q106+'CF（org）'!Q107+'CF（org）'!Q110</f>
        <v>-3022.0509999999999</v>
      </c>
      <c r="S9" s="521">
        <f>-PL!S61</f>
        <v>-1197.192</v>
      </c>
      <c r="T9" s="521">
        <f>-PL!T61</f>
        <v>-1577.2049999999999</v>
      </c>
      <c r="U9" s="521">
        <f>-PL!U61</f>
        <v>-647.33900000000006</v>
      </c>
      <c r="V9" s="521">
        <f>-PL!V61</f>
        <v>-211.69300000000001</v>
      </c>
      <c r="W9" s="521">
        <f>-PL!W61</f>
        <v>-248.70599999999999</v>
      </c>
      <c r="X9" s="521">
        <f ca="1">-PL!X61</f>
        <v>-293.32769134484329</v>
      </c>
      <c r="Y9" s="521">
        <f ca="1">-PL!Y61</f>
        <v>-281.47053400396635</v>
      </c>
      <c r="Z9" s="521">
        <f ca="1">-PL!Z61</f>
        <v>-287.6334604380462</v>
      </c>
      <c r="AA9" s="521">
        <f ca="1">-PL!AA61</f>
        <v>-259.09480205487023</v>
      </c>
      <c r="AB9" s="521">
        <f ca="1">-PL!AB61</f>
        <v>-241.01489761039568</v>
      </c>
      <c r="AC9" s="521">
        <f ca="1">-PL!AC61</f>
        <v>-227.91105922602239</v>
      </c>
      <c r="AD9" s="521">
        <f ca="1">-PL!AD61</f>
        <v>-222.62783010892679</v>
      </c>
      <c r="AE9" s="521">
        <f ca="1">-PL!AE61</f>
        <v>-239.89059828478952</v>
      </c>
      <c r="AF9" s="521">
        <f ca="1">-PL!AF61</f>
        <v>-264.94252420030335</v>
      </c>
      <c r="AG9" s="521">
        <f ca="1">-PL!AG61</f>
        <v>-296.98729019118912</v>
      </c>
    </row>
    <row r="10" spans="1:33" x14ac:dyDescent="0.4">
      <c r="A10" s="310" t="s">
        <v>600</v>
      </c>
      <c r="B10" s="354" t="s">
        <v>247</v>
      </c>
      <c r="C10" s="326"/>
      <c r="D10" s="327">
        <f t="shared" ref="D10:U10" si="0">D11-SUM(D4:D9)</f>
        <v>-808.22500000000014</v>
      </c>
      <c r="E10" s="327">
        <f t="shared" si="0"/>
        <v>-324.97499999999934</v>
      </c>
      <c r="F10" s="327">
        <f t="shared" si="0"/>
        <v>139.13200000000057</v>
      </c>
      <c r="G10" s="327">
        <f t="shared" si="0"/>
        <v>426.1329999999989</v>
      </c>
      <c r="H10" s="327">
        <f t="shared" si="0"/>
        <v>-3213.0199999999995</v>
      </c>
      <c r="I10" s="327">
        <f t="shared" si="0"/>
        <v>-431.95999999999879</v>
      </c>
      <c r="J10" s="327">
        <f t="shared" si="0"/>
        <v>-3405.4850000000038</v>
      </c>
      <c r="K10" s="327">
        <f t="shared" si="0"/>
        <v>-13010.628000000001</v>
      </c>
      <c r="L10" s="327">
        <f t="shared" si="0"/>
        <v>-6305.7689999999957</v>
      </c>
      <c r="M10" s="327">
        <f t="shared" si="0"/>
        <v>-4270.6059999999879</v>
      </c>
      <c r="N10" s="327">
        <f t="shared" si="0"/>
        <v>-5249.8250000000089</v>
      </c>
      <c r="O10" s="327">
        <f t="shared" si="0"/>
        <v>-8926.4439999999959</v>
      </c>
      <c r="P10" s="327">
        <f t="shared" si="0"/>
        <v>-8394.8910000000178</v>
      </c>
      <c r="Q10" s="327">
        <f t="shared" si="0"/>
        <v>-8643.9759999999951</v>
      </c>
      <c r="R10" s="327">
        <f t="shared" si="0"/>
        <v>-7189.6219999999921</v>
      </c>
      <c r="S10" s="327">
        <f t="shared" si="0"/>
        <v>6093.5919999999987</v>
      </c>
      <c r="T10" s="327">
        <f t="shared" si="0"/>
        <v>-2805.378000000017</v>
      </c>
      <c r="U10" s="327">
        <f t="shared" si="0"/>
        <v>-6674.0139999999956</v>
      </c>
      <c r="V10" s="327">
        <f t="shared" ref="V10" si="1">V11-SUM(V4:V9)</f>
        <v>-1830.9550000000156</v>
      </c>
      <c r="W10" s="327">
        <f t="shared" ref="W10" si="2">W11-SUM(W4:W9)</f>
        <v>-3511.067999999992</v>
      </c>
      <c r="X10" s="328">
        <f>BS!W5-BS!X5+BS!W14-BS!X14+BS!W15-BS!X15+BS!W17-BS!X17+BS!W19-BS!X19+BS!W32-BS!X32+BS!W34-BS!X34+BS!W35-BS!X35+BS!W36-BS!X36+BS!X37-BS!W37+BS!W40-BS!X40+BS!X47-BS!W47+BS!X49-BS!W49+BS!X51-BS!W51-(BS!W64-BS!X64)-(BS!X23-BS!W23)</f>
        <v>-2819.5264612543433</v>
      </c>
      <c r="Y10" s="328">
        <f>BS!X5-BS!Y5+BS!X14-BS!Y14+BS!X15-BS!Y15+BS!X17-BS!Y17+BS!X19-BS!Y19+BS!X32-BS!Y32+BS!X34-BS!Y34+BS!X35-BS!Y35+BS!X36-BS!Y36+BS!Y37-BS!X37+BS!X40-BS!Y40+BS!Y47-BS!X47+BS!Y49-BS!X49+BS!Y51-BS!X51-(BS!X64-BS!Y64)-(BS!Y23-BS!X23)</f>
        <v>-5006.0463104202854</v>
      </c>
      <c r="Z10" s="328">
        <f>BS!Y5-BS!Z5+BS!Y14-BS!Z14+BS!Y15-BS!Z15+BS!Y17-BS!Z17+BS!Y19-BS!Z19+BS!Y32-BS!Z32+BS!Y34-BS!Z34+BS!Y35-BS!Z35+BS!Y36-BS!Z36+BS!Z37-BS!Y37+BS!Y40-BS!Z40+BS!Z47-BS!Y47+BS!Z49-BS!Y49+BS!Z51-BS!Y51-(BS!Y64-BS!Z64)-(BS!Z23-BS!Y23)</f>
        <v>-4434.8923216649491</v>
      </c>
      <c r="AA10" s="328">
        <f>BS!Z5-BS!AA5+BS!Z14-BS!AA14+BS!Z15-BS!AA15+BS!Z17-BS!AA17+BS!Z19-BS!AA19+BS!Z32-BS!AA32+BS!Z34-BS!AA34+BS!Z35-BS!AA35+BS!Z36-BS!AA36+BS!AA37-BS!Z37+BS!Z40-BS!AA40+BS!AA47-BS!Z47+BS!AA49-BS!Z49+BS!AA51-BS!Z51-(BS!Z64-BS!AA64)-(BS!AA23-BS!Z23)</f>
        <v>-6118.4755794063467</v>
      </c>
      <c r="AB10" s="328">
        <f>BS!AA5-BS!AB5+BS!AA14-BS!AB14+BS!AA15-BS!AB15+BS!AA17-BS!AB17+BS!AA19-BS!AB19+BS!AA32-BS!AB32+BS!AA34-BS!AB34+BS!AA35-BS!AB35+BS!AA36-BS!AB36+BS!AB37-BS!AA37+BS!AA40-BS!AB40+BS!AB47-BS!AA47+BS!AB49-BS!AA49+BS!AB51-BS!AA51-(BS!AA64-BS!AB64)-(BS!AB23-BS!AA23)</f>
        <v>-5726.3402286495302</v>
      </c>
      <c r="AC10" s="328">
        <f>BS!AB5-BS!AC5+BS!AB14-BS!AC14+BS!AB15-BS!AC15+BS!AB17-BS!AC17+BS!AB19-BS!AC19+BS!AB32-BS!AC32+BS!AB34-BS!AC34+BS!AB35-BS!AC35+BS!AB36-BS!AC36+BS!AC37-BS!AB37+BS!AB40-BS!AC40+BS!AC47-BS!AB47+BS!AC49-BS!AB49+BS!AC51-BS!AB51-(BS!AB64-BS!AC64)-(BS!AC23-BS!AB23)</f>
        <v>-5793.8291199639471</v>
      </c>
      <c r="AD10" s="328">
        <f>BS!AC5-BS!AD5+BS!AC14-BS!AD14+BS!AC15-BS!AD15+BS!AC17-BS!AD17+BS!AC19-BS!AD19+BS!AC32-BS!AD32+BS!AC34-BS!AD34+BS!AC35-BS!AD35+BS!AC36-BS!AD36+BS!AD37-BS!AC37+BS!AC40-BS!AD40+BS!AD47-BS!AC47+BS!AD49-BS!AC49+BS!AD51-BS!AC51-(BS!AC64-BS!AD64)-(BS!AD23-BS!AC23)</f>
        <v>-5092.5665531211898</v>
      </c>
      <c r="AE10" s="328">
        <f>BS!AD5-BS!AE5+BS!AD14-BS!AE14+BS!AD15-BS!AE15+BS!AD17-BS!AE17+BS!AD19-BS!AE19+BS!AD32-BS!AE32+BS!AD34-BS!AE34+BS!AD35-BS!AE35+BS!AD36-BS!AE36+BS!AE37-BS!AD37+BS!AD40-BS!AE40+BS!AE47-BS!AD47+BS!AE49-BS!AD49+BS!AE51-BS!AD51-(BS!AD64-BS!AE64)-(BS!AE23-BS!AD23)</f>
        <v>-4842.8613308912381</v>
      </c>
      <c r="AF10" s="328">
        <f>BS!AE5-BS!AF5+BS!AE14-BS!AF14+BS!AE15-BS!AF15+BS!AE17-BS!AF17+BS!AE19-BS!AF19+BS!AE32-BS!AF32+BS!AE34-BS!AF34+BS!AE35-BS!AF35+BS!AE36-BS!AF36+BS!AF37-BS!AE37+BS!AE40-BS!AF40+BS!AF47-BS!AE47+BS!AF49-BS!AE49+BS!AF51-BS!AE51-(BS!AE64-BS!AF64)-(BS!AF23-BS!AE23)</f>
        <v>-4635.1677199703481</v>
      </c>
      <c r="AG10" s="328">
        <f>BS!AF5-BS!AG5+BS!AF14-BS!AG14+BS!AF15-BS!AG15+BS!AF17-BS!AG17+BS!AF19-BS!AG19+BS!AF32-BS!AG32+BS!AF34-BS!AG34+BS!AF35-BS!AG35+BS!AF36-BS!AG36+BS!AG37-BS!AF37+BS!AF40-BS!AG40+BS!AG47-BS!AF47+BS!AG49-BS!AF49+BS!AG51-BS!AF51-(BS!AF64-BS!AG64)-(BS!AG23-BS!AF23)</f>
        <v>-4461.9734444940314</v>
      </c>
    </row>
    <row r="11" spans="1:33" s="323" customFormat="1" x14ac:dyDescent="0.4">
      <c r="A11" s="337" t="s">
        <v>315</v>
      </c>
      <c r="B11" s="1679" t="s">
        <v>248</v>
      </c>
      <c r="C11" s="523"/>
      <c r="D11" s="524">
        <f>'CF（org）'!C8</f>
        <v>156.88399999999999</v>
      </c>
      <c r="E11" s="524">
        <f>'CF（org）'!D8</f>
        <v>-418.58499999999998</v>
      </c>
      <c r="F11" s="524">
        <f>'CF（org）'!E8</f>
        <v>301.42500000000001</v>
      </c>
      <c r="G11" s="524">
        <f>'CF（org）'!F8</f>
        <v>1148.9970000000001</v>
      </c>
      <c r="H11" s="524">
        <f>'CF（org）'!G8</f>
        <v>41.023000000000003</v>
      </c>
      <c r="I11" s="524">
        <f>'CF（org）'!H8</f>
        <v>-1004.495</v>
      </c>
      <c r="J11" s="524">
        <f>'CF（org）'!I8</f>
        <v>-3339.8139999999999</v>
      </c>
      <c r="K11" s="524">
        <f>'CF（org）'!J8</f>
        <v>-3085.4349999999999</v>
      </c>
      <c r="L11" s="524">
        <f>'CF（org）'!K8</f>
        <v>-1688.9380000000001</v>
      </c>
      <c r="M11" s="524">
        <f>'CF（org）'!L8</f>
        <v>298</v>
      </c>
      <c r="N11" s="524">
        <f>'CF（org）'!M8</f>
        <v>2867</v>
      </c>
      <c r="O11" s="524">
        <f>'CF（org）'!N8</f>
        <v>-4845.7060000000001</v>
      </c>
      <c r="P11" s="524">
        <f>'CF（org）'!O8</f>
        <v>-1924.595</v>
      </c>
      <c r="Q11" s="524">
        <f>'CF（org）'!P8</f>
        <v>-2704.3490000000002</v>
      </c>
      <c r="R11" s="524">
        <f>'CF（org）'!Q8</f>
        <v>-4531.0680000000002</v>
      </c>
      <c r="S11" s="524">
        <f>'CF（org）'!R8</f>
        <v>-551</v>
      </c>
      <c r="T11" s="524">
        <f>'CF（org）'!S8</f>
        <v>212</v>
      </c>
      <c r="U11" s="524">
        <f>'CF（org）'!T8</f>
        <v>500.99400000000003</v>
      </c>
      <c r="V11" s="524">
        <f>'CF（org）'!U8</f>
        <v>2007.4570000000001</v>
      </c>
      <c r="W11" s="524">
        <f>'CF（org）'!V8</f>
        <v>1050</v>
      </c>
      <c r="X11" s="524">
        <f ca="1">SUM(X4:X10)</f>
        <v>3928.0043269708076</v>
      </c>
      <c r="Y11" s="524">
        <f ca="1">SUM(Y4:Y10)</f>
        <v>2464.4304988651402</v>
      </c>
      <c r="Z11" s="524">
        <f ca="1">SUM(Z4:Z10)</f>
        <v>4399.3912431127628</v>
      </c>
      <c r="AA11" s="524">
        <f t="shared" ref="AA11:AC11" ca="1" si="3">SUM(AA4:AA10)</f>
        <v>1736.6579890573366</v>
      </c>
      <c r="AB11" s="524">
        <f t="shared" ca="1" si="3"/>
        <v>3240.4031891840668</v>
      </c>
      <c r="AC11" s="524">
        <f t="shared" ca="1" si="3"/>
        <v>4196.748197056254</v>
      </c>
      <c r="AD11" s="524">
        <f t="shared" ref="AD11:AF11" ca="1" si="4">SUM(AD4:AD10)</f>
        <v>5384.0113221318306</v>
      </c>
      <c r="AE11" s="524">
        <f t="shared" ca="1" si="4"/>
        <v>7901.1061870372787</v>
      </c>
      <c r="AF11" s="524">
        <f t="shared" ca="1" si="4"/>
        <v>9015.4005566615833</v>
      </c>
      <c r="AG11" s="524">
        <f t="shared" ref="AG11" ca="1" si="5">SUM(AG4:AG10)</f>
        <v>10030.100561013262</v>
      </c>
    </row>
    <row r="12" spans="1:33" x14ac:dyDescent="0.4">
      <c r="B12" s="1696" t="s">
        <v>2616</v>
      </c>
      <c r="C12" s="525"/>
      <c r="D12" s="526">
        <f>D11/(PL!D107+PL!D109+PL!D112)</f>
        <v>0.70712106119542473</v>
      </c>
      <c r="E12" s="526">
        <f>E11/(PL!E107+PL!E109+PL!E112)</f>
        <v>-0.93443537855364922</v>
      </c>
      <c r="F12" s="526">
        <f>F11/(PL!F107+PL!F109+PL!F112)</f>
        <v>0.59760423006845897</v>
      </c>
      <c r="G12" s="526">
        <f>G11/(PL!G107+PL!G109+PL!G112)</f>
        <v>1.8758185300009305</v>
      </c>
      <c r="H12" s="526">
        <f>H11/(PL!H107+PL!H109+PL!H112)</f>
        <v>3.6619537263590532E-2</v>
      </c>
      <c r="I12" s="526">
        <f>I11/(PL!I107+PL!I109+PL!I112)</f>
        <v>-0.66514962795801058</v>
      </c>
      <c r="J12" s="526">
        <f>J11/(PL!J107+PL!J109+PL!J112)</f>
        <v>-1.1335647880234583</v>
      </c>
      <c r="K12" s="526">
        <f>K11/(PL!K107+PL!K109+PL!K112)</f>
        <v>-1.1552963713082063</v>
      </c>
      <c r="L12" s="526">
        <f>L11/(PL!L107+PL!L109+PL!L112)</f>
        <v>-0.49852385475510091</v>
      </c>
      <c r="M12" s="526">
        <f>M11/(PL!M107+PL!M109+PL!M112)</f>
        <v>6.6626675755916548E-2</v>
      </c>
      <c r="N12" s="526">
        <f>N11/(PL!N107+PL!N109+PL!N112)</f>
        <v>0.5725736616914463</v>
      </c>
      <c r="O12" s="526">
        <f>O11/(PL!O107+PL!O109+PL!O112)</f>
        <v>-0.87557640491017497</v>
      </c>
      <c r="P12" s="526">
        <f>P11/(PL!P107+PL!P109+PL!P112)</f>
        <v>-0.4223721769999908</v>
      </c>
      <c r="Q12" s="526">
        <f>Q11/(PL!Q107+PL!Q109+PL!Q112)</f>
        <v>-0.47249256584165844</v>
      </c>
      <c r="R12" s="526">
        <f>R11/(PL!R107+PL!R109+PL!R112)</f>
        <v>-0.69878877402117856</v>
      </c>
      <c r="S12" s="526">
        <f>S11/(PL!S107+PL!S109+PL!S112)</f>
        <v>-7.4100133891276398E-2</v>
      </c>
      <c r="T12" s="526">
        <f>T11/(PL!T107+PL!T109+PL!T112)</f>
        <v>2.5031099960989279E-2</v>
      </c>
      <c r="U12" s="526">
        <f>U11/(PL!U107+PL!U109+PL!U112)</f>
        <v>5.1580014636133112E-2</v>
      </c>
      <c r="V12" s="526">
        <f>V11/(PL!V107+PL!V109+PL!V112)</f>
        <v>0.21772186577373667</v>
      </c>
      <c r="W12" s="526">
        <f>W11/(PL!W107+PL!W109+PL!W112)</f>
        <v>0.11659704527541</v>
      </c>
      <c r="X12" s="526">
        <f ca="1">X11/(PL!X107+PL!X109+PL!X112)</f>
        <v>0.38885853576239604</v>
      </c>
      <c r="Y12" s="526">
        <f ca="1">Y11/(PL!Y107+PL!Y109+PL!Y112)</f>
        <v>0.22501380728193426</v>
      </c>
      <c r="Z12" s="526">
        <f ca="1">Z11/(PL!Z107+PL!Z109+PL!Z112)</f>
        <v>0.38336212401131586</v>
      </c>
      <c r="AA12" s="526">
        <f ca="1">AA11/(PL!AA107+PL!AA109+PL!AA112)</f>
        <v>0.13622107078200069</v>
      </c>
      <c r="AB12" s="526">
        <f ca="1">AB11/(PL!AB107+PL!AB109+PL!AB112)</f>
        <v>0.23262411926545809</v>
      </c>
      <c r="AC12" s="526">
        <f ca="1">AC11/(PL!AC107+PL!AC109+PL!AC112)</f>
        <v>0.27924980603580862</v>
      </c>
      <c r="AD12" s="526">
        <f ca="1">AD11/(PL!AD107+PL!AD109+PL!AD112)</f>
        <v>0.33526236203976867</v>
      </c>
      <c r="AE12" s="526">
        <f ca="1">AE11/(PL!AE107+PL!AE109+PL!AE112)</f>
        <v>0.46363653564576129</v>
      </c>
      <c r="AF12" s="526">
        <f ca="1">AF11/(PL!AF107+PL!AF109+PL!AF112)</f>
        <v>0.5016174953320941</v>
      </c>
      <c r="AG12" s="526">
        <f ca="1">AG11/(PL!AG107+PL!AG109+PL!AG112)</f>
        <v>0.53187933913043484</v>
      </c>
    </row>
    <row r="13" spans="1:33" x14ac:dyDescent="0.4">
      <c r="C13" s="520"/>
      <c r="D13" s="527"/>
      <c r="E13" s="528"/>
      <c r="F13" s="528"/>
      <c r="G13" s="528"/>
      <c r="H13" s="528"/>
      <c r="I13" s="528"/>
      <c r="J13" s="528"/>
      <c r="K13" s="528"/>
      <c r="L13" s="528"/>
      <c r="M13" s="528"/>
      <c r="N13" s="528"/>
      <c r="O13" s="528"/>
      <c r="P13" s="529"/>
      <c r="Q13" s="529"/>
      <c r="R13" s="529"/>
      <c r="S13" s="529"/>
      <c r="T13" s="529"/>
      <c r="U13" s="528"/>
      <c r="V13" s="528"/>
      <c r="W13" s="528"/>
      <c r="X13" s="528"/>
      <c r="Y13" s="528"/>
      <c r="Z13" s="528"/>
      <c r="AA13" s="528"/>
      <c r="AB13" s="528"/>
      <c r="AC13" s="528"/>
      <c r="AD13" s="528"/>
      <c r="AE13" s="528"/>
      <c r="AF13" s="528"/>
      <c r="AG13" s="528"/>
    </row>
    <row r="14" spans="1:33" ht="12" x14ac:dyDescent="0.35">
      <c r="A14" s="517" t="s">
        <v>316</v>
      </c>
      <c r="B14" s="1640" t="s">
        <v>101</v>
      </c>
      <c r="C14" s="520"/>
      <c r="D14" s="527"/>
      <c r="E14" s="527"/>
      <c r="F14" s="527"/>
      <c r="G14" s="527"/>
      <c r="H14" s="527"/>
      <c r="I14" s="528"/>
      <c r="J14" s="528"/>
      <c r="K14" s="528"/>
      <c r="L14" s="528"/>
      <c r="M14" s="528"/>
      <c r="N14" s="528"/>
      <c r="O14" s="528"/>
      <c r="P14" s="528"/>
      <c r="Q14" s="528"/>
      <c r="R14" s="528"/>
      <c r="S14" s="528"/>
      <c r="T14" s="528"/>
      <c r="U14" s="528"/>
      <c r="V14" s="528"/>
      <c r="W14" s="528"/>
      <c r="X14" s="528"/>
      <c r="Y14" s="528"/>
      <c r="Z14" s="528"/>
      <c r="AA14" s="528"/>
      <c r="AB14" s="528"/>
      <c r="AC14" s="528"/>
      <c r="AD14" s="528"/>
      <c r="AE14" s="528"/>
      <c r="AF14" s="528"/>
      <c r="AG14" s="528"/>
    </row>
    <row r="15" spans="1:33" x14ac:dyDescent="0.4">
      <c r="A15" s="310" t="s">
        <v>2308</v>
      </c>
      <c r="B15" s="354" t="s">
        <v>249</v>
      </c>
      <c r="C15" s="530"/>
      <c r="D15" s="327">
        <f>'CF（org）'!C12</f>
        <v>-76.984999999999999</v>
      </c>
      <c r="E15" s="327">
        <f>'CF（org）'!D12</f>
        <v>-124.584</v>
      </c>
      <c r="F15" s="327">
        <f>'CF（org）'!E12</f>
        <v>-215.12</v>
      </c>
      <c r="G15" s="327">
        <f>'CF（org）'!F12</f>
        <v>-132.56399999999999</v>
      </c>
      <c r="H15" s="327">
        <f>'CF（org）'!G12</f>
        <v>-364.53800000000001</v>
      </c>
      <c r="I15" s="327">
        <f>'CF（org）'!H12</f>
        <v>-522.20000000000005</v>
      </c>
      <c r="J15" s="327">
        <f>'CF（org）'!I12</f>
        <v>-402.20600000000002</v>
      </c>
      <c r="K15" s="327">
        <f>'CF（org）'!J12</f>
        <v>-378.54300000000001</v>
      </c>
      <c r="L15" s="327">
        <f>'CF（org）'!K12</f>
        <v>-514.48699999999997</v>
      </c>
      <c r="M15" s="327">
        <f>'CF（org）'!L12</f>
        <v>-425.47800000000001</v>
      </c>
      <c r="N15" s="327">
        <f>'CF（org）'!M12</f>
        <v>-177.74299999999999</v>
      </c>
      <c r="O15" s="327">
        <f>'CF（org）'!N12</f>
        <v>-1410.1120000000001</v>
      </c>
      <c r="P15" s="327">
        <f>'CF（org）'!O12</f>
        <v>-805.87599999999998</v>
      </c>
      <c r="Q15" s="327">
        <f>'CF（org）'!P12</f>
        <v>-502.77699999999999</v>
      </c>
      <c r="R15" s="327">
        <f>'CF（org）'!Q12</f>
        <v>-548.38</v>
      </c>
      <c r="S15" s="327">
        <f>-CAPEX!S3</f>
        <v>-686.40499999999997</v>
      </c>
      <c r="T15" s="327">
        <f>-CAPEX!T3</f>
        <v>-875.53730119514466</v>
      </c>
      <c r="U15" s="327">
        <f>-CAPEX!U3</f>
        <v>-1015.6575297704101</v>
      </c>
      <c r="V15" s="327">
        <f>-CAPEX!V3</f>
        <v>-968.17593592756725</v>
      </c>
      <c r="W15" s="327">
        <f>-CAPEX!W3</f>
        <v>-838.78107426266342</v>
      </c>
      <c r="X15" s="327">
        <f>-CAPEX!X3</f>
        <v>-847.74685512593589</v>
      </c>
      <c r="Y15" s="327">
        <f>-CAPEX!Y3</f>
        <v>-911.68156921235334</v>
      </c>
      <c r="Z15" s="327">
        <f>-CAPEX!Z3</f>
        <v>-952.20501570161855</v>
      </c>
      <c r="AA15" s="327">
        <f>-CAPEX!AA3</f>
        <v>-1016.4417801762285</v>
      </c>
      <c r="AB15" s="327">
        <f>-CAPEX!AB3</f>
        <v>-1070.8624448317119</v>
      </c>
      <c r="AC15" s="327">
        <f>-CAPEX!AC3</f>
        <v>-1116.7501920356717</v>
      </c>
      <c r="AD15" s="327">
        <f>-CAPEX!AD3</f>
        <v>-1155.1340252632394</v>
      </c>
      <c r="AE15" s="327">
        <f>-CAPEX!AE3</f>
        <v>-1186.8373448327682</v>
      </c>
      <c r="AF15" s="327">
        <f>-CAPEX!AF3</f>
        <v>-1212.517539957073</v>
      </c>
      <c r="AG15" s="327">
        <f>-CAPEX!AG3</f>
        <v>-1232.6982474243575</v>
      </c>
    </row>
    <row r="16" spans="1:33" x14ac:dyDescent="0.4">
      <c r="A16" s="310" t="s">
        <v>265</v>
      </c>
      <c r="B16" s="354" t="s">
        <v>3043</v>
      </c>
      <c r="C16" s="530"/>
      <c r="D16" s="327">
        <f>'CF（org）'!C32+'CF（org）'!C33+'CF（org）'!C39+'CF（org）'!C40+'CF（org）'!C41+'CF（org）'!C44</f>
        <v>-55.268000000000001</v>
      </c>
      <c r="E16" s="327">
        <f>'CF（org）'!D32+'CF（org）'!D33+'CF（org）'!D39+'CF（org）'!D40+'CF（org）'!D41+'CF（org）'!D44</f>
        <v>-20.649000000000015</v>
      </c>
      <c r="F16" s="327">
        <f>'CF（org）'!E32+'CF（org）'!E33+'CF（org）'!E39+'CF（org）'!E40+'CF（org）'!E41+'CF（org）'!E44</f>
        <v>-97.917000000000002</v>
      </c>
      <c r="G16" s="327">
        <f>'CF（org）'!F32+'CF（org）'!F33+'CF（org）'!F39+'CF（org）'!F40+'CF（org）'!F41+'CF（org）'!F44</f>
        <v>-7.5139999999999993</v>
      </c>
      <c r="H16" s="327">
        <f>'CF（org）'!G32+'CF（org）'!G33+'CF（org）'!G39+'CF（org）'!G40+'CF（org）'!G41+'CF（org）'!G44</f>
        <v>-1451.8119999999999</v>
      </c>
      <c r="I16" s="327">
        <f>'CF（org）'!H32+'CF（org）'!H33+'CF（org）'!H39+'CF（org）'!H40+'CF（org）'!H41+'CF（org）'!H44</f>
        <v>29.557999999999993</v>
      </c>
      <c r="J16" s="327">
        <f>'CF（org）'!I32+'CF（org）'!I33+'CF（org）'!I39+'CF（org）'!I40+'CF（org）'!I41+'CF（org）'!I44</f>
        <v>128.64400000000001</v>
      </c>
      <c r="K16" s="327">
        <f>'CF（org）'!J32+'CF（org）'!J33+'CF（org）'!J39+'CF（org）'!J40+'CF（org）'!J41+'CF（org）'!J44</f>
        <v>62.415000000000006</v>
      </c>
      <c r="L16" s="327">
        <f>'CF（org）'!K32+'CF（org）'!K33+'CF（org）'!K39+'CF（org）'!K40+'CF（org）'!K41+'CF（org）'!K44</f>
        <v>-203.191</v>
      </c>
      <c r="M16" s="327">
        <f>BS!L7-BS!M7+BS!L6-BS!M6+BS!L8-BS!M8+BS!L11-BS!M11+BS!L12-BS!M12+BS!L22-BS!M22-M9</f>
        <v>-269.49499999999989</v>
      </c>
      <c r="N16" s="327">
        <f>BS!M7-BS!N7+BS!M6-BS!N6+BS!M8-BS!N8+BS!M11-BS!N11+BS!M12-BS!N12+BS!M22-BS!N22-N9</f>
        <v>288.20700000000028</v>
      </c>
      <c r="O16" s="327">
        <f>BS!N7-BS!O7+BS!N6-BS!O6+BS!N8-BS!O8+BS!N11-BS!O11+BS!N12-BS!O12+BS!N22-BS!O22-O9</f>
        <v>-1440.7739999999999</v>
      </c>
      <c r="P16" s="327">
        <f>BS!O7-BS!P7+BS!O6-BS!P6+BS!O8-BS!P8+BS!O11-BS!P11+BS!O12-BS!P12+BS!O22-BS!P22-P9</f>
        <v>301.20699999999965</v>
      </c>
      <c r="Q16" s="327">
        <f>BS!P7-BS!Q7+BS!P6-BS!Q6+BS!P8-BS!Q8+BS!P11-BS!Q11+BS!P12-BS!Q12+BS!P22-BS!Q22-Q9</f>
        <v>511.62199999999939</v>
      </c>
      <c r="R16" s="327">
        <f>BS!Q7-BS!R7+BS!Q6-BS!R6+BS!Q8-BS!R8+BS!Q11-BS!R11+BS!Q12-BS!R12+BS!Q22-BS!R22-R9</f>
        <v>1526.1890000000008</v>
      </c>
      <c r="S16" s="327">
        <f>BS!R7-BS!S7+BS!R6-BS!S6+BS!R8-BS!S8+BS!R11-BS!S11+BS!R12-BS!S12+BS!R22-BS!S22-S9</f>
        <v>-1332.996000000001</v>
      </c>
      <c r="T16" s="327">
        <f>BS!S7-BS!T7+BS!S6-BS!T6+BS!S8-BS!T8+BS!S11-BS!T11+BS!S12-BS!T12+BS!S22-BS!T22-T9</f>
        <v>4426.2149999999992</v>
      </c>
      <c r="U16" s="327">
        <f>BS!T7-BS!U7+BS!T6-BS!U6+BS!T8-BS!U8+BS!T11-BS!U11+BS!T12-BS!U12+BS!T22-BS!U22-U9</f>
        <v>3104.5629999999992</v>
      </c>
      <c r="V16" s="327">
        <f>BS!U7-BS!V7+BS!U6-BS!V6+BS!U8-BS!V8+BS!U11-BS!V11+BS!U12-BS!V12+BS!U22-BS!V22-V9</f>
        <v>894.27000000000055</v>
      </c>
      <c r="W16" s="327">
        <f>BS!V7-BS!W7+BS!V6-BS!W6+BS!V8-BS!W8+BS!V11-BS!W11+BS!V12-BS!W12+BS!V22-BS!W22-W9</f>
        <v>558.07900000000006</v>
      </c>
      <c r="X16" s="327">
        <f ca="1">BS!W7-BS!X7+BS!W6-BS!X6+BS!W8-BS!X8+BS!W11-BS!X11+BS!W12-BS!X12+BS!W22-BS!X22-X9</f>
        <v>-36.626168655156334</v>
      </c>
      <c r="Y16" s="327">
        <f ca="1">BS!X7-BS!Y7+BS!X6-BS!Y6+BS!X8-BS!Y8+BS!X11-BS!Y11+BS!X12-BS!Y12+BS!X22-BS!Y22-Y9</f>
        <v>-61.629468796034416</v>
      </c>
      <c r="Z16" s="327">
        <f ca="1">BS!Y7-BS!Z7+BS!Y6-BS!Z6+BS!Y8-BS!Z8+BS!Y11-BS!Z11+BS!Y12-BS!Z12+BS!Y22-BS!Z22-Z9</f>
        <v>-69.169445795953948</v>
      </c>
      <c r="AA16" s="327">
        <f ca="1">BS!Z7-BS!AA7+BS!Z6-BS!AA6+BS!Z8-BS!AA8+BS!Z11-BS!AA11+BS!Z12-BS!AA12+BS!Z22-BS!AA22-AA9</f>
        <v>-111.99258988365102</v>
      </c>
      <c r="AB16" s="327">
        <f ca="1">BS!AA7-BS!AB7+BS!AA6-BS!AB6+BS!AA8-BS!AB8+BS!AA11-BS!AB11+BS!AA12-BS!AB12+BS!AA22-BS!AB22-AB9</f>
        <v>-144.96453452965477</v>
      </c>
      <c r="AC16" s="327">
        <f ca="1">BS!AB7-BS!AC7+BS!AB6-BS!AC6+BS!AB8-BS!AC8+BS!AB11-BS!AC11+BS!AB12-BS!AC12+BS!AB22-BS!AC22-AC9</f>
        <v>-173.59514524377371</v>
      </c>
      <c r="AD16" s="327">
        <f ca="1">BS!AC7-BS!AD7+BS!AC6-BS!AD6+BS!AC8-BS!AD8+BS!AC11-BS!AD11+BS!AC12-BS!AD12+BS!AC22-BS!AD22-AD9</f>
        <v>-195.06831932878515</v>
      </c>
      <c r="AE16" s="327">
        <f ca="1">BS!AD7-BS!AE7+BS!AD6-BS!AE6+BS!AD8-BS!AE8+BS!AD11-BS!AE11+BS!AD12-BS!AE12+BS!AD22-BS!AE22-AE9</f>
        <v>-194.68843241156497</v>
      </c>
      <c r="AF16" s="327">
        <f ca="1">BS!AE7-BS!AF7+BS!AE6-BS!AF6+BS!AE8-BS!AF8+BS!AE11-BS!AF11+BS!AE12-BS!AF12+BS!AE22-BS!AF22-AF9</f>
        <v>-187.24347403122937</v>
      </c>
      <c r="AG16" s="327">
        <f ca="1">BS!AF7-BS!AG7+BS!AF6-BS!AG6+BS!AF8-BS!AG8+BS!AF11-BS!AG11+BS!AF12-BS!AG12+BS!AF22-BS!AG22-AG9</f>
        <v>-173.56236443229079</v>
      </c>
    </row>
    <row r="17" spans="1:33" x14ac:dyDescent="0.4">
      <c r="A17" s="310" t="s">
        <v>600</v>
      </c>
      <c r="B17" s="354" t="s">
        <v>551</v>
      </c>
      <c r="C17" s="530"/>
      <c r="D17" s="314">
        <f t="shared" ref="D17:U17" si="6">D18-SUM(D15:D16)</f>
        <v>66.307999999999993</v>
      </c>
      <c r="E17" s="314">
        <f t="shared" si="6"/>
        <v>-32.991000000000014</v>
      </c>
      <c r="F17" s="314">
        <f t="shared" si="6"/>
        <v>-44.933999999999912</v>
      </c>
      <c r="G17" s="314">
        <f t="shared" si="6"/>
        <v>-514.33400000000006</v>
      </c>
      <c r="H17" s="314">
        <f t="shared" si="6"/>
        <v>391.40499999999997</v>
      </c>
      <c r="I17" s="314">
        <f t="shared" si="6"/>
        <v>328.80599999999993</v>
      </c>
      <c r="J17" s="314">
        <f t="shared" si="6"/>
        <v>-183.8959999999999</v>
      </c>
      <c r="K17" s="314">
        <f t="shared" si="6"/>
        <v>446.18400000000003</v>
      </c>
      <c r="L17" s="314">
        <f t="shared" si="6"/>
        <v>-1373.6410000000001</v>
      </c>
      <c r="M17" s="314">
        <f t="shared" si="6"/>
        <v>-240.23099999999999</v>
      </c>
      <c r="N17" s="314">
        <f t="shared" si="6"/>
        <v>-5800.9949999999999</v>
      </c>
      <c r="O17" s="314">
        <f t="shared" si="6"/>
        <v>-1949.3030000000003</v>
      </c>
      <c r="P17" s="314">
        <f t="shared" si="6"/>
        <v>-6449.3010000000013</v>
      </c>
      <c r="Q17" s="314">
        <f t="shared" si="6"/>
        <v>-3098.886</v>
      </c>
      <c r="R17" s="314">
        <f t="shared" si="6"/>
        <v>-653.26900000000012</v>
      </c>
      <c r="S17" s="314">
        <f t="shared" si="6"/>
        <v>-2918.2679999999991</v>
      </c>
      <c r="T17" s="314">
        <f t="shared" si="6"/>
        <v>-3049.8346988048547</v>
      </c>
      <c r="U17" s="314">
        <f t="shared" si="6"/>
        <v>-915.31547022958898</v>
      </c>
      <c r="V17" s="314">
        <f t="shared" ref="V17:W17" si="7">V18-SUM(V15:V16)</f>
        <v>1210.6969359275668</v>
      </c>
      <c r="W17" s="314">
        <f t="shared" si="7"/>
        <v>1437.7020742626632</v>
      </c>
      <c r="X17" s="314">
        <f ca="1">BS!W10-BS!X10+BS!W9-BS!X9+BS!W13-BS!X13-BS!X20+BS!W20-(CAPEX!X3+CF!X15)+BS!W18-BS!X18+CAPEX!X75</f>
        <v>-811.22483514956991</v>
      </c>
      <c r="Y17" s="314">
        <f ca="1">BS!X10-BS!Y10+BS!X9-BS!Y9+BS!X13-BS!Y13-BS!Y20+BS!X20-(CAPEX!Y3+CF!Y15)+BS!X18-BS!Y18+CAPEX!Y75</f>
        <v>-690.01032416508417</v>
      </c>
      <c r="Z17" s="314">
        <f ca="1">BS!Y10-BS!Z10+BS!Y9-BS!Z9+BS!Y13-BS!Z13-BS!Z20+BS!Y20-(CAPEX!Z3+CF!Z15)+BS!Y18-BS!Z18+CAPEX!Z75</f>
        <v>-699.13634560031971</v>
      </c>
      <c r="AA17" s="314">
        <f ca="1">BS!Z10-BS!AA10+BS!Z9-BS!AA9+BS!Z13-BS!AA13-BS!AA20+BS!Z20-(CAPEX!AA3+CF!AA15)+BS!Z18-BS!AA18+CAPEX!AA75</f>
        <v>-760.97680416129845</v>
      </c>
      <c r="AB17" s="314">
        <f ca="1">BS!AA10-BS!AB10+BS!AA9-BS!AB9+BS!AA13-BS!AB13-BS!AB20+BS!AA20-(CAPEX!AB3+CF!AB15)+BS!AA18-BS!AB18+CAPEX!AB75</f>
        <v>-783.65001753758872</v>
      </c>
      <c r="AC17" s="314">
        <f ca="1">BS!AB10-BS!AC10+BS!AB9-BS!AC9+BS!AB13-BS!AC13-BS!AC20+BS!AB20-(CAPEX!AC3+CF!AC15)+BS!AB18-BS!AC18+CAPEX!AC75</f>
        <v>-808.05741682118753</v>
      </c>
      <c r="AD17" s="314">
        <f ca="1">BS!AC10-BS!AD10+BS!AC9-BS!AD9+BS!AC13-BS!AD13-BS!AD20+BS!AC20-(CAPEX!AD3+CF!AD15)+BS!AC18-BS!AD18+CAPEX!AD75</f>
        <v>-834.55474925849535</v>
      </c>
      <c r="AE17" s="314">
        <f ca="1">BS!AD10-BS!AE10+BS!AD9-BS!AE9+BS!AD13-BS!AE13-BS!AE20+BS!AD20-(CAPEX!AE3+CF!AE15)+BS!AD18-BS!AE18+CAPEX!AE75</f>
        <v>-862.69124068682697</v>
      </c>
      <c r="AF17" s="314">
        <f ca="1">BS!AE10-BS!AF10+BS!AE9-BS!AF9+BS!AE13-BS!AF13-BS!AF20+BS!AE20-(CAPEX!AF3+CF!AF15)+BS!AE18-BS!AF18+CAPEX!AF75</f>
        <v>-892.46612463624626</v>
      </c>
      <c r="AG17" s="314">
        <f ca="1">BS!AF10-BS!AG10+BS!AF9-BS!AG9+BS!AF13-BS!AG13-BS!AG20+BS!AF20-(CAPEX!AG3+CF!AG15)+BS!AF18-BS!AG18+CAPEX!AG75</f>
        <v>-923.70859081078925</v>
      </c>
    </row>
    <row r="18" spans="1:33" s="323" customFormat="1" x14ac:dyDescent="0.4">
      <c r="A18" s="337" t="s">
        <v>266</v>
      </c>
      <c r="B18" s="1679" t="s">
        <v>602</v>
      </c>
      <c r="C18" s="523"/>
      <c r="D18" s="524">
        <f>'CF（org）'!C49</f>
        <v>-65.944999999999993</v>
      </c>
      <c r="E18" s="524">
        <f>'CF（org）'!D49</f>
        <v>-178.22400000000002</v>
      </c>
      <c r="F18" s="524">
        <f>'CF（org）'!E49</f>
        <v>-357.97099999999995</v>
      </c>
      <c r="G18" s="524">
        <f>'CF（org）'!F49</f>
        <v>-654.41200000000003</v>
      </c>
      <c r="H18" s="524">
        <f>'CF（org）'!G49</f>
        <v>-1424.9449999999999</v>
      </c>
      <c r="I18" s="524">
        <f>'CF（org）'!H49</f>
        <v>-163.83600000000013</v>
      </c>
      <c r="J18" s="524">
        <f>'CF（org）'!I49</f>
        <v>-457.45799999999991</v>
      </c>
      <c r="K18" s="524">
        <f>'CF（org）'!J49</f>
        <v>130.05600000000004</v>
      </c>
      <c r="L18" s="524">
        <f>'CF（org）'!K49</f>
        <v>-2091.319</v>
      </c>
      <c r="M18" s="524">
        <f>'CF（org）'!L49</f>
        <v>-935.20399999999995</v>
      </c>
      <c r="N18" s="524">
        <f>'CF（org）'!M49</f>
        <v>-5690.5309999999999</v>
      </c>
      <c r="O18" s="524">
        <f>'CF（org）'!N49</f>
        <v>-4800.1890000000003</v>
      </c>
      <c r="P18" s="524">
        <f>'CF（org）'!O49</f>
        <v>-6953.9700000000012</v>
      </c>
      <c r="Q18" s="524">
        <f>'CF（org）'!P49</f>
        <v>-3090.0410000000006</v>
      </c>
      <c r="R18" s="524">
        <f>'CF（org）'!Q49</f>
        <v>324.54000000000065</v>
      </c>
      <c r="S18" s="524">
        <f>'CF（org）'!R49</f>
        <v>-4937.6689999999999</v>
      </c>
      <c r="T18" s="524">
        <f>'CF（org）'!S49</f>
        <v>500.84299999999973</v>
      </c>
      <c r="U18" s="524">
        <f>'CF（org）'!T49</f>
        <v>1173.5899999999999</v>
      </c>
      <c r="V18" s="524">
        <f>'CF（org）'!U49</f>
        <v>1136.7910000000002</v>
      </c>
      <c r="W18" s="524">
        <f>'CF（org）'!V49</f>
        <v>1157</v>
      </c>
      <c r="X18" s="524">
        <f ca="1">SUM(X15:X17)</f>
        <v>-1695.5978589306621</v>
      </c>
      <c r="Y18" s="524">
        <f t="shared" ref="Y18:AC18" ca="1" si="8">SUM(Y15:Y17)</f>
        <v>-1663.3213621734719</v>
      </c>
      <c r="Z18" s="524">
        <f ca="1">SUM(Z15:Z17)</f>
        <v>-1720.5108070978922</v>
      </c>
      <c r="AA18" s="524">
        <f t="shared" ca="1" si="8"/>
        <v>-1889.411174221178</v>
      </c>
      <c r="AB18" s="524">
        <f t="shared" ca="1" si="8"/>
        <v>-1999.4769968989553</v>
      </c>
      <c r="AC18" s="524">
        <f t="shared" ca="1" si="8"/>
        <v>-2098.402754100633</v>
      </c>
      <c r="AD18" s="524">
        <f t="shared" ref="AD18:AF18" ca="1" si="9">SUM(AD15:AD17)</f>
        <v>-2184.7570938505196</v>
      </c>
      <c r="AE18" s="524">
        <f t="shared" ca="1" si="9"/>
        <v>-2244.2170179311602</v>
      </c>
      <c r="AF18" s="524">
        <f t="shared" ca="1" si="9"/>
        <v>-2292.2271386245488</v>
      </c>
      <c r="AG18" s="524">
        <f t="shared" ref="AG18" ca="1" si="10">SUM(AG15:AG17)</f>
        <v>-2329.9692026674375</v>
      </c>
    </row>
    <row r="19" spans="1:33" s="323" customFormat="1" x14ac:dyDescent="0.4">
      <c r="A19" s="337"/>
      <c r="B19" s="1697"/>
      <c r="C19" s="520"/>
      <c r="D19" s="521"/>
      <c r="E19" s="521"/>
      <c r="F19" s="521"/>
      <c r="G19" s="521"/>
      <c r="H19" s="521"/>
      <c r="I19" s="327"/>
      <c r="J19" s="327"/>
      <c r="K19" s="327"/>
      <c r="L19" s="325"/>
      <c r="M19" s="325"/>
      <c r="N19" s="325"/>
      <c r="O19" s="325"/>
      <c r="P19" s="325"/>
      <c r="Q19" s="325"/>
      <c r="R19" s="325"/>
      <c r="S19" s="325"/>
      <c r="T19" s="325"/>
      <c r="U19" s="325"/>
      <c r="V19" s="325"/>
      <c r="W19" s="325"/>
      <c r="X19" s="325"/>
      <c r="Y19" s="325"/>
      <c r="Z19" s="325"/>
      <c r="AA19" s="325"/>
      <c r="AB19" s="325"/>
      <c r="AC19" s="325"/>
      <c r="AD19" s="325"/>
      <c r="AE19" s="325"/>
      <c r="AF19" s="325"/>
      <c r="AG19" s="325"/>
    </row>
    <row r="20" spans="1:33" x14ac:dyDescent="0.4">
      <c r="B20" s="1697" t="s">
        <v>2697</v>
      </c>
      <c r="C20" s="520"/>
      <c r="D20" s="521">
        <f t="shared" ref="D20:AC20" si="11">D11+D18</f>
        <v>90.938999999999993</v>
      </c>
      <c r="E20" s="521">
        <f t="shared" si="11"/>
        <v>-596.80899999999997</v>
      </c>
      <c r="F20" s="521">
        <f t="shared" si="11"/>
        <v>-56.545999999999935</v>
      </c>
      <c r="G20" s="521">
        <f t="shared" si="11"/>
        <v>494.58500000000004</v>
      </c>
      <c r="H20" s="521">
        <f t="shared" si="11"/>
        <v>-1383.922</v>
      </c>
      <c r="I20" s="521">
        <f t="shared" si="11"/>
        <v>-1168.3310000000001</v>
      </c>
      <c r="J20" s="521">
        <f t="shared" si="11"/>
        <v>-3797.2719999999999</v>
      </c>
      <c r="K20" s="521">
        <f t="shared" si="11"/>
        <v>-2955.3789999999999</v>
      </c>
      <c r="L20" s="521">
        <f t="shared" si="11"/>
        <v>-3780.2570000000001</v>
      </c>
      <c r="M20" s="521">
        <f t="shared" si="11"/>
        <v>-637.20399999999995</v>
      </c>
      <c r="N20" s="521">
        <f t="shared" si="11"/>
        <v>-2823.5309999999999</v>
      </c>
      <c r="O20" s="521">
        <f t="shared" si="11"/>
        <v>-9645.8950000000004</v>
      </c>
      <c r="P20" s="521">
        <f t="shared" si="11"/>
        <v>-8878.5650000000005</v>
      </c>
      <c r="Q20" s="521">
        <f t="shared" si="11"/>
        <v>-5794.3900000000012</v>
      </c>
      <c r="R20" s="521">
        <f t="shared" si="11"/>
        <v>-4206.5279999999993</v>
      </c>
      <c r="S20" s="521">
        <f t="shared" si="11"/>
        <v>-5488.6689999999999</v>
      </c>
      <c r="T20" s="521">
        <f t="shared" si="11"/>
        <v>712.84299999999973</v>
      </c>
      <c r="U20" s="521">
        <f t="shared" si="11"/>
        <v>1674.5839999999998</v>
      </c>
      <c r="V20" s="521">
        <f t="shared" ref="V20:W20" si="12">V11+V18</f>
        <v>3144.2480000000005</v>
      </c>
      <c r="W20" s="521">
        <f t="shared" si="12"/>
        <v>2207</v>
      </c>
      <c r="X20" s="521">
        <f t="shared" ca="1" si="11"/>
        <v>2232.4064680401452</v>
      </c>
      <c r="Y20" s="521">
        <f t="shared" ca="1" si="11"/>
        <v>801.10913669166825</v>
      </c>
      <c r="Z20" s="521">
        <f t="shared" ca="1" si="11"/>
        <v>2678.8804360148706</v>
      </c>
      <c r="AA20" s="521">
        <f t="shared" ca="1" si="11"/>
        <v>-152.75318516384141</v>
      </c>
      <c r="AB20" s="521">
        <f t="shared" ca="1" si="11"/>
        <v>1240.9261922851115</v>
      </c>
      <c r="AC20" s="521">
        <f t="shared" ca="1" si="11"/>
        <v>2098.3454429556209</v>
      </c>
      <c r="AD20" s="521">
        <f t="shared" ref="AD20:AF20" ca="1" si="13">AD11+AD18</f>
        <v>3199.254228281311</v>
      </c>
      <c r="AE20" s="521">
        <f t="shared" ca="1" si="13"/>
        <v>5656.8891691061181</v>
      </c>
      <c r="AF20" s="521">
        <f t="shared" ca="1" si="13"/>
        <v>6723.1734180370349</v>
      </c>
      <c r="AG20" s="521">
        <f t="shared" ref="AG20" ca="1" si="14">AG11+AG18</f>
        <v>7700.1313583458241</v>
      </c>
    </row>
    <row r="21" spans="1:33" x14ac:dyDescent="0.4">
      <c r="C21" s="520"/>
      <c r="D21" s="521"/>
      <c r="E21" s="521"/>
      <c r="F21" s="521"/>
      <c r="G21" s="521"/>
      <c r="H21" s="521"/>
      <c r="I21" s="327"/>
      <c r="J21" s="327"/>
      <c r="K21" s="327"/>
      <c r="L21" s="325"/>
      <c r="M21" s="325"/>
      <c r="N21" s="325"/>
      <c r="O21" s="325"/>
      <c r="P21" s="325"/>
      <c r="Q21" s="325"/>
      <c r="R21" s="325"/>
      <c r="S21" s="325"/>
      <c r="T21" s="325"/>
      <c r="U21" s="325"/>
      <c r="V21" s="325"/>
      <c r="W21" s="325"/>
      <c r="X21" s="325"/>
      <c r="Y21" s="325"/>
      <c r="Z21" s="325"/>
      <c r="AA21" s="325"/>
      <c r="AB21" s="325"/>
      <c r="AC21" s="325"/>
      <c r="AD21" s="325"/>
      <c r="AE21" s="325"/>
      <c r="AF21" s="325"/>
      <c r="AG21" s="325"/>
    </row>
    <row r="22" spans="1:33" ht="12" x14ac:dyDescent="0.35">
      <c r="A22" s="517" t="s">
        <v>267</v>
      </c>
      <c r="B22" s="1640" t="s">
        <v>102</v>
      </c>
      <c r="C22" s="520"/>
      <c r="D22" s="521"/>
      <c r="E22" s="521"/>
      <c r="F22" s="521"/>
      <c r="G22" s="521"/>
      <c r="H22" s="521"/>
      <c r="I22" s="327"/>
      <c r="J22" s="327"/>
      <c r="K22" s="327"/>
      <c r="L22" s="325"/>
      <c r="M22" s="325"/>
      <c r="N22" s="325"/>
      <c r="O22" s="325"/>
      <c r="P22" s="325"/>
      <c r="Q22" s="325"/>
      <c r="R22" s="325"/>
      <c r="S22" s="325"/>
      <c r="T22" s="325"/>
      <c r="U22" s="325"/>
      <c r="V22" s="325"/>
      <c r="W22" s="325"/>
      <c r="X22" s="325"/>
      <c r="Y22" s="325"/>
      <c r="Z22" s="325"/>
      <c r="AA22" s="325"/>
      <c r="AB22" s="325"/>
      <c r="AC22" s="325"/>
      <c r="AD22" s="325"/>
      <c r="AE22" s="325"/>
      <c r="AF22" s="325"/>
      <c r="AG22" s="325"/>
    </row>
    <row r="23" spans="1:33" x14ac:dyDescent="0.4">
      <c r="A23" s="310" t="s">
        <v>268</v>
      </c>
      <c r="B23" s="354" t="s">
        <v>603</v>
      </c>
      <c r="C23" s="520"/>
      <c r="D23" s="521">
        <f>'CF（org）'!C53</f>
        <v>7.0570000000000004</v>
      </c>
      <c r="E23" s="521">
        <f>'CF（org）'!D53</f>
        <v>1008.972</v>
      </c>
      <c r="F23" s="521">
        <f>'CF（org）'!E53</f>
        <v>6.3979999999999997</v>
      </c>
      <c r="G23" s="521">
        <f>BS!G75-BS!F75+BS!G76-BS!F76-PL!G112*(1-PL!G131)</f>
        <v>1355.5859999999996</v>
      </c>
      <c r="H23" s="521">
        <f>BS!H75-BS!G75+BS!H76-BS!G76-PL!H112*(1-PL!H131)</f>
        <v>-470.04899999999873</v>
      </c>
      <c r="I23" s="327">
        <f>'CF（org）'!H53+'CF（org）'!H54+'CF（org）'!H69</f>
        <v>3551.538</v>
      </c>
      <c r="J23" s="327">
        <f>'CF（org）'!I53+'CF（org）'!I54+'CF（org）'!I69</f>
        <v>2229.8609999999999</v>
      </c>
      <c r="K23" s="327">
        <f>'CF（org）'!J53+'CF（org）'!J54+'CF（org）'!J69</f>
        <v>0.29299999999999998</v>
      </c>
      <c r="L23" s="327">
        <f>'CF（org）'!K53+'CF（org）'!K54+'CF（org）'!K69</f>
        <v>1.4410000000000001</v>
      </c>
      <c r="M23" s="327">
        <f>'CF（org）'!L53+'CF（org）'!L54+'CF（org）'!L69</f>
        <v>9.8949999999999996</v>
      </c>
      <c r="N23" s="327">
        <f>'CF（org）'!M53+'CF（org）'!M54+'CF（org）'!M69</f>
        <v>4809.9589999999998</v>
      </c>
      <c r="O23" s="327">
        <f>'CF（org）'!N53+'CF（org）'!N54+'CF（org）'!N69</f>
        <v>6307.3370000000004</v>
      </c>
      <c r="P23" s="327">
        <f>'CF（org）'!O53+'CF（org）'!O54+'CF（org）'!O69</f>
        <v>0</v>
      </c>
      <c r="Q23" s="327">
        <f>'CF（org）'!P53+'CF（org）'!P54+'CF（org）'!P69</f>
        <v>0</v>
      </c>
      <c r="R23" s="327">
        <f>'CF（org）'!Q53+'CF（org）'!Q54+'CF（org）'!Q69</f>
        <v>0</v>
      </c>
      <c r="S23" s="327">
        <f>'CF（org）'!R53+'CF（org）'!R54+'CF（org）'!R69</f>
        <v>-54.725000000000001</v>
      </c>
      <c r="T23" s="327">
        <f>'CF（org）'!S53+'CF（org）'!S54+'CF（org）'!S69</f>
        <v>0</v>
      </c>
      <c r="U23" s="327">
        <f>'CF（org）'!T53+'CF（org）'!T54+'CF（org）'!T69</f>
        <v>0</v>
      </c>
      <c r="V23" s="327">
        <f>'CF（org）'!U53+'CF（org）'!U54+'CF（org）'!U69</f>
        <v>0</v>
      </c>
      <c r="W23" s="327">
        <f>'CF（org）'!V53+'CF（org）'!V54+'CF（org）'!V69</f>
        <v>0</v>
      </c>
      <c r="X23" s="333">
        <v>0</v>
      </c>
      <c r="Y23" s="333">
        <v>0</v>
      </c>
      <c r="Z23" s="333">
        <v>0</v>
      </c>
      <c r="AA23" s="333">
        <v>0</v>
      </c>
      <c r="AB23" s="333">
        <v>0</v>
      </c>
      <c r="AC23" s="333">
        <v>0</v>
      </c>
      <c r="AD23" s="333">
        <v>0</v>
      </c>
      <c r="AE23" s="333">
        <v>0</v>
      </c>
      <c r="AF23" s="333">
        <v>0</v>
      </c>
      <c r="AG23" s="333">
        <v>0</v>
      </c>
    </row>
    <row r="24" spans="1:33" x14ac:dyDescent="0.4">
      <c r="A24" s="310" t="s">
        <v>269</v>
      </c>
      <c r="B24" s="354" t="s">
        <v>3044</v>
      </c>
      <c r="C24" s="531"/>
      <c r="D24" s="532">
        <f>'CF（org）'!C64+'CF（org）'!C67+'CF（org）'!C68+'CF（org）'!C70+'CF（org）'!C72</f>
        <v>-135.09400000000002</v>
      </c>
      <c r="E24" s="532">
        <f>'CF（org）'!D64+'CF（org）'!D67+'CF（org）'!D68+'CF（org）'!D70+'CF（org）'!D72</f>
        <v>-20.661999999999999</v>
      </c>
      <c r="F24" s="532">
        <f>'CF（org）'!E64+'CF（org）'!E67+'CF（org）'!E68+'CF（org）'!E70+'CF（org）'!E72</f>
        <v>1073.0229999999999</v>
      </c>
      <c r="G24" s="532">
        <f>(BS!G50-BS!F50)+(BS!G66-BS!F66)+500+500+400</f>
        <v>1986.759</v>
      </c>
      <c r="H24" s="532">
        <f>(BS!H50-BS!G50)+(BS!H66-BS!G66)</f>
        <v>1256.4750000000001</v>
      </c>
      <c r="I24" s="327">
        <f>'CF（org）'!H67+'CF（org）'!H68+'CF（org）'!H72+'CF（org）'!H70</f>
        <v>2345.3809999999999</v>
      </c>
      <c r="J24" s="327">
        <f>'CF（org）'!I67+'CF（org）'!I68+'CF（org）'!I72+'CF（org）'!I70</f>
        <v>4620.924</v>
      </c>
      <c r="K24" s="327">
        <f>'CF（org）'!J67+'CF（org）'!J68+'CF（org）'!J72+'CF（org）'!J70+'CF（org）'!J80</f>
        <v>5649.9009999999998</v>
      </c>
      <c r="L24" s="327">
        <f>'CF（org）'!K67+'CF（org）'!K68+'CF（org）'!K72+'CF（org）'!K70+'CF（org）'!K80</f>
        <v>4739.6379999999999</v>
      </c>
      <c r="M24" s="327">
        <f>'CF（org）'!L67+'CF（org）'!L68+'CF（org）'!L72+'CF（org）'!L70+'CF（org）'!L80</f>
        <v>3113.5279999999998</v>
      </c>
      <c r="N24" s="327">
        <f>'CF（org）'!M67+'CF（org）'!M68+'CF（org）'!M72+'CF（org）'!M70+'CF（org）'!M80</f>
        <v>3740.1520000000005</v>
      </c>
      <c r="O24" s="327">
        <f>'CF（org）'!N67+'CF（org）'!N68+'CF（org）'!N72+'CF（org）'!N70+'CF（org）'!N80</f>
        <v>11373.414000000001</v>
      </c>
      <c r="P24" s="327">
        <f>'CF（org）'!O67+'CF（org）'!O68+'CF（org）'!O72+'CF（org）'!O70+'CF（org）'!O80</f>
        <v>12813.873</v>
      </c>
      <c r="Q24" s="327">
        <f>'CF（org）'!P67+'CF（org）'!P68+'CF（org）'!P72+'CF（org）'!P70+'CF（org）'!P80</f>
        <v>4971.385000000002</v>
      </c>
      <c r="R24" s="327">
        <f>'CF（org）'!Q67+'CF（org）'!Q68+'CF（org）'!Q72+'CF（org）'!Q70+'CF（org）'!Q80</f>
        <v>3961.4410000000025</v>
      </c>
      <c r="S24" s="328">
        <f>(BS!S50-BS!R50)+(BS!S66-BS!R66)+(BS!S52-BS!R52)+(BS!S68-BS!R68)+(BS!S53-BS!R53)</f>
        <v>11785.509</v>
      </c>
      <c r="T24" s="328">
        <f>(BS!T50-BS!S50)+(BS!T66-BS!S66)+(BS!T52-BS!S52)+(BS!T68-BS!S68)+(BS!T53-BS!S53)</f>
        <v>1660.0260000000035</v>
      </c>
      <c r="U24" s="328">
        <f>(BS!U50-BS!T50)+(BS!U66-BS!T66)+(BS!U52-BS!T52)+(BS!U68-BS!T68)+(BS!U53-BS!T53)</f>
        <v>4169.6649999999981</v>
      </c>
      <c r="V24" s="328">
        <f>(BS!V50-BS!U50)+(BS!V66-BS!U66)+(BS!V52-BS!U52)+(BS!V68-BS!U68)+(BS!V53-BS!U53)</f>
        <v>3584.7759999999944</v>
      </c>
      <c r="W24" s="328">
        <f>(BS!W50-BS!V50)+(BS!W66-BS!V66)+(BS!W52-BS!V52)+(BS!W68-BS!V68)+(BS!W53-BS!V53)</f>
        <v>5883.7800000000043</v>
      </c>
      <c r="X24" s="328">
        <f>(BS!X50-BS!W50)+(BS!X66-BS!W66)+(BS!X52-BS!W52)+(BS!X68-BS!W68)+(BS!X53-BS!W53)+(BS!X67-BS!W67)</f>
        <v>4770.6047600000038</v>
      </c>
      <c r="Y24" s="328">
        <f>(BS!Y50-BS!X50)+(BS!Y66-BS!X66)+(BS!Y52-BS!X52)+(BS!Y68-BS!X68)+(BS!Y53-BS!X53)+(BS!Y67-BS!X67)</f>
        <v>4884.2338152000011</v>
      </c>
      <c r="Z24" s="328">
        <f>(BS!Z50-BS!Y50)+(BS!Z66-BS!Y66)+(BS!Z52-BS!Y52)+(BS!Z68-BS!Y68)+(BS!Z53-BS!Y53)+(BS!Z67-BS!Y67)</f>
        <v>5001.0462995040052</v>
      </c>
      <c r="AA24" s="328">
        <f>(BS!AA50-BS!Z50)+(BS!AA66-BS!Z66)+(BS!AA52-BS!Z52)+(BS!AA68-BS!Z68)+(BS!AA53-BS!Z53)+(BS!AA67-BS!Z67)</f>
        <v>5121.151423894089</v>
      </c>
      <c r="AB24" s="328">
        <f>(BS!AB50-BS!AA50)+(BS!AB66-BS!AA66)+(BS!AB52-BS!AA52)+(BS!AB68-BS!AA68)+(BS!AB53-BS!AA53)+(BS!AB67-BS!AA67)</f>
        <v>5244.6628606919676</v>
      </c>
      <c r="AC24" s="328">
        <f>(BS!AC50-BS!AB50)+(BS!AC66-BS!AB66)+(BS!AC52-BS!AB52)+(BS!AC68-BS!AB68)+(BS!AC53-BS!AB53)+(BS!AC67-BS!AB67)</f>
        <v>5371.6989466418127</v>
      </c>
      <c r="AD24" s="328">
        <f>(BS!AD50-BS!AC50)+(BS!AD66-BS!AC66)+(BS!AD52-BS!AC52)+(BS!AD68-BS!AC68)+(BS!AD53-BS!AC53)+(BS!AD67-BS!AC67)</f>
        <v>5502.3828957474416</v>
      </c>
      <c r="AE24" s="328">
        <f>(BS!AE50-BS!AD50)+(BS!AE66-BS!AD66)+(BS!AE52-BS!AD52)+(BS!AE68-BS!AD68)+(BS!AE53-BS!AD53)+(BS!AE67-BS!AD67)</f>
        <v>5636.8430223438336</v>
      </c>
      <c r="AF24" s="328">
        <f>(BS!AF50-BS!AE50)+(BS!AF66-BS!AE66)+(BS!AF52-BS!AE52)+(BS!AF68-BS!AE68)+(BS!AF53-BS!AE53)+(BS!AF67-BS!AE67)</f>
        <v>5775.2129749062224</v>
      </c>
      <c r="AG24" s="328">
        <f>(BS!AG50-BS!AF50)+(BS!AG66-BS!AF66)+(BS!AG52-BS!AF52)+(BS!AG68-BS!AF68)+(BS!AG53-BS!AF53)+(BS!AG67-BS!AF67)</f>
        <v>5917.6319811256399</v>
      </c>
    </row>
    <row r="25" spans="1:33" x14ac:dyDescent="0.4">
      <c r="A25" s="310" t="s">
        <v>270</v>
      </c>
      <c r="B25" s="354" t="s">
        <v>605</v>
      </c>
      <c r="C25" s="520"/>
      <c r="D25" s="521"/>
      <c r="E25" s="521"/>
      <c r="F25" s="521"/>
      <c r="G25" s="521"/>
      <c r="H25" s="521"/>
      <c r="I25" s="325"/>
      <c r="J25" s="325"/>
      <c r="K25" s="325"/>
      <c r="L25" s="325"/>
      <c r="M25" s="325"/>
      <c r="N25" s="334"/>
      <c r="O25" s="334"/>
      <c r="P25" s="334"/>
      <c r="Q25" s="334"/>
      <c r="R25" s="334"/>
      <c r="S25" s="334"/>
      <c r="T25" s="334"/>
      <c r="U25" s="334"/>
      <c r="V25" s="334"/>
      <c r="W25" s="334"/>
      <c r="X25" s="334"/>
      <c r="Y25" s="334"/>
      <c r="Z25" s="334"/>
      <c r="AA25" s="334"/>
      <c r="AB25" s="334"/>
      <c r="AC25" s="334"/>
      <c r="AD25" s="334"/>
      <c r="AE25" s="334"/>
      <c r="AF25" s="334"/>
      <c r="AG25" s="334"/>
    </row>
    <row r="26" spans="1:33" x14ac:dyDescent="0.4">
      <c r="A26" s="310" t="s">
        <v>271</v>
      </c>
      <c r="B26" s="354" t="s">
        <v>752</v>
      </c>
      <c r="C26" s="520"/>
      <c r="D26" s="521">
        <f>'CF（org）'!C55</f>
        <v>-88.662999999999997</v>
      </c>
      <c r="E26" s="521">
        <f>'CF（org）'!D55</f>
        <v>-104.13200000000001</v>
      </c>
      <c r="F26" s="521">
        <f>'CF（org）'!E55</f>
        <v>-199.875</v>
      </c>
      <c r="G26" s="521">
        <v>-179.26875000000001</v>
      </c>
      <c r="H26" s="521"/>
      <c r="I26" s="327">
        <f>'CF（org）'!H52+'CF（org）'!H55</f>
        <v>-708.23800000000006</v>
      </c>
      <c r="J26" s="327">
        <f>'CF（org）'!I52+'CF（org）'!I55</f>
        <v>-873.84899999999993</v>
      </c>
      <c r="K26" s="327">
        <f>'CF（org）'!J52+'CF（org）'!J55+'CF（org）'!J77</f>
        <v>-1449.7700000000002</v>
      </c>
      <c r="L26" s="327">
        <f>'CF（org）'!K52+'CF（org）'!K55+'CF（org）'!K77</f>
        <v>-1754.04</v>
      </c>
      <c r="M26" s="327">
        <f>'CF（org）'!L52+'CF（org）'!L55+'CF（org）'!L77</f>
        <v>-1822.6209999999999</v>
      </c>
      <c r="N26" s="327">
        <f>'CF（org）'!M52+'CF（org）'!M55+'CF（org）'!M77</f>
        <v>-2084.1770000000001</v>
      </c>
      <c r="O26" s="327">
        <f>'CF（org）'!N52+'CF（org）'!N55+'CF（org）'!N77</f>
        <v>-2536.2140000000004</v>
      </c>
      <c r="P26" s="327">
        <f>'CF（org）'!O52+'CF（org）'!O55+'CF（org）'!O77</f>
        <v>-3536.172</v>
      </c>
      <c r="Q26" s="327">
        <f>'CF（org）'!P52+'CF（org）'!P55+'CF（org）'!P77</f>
        <v>-3394.65</v>
      </c>
      <c r="R26" s="327">
        <f>'CF（org）'!Q52+'CF（org）'!Q55+'CF（org）'!Q77</f>
        <v>-4401.7479999999996</v>
      </c>
      <c r="S26" s="328">
        <f>-S8-PL!R129</f>
        <v>-4485.8984004800004</v>
      </c>
      <c r="T26" s="328">
        <f>-T8-PL!S129</f>
        <v>-5032.5331399999995</v>
      </c>
      <c r="U26" s="328">
        <f>-U8-PL!T129</f>
        <v>-5622.3650159999997</v>
      </c>
      <c r="V26" s="328">
        <f>-V8-PL!U129</f>
        <v>-5769.3773519999995</v>
      </c>
      <c r="W26" s="328">
        <f>-W8-PL!V129</f>
        <v>-5380.6749605617997</v>
      </c>
      <c r="X26" s="328">
        <f>-X8-PL!W129</f>
        <v>-5565.0441358121916</v>
      </c>
      <c r="Y26" s="328">
        <f ca="1">-Y8-PL!X129</f>
        <v>-6121.6750116587791</v>
      </c>
      <c r="Z26" s="328">
        <f ca="1">-Z8-PL!Y129</f>
        <v>-6555.5645468503699</v>
      </c>
      <c r="AA26" s="328">
        <f ca="1">-AA8-PL!Z129</f>
        <v>-6879.8004322387878</v>
      </c>
      <c r="AB26" s="328">
        <f ca="1">-AB8-PL!AA129</f>
        <v>-7463.5352113066438</v>
      </c>
      <c r="AC26" s="328">
        <f ca="1">-AC8-PL!AB129</f>
        <v>-8018.4150713508334</v>
      </c>
      <c r="AD26" s="328">
        <f ca="1">-AD8-PL!AC129</f>
        <v>-8547.9062796602193</v>
      </c>
      <c r="AE26" s="328">
        <f ca="1">-AE8-PL!AD129</f>
        <v>-9056.7470583903523</v>
      </c>
      <c r="AF26" s="328">
        <f ca="1">-AF8-PL!AE129</f>
        <v>-9552.0096702638748</v>
      </c>
      <c r="AG26" s="328">
        <f ca="1">-AG8-PL!AF129</f>
        <v>-10032.557791993218</v>
      </c>
    </row>
    <row r="27" spans="1:33" x14ac:dyDescent="0.4">
      <c r="A27" s="310" t="s">
        <v>600</v>
      </c>
      <c r="B27" s="354" t="s">
        <v>551</v>
      </c>
      <c r="C27" s="520"/>
      <c r="D27" s="327">
        <f t="shared" ref="D27:T27" si="15">D28-SUM(D23:D26)</f>
        <v>-352.42499999999995</v>
      </c>
      <c r="E27" s="327">
        <f t="shared" si="15"/>
        <v>-839.654</v>
      </c>
      <c r="F27" s="327">
        <f t="shared" si="15"/>
        <v>-470.94999999999982</v>
      </c>
      <c r="G27" s="327">
        <f t="shared" si="15"/>
        <v>384.57375000000047</v>
      </c>
      <c r="H27" s="327">
        <f t="shared" si="15"/>
        <v>-1563.8740000000007</v>
      </c>
      <c r="I27" s="327">
        <f t="shared" si="15"/>
        <v>-2294.5689999999995</v>
      </c>
      <c r="J27" s="327">
        <f t="shared" si="15"/>
        <v>-955.09099999999944</v>
      </c>
      <c r="K27" s="327">
        <f t="shared" si="15"/>
        <v>-154.34199999999964</v>
      </c>
      <c r="L27" s="327">
        <f t="shared" si="15"/>
        <v>185.23000000000002</v>
      </c>
      <c r="M27" s="327">
        <f t="shared" si="15"/>
        <v>8.645999999999276</v>
      </c>
      <c r="N27" s="327">
        <f t="shared" si="15"/>
        <v>31.732999999998356</v>
      </c>
      <c r="O27" s="327">
        <f t="shared" si="15"/>
        <v>108.37900000000081</v>
      </c>
      <c r="P27" s="327">
        <f t="shared" si="15"/>
        <v>303.41300000000047</v>
      </c>
      <c r="Q27" s="327">
        <f t="shared" si="15"/>
        <v>8929.891999999998</v>
      </c>
      <c r="R27" s="327">
        <f t="shared" si="15"/>
        <v>3321.5859999999989</v>
      </c>
      <c r="S27" s="327">
        <f t="shared" si="15"/>
        <v>-281.25259952000033</v>
      </c>
      <c r="T27" s="327">
        <f t="shared" si="15"/>
        <v>2845.489139999997</v>
      </c>
      <c r="U27" s="327">
        <f t="shared" ref="U27:V27" si="16">U28-SUM(U23:U26)</f>
        <v>6001.0860160000002</v>
      </c>
      <c r="V27" s="327">
        <f t="shared" si="16"/>
        <v>1835.5073520000124</v>
      </c>
      <c r="W27" s="327">
        <f t="shared" ref="W27" si="17">W28-SUM(W23:W26)</f>
        <v>-1753.1050394382046</v>
      </c>
      <c r="X27" s="327">
        <f>BS!W38-BS!X38-(BS!X16-BS!W16)+BS!X79-BS!W79</f>
        <v>0</v>
      </c>
      <c r="Y27" s="327">
        <f>BS!X38-BS!Y38-(BS!Y16-BS!X16)+BS!Y79-BS!X79</f>
        <v>0</v>
      </c>
      <c r="Z27" s="327">
        <f>BS!Y38-BS!Z38-(BS!Z16-BS!Y16)+BS!Z79-BS!Y79</f>
        <v>0</v>
      </c>
      <c r="AA27" s="327">
        <f>BS!Z38-BS!AA38-(BS!AA16-BS!Z16)+BS!AA79-BS!Z79</f>
        <v>0</v>
      </c>
      <c r="AB27" s="327">
        <f>BS!AA38-BS!AB38-(BS!AB16-BS!AA16)+BS!AB79-BS!AA79</f>
        <v>0</v>
      </c>
      <c r="AC27" s="327">
        <f>BS!AB38-BS!AC38-(BS!AC16-BS!AB16)+BS!AC79-BS!AB79</f>
        <v>0</v>
      </c>
      <c r="AD27" s="327">
        <f>BS!AC38-BS!AD38-(BS!AD16-BS!AC16)+BS!AD79-BS!AC79</f>
        <v>0</v>
      </c>
      <c r="AE27" s="327">
        <f>BS!AD38-BS!AE38-(BS!AE16-BS!AD16)+BS!AE79-BS!AD79</f>
        <v>0</v>
      </c>
      <c r="AF27" s="327">
        <f>BS!AE38-BS!AF38-(BS!AF16-BS!AE16)+BS!AF79-BS!AE79</f>
        <v>0</v>
      </c>
      <c r="AG27" s="327">
        <f>BS!AF38-BS!AG38-(BS!AG16-BS!AF16)+BS!AG79-BS!AF79</f>
        <v>0</v>
      </c>
    </row>
    <row r="28" spans="1:33" s="323" customFormat="1" x14ac:dyDescent="0.4">
      <c r="A28" s="337" t="s">
        <v>272</v>
      </c>
      <c r="B28" s="1679" t="s">
        <v>606</v>
      </c>
      <c r="C28" s="523"/>
      <c r="D28" s="524">
        <f>'CF（org）'!C82</f>
        <v>-569.125</v>
      </c>
      <c r="E28" s="524">
        <f>'CF（org）'!D82</f>
        <v>44.523999999999916</v>
      </c>
      <c r="F28" s="524">
        <f>'CF（org）'!E82</f>
        <v>408.596</v>
      </c>
      <c r="G28" s="524">
        <f>'CF（org）'!F82</f>
        <v>3547.6499999999996</v>
      </c>
      <c r="H28" s="524">
        <f>'CF（org）'!G82</f>
        <v>-777.44799999999941</v>
      </c>
      <c r="I28" s="524">
        <f>'CF（org）'!H82</f>
        <v>2894.1120000000001</v>
      </c>
      <c r="J28" s="524">
        <f>'CF（org）'!I82</f>
        <v>5021.8450000000003</v>
      </c>
      <c r="K28" s="524">
        <f>'CF（org）'!J82</f>
        <v>4046.0819999999994</v>
      </c>
      <c r="L28" s="524">
        <f>'CF（org）'!K82</f>
        <v>3172.2689999999998</v>
      </c>
      <c r="M28" s="524">
        <f>'CF（org）'!L82</f>
        <v>1309.4479999999992</v>
      </c>
      <c r="N28" s="524">
        <f>'CF（org）'!M82</f>
        <v>6497.6669999999995</v>
      </c>
      <c r="O28" s="524">
        <f>'CF（org）'!N82</f>
        <v>15252.916000000001</v>
      </c>
      <c r="P28" s="524">
        <f>'CF（org）'!O82</f>
        <v>9581.1139999999996</v>
      </c>
      <c r="Q28" s="524">
        <f>'CF（org）'!P82</f>
        <v>10506.627</v>
      </c>
      <c r="R28" s="524">
        <f>'CF（org）'!Q82</f>
        <v>2881.2790000000018</v>
      </c>
      <c r="S28" s="524">
        <f>'CF（org）'!R82</f>
        <v>6963.6329999999989</v>
      </c>
      <c r="T28" s="524">
        <f>'CF（org）'!S82</f>
        <v>-527.01799999999912</v>
      </c>
      <c r="U28" s="524">
        <f>'CF（org）'!T82</f>
        <v>4548.3859999999986</v>
      </c>
      <c r="V28" s="524">
        <f>'CF（org）'!U82</f>
        <v>-349.09399999999277</v>
      </c>
      <c r="W28" s="524">
        <f>'CF（org）'!V82</f>
        <v>-1250</v>
      </c>
      <c r="X28" s="524">
        <f>SUM(X23:X27)</f>
        <v>-794.43937581218779</v>
      </c>
      <c r="Y28" s="524">
        <f ca="1">SUM(Y23:Y27)</f>
        <v>-1237.441196458778</v>
      </c>
      <c r="Z28" s="524">
        <f ca="1">SUM(Z23:Z27)</f>
        <v>-1554.5182473463647</v>
      </c>
      <c r="AA28" s="524">
        <f t="shared" ref="AA28:AC28" ca="1" si="18">SUM(AA23:AA27)</f>
        <v>-1758.6490083446988</v>
      </c>
      <c r="AB28" s="524">
        <f t="shared" ca="1" si="18"/>
        <v>-2218.8723506146762</v>
      </c>
      <c r="AC28" s="524">
        <f t="shared" ca="1" si="18"/>
        <v>-2646.7161247090207</v>
      </c>
      <c r="AD28" s="524">
        <f t="shared" ref="AD28:AF28" ca="1" si="19">SUM(AD23:AD27)</f>
        <v>-3045.5233839127777</v>
      </c>
      <c r="AE28" s="524">
        <f t="shared" ca="1" si="19"/>
        <v>-3419.9040360465187</v>
      </c>
      <c r="AF28" s="524">
        <f t="shared" ca="1" si="19"/>
        <v>-3776.7966953576524</v>
      </c>
      <c r="AG28" s="524">
        <f t="shared" ref="AG28" ca="1" si="20">SUM(AG23:AG27)</f>
        <v>-4114.9258108675785</v>
      </c>
    </row>
    <row r="29" spans="1:33" x14ac:dyDescent="0.4">
      <c r="C29" s="520"/>
      <c r="D29" s="521"/>
      <c r="E29" s="521"/>
      <c r="F29" s="521"/>
      <c r="G29" s="521"/>
      <c r="H29" s="521"/>
      <c r="I29" s="327"/>
      <c r="J29" s="327"/>
      <c r="K29" s="327"/>
      <c r="L29" s="325"/>
      <c r="M29" s="325"/>
      <c r="N29" s="325"/>
      <c r="O29" s="325"/>
      <c r="P29" s="325"/>
      <c r="Q29" s="325"/>
      <c r="R29" s="325"/>
      <c r="S29" s="325"/>
      <c r="T29" s="325"/>
      <c r="U29" s="325"/>
      <c r="V29" s="325"/>
      <c r="W29" s="325"/>
      <c r="X29" s="325"/>
      <c r="Y29" s="325"/>
      <c r="Z29" s="325"/>
      <c r="AA29" s="325"/>
      <c r="AB29" s="325"/>
      <c r="AC29" s="325"/>
      <c r="AD29" s="325"/>
      <c r="AE29" s="325"/>
      <c r="AF29" s="325"/>
      <c r="AG29" s="325"/>
    </row>
    <row r="30" spans="1:33" x14ac:dyDescent="0.4">
      <c r="A30" s="310" t="s">
        <v>2311</v>
      </c>
      <c r="B30" s="354" t="s">
        <v>607</v>
      </c>
      <c r="C30" s="326"/>
      <c r="D30" s="327">
        <f>'CF（org）'!C86</f>
        <v>2.492</v>
      </c>
      <c r="E30" s="327">
        <f>'CF（org）'!D86</f>
        <v>-1.899</v>
      </c>
      <c r="F30" s="327">
        <f>'CF（org）'!E86</f>
        <v>3.5720000000000001</v>
      </c>
      <c r="G30" s="327">
        <f>'CF（org）'!F86</f>
        <v>-2.6219999999999999</v>
      </c>
      <c r="H30" s="327">
        <f>'CF（org）'!G86</f>
        <v>31.623000000000001</v>
      </c>
      <c r="I30" s="327">
        <f>'CF（org）'!H86</f>
        <v>3.927</v>
      </c>
      <c r="J30" s="327">
        <f>'CF（org）'!I86</f>
        <v>3.835</v>
      </c>
      <c r="K30" s="327">
        <f>'CF（org）'!J86</f>
        <v>149.45599999999999</v>
      </c>
      <c r="L30" s="327">
        <f>'CF（org）'!K86</f>
        <v>-48.134</v>
      </c>
      <c r="M30" s="327">
        <f>'CF（org）'!L86</f>
        <v>-164.595</v>
      </c>
      <c r="N30" s="327">
        <f>'CF（org）'!M86</f>
        <v>-216.191</v>
      </c>
      <c r="O30" s="327">
        <f>'CF（org）'!N86</f>
        <v>479.65300000000002</v>
      </c>
      <c r="P30" s="327">
        <f>'CF（org）'!O86</f>
        <v>-349.221</v>
      </c>
      <c r="Q30" s="327">
        <f>'CF（org）'!P86</f>
        <v>-36.070999999999998</v>
      </c>
      <c r="R30" s="327">
        <f>'CF（org）'!Q86</f>
        <v>1137.116</v>
      </c>
      <c r="S30" s="327">
        <f>'CF（org）'!R86</f>
        <v>453.67</v>
      </c>
      <c r="T30" s="327">
        <f>'CF（org）'!S86</f>
        <v>-1024.634</v>
      </c>
      <c r="U30" s="327">
        <f>'CF（org）'!T86</f>
        <v>-1332.5139999999999</v>
      </c>
      <c r="V30" s="327">
        <f>'CF（org）'!U86</f>
        <v>-534.86599999999999</v>
      </c>
      <c r="W30" s="327">
        <f>'CF（org）'!V86</f>
        <v>0</v>
      </c>
      <c r="X30" s="353">
        <v>0</v>
      </c>
      <c r="Y30" s="353">
        <v>0</v>
      </c>
      <c r="Z30" s="353">
        <v>0</v>
      </c>
      <c r="AA30" s="353">
        <v>0</v>
      </c>
      <c r="AB30" s="353">
        <v>0</v>
      </c>
      <c r="AC30" s="353">
        <v>0</v>
      </c>
      <c r="AD30" s="353">
        <v>0</v>
      </c>
      <c r="AE30" s="353">
        <v>0</v>
      </c>
      <c r="AF30" s="353">
        <v>0</v>
      </c>
      <c r="AG30" s="353">
        <v>0</v>
      </c>
    </row>
    <row r="31" spans="1:33" x14ac:dyDescent="0.4">
      <c r="A31" s="310" t="s">
        <v>273</v>
      </c>
      <c r="B31" s="354" t="s">
        <v>17</v>
      </c>
      <c r="C31" s="520"/>
      <c r="D31" s="521">
        <f t="shared" ref="D31:AC31" si="21">D11+D18+D28+D30</f>
        <v>-475.69400000000002</v>
      </c>
      <c r="E31" s="521">
        <f t="shared" si="21"/>
        <v>-554.18400000000008</v>
      </c>
      <c r="F31" s="521">
        <f t="shared" si="21"/>
        <v>355.62200000000007</v>
      </c>
      <c r="G31" s="521">
        <f t="shared" si="21"/>
        <v>4039.6129999999998</v>
      </c>
      <c r="H31" s="521">
        <f t="shared" si="21"/>
        <v>-2129.7469999999994</v>
      </c>
      <c r="I31" s="521">
        <f t="shared" si="21"/>
        <v>1729.7079999999999</v>
      </c>
      <c r="J31" s="521">
        <f t="shared" si="21"/>
        <v>1228.4080000000004</v>
      </c>
      <c r="K31" s="521">
        <f t="shared" si="21"/>
        <v>1240.1589999999994</v>
      </c>
      <c r="L31" s="521">
        <f t="shared" si="21"/>
        <v>-656.1220000000003</v>
      </c>
      <c r="M31" s="521">
        <f t="shared" si="21"/>
        <v>507.64899999999921</v>
      </c>
      <c r="N31" s="521">
        <f t="shared" si="21"/>
        <v>3457.9449999999997</v>
      </c>
      <c r="O31" s="521">
        <f t="shared" si="21"/>
        <v>6086.6740000000009</v>
      </c>
      <c r="P31" s="521">
        <f t="shared" si="21"/>
        <v>353.32799999999907</v>
      </c>
      <c r="Q31" s="521">
        <f t="shared" si="21"/>
        <v>4676.1659999999993</v>
      </c>
      <c r="R31" s="521">
        <f t="shared" si="21"/>
        <v>-188.13299999999754</v>
      </c>
      <c r="S31" s="521">
        <f t="shared" si="21"/>
        <v>1928.6339999999991</v>
      </c>
      <c r="T31" s="521">
        <f t="shared" si="21"/>
        <v>-838.8089999999994</v>
      </c>
      <c r="U31" s="521">
        <f t="shared" si="21"/>
        <v>4890.4559999999983</v>
      </c>
      <c r="V31" s="521">
        <f>V11+V18+V28+V30</f>
        <v>2260.2880000000077</v>
      </c>
      <c r="W31" s="521">
        <f>W11+W18+W28+W30</f>
        <v>957</v>
      </c>
      <c r="X31" s="521">
        <f t="shared" ca="1" si="21"/>
        <v>1437.9670922279574</v>
      </c>
      <c r="Y31" s="521">
        <f t="shared" ca="1" si="21"/>
        <v>-436.33205976710974</v>
      </c>
      <c r="Z31" s="521">
        <f ca="1">Z11+Z18+Z28+Z30</f>
        <v>1124.362188668506</v>
      </c>
      <c r="AA31" s="521">
        <f t="shared" ca="1" si="21"/>
        <v>-1911.4021935085402</v>
      </c>
      <c r="AB31" s="521">
        <f t="shared" ca="1" si="21"/>
        <v>-977.9461583295647</v>
      </c>
      <c r="AC31" s="521">
        <f t="shared" ca="1" si="21"/>
        <v>-548.37068175339982</v>
      </c>
      <c r="AD31" s="521">
        <f t="shared" ref="AD31:AF31" ca="1" si="22">AD11+AD18+AD28+AD30</f>
        <v>153.73084436853333</v>
      </c>
      <c r="AE31" s="521">
        <f t="shared" ca="1" si="22"/>
        <v>2236.9851330595993</v>
      </c>
      <c r="AF31" s="521">
        <f t="shared" ca="1" si="22"/>
        <v>2946.3767226793825</v>
      </c>
      <c r="AG31" s="521">
        <f t="shared" ref="AG31" ca="1" si="23">AG11+AG18+AG28+AG30</f>
        <v>3585.2055474782455</v>
      </c>
    </row>
    <row r="32" spans="1:33" x14ac:dyDescent="0.4">
      <c r="C32" s="533"/>
      <c r="D32" s="341"/>
      <c r="E32" s="341"/>
      <c r="F32" s="341"/>
      <c r="G32" s="341"/>
      <c r="H32" s="341"/>
      <c r="I32" s="341"/>
      <c r="J32" s="341"/>
      <c r="K32" s="341"/>
      <c r="L32" s="341"/>
      <c r="M32" s="341"/>
      <c r="N32" s="341"/>
      <c r="O32" s="341"/>
      <c r="P32" s="341"/>
      <c r="Q32" s="341"/>
      <c r="R32" s="341"/>
      <c r="S32" s="341"/>
      <c r="T32" s="341"/>
      <c r="U32" s="341"/>
      <c r="V32" s="341"/>
      <c r="W32" s="341"/>
      <c r="X32" s="341"/>
      <c r="Y32" s="341"/>
      <c r="Z32" s="341"/>
      <c r="AA32" s="341"/>
      <c r="AB32" s="341"/>
      <c r="AC32" s="341"/>
      <c r="AD32" s="341"/>
      <c r="AE32" s="341"/>
      <c r="AF32" s="341"/>
      <c r="AG32" s="341"/>
    </row>
    <row r="33" spans="1:33" s="323" customFormat="1" x14ac:dyDescent="0.4">
      <c r="A33" s="310" t="s">
        <v>2023</v>
      </c>
      <c r="B33" s="354" t="s">
        <v>18</v>
      </c>
      <c r="C33" s="520"/>
      <c r="D33" s="327">
        <f>'CF（org）'!C85</f>
        <v>2043.2909999999999</v>
      </c>
      <c r="E33" s="327">
        <f>'CF（org）'!D85</f>
        <v>1701.104</v>
      </c>
      <c r="F33" s="327">
        <f>'CF（org）'!E85</f>
        <v>1545</v>
      </c>
      <c r="G33" s="327">
        <f>'CF（org）'!F85</f>
        <v>1900.1690000000001</v>
      </c>
      <c r="H33" s="327">
        <f>'CF（org）'!G85</f>
        <v>5939.7819999999992</v>
      </c>
      <c r="I33" s="327">
        <f>'CF（org）'!H85</f>
        <v>3810.0349999999999</v>
      </c>
      <c r="J33" s="327">
        <f>'CF（org）'!I85</f>
        <v>5594.2479999999996</v>
      </c>
      <c r="K33" s="327">
        <f>'CF（org）'!J85</f>
        <v>6921.0910000000003</v>
      </c>
      <c r="L33" s="327">
        <f>'CF（org）'!K85</f>
        <v>8161.25</v>
      </c>
      <c r="M33" s="327">
        <f>'CF（org）'!L85</f>
        <v>7505.1279999999997</v>
      </c>
      <c r="N33" s="327">
        <f>'CF（org）'!M85</f>
        <v>8025.91</v>
      </c>
      <c r="O33" s="327">
        <f>'CF（org）'!N85</f>
        <v>11484.194</v>
      </c>
      <c r="P33" s="327">
        <f>'CF（org）'!O85</f>
        <v>17570.867999999999</v>
      </c>
      <c r="Q33" s="327">
        <f>'CF（org）'!P85</f>
        <v>17924.195999999996</v>
      </c>
      <c r="R33" s="327">
        <f>'CF（org）'!Q85</f>
        <v>22600.361999999997</v>
      </c>
      <c r="S33" s="327">
        <f>BS!R39</f>
        <v>22455.362000000001</v>
      </c>
      <c r="T33" s="327">
        <f>BS!S39</f>
        <v>24407.419000000002</v>
      </c>
      <c r="U33" s="327">
        <f>BS!T39</f>
        <v>23881.499</v>
      </c>
      <c r="V33" s="327">
        <f>BS!U39</f>
        <v>28462.888999999999</v>
      </c>
      <c r="W33" s="327">
        <f>BS!V39</f>
        <v>28589.158000000003</v>
      </c>
      <c r="X33" s="327">
        <f>BS!W39</f>
        <v>30328.6</v>
      </c>
      <c r="Y33" s="327">
        <f ca="1">BS!X39</f>
        <v>31766.567092227957</v>
      </c>
      <c r="Z33" s="327">
        <f ca="1">BS!Y39</f>
        <v>31330.235032460849</v>
      </c>
      <c r="AA33" s="327">
        <f ca="1">BS!Z39</f>
        <v>32454.597221129356</v>
      </c>
      <c r="AB33" s="327">
        <f ca="1">BS!AA39</f>
        <v>30543.195027620815</v>
      </c>
      <c r="AC33" s="327">
        <f ca="1">BS!AB39</f>
        <v>29565.248869291252</v>
      </c>
      <c r="AD33" s="327">
        <f ca="1">BS!AC39</f>
        <v>29016.878187537852</v>
      </c>
      <c r="AE33" s="327">
        <f ca="1">BS!AD39</f>
        <v>29170.609031906384</v>
      </c>
      <c r="AF33" s="327">
        <f ca="1">BS!AE39</f>
        <v>31407.594164965984</v>
      </c>
      <c r="AG33" s="327">
        <f ca="1">BS!AF39</f>
        <v>34353.970887645366</v>
      </c>
    </row>
    <row r="34" spans="1:33" x14ac:dyDescent="0.4">
      <c r="A34" s="337" t="s">
        <v>2312</v>
      </c>
      <c r="B34" s="1679" t="s">
        <v>19</v>
      </c>
      <c r="C34" s="534"/>
      <c r="D34" s="535">
        <f t="shared" ref="D34:AC34" si="24">D33+D31</f>
        <v>1567.597</v>
      </c>
      <c r="E34" s="535">
        <f t="shared" si="24"/>
        <v>1146.92</v>
      </c>
      <c r="F34" s="535">
        <f t="shared" si="24"/>
        <v>1900.6220000000001</v>
      </c>
      <c r="G34" s="535">
        <f t="shared" si="24"/>
        <v>5939.7820000000002</v>
      </c>
      <c r="H34" s="535">
        <f t="shared" si="24"/>
        <v>3810.0349999999999</v>
      </c>
      <c r="I34" s="535">
        <f t="shared" si="24"/>
        <v>5539.7429999999995</v>
      </c>
      <c r="J34" s="535">
        <f t="shared" si="24"/>
        <v>6822.6559999999999</v>
      </c>
      <c r="K34" s="535">
        <f t="shared" si="24"/>
        <v>8161.25</v>
      </c>
      <c r="L34" s="535">
        <f t="shared" si="24"/>
        <v>7505.1279999999997</v>
      </c>
      <c r="M34" s="535">
        <f t="shared" si="24"/>
        <v>8012.7769999999991</v>
      </c>
      <c r="N34" s="535">
        <f t="shared" si="24"/>
        <v>11483.855</v>
      </c>
      <c r="O34" s="535">
        <f t="shared" si="24"/>
        <v>17570.868000000002</v>
      </c>
      <c r="P34" s="535">
        <f t="shared" si="24"/>
        <v>17924.195999999996</v>
      </c>
      <c r="Q34" s="535">
        <f t="shared" si="24"/>
        <v>22600.361999999994</v>
      </c>
      <c r="R34" s="535">
        <f t="shared" si="24"/>
        <v>22412.228999999999</v>
      </c>
      <c r="S34" s="535">
        <f t="shared" si="24"/>
        <v>24383.995999999999</v>
      </c>
      <c r="T34" s="535">
        <f>T33+T31</f>
        <v>23568.61</v>
      </c>
      <c r="U34" s="535">
        <f t="shared" si="24"/>
        <v>28771.954999999998</v>
      </c>
      <c r="V34" s="535">
        <f>V33+V31</f>
        <v>30723.177000000007</v>
      </c>
      <c r="W34" s="535">
        <f>W33+W31</f>
        <v>29546.158000000003</v>
      </c>
      <c r="X34" s="535">
        <f t="shared" ca="1" si="24"/>
        <v>31766.567092227957</v>
      </c>
      <c r="Y34" s="535">
        <f t="shared" ca="1" si="24"/>
        <v>31330.235032460849</v>
      </c>
      <c r="Z34" s="535">
        <f ca="1">Z33+Z31</f>
        <v>32454.597221129356</v>
      </c>
      <c r="AA34" s="535">
        <f t="shared" ca="1" si="24"/>
        <v>30543.195027620815</v>
      </c>
      <c r="AB34" s="535">
        <f t="shared" ca="1" si="24"/>
        <v>29565.248869291252</v>
      </c>
      <c r="AC34" s="535">
        <f t="shared" ca="1" si="24"/>
        <v>29016.878187537852</v>
      </c>
      <c r="AD34" s="535">
        <f ca="1">AD33+AD31</f>
        <v>29170.609031906384</v>
      </c>
      <c r="AE34" s="535">
        <f t="shared" ref="AE34:AF34" ca="1" si="25">AE33+AE31</f>
        <v>31407.594164965984</v>
      </c>
      <c r="AF34" s="535">
        <f t="shared" ca="1" si="25"/>
        <v>34353.970887645366</v>
      </c>
      <c r="AG34" s="535">
        <f t="shared" ref="AG34" ca="1" si="26">AG33+AG31</f>
        <v>37939.176435123612</v>
      </c>
    </row>
    <row r="35" spans="1:33" s="323" customFormat="1" x14ac:dyDescent="0.4">
      <c r="A35" s="310" t="s">
        <v>731</v>
      </c>
      <c r="B35" s="354" t="s">
        <v>730</v>
      </c>
      <c r="C35" s="520"/>
      <c r="D35" s="327">
        <f t="shared" ref="D35:T35" si="27">D36-D34</f>
        <v>133.50700000000006</v>
      </c>
      <c r="E35" s="327">
        <f t="shared" si="27"/>
        <v>398.07999999999993</v>
      </c>
      <c r="F35" s="327">
        <f t="shared" si="27"/>
        <v>-0.45299999999997453</v>
      </c>
      <c r="G35" s="327">
        <f t="shared" si="27"/>
        <v>-193.20899999999983</v>
      </c>
      <c r="H35" s="327">
        <f t="shared" si="27"/>
        <v>-81.93100000000004</v>
      </c>
      <c r="I35" s="327">
        <f t="shared" si="27"/>
        <v>-81.930999999999585</v>
      </c>
      <c r="J35" s="327">
        <f t="shared" si="27"/>
        <v>-105.74300000000039</v>
      </c>
      <c r="K35" s="327">
        <f t="shared" si="27"/>
        <v>-35.067000000000007</v>
      </c>
      <c r="L35" s="327">
        <f t="shared" si="27"/>
        <v>-52.679999999999382</v>
      </c>
      <c r="M35" s="327">
        <f t="shared" si="27"/>
        <v>13.447000000001026</v>
      </c>
      <c r="N35" s="327">
        <f t="shared" si="27"/>
        <v>0.79700000000048021</v>
      </c>
      <c r="O35" s="327">
        <f t="shared" si="27"/>
        <v>22.334999999999127</v>
      </c>
      <c r="P35" s="327">
        <f t="shared" si="27"/>
        <v>1.5120000000024447</v>
      </c>
      <c r="Q35" s="327">
        <f t="shared" si="27"/>
        <v>23.259000000005472</v>
      </c>
      <c r="R35" s="327">
        <f t="shared" si="27"/>
        <v>43.13300000000163</v>
      </c>
      <c r="S35" s="327">
        <f t="shared" si="27"/>
        <v>23.423000000002503</v>
      </c>
      <c r="T35" s="327">
        <f t="shared" si="27"/>
        <v>312.88899999999921</v>
      </c>
      <c r="U35" s="327">
        <f>U36-U34</f>
        <v>-309.06599999999889</v>
      </c>
      <c r="V35" s="327">
        <f t="shared" ref="V35" si="28">V36-V34</f>
        <v>-2134.0190000000039</v>
      </c>
      <c r="W35" s="327">
        <f t="shared" ref="W35" si="29">W36-W34</f>
        <v>782.44199999999546</v>
      </c>
      <c r="X35" s="353">
        <v>0</v>
      </c>
      <c r="Y35" s="353">
        <v>0</v>
      </c>
      <c r="Z35" s="353">
        <v>0</v>
      </c>
      <c r="AA35" s="353">
        <v>0</v>
      </c>
      <c r="AB35" s="353">
        <v>0</v>
      </c>
      <c r="AC35" s="353">
        <v>0</v>
      </c>
      <c r="AD35" s="353">
        <v>0</v>
      </c>
      <c r="AE35" s="353">
        <v>0</v>
      </c>
      <c r="AF35" s="353">
        <v>0</v>
      </c>
      <c r="AG35" s="353">
        <v>0</v>
      </c>
    </row>
    <row r="36" spans="1:33" x14ac:dyDescent="0.4">
      <c r="A36" s="337" t="s">
        <v>732</v>
      </c>
      <c r="B36" s="1679" t="s">
        <v>3045</v>
      </c>
      <c r="C36" s="534"/>
      <c r="D36" s="535">
        <f>BS!D39</f>
        <v>1701.104</v>
      </c>
      <c r="E36" s="535">
        <f>BS!E39</f>
        <v>1545</v>
      </c>
      <c r="F36" s="535">
        <f>BS!F39</f>
        <v>1900.1690000000001</v>
      </c>
      <c r="G36" s="535">
        <f>BS!G39</f>
        <v>5746.5730000000003</v>
      </c>
      <c r="H36" s="535">
        <f>BS!H39</f>
        <v>3728.1039999999998</v>
      </c>
      <c r="I36" s="535">
        <f>BS!I39</f>
        <v>5457.8119999999999</v>
      </c>
      <c r="J36" s="535">
        <f>BS!J39</f>
        <v>6716.9129999999996</v>
      </c>
      <c r="K36" s="535">
        <f>BS!K39</f>
        <v>8126.183</v>
      </c>
      <c r="L36" s="535">
        <f>BS!L39</f>
        <v>7452.4480000000003</v>
      </c>
      <c r="M36" s="535">
        <f>BS!M39</f>
        <v>8026.2240000000002</v>
      </c>
      <c r="N36" s="535">
        <f>BS!N39</f>
        <v>11484.652</v>
      </c>
      <c r="O36" s="535">
        <f>BS!O39</f>
        <v>17593.203000000001</v>
      </c>
      <c r="P36" s="535">
        <f>BS!P39</f>
        <v>17925.707999999999</v>
      </c>
      <c r="Q36" s="535">
        <f>BS!Q39</f>
        <v>22623.620999999999</v>
      </c>
      <c r="R36" s="535">
        <f>BS!R39</f>
        <v>22455.362000000001</v>
      </c>
      <c r="S36" s="535">
        <f>BS!S39</f>
        <v>24407.419000000002</v>
      </c>
      <c r="T36" s="535">
        <f>BS!T39</f>
        <v>23881.499</v>
      </c>
      <c r="U36" s="535">
        <f>BS!U39</f>
        <v>28462.888999999999</v>
      </c>
      <c r="V36" s="535">
        <f>BS!V39</f>
        <v>28589.158000000003</v>
      </c>
      <c r="W36" s="535">
        <f>BS!W39</f>
        <v>30328.6</v>
      </c>
      <c r="X36" s="535">
        <f t="shared" ref="X36:AC36" ca="1" si="30">X34-X35</f>
        <v>31766.567092227957</v>
      </c>
      <c r="Y36" s="535">
        <f t="shared" ca="1" si="30"/>
        <v>31330.235032460849</v>
      </c>
      <c r="Z36" s="535">
        <f ca="1">Z34-Z35</f>
        <v>32454.597221129356</v>
      </c>
      <c r="AA36" s="535">
        <f t="shared" ca="1" si="30"/>
        <v>30543.195027620815</v>
      </c>
      <c r="AB36" s="535">
        <f t="shared" ca="1" si="30"/>
        <v>29565.248869291252</v>
      </c>
      <c r="AC36" s="535">
        <f t="shared" ca="1" si="30"/>
        <v>29016.878187537852</v>
      </c>
      <c r="AD36" s="535">
        <f t="shared" ref="AD36:AF36" ca="1" si="31">AD34-AD35</f>
        <v>29170.609031906384</v>
      </c>
      <c r="AE36" s="535">
        <f t="shared" ca="1" si="31"/>
        <v>31407.594164965984</v>
      </c>
      <c r="AF36" s="535">
        <f t="shared" ca="1" si="31"/>
        <v>34353.970887645366</v>
      </c>
      <c r="AG36" s="535">
        <f t="shared" ref="AG36" ca="1" si="32">AG34-AG35</f>
        <v>37939.176435123612</v>
      </c>
    </row>
    <row r="37" spans="1:33" x14ac:dyDescent="0.4">
      <c r="A37" s="536"/>
      <c r="B37" s="1698"/>
      <c r="C37" s="536"/>
      <c r="D37" s="325">
        <f>D36-BS!D39</f>
        <v>0</v>
      </c>
      <c r="E37" s="325">
        <f>E36-BS!E39</f>
        <v>0</v>
      </c>
      <c r="F37" s="325">
        <f>F36-BS!F39</f>
        <v>0</v>
      </c>
      <c r="G37" s="325">
        <f>G36-BS!G39</f>
        <v>0</v>
      </c>
      <c r="H37" s="325">
        <f>H36-BS!H39</f>
        <v>0</v>
      </c>
      <c r="I37" s="325"/>
      <c r="J37" s="325"/>
      <c r="K37" s="325"/>
      <c r="L37" s="325"/>
      <c r="M37" s="325"/>
      <c r="N37" s="325"/>
      <c r="O37" s="325"/>
      <c r="P37" s="325"/>
      <c r="Q37" s="325"/>
      <c r="R37" s="325"/>
      <c r="S37" s="325"/>
      <c r="T37" s="325"/>
      <c r="U37" s="325"/>
      <c r="V37" s="325"/>
      <c r="W37" s="325"/>
      <c r="X37" s="325"/>
      <c r="Y37" s="325"/>
      <c r="Z37" s="325"/>
      <c r="AA37" s="325"/>
      <c r="AB37" s="325"/>
      <c r="AC37" s="325"/>
      <c r="AD37" s="325"/>
      <c r="AE37" s="325"/>
      <c r="AF37" s="325"/>
      <c r="AG37" s="325"/>
    </row>
    <row r="38" spans="1:33" x14ac:dyDescent="0.4">
      <c r="A38" s="314" t="s">
        <v>2313</v>
      </c>
      <c r="B38" s="1668" t="s">
        <v>3046</v>
      </c>
      <c r="C38" s="537"/>
      <c r="D38" s="314">
        <f>ROUND(D36-BS!D39,1)</f>
        <v>0</v>
      </c>
      <c r="E38" s="314">
        <f>ROUND(E36-BS!E39,1)</f>
        <v>0</v>
      </c>
      <c r="F38" s="314">
        <f>ROUND(F36-BS!F39,1)</f>
        <v>0</v>
      </c>
      <c r="G38" s="314">
        <f>ROUND(G34-BS!G39,1)</f>
        <v>193.2</v>
      </c>
      <c r="H38" s="314">
        <f>ROUND(H34-BS!H39,1)</f>
        <v>81.900000000000006</v>
      </c>
      <c r="I38" s="314">
        <f>ROUND(I34-BS!I39,1)</f>
        <v>81.900000000000006</v>
      </c>
      <c r="J38" s="314">
        <f>ROUND(J34-BS!J39,1)</f>
        <v>105.7</v>
      </c>
      <c r="K38" s="314">
        <f>ROUND(K34-BS!K39,1)</f>
        <v>35.1</v>
      </c>
      <c r="L38" s="314">
        <f>ROUND(L34-BS!L39,1)</f>
        <v>52.7</v>
      </c>
      <c r="M38" s="314">
        <f>ROUND(M34-BS!M39,1)</f>
        <v>-13.4</v>
      </c>
      <c r="N38" s="314">
        <f>ROUND(N34-BS!N39,1)</f>
        <v>-0.8</v>
      </c>
      <c r="O38" s="314">
        <f>ROUND(O34-BS!O39,1)</f>
        <v>-22.3</v>
      </c>
      <c r="P38" s="314">
        <f>ROUND(P34-BS!P39,1)</f>
        <v>-1.5</v>
      </c>
      <c r="Q38" s="314">
        <f>ROUND(Q34-BS!Q39,1)</f>
        <v>-23.3</v>
      </c>
      <c r="R38" s="314">
        <f>ROUND(R34-BS!R39,1)</f>
        <v>-43.1</v>
      </c>
      <c r="S38" s="314">
        <f>ROUND(S34-BS!S39,1)</f>
        <v>-23.4</v>
      </c>
      <c r="T38" s="314">
        <f>ROUND(T34-BS!T39,1)</f>
        <v>-312.89999999999998</v>
      </c>
      <c r="U38" s="314">
        <f>ROUND(U34-BS!U39,1)</f>
        <v>309.10000000000002</v>
      </c>
      <c r="V38" s="314">
        <f>ROUND(V34-BS!V39,1)</f>
        <v>2134</v>
      </c>
      <c r="W38" s="314">
        <f>ROUND(W34-BS!W39,1)</f>
        <v>-782.4</v>
      </c>
      <c r="X38" s="314">
        <f ca="1">ROUND(X34-BS!X39,1)</f>
        <v>0</v>
      </c>
      <c r="Y38" s="314">
        <f ca="1">ROUND(Y34-BS!Y39,1)</f>
        <v>0</v>
      </c>
      <c r="Z38" s="314">
        <f ca="1">ROUND(Z34-BS!Z39,1)</f>
        <v>0</v>
      </c>
      <c r="AA38" s="314">
        <f ca="1">ROUND(AA34-BS!AA39,1)</f>
        <v>0</v>
      </c>
      <c r="AB38" s="314">
        <f ca="1">ROUND(AB34-BS!AB39,1)</f>
        <v>0</v>
      </c>
      <c r="AC38" s="314">
        <f ca="1">ROUND(AC34-BS!AC39,1)</f>
        <v>0</v>
      </c>
      <c r="AD38" s="314">
        <f ca="1">ROUND(AD34-BS!AD39,1)</f>
        <v>0</v>
      </c>
      <c r="AE38" s="314">
        <f ca="1">ROUND(AE34-BS!AE39,1)</f>
        <v>0</v>
      </c>
      <c r="AF38" s="314">
        <f ca="1">ROUND(AF34-BS!AF39,1)</f>
        <v>0</v>
      </c>
      <c r="AG38" s="314">
        <f ca="1">ROUND(AG34-BS!AG39,1)</f>
        <v>0</v>
      </c>
    </row>
    <row r="39" spans="1:33" s="514" customFormat="1" x14ac:dyDescent="0.4">
      <c r="B39" s="1699"/>
    </row>
    <row r="40" spans="1:33" x14ac:dyDescent="0.4">
      <c r="A40" s="536"/>
      <c r="B40" s="1698"/>
      <c r="C40" s="536"/>
      <c r="D40" s="538"/>
      <c r="E40" s="539"/>
      <c r="F40" s="539"/>
      <c r="G40" s="539"/>
      <c r="H40" s="539"/>
      <c r="L40" s="528"/>
    </row>
    <row r="41" spans="1:33" s="312" customFormat="1" x14ac:dyDescent="0.4">
      <c r="B41" s="1677"/>
      <c r="F41" s="540"/>
      <c r="G41" s="540"/>
      <c r="H41" s="540"/>
      <c r="I41" s="540"/>
      <c r="J41" s="540"/>
      <c r="K41" s="540"/>
      <c r="L41" s="540"/>
      <c r="M41" s="540"/>
      <c r="N41" s="540"/>
      <c r="O41" s="540"/>
    </row>
    <row r="42" spans="1:33" s="312" customFormat="1" x14ac:dyDescent="0.4">
      <c r="B42" s="1700"/>
      <c r="F42" s="541"/>
      <c r="G42" s="541"/>
      <c r="H42" s="541"/>
      <c r="I42" s="541"/>
      <c r="J42" s="541"/>
      <c r="K42" s="541"/>
      <c r="L42" s="541"/>
      <c r="M42" s="541"/>
      <c r="N42" s="541"/>
      <c r="O42" s="541"/>
    </row>
    <row r="43" spans="1:33" s="312" customFormat="1" x14ac:dyDescent="0.4">
      <c r="B43" s="1677"/>
      <c r="F43" s="541"/>
      <c r="G43" s="541"/>
      <c r="H43" s="541"/>
      <c r="I43" s="541"/>
      <c r="J43" s="541"/>
      <c r="K43" s="541"/>
      <c r="L43" s="541"/>
      <c r="M43" s="541"/>
      <c r="N43" s="541"/>
      <c r="O43" s="541"/>
    </row>
    <row r="44" spans="1:33" s="312" customFormat="1" x14ac:dyDescent="0.4">
      <c r="B44" s="1677"/>
      <c r="F44" s="541"/>
      <c r="G44" s="541"/>
      <c r="H44" s="541"/>
      <c r="I44" s="541"/>
      <c r="J44" s="541"/>
      <c r="K44" s="541"/>
      <c r="L44" s="541"/>
      <c r="M44" s="541"/>
      <c r="N44" s="541"/>
      <c r="O44" s="541"/>
    </row>
    <row r="45" spans="1:33" x14ac:dyDescent="0.4">
      <c r="D45" s="310"/>
      <c r="E45" s="539"/>
      <c r="F45" s="539"/>
      <c r="G45" s="539"/>
      <c r="H45" s="539"/>
    </row>
    <row r="47" spans="1:33" x14ac:dyDescent="0.4">
      <c r="E47" s="311"/>
      <c r="F47" s="311"/>
      <c r="G47" s="311"/>
      <c r="H47" s="311"/>
    </row>
  </sheetData>
  <phoneticPr fontId="51" type="noConversion"/>
  <pageMargins left="0.75" right="0.75" top="1" bottom="1" header="0.5" footer="0.5"/>
  <pageSetup paperSize="9"/>
  <headerFooter alignWithMargins="0">
    <oddHeader>&amp;A</oddHeader>
    <oddFooter>&amp;F</oddFooter>
  </headerFooter>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79"/>
  <sheetViews>
    <sheetView showGridLines="0" zoomScale="130" zoomScaleNormal="130" workbookViewId="0">
      <pane xSplit="2" ySplit="2" topLeftCell="N3" activePane="bottomRight" state="frozen"/>
      <selection pane="topRight"/>
      <selection pane="bottomLeft"/>
      <selection pane="bottomRight" activeCell="Z12" sqref="Z12:AC12"/>
    </sheetView>
  </sheetViews>
  <sheetFormatPr defaultColWidth="9" defaultRowHeight="11.65" outlineLevelRow="1" outlineLevelCol="1" x14ac:dyDescent="0.4"/>
  <cols>
    <col min="1" max="1" width="31.0625" style="542" hidden="1" customWidth="1" outlineLevel="1"/>
    <col min="2" max="2" width="25" style="1677" customWidth="1" collapsed="1"/>
    <col min="3" max="13" width="8.0625" style="312" hidden="1" customWidth="1" outlineLevel="1"/>
    <col min="14" max="14" width="8.0625" style="312" customWidth="1" collapsed="1"/>
    <col min="15" max="22" width="8.0625" style="312" customWidth="1"/>
    <col min="23" max="33" width="8.0625" style="312" customWidth="1" outlineLevel="1"/>
    <col min="34" max="16384" width="9" style="312"/>
  </cols>
  <sheetData>
    <row r="1" spans="1:33" x14ac:dyDescent="0.4">
      <c r="A1" s="314" t="s">
        <v>2011</v>
      </c>
      <c r="B1" s="1668" t="s">
        <v>2983</v>
      </c>
      <c r="C1" s="310"/>
      <c r="D1" s="461">
        <f>BS!D1</f>
        <v>0</v>
      </c>
      <c r="E1" s="461">
        <f>BS!E1</f>
        <v>0</v>
      </c>
      <c r="F1" s="461">
        <f>BS!F1</f>
        <v>0</v>
      </c>
      <c r="G1" s="461">
        <f>BS!G1</f>
        <v>0</v>
      </c>
      <c r="H1" s="461">
        <f>BS!H1</f>
        <v>0</v>
      </c>
      <c r="I1" s="461">
        <f>BS!I1</f>
        <v>0</v>
      </c>
      <c r="J1" s="461">
        <f>BS!J1</f>
        <v>0</v>
      </c>
      <c r="K1" s="461">
        <f>BS!K1</f>
        <v>0</v>
      </c>
      <c r="L1" s="461">
        <f>BS!L1</f>
        <v>0</v>
      </c>
      <c r="M1" s="461">
        <f>BS!M1</f>
        <v>0</v>
      </c>
      <c r="N1" s="461">
        <f>BS!N1</f>
        <v>0</v>
      </c>
      <c r="O1" s="461">
        <f>BS!O1</f>
        <v>0</v>
      </c>
      <c r="P1" s="461">
        <f>BS!P1</f>
        <v>0</v>
      </c>
      <c r="Q1" s="461">
        <f>BS!Q1</f>
        <v>0</v>
      </c>
      <c r="R1" s="461">
        <f>BS!R1</f>
        <v>0</v>
      </c>
      <c r="S1" s="461">
        <f>BS!S1</f>
        <v>0</v>
      </c>
      <c r="T1" s="461">
        <f>BS!T1</f>
        <v>0</v>
      </c>
      <c r="U1" s="461">
        <f>BS!U1</f>
        <v>0</v>
      </c>
      <c r="V1" s="461">
        <f>BS!V1</f>
        <v>0</v>
      </c>
      <c r="W1" s="461">
        <f>BS!W1</f>
        <v>0</v>
      </c>
      <c r="X1" s="461">
        <f ca="1">BS!X1</f>
        <v>0</v>
      </c>
      <c r="Y1" s="461">
        <f ca="1">BS!Y1</f>
        <v>0</v>
      </c>
      <c r="Z1" s="461">
        <f ca="1">BS!Z1</f>
        <v>0</v>
      </c>
      <c r="AA1" s="461">
        <f ca="1">BS!AA1</f>
        <v>0</v>
      </c>
      <c r="AB1" s="461">
        <f ca="1">BS!AB1</f>
        <v>0</v>
      </c>
      <c r="AC1" s="461">
        <f ca="1">BS!AC1</f>
        <v>0</v>
      </c>
      <c r="AD1" s="461">
        <f ca="1">BS!AD1</f>
        <v>0</v>
      </c>
      <c r="AE1" s="461">
        <f ca="1">BS!AE1</f>
        <v>0</v>
      </c>
      <c r="AF1" s="461">
        <f ca="1">BS!AF1</f>
        <v>0</v>
      </c>
      <c r="AG1" s="461">
        <f ca="1">BS!AG1</f>
        <v>0</v>
      </c>
    </row>
    <row r="2" spans="1:33" s="322" customFormat="1" x14ac:dyDescent="0.4">
      <c r="A2" s="318" t="s">
        <v>759</v>
      </c>
      <c r="B2" s="1641" t="s">
        <v>2958</v>
      </c>
      <c r="C2" s="320" t="s">
        <v>328</v>
      </c>
      <c r="D2" s="320" t="s">
        <v>323</v>
      </c>
      <c r="E2" s="320" t="s">
        <v>198</v>
      </c>
      <c r="F2" s="320" t="s">
        <v>331</v>
      </c>
      <c r="G2" s="320" t="s">
        <v>56</v>
      </c>
      <c r="H2" s="320" t="s">
        <v>721</v>
      </c>
      <c r="I2" s="320" t="s">
        <v>747</v>
      </c>
      <c r="J2" s="320" t="s">
        <v>1748</v>
      </c>
      <c r="K2" s="320" t="s">
        <v>1376</v>
      </c>
      <c r="L2" s="320" t="s">
        <v>1510</v>
      </c>
      <c r="M2" s="320" t="s">
        <v>1587</v>
      </c>
      <c r="N2" s="321" t="s">
        <v>1739</v>
      </c>
      <c r="O2" s="321" t="s">
        <v>1810</v>
      </c>
      <c r="P2" s="321" t="s">
        <v>1818</v>
      </c>
      <c r="Q2" s="321" t="s">
        <v>2012</v>
      </c>
      <c r="R2" s="321" t="s">
        <v>2593</v>
      </c>
      <c r="S2" s="321" t="s">
        <v>2653</v>
      </c>
      <c r="T2" s="321" t="str">
        <f>PL!T3</f>
        <v>2022A</v>
      </c>
      <c r="U2" s="321" t="str">
        <f>PL!U3</f>
        <v>2023A</v>
      </c>
      <c r="V2" s="321" t="str">
        <f>PL!V3</f>
        <v>2024A</v>
      </c>
      <c r="W2" s="321" t="str">
        <f>PL!W3</f>
        <v>2025A</v>
      </c>
      <c r="X2" s="321" t="str">
        <f>PL!X3</f>
        <v>2026E</v>
      </c>
      <c r="Y2" s="321" t="str">
        <f>PL!Y3</f>
        <v>2027E</v>
      </c>
      <c r="Z2" s="321" t="str">
        <f>PL!Z3</f>
        <v>2028E</v>
      </c>
      <c r="AA2" s="321" t="str">
        <f>PL!AA3</f>
        <v>2029E</v>
      </c>
      <c r="AB2" s="321" t="str">
        <f>PL!AB3</f>
        <v>2030E</v>
      </c>
      <c r="AC2" s="321" t="str">
        <f>PL!AC3</f>
        <v>2031E</v>
      </c>
      <c r="AD2" s="321" t="str">
        <f>PL!AD3</f>
        <v>2032E</v>
      </c>
      <c r="AE2" s="321" t="str">
        <f>PL!AE3</f>
        <v>2033E</v>
      </c>
      <c r="AF2" s="321" t="str">
        <f>PL!AF3</f>
        <v>2034E</v>
      </c>
      <c r="AG2" s="321" t="str">
        <f>PL!AG3</f>
        <v>2035E</v>
      </c>
    </row>
    <row r="3" spans="1:33" x14ac:dyDescent="0.4">
      <c r="A3" s="543" t="s">
        <v>2024</v>
      </c>
      <c r="B3" s="354" t="s">
        <v>3026</v>
      </c>
      <c r="C3" s="544"/>
      <c r="D3" s="545">
        <f>BS!D33</f>
        <v>3427.2060000000001</v>
      </c>
      <c r="E3" s="545">
        <f>BS!E33</f>
        <v>4596.7730000000001</v>
      </c>
      <c r="F3" s="545">
        <f t="shared" ref="F3:AC3" si="0">F9</f>
        <v>4912.8159999999998</v>
      </c>
      <c r="G3" s="545">
        <f t="shared" si="0"/>
        <v>4616.5409999999993</v>
      </c>
      <c r="H3" s="545">
        <f t="shared" si="0"/>
        <v>5027.1840000000002</v>
      </c>
      <c r="I3" s="545">
        <f t="shared" si="0"/>
        <v>8600.44</v>
      </c>
      <c r="J3" s="545">
        <f t="shared" si="0"/>
        <v>13351.627999999999</v>
      </c>
      <c r="K3" s="545">
        <f t="shared" si="0"/>
        <v>11411.822999999999</v>
      </c>
      <c r="L3" s="545">
        <f t="shared" si="0"/>
        <v>15699.824999999999</v>
      </c>
      <c r="M3" s="545">
        <f t="shared" si="0"/>
        <v>22683.317000000003</v>
      </c>
      <c r="N3" s="545">
        <f t="shared" si="0"/>
        <v>27405.374000000003</v>
      </c>
      <c r="O3" s="545">
        <f t="shared" si="0"/>
        <v>37142.370999999999</v>
      </c>
      <c r="P3" s="545">
        <f t="shared" si="0"/>
        <v>38555.235000000001</v>
      </c>
      <c r="Q3" s="545">
        <f t="shared" si="0"/>
        <v>48696.844000000005</v>
      </c>
      <c r="R3" s="545">
        <f t="shared" si="0"/>
        <v>58946.161999999997</v>
      </c>
      <c r="S3" s="545">
        <f t="shared" si="0"/>
        <v>80799.459000000003</v>
      </c>
      <c r="T3" s="545">
        <f t="shared" si="0"/>
        <v>94311.763999999996</v>
      </c>
      <c r="U3" s="545">
        <f>U9</f>
        <v>107638.66699999999</v>
      </c>
      <c r="V3" s="545">
        <f>V9</f>
        <v>129880.52</v>
      </c>
      <c r="W3" s="545">
        <f t="shared" ref="W3" si="1">W9</f>
        <v>140379.65</v>
      </c>
      <c r="X3" s="545">
        <f t="shared" si="0"/>
        <v>145863.61202259315</v>
      </c>
      <c r="Y3" s="545">
        <f>Y9</f>
        <v>162093.45385312074</v>
      </c>
      <c r="Z3" s="545">
        <f t="shared" si="0"/>
        <v>175441.06120745011</v>
      </c>
      <c r="AA3" s="545">
        <f t="shared" si="0"/>
        <v>193613.48938501149</v>
      </c>
      <c r="AB3" s="545">
        <f t="shared" si="0"/>
        <v>210986.52639463561</v>
      </c>
      <c r="AC3" s="545">
        <f t="shared" si="0"/>
        <v>227733.56838676825</v>
      </c>
      <c r="AD3" s="545">
        <f t="shared" ref="AD3:AF3" si="2">AD9</f>
        <v>244456.05921994982</v>
      </c>
      <c r="AE3" s="545">
        <f t="shared" si="2"/>
        <v>259415.41103498131</v>
      </c>
      <c r="AF3" s="545">
        <f t="shared" si="2"/>
        <v>274005.03346528253</v>
      </c>
      <c r="AG3" s="545">
        <f t="shared" ref="AG3" si="3">AG9</f>
        <v>288311.69471535779</v>
      </c>
    </row>
    <row r="4" spans="1:33" x14ac:dyDescent="0.4">
      <c r="A4" s="546" t="s">
        <v>2025</v>
      </c>
      <c r="B4" s="354" t="s">
        <v>3027</v>
      </c>
      <c r="C4" s="544"/>
      <c r="D4" s="545">
        <f t="shared" ref="D4:O4" si="4">D20+D32</f>
        <v>29.123000000000001</v>
      </c>
      <c r="E4" s="545">
        <f t="shared" si="4"/>
        <v>74.894000000000005</v>
      </c>
      <c r="F4" s="545">
        <f t="shared" si="4"/>
        <v>64.817999999999998</v>
      </c>
      <c r="G4" s="545">
        <f t="shared" si="4"/>
        <v>54.742000000000004</v>
      </c>
      <c r="H4" s="545">
        <f t="shared" si="4"/>
        <v>125.84099999999999</v>
      </c>
      <c r="I4" s="545">
        <f t="shared" si="4"/>
        <v>308.16700000000003</v>
      </c>
      <c r="J4" s="545">
        <f t="shared" si="4"/>
        <v>343.98199999999997</v>
      </c>
      <c r="K4" s="545">
        <f t="shared" si="4"/>
        <v>316.33199999999999</v>
      </c>
      <c r="L4" s="545">
        <f t="shared" si="4"/>
        <v>226.83299999999997</v>
      </c>
      <c r="M4" s="545">
        <f t="shared" si="4"/>
        <v>527.75</v>
      </c>
      <c r="N4" s="545">
        <f t="shared" si="4"/>
        <v>545.57400000000007</v>
      </c>
      <c r="O4" s="545">
        <f t="shared" si="4"/>
        <v>628.40600000000006</v>
      </c>
      <c r="P4" s="545">
        <f t="shared" ref="P4:AC4" si="5">P20+P32+P34</f>
        <v>3339.9890000000005</v>
      </c>
      <c r="Q4" s="545">
        <f t="shared" si="5"/>
        <v>3787.1130000000003</v>
      </c>
      <c r="R4" s="545">
        <f t="shared" si="5"/>
        <v>6153.2099999999991</v>
      </c>
      <c r="S4" s="545">
        <f t="shared" si="5"/>
        <v>7935.4320000000007</v>
      </c>
      <c r="T4" s="545">
        <f t="shared" si="5"/>
        <v>8985.8549999999996</v>
      </c>
      <c r="U4" s="545">
        <f t="shared" ref="U4:W4" si="6">U20+U32+U34</f>
        <v>10891.575000000001</v>
      </c>
      <c r="V4" s="545">
        <f t="shared" si="6"/>
        <v>11031.718999999999</v>
      </c>
      <c r="W4" s="545">
        <f t="shared" si="6"/>
        <v>11196.46</v>
      </c>
      <c r="X4" s="545">
        <f t="shared" si="5"/>
        <v>11479.271413092409</v>
      </c>
      <c r="Y4" s="545">
        <f t="shared" si="5"/>
        <v>11743.405179851045</v>
      </c>
      <c r="Z4" s="545">
        <f>Z20+Z32+Z34</f>
        <v>12004.658949027449</v>
      </c>
      <c r="AA4" s="545">
        <f t="shared" si="5"/>
        <v>12285.830819849063</v>
      </c>
      <c r="AB4" s="545">
        <f t="shared" si="5"/>
        <v>12570.176523389728</v>
      </c>
      <c r="AC4" s="545">
        <f t="shared" si="5"/>
        <v>12858.580233492379</v>
      </c>
      <c r="AD4" s="545">
        <f t="shared" ref="AD4:AF4" si="7">AD20+AD32+AD34</f>
        <v>13151.810729815386</v>
      </c>
      <c r="AE4" s="545">
        <f t="shared" si="7"/>
        <v>13450.543803921115</v>
      </c>
      <c r="AF4" s="545">
        <f t="shared" si="7"/>
        <v>13755.380839734367</v>
      </c>
      <c r="AG4" s="545">
        <f t="shared" ref="AG4" si="8">AG20+AG32+AG34</f>
        <v>14066.864269272412</v>
      </c>
    </row>
    <row r="5" spans="1:33" x14ac:dyDescent="0.4">
      <c r="A5" s="543" t="s">
        <v>1840</v>
      </c>
      <c r="B5" s="354" t="s">
        <v>3028</v>
      </c>
      <c r="C5" s="544"/>
      <c r="D5" s="545">
        <f>BS!D65</f>
        <v>4433.661000000001</v>
      </c>
      <c r="E5" s="545">
        <f>BS!E65</f>
        <v>5214.7970000000005</v>
      </c>
      <c r="F5" s="545">
        <f t="shared" ref="F5:AC5" si="9">F36</f>
        <v>5186.7519999999995</v>
      </c>
      <c r="G5" s="545">
        <f t="shared" si="9"/>
        <v>5253.5360000000001</v>
      </c>
      <c r="H5" s="545">
        <f t="shared" si="9"/>
        <v>8232.2630000000008</v>
      </c>
      <c r="I5" s="545">
        <f t="shared" si="9"/>
        <v>10278.981</v>
      </c>
      <c r="J5" s="545">
        <f t="shared" si="9"/>
        <v>12426.694000000001</v>
      </c>
      <c r="K5" s="545">
        <f t="shared" si="9"/>
        <v>17776.382000000001</v>
      </c>
      <c r="L5" s="545">
        <f t="shared" si="9"/>
        <v>23195.668000000001</v>
      </c>
      <c r="M5" s="545">
        <f t="shared" si="9"/>
        <v>30898.471999999994</v>
      </c>
      <c r="N5" s="545">
        <f t="shared" si="9"/>
        <v>38260.493999999999</v>
      </c>
      <c r="O5" s="545">
        <f t="shared" si="9"/>
        <v>46328.764999999992</v>
      </c>
      <c r="P5" s="545">
        <f t="shared" si="9"/>
        <v>51574.167000000009</v>
      </c>
      <c r="Q5" s="545">
        <f t="shared" si="9"/>
        <v>61753.012000000002</v>
      </c>
      <c r="R5" s="545">
        <f t="shared" si="9"/>
        <v>70888.125999999989</v>
      </c>
      <c r="S5" s="545">
        <f t="shared" si="9"/>
        <v>79198.453999999998</v>
      </c>
      <c r="T5" s="545">
        <f t="shared" si="9"/>
        <v>86788.699000000008</v>
      </c>
      <c r="U5" s="545">
        <f t="shared" ref="U5:W5" si="10">U36</f>
        <v>96678.656999999992</v>
      </c>
      <c r="V5" s="545">
        <f t="shared" si="10"/>
        <v>110691.21900000003</v>
      </c>
      <c r="W5" s="545">
        <f t="shared" si="10"/>
        <v>114079.63</v>
      </c>
      <c r="X5" s="545">
        <f t="shared" si="9"/>
        <v>113619.8544624772</v>
      </c>
      <c r="Y5" s="545">
        <f t="shared" si="9"/>
        <v>123550.81210589115</v>
      </c>
      <c r="Z5" s="545">
        <f t="shared" si="9"/>
        <v>131240.68117704274</v>
      </c>
      <c r="AA5" s="545">
        <f t="shared" si="9"/>
        <v>141286.13646324445</v>
      </c>
      <c r="AB5" s="545">
        <f t="shared" si="9"/>
        <v>150233.0190313397</v>
      </c>
      <c r="AC5" s="545">
        <f t="shared" si="9"/>
        <v>158248.97014828431</v>
      </c>
      <c r="AD5" s="545">
        <f t="shared" ref="AD5:AF5" si="11">AD36</f>
        <v>165469.14833659632</v>
      </c>
      <c r="AE5" s="545">
        <f t="shared" si="11"/>
        <v>172002.46432703501</v>
      </c>
      <c r="AF5" s="545">
        <f t="shared" si="11"/>
        <v>177936.65404672161</v>
      </c>
      <c r="AG5" s="545">
        <f t="shared" ref="AG5" si="12">AG36</f>
        <v>183342.40819910812</v>
      </c>
    </row>
    <row r="6" spans="1:33" x14ac:dyDescent="0.4">
      <c r="A6" s="543" t="s">
        <v>2314</v>
      </c>
      <c r="B6" s="354" t="s">
        <v>3029</v>
      </c>
      <c r="C6" s="544"/>
      <c r="D6" s="545">
        <f t="shared" ref="D6:AC6" si="13">D3+D4-D5</f>
        <v>-977.33200000000079</v>
      </c>
      <c r="E6" s="545">
        <f t="shared" si="13"/>
        <v>-543.13000000000011</v>
      </c>
      <c r="F6" s="545">
        <f t="shared" si="13"/>
        <v>-209.11799999999948</v>
      </c>
      <c r="G6" s="545">
        <f t="shared" si="13"/>
        <v>-582.25300000000061</v>
      </c>
      <c r="H6" s="545">
        <f t="shared" si="13"/>
        <v>-3079.2380000000003</v>
      </c>
      <c r="I6" s="545">
        <f t="shared" si="13"/>
        <v>-1370.3739999999998</v>
      </c>
      <c r="J6" s="545">
        <f t="shared" si="13"/>
        <v>1268.9159999999974</v>
      </c>
      <c r="K6" s="545">
        <f t="shared" si="13"/>
        <v>-6048.2270000000026</v>
      </c>
      <c r="L6" s="545">
        <f t="shared" si="13"/>
        <v>-7269.010000000002</v>
      </c>
      <c r="M6" s="545">
        <f t="shared" si="13"/>
        <v>-7687.4049999999916</v>
      </c>
      <c r="N6" s="545">
        <f t="shared" si="13"/>
        <v>-10309.545999999995</v>
      </c>
      <c r="O6" s="545">
        <f t="shared" si="13"/>
        <v>-8557.9879999999903</v>
      </c>
      <c r="P6" s="545">
        <f t="shared" si="13"/>
        <v>-9678.9430000000066</v>
      </c>
      <c r="Q6" s="545">
        <f t="shared" si="13"/>
        <v>-9269.0550000000003</v>
      </c>
      <c r="R6" s="545">
        <f t="shared" si="13"/>
        <v>-5788.7539999999935</v>
      </c>
      <c r="S6" s="545">
        <f t="shared" si="13"/>
        <v>9536.4370000000054</v>
      </c>
      <c r="T6" s="545">
        <f t="shared" si="13"/>
        <v>16508.919999999984</v>
      </c>
      <c r="U6" s="545">
        <f t="shared" ref="U6" si="14">U3+U4-U5</f>
        <v>21851.584999999992</v>
      </c>
      <c r="V6" s="545">
        <f>V3+V4-V5</f>
        <v>30221.019999999975</v>
      </c>
      <c r="W6" s="545">
        <f t="shared" ref="W6" si="15">W3+W4-W5</f>
        <v>37496.479999999981</v>
      </c>
      <c r="X6" s="545">
        <f t="shared" si="13"/>
        <v>43723.028973208362</v>
      </c>
      <c r="Y6" s="545">
        <f t="shared" si="13"/>
        <v>50286.046927080635</v>
      </c>
      <c r="Z6" s="545">
        <f>Z3+Z4-Z5</f>
        <v>56205.038979434816</v>
      </c>
      <c r="AA6" s="545">
        <f t="shared" si="13"/>
        <v>64613.183741616114</v>
      </c>
      <c r="AB6" s="545">
        <f t="shared" si="13"/>
        <v>73323.683886685641</v>
      </c>
      <c r="AC6" s="545">
        <f t="shared" si="13"/>
        <v>82343.178471976338</v>
      </c>
      <c r="AD6" s="545">
        <f>AD3+AD4-AD5</f>
        <v>92138.721613168891</v>
      </c>
      <c r="AE6" s="545">
        <f t="shared" ref="AE6:AF6" si="16">AE3+AE4-AE5</f>
        <v>100863.49051186745</v>
      </c>
      <c r="AF6" s="545">
        <f t="shared" si="16"/>
        <v>109823.76025829525</v>
      </c>
      <c r="AG6" s="545">
        <f t="shared" ref="AG6" si="17">AG3+AG4-AG5</f>
        <v>119036.1507855221</v>
      </c>
    </row>
    <row r="7" spans="1:33" x14ac:dyDescent="0.4">
      <c r="A7" s="547" t="s">
        <v>2315</v>
      </c>
      <c r="B7" s="1678" t="s">
        <v>3030</v>
      </c>
      <c r="C7" s="548"/>
      <c r="D7" s="549">
        <f t="shared" ref="D7:AC7" si="18">D6-C6</f>
        <v>-977.33200000000079</v>
      </c>
      <c r="E7" s="549">
        <f t="shared" si="18"/>
        <v>434.20200000000068</v>
      </c>
      <c r="F7" s="549">
        <f t="shared" si="18"/>
        <v>334.01200000000063</v>
      </c>
      <c r="G7" s="549">
        <f t="shared" si="18"/>
        <v>-373.13500000000113</v>
      </c>
      <c r="H7" s="549">
        <f t="shared" si="18"/>
        <v>-2496.9849999999997</v>
      </c>
      <c r="I7" s="549">
        <f t="shared" si="18"/>
        <v>1708.8640000000005</v>
      </c>
      <c r="J7" s="549">
        <f t="shared" si="18"/>
        <v>2639.2899999999972</v>
      </c>
      <c r="K7" s="549">
        <f t="shared" si="18"/>
        <v>-7317.143</v>
      </c>
      <c r="L7" s="549">
        <f t="shared" si="18"/>
        <v>-1220.7829999999994</v>
      </c>
      <c r="M7" s="549">
        <f t="shared" si="18"/>
        <v>-418.39499999998952</v>
      </c>
      <c r="N7" s="549">
        <f t="shared" si="18"/>
        <v>-2622.1410000000033</v>
      </c>
      <c r="O7" s="549">
        <f t="shared" si="18"/>
        <v>1751.5580000000045</v>
      </c>
      <c r="P7" s="549">
        <f t="shared" si="18"/>
        <v>-1120.9550000000163</v>
      </c>
      <c r="Q7" s="549">
        <f t="shared" si="18"/>
        <v>409.88800000000629</v>
      </c>
      <c r="R7" s="549">
        <f t="shared" si="18"/>
        <v>3480.3010000000068</v>
      </c>
      <c r="S7" s="549">
        <f t="shared" si="18"/>
        <v>15325.190999999999</v>
      </c>
      <c r="T7" s="549">
        <f t="shared" si="18"/>
        <v>6972.4829999999783</v>
      </c>
      <c r="U7" s="549">
        <f t="shared" si="18"/>
        <v>5342.6650000000081</v>
      </c>
      <c r="V7" s="549">
        <f>V6-U6</f>
        <v>8369.4349999999831</v>
      </c>
      <c r="W7" s="549">
        <f>W6-V6</f>
        <v>7275.4600000000064</v>
      </c>
      <c r="X7" s="549">
        <f>X6-W6</f>
        <v>6226.5489732083806</v>
      </c>
      <c r="Y7" s="549">
        <f t="shared" si="18"/>
        <v>6563.0179538722732</v>
      </c>
      <c r="Z7" s="549">
        <f>Z6-Y6</f>
        <v>5918.9920523541805</v>
      </c>
      <c r="AA7" s="549">
        <f t="shared" si="18"/>
        <v>8408.1447621812986</v>
      </c>
      <c r="AB7" s="549">
        <f t="shared" si="18"/>
        <v>8710.5001450695272</v>
      </c>
      <c r="AC7" s="549">
        <f t="shared" si="18"/>
        <v>9019.4945852906967</v>
      </c>
      <c r="AD7" s="549">
        <f>AD6-AC6</f>
        <v>9795.5431411925529</v>
      </c>
      <c r="AE7" s="549">
        <f t="shared" ref="AE7" si="19">AE6-AD6</f>
        <v>8724.7688986985595</v>
      </c>
      <c r="AF7" s="549">
        <f t="shared" ref="AF7:AG7" si="20">AF6-AE6</f>
        <v>8960.2697464278026</v>
      </c>
      <c r="AG7" s="549">
        <f t="shared" si="20"/>
        <v>9212.3905272268457</v>
      </c>
    </row>
    <row r="8" spans="1:33" x14ac:dyDescent="0.4">
      <c r="A8" s="550"/>
      <c r="B8" s="354"/>
      <c r="C8" s="310"/>
      <c r="D8" s="310"/>
      <c r="E8" s="310"/>
      <c r="F8" s="310"/>
      <c r="G8" s="310"/>
      <c r="H8" s="551"/>
      <c r="I8" s="551"/>
      <c r="J8" s="551"/>
      <c r="K8" s="551"/>
      <c r="L8" s="551"/>
      <c r="M8" s="310"/>
      <c r="N8" s="310"/>
      <c r="O8" s="310"/>
      <c r="P8" s="310"/>
      <c r="Q8" s="310"/>
      <c r="R8" s="310"/>
      <c r="S8" s="310"/>
      <c r="T8" s="310"/>
      <c r="U8" s="310"/>
      <c r="V8" s="310"/>
      <c r="W8" s="310"/>
      <c r="X8" s="310"/>
      <c r="Y8" s="310"/>
      <c r="Z8" s="310"/>
      <c r="AA8" s="310"/>
      <c r="AB8" s="310"/>
      <c r="AC8" s="310"/>
      <c r="AD8" s="310"/>
      <c r="AE8" s="310"/>
      <c r="AF8" s="310"/>
      <c r="AG8" s="310"/>
    </row>
    <row r="9" spans="1:33" s="346" customFormat="1" x14ac:dyDescent="0.4">
      <c r="A9" s="552" t="s">
        <v>512</v>
      </c>
      <c r="B9" s="1679" t="s">
        <v>460</v>
      </c>
      <c r="C9" s="553"/>
      <c r="D9" s="554">
        <f t="shared" ref="D9:AC9" si="21">D11+D14+D17</f>
        <v>3427.2060000000001</v>
      </c>
      <c r="E9" s="554">
        <f t="shared" si="21"/>
        <v>4596.7730000000001</v>
      </c>
      <c r="F9" s="554">
        <f t="shared" si="21"/>
        <v>4912.8159999999998</v>
      </c>
      <c r="G9" s="554">
        <f t="shared" si="21"/>
        <v>4616.5409999999993</v>
      </c>
      <c r="H9" s="554">
        <f t="shared" si="21"/>
        <v>5027.1840000000002</v>
      </c>
      <c r="I9" s="554">
        <f t="shared" si="21"/>
        <v>8600.44</v>
      </c>
      <c r="J9" s="554">
        <f t="shared" si="21"/>
        <v>13351.627999999999</v>
      </c>
      <c r="K9" s="554">
        <f t="shared" si="21"/>
        <v>11411.822999999999</v>
      </c>
      <c r="L9" s="554">
        <f t="shared" si="21"/>
        <v>15699.824999999999</v>
      </c>
      <c r="M9" s="554">
        <f t="shared" si="21"/>
        <v>22683.317000000003</v>
      </c>
      <c r="N9" s="554">
        <f t="shared" si="21"/>
        <v>27405.374000000003</v>
      </c>
      <c r="O9" s="554">
        <f t="shared" si="21"/>
        <v>37142.370999999999</v>
      </c>
      <c r="P9" s="554">
        <f t="shared" si="21"/>
        <v>38555.235000000001</v>
      </c>
      <c r="Q9" s="554">
        <f t="shared" si="21"/>
        <v>48696.844000000005</v>
      </c>
      <c r="R9" s="554">
        <f t="shared" si="21"/>
        <v>58946.161999999997</v>
      </c>
      <c r="S9" s="554">
        <f t="shared" si="21"/>
        <v>80799.459000000003</v>
      </c>
      <c r="T9" s="554">
        <f t="shared" si="21"/>
        <v>94311.763999999996</v>
      </c>
      <c r="U9" s="554">
        <f t="shared" ref="U9" si="22">U11+U14+U17</f>
        <v>107638.66699999999</v>
      </c>
      <c r="V9" s="554">
        <f>V11+V14+V17</f>
        <v>129880.52</v>
      </c>
      <c r="W9" s="554">
        <f>W11+W14+W17</f>
        <v>140379.65</v>
      </c>
      <c r="X9" s="554">
        <f t="shared" si="21"/>
        <v>145863.61202259315</v>
      </c>
      <c r="Y9" s="554">
        <f t="shared" si="21"/>
        <v>162093.45385312074</v>
      </c>
      <c r="Z9" s="554">
        <f t="shared" si="21"/>
        <v>175441.06120745011</v>
      </c>
      <c r="AA9" s="554">
        <f t="shared" si="21"/>
        <v>193613.48938501149</v>
      </c>
      <c r="AB9" s="554">
        <f t="shared" si="21"/>
        <v>210986.52639463561</v>
      </c>
      <c r="AC9" s="554">
        <f t="shared" si="21"/>
        <v>227733.56838676825</v>
      </c>
      <c r="AD9" s="554">
        <f t="shared" ref="AD9:AF9" si="23">AD11+AD14+AD17</f>
        <v>244456.05921994982</v>
      </c>
      <c r="AE9" s="554">
        <f t="shared" si="23"/>
        <v>259415.41103498131</v>
      </c>
      <c r="AF9" s="554">
        <f t="shared" si="23"/>
        <v>274005.03346528253</v>
      </c>
      <c r="AG9" s="554">
        <f t="shared" ref="AG9" si="24">AG11+AG14+AG17</f>
        <v>288311.69471535779</v>
      </c>
    </row>
    <row r="10" spans="1:33" s="555" customFormat="1" x14ac:dyDescent="0.4">
      <c r="A10" s="556" t="s">
        <v>577</v>
      </c>
      <c r="B10" s="1680" t="s">
        <v>577</v>
      </c>
      <c r="C10" s="348"/>
      <c r="D10" s="348"/>
      <c r="E10" s="348">
        <f t="shared" ref="E10:AC10" si="25">E9/D9-1</f>
        <v>0.34125961497499713</v>
      </c>
      <c r="F10" s="348">
        <f t="shared" si="25"/>
        <v>6.8753231886804045E-2</v>
      </c>
      <c r="G10" s="348">
        <f t="shared" si="25"/>
        <v>-6.0306553308733801E-2</v>
      </c>
      <c r="H10" s="348">
        <f t="shared" si="25"/>
        <v>8.8950363486428596E-2</v>
      </c>
      <c r="I10" s="348">
        <f t="shared" si="25"/>
        <v>0.71078679435644299</v>
      </c>
      <c r="J10" s="348">
        <f t="shared" si="25"/>
        <v>0.55243545679058248</v>
      </c>
      <c r="K10" s="348">
        <f t="shared" si="25"/>
        <v>-0.14528602804092505</v>
      </c>
      <c r="L10" s="348">
        <f t="shared" si="25"/>
        <v>0.37575083314909463</v>
      </c>
      <c r="M10" s="348">
        <f t="shared" si="25"/>
        <v>0.44481336575407715</v>
      </c>
      <c r="N10" s="348">
        <f t="shared" si="25"/>
        <v>0.20817312565000967</v>
      </c>
      <c r="O10" s="348">
        <f t="shared" si="25"/>
        <v>0.35529516948026307</v>
      </c>
      <c r="P10" s="348">
        <f t="shared" si="25"/>
        <v>3.8039144027719685E-2</v>
      </c>
      <c r="Q10" s="348">
        <f t="shared" si="25"/>
        <v>0.26304103709911253</v>
      </c>
      <c r="R10" s="348">
        <f t="shared" si="25"/>
        <v>0.21047191477131433</v>
      </c>
      <c r="S10" s="348">
        <f t="shared" si="25"/>
        <v>0.37073316155850833</v>
      </c>
      <c r="T10" s="348">
        <f t="shared" si="25"/>
        <v>0.16723261723819216</v>
      </c>
      <c r="U10" s="348">
        <f t="shared" si="25"/>
        <v>0.14130689995364731</v>
      </c>
      <c r="V10" s="348">
        <f t="shared" si="25"/>
        <v>0.20663441512147318</v>
      </c>
      <c r="W10" s="348">
        <f t="shared" si="25"/>
        <v>8.0836833729954094E-2</v>
      </c>
      <c r="X10" s="348">
        <f t="shared" si="25"/>
        <v>3.9065220796555389E-2</v>
      </c>
      <c r="Y10" s="348">
        <f t="shared" si="25"/>
        <v>0.11126724208648908</v>
      </c>
      <c r="Z10" s="348">
        <f t="shared" si="25"/>
        <v>8.2345135087467325E-2</v>
      </c>
      <c r="AA10" s="348">
        <f t="shared" si="25"/>
        <v>0.10358138540939055</v>
      </c>
      <c r="AB10" s="348">
        <f t="shared" si="25"/>
        <v>8.9730509298744376E-2</v>
      </c>
      <c r="AC10" s="348">
        <f t="shared" si="25"/>
        <v>7.9374935823192994E-2</v>
      </c>
      <c r="AD10" s="348">
        <f t="shared" ref="AD10" si="26">AD9/AC9-1</f>
        <v>7.3430065456055793E-2</v>
      </c>
      <c r="AE10" s="348">
        <f t="shared" ref="AE10" si="27">AE9/AD9-1</f>
        <v>6.119444068093971E-2</v>
      </c>
      <c r="AF10" s="348">
        <f t="shared" ref="AF10:AG10" si="28">AF9/AE9-1</f>
        <v>5.6240384378450914E-2</v>
      </c>
      <c r="AG10" s="348">
        <f t="shared" si="28"/>
        <v>5.221313298205521E-2</v>
      </c>
    </row>
    <row r="11" spans="1:33" s="346" customFormat="1" x14ac:dyDescent="0.4">
      <c r="A11" s="557" t="s">
        <v>2026</v>
      </c>
      <c r="B11" s="1681" t="s">
        <v>763</v>
      </c>
      <c r="C11" s="558"/>
      <c r="D11" s="559">
        <f>BS!D29</f>
        <v>2682.6880000000001</v>
      </c>
      <c r="E11" s="559">
        <f>BS!E29</f>
        <v>3339.2040000000002</v>
      </c>
      <c r="F11" s="559">
        <f>BS!F29</f>
        <v>3703.163</v>
      </c>
      <c r="G11" s="559">
        <f>BS!G29</f>
        <v>3398.3249999999998</v>
      </c>
      <c r="H11" s="559">
        <f>BS!H29</f>
        <v>4163.43</v>
      </c>
      <c r="I11" s="559">
        <f>BS!I29</f>
        <v>4736.1909999999998</v>
      </c>
      <c r="J11" s="559">
        <f>BS!J29</f>
        <v>6559.777</v>
      </c>
      <c r="K11" s="559">
        <f>BS!K29</f>
        <v>10023.98</v>
      </c>
      <c r="L11" s="559">
        <f>BS!L29</f>
        <v>12542.066999999999</v>
      </c>
      <c r="M11" s="559">
        <f>BS!M29</f>
        <v>18173.525000000001</v>
      </c>
      <c r="N11" s="559">
        <f>BS!N29</f>
        <v>17643.865000000002</v>
      </c>
      <c r="O11" s="559">
        <f>BS!O29</f>
        <v>22136.148000000001</v>
      </c>
      <c r="P11" s="559">
        <f>BS!P29</f>
        <v>25321.39</v>
      </c>
      <c r="Q11" s="559">
        <f>BS!Q29</f>
        <v>30601.279000000002</v>
      </c>
      <c r="R11" s="559">
        <f>BS!R29</f>
        <v>38160.275999999998</v>
      </c>
      <c r="S11" s="559">
        <f>BS!S29</f>
        <v>59239.65</v>
      </c>
      <c r="T11" s="559">
        <f>BS!T29</f>
        <v>65830.023000000001</v>
      </c>
      <c r="U11" s="559">
        <f>BS!U29</f>
        <v>75414.12</v>
      </c>
      <c r="V11" s="559">
        <f>BS!V29</f>
        <v>96355.320999999996</v>
      </c>
      <c r="W11" s="559">
        <f>BS!W29</f>
        <v>102867.31</v>
      </c>
      <c r="X11" s="559">
        <f>PL!X$4*WC!X12/365</f>
        <v>106905.38804046935</v>
      </c>
      <c r="Y11" s="559">
        <f>PL!Y$4*WC!Y12/365</f>
        <v>118821.83882943769</v>
      </c>
      <c r="Z11" s="559">
        <f>PL!Z$4*WC!Z12/365</f>
        <v>128539.19499703016</v>
      </c>
      <c r="AA11" s="559">
        <f>PL!AA$4*WC!AA12/365</f>
        <v>141780.3212016586</v>
      </c>
      <c r="AB11" s="559">
        <f>PL!AB$4*WC!AB12/365</f>
        <v>154423.54418339932</v>
      </c>
      <c r="AC11" s="559">
        <f>PL!AC$4*WC!AC12/365</f>
        <v>166596.81377676837</v>
      </c>
      <c r="AD11" s="559">
        <f>PL!AD$4*WC!AD12/365</f>
        <v>178863.82039031692</v>
      </c>
      <c r="AE11" s="559">
        <f>PL!AE$4*WC!AE12/365</f>
        <v>189454.57304638028</v>
      </c>
      <c r="AF11" s="559">
        <f>PL!AF$4*WC!AF12/365</f>
        <v>199736.3005055488</v>
      </c>
      <c r="AG11" s="559">
        <f>PL!AG$4*WC!AG12/365</f>
        <v>209773.86087627412</v>
      </c>
    </row>
    <row r="12" spans="1:33" s="555" customFormat="1" x14ac:dyDescent="0.4">
      <c r="A12" s="560" t="s">
        <v>1839</v>
      </c>
      <c r="B12" s="1682" t="s">
        <v>2027</v>
      </c>
      <c r="C12" s="561"/>
      <c r="D12" s="562">
        <f>365/PL!D$4*WC!D11</f>
        <v>95.113906733343541</v>
      </c>
      <c r="E12" s="562">
        <f>365/PL!E$4*WC!E11</f>
        <v>119.86339337634995</v>
      </c>
      <c r="F12" s="562">
        <f>365/PL!F$4*WC!F11</f>
        <v>122.63903694674137</v>
      </c>
      <c r="G12" s="562">
        <f>365/PL!G$4*WC!G11</f>
        <v>109.36244434181701</v>
      </c>
      <c r="H12" s="562">
        <f>365/PL!H$4*WC!H11</f>
        <v>126.81868560547804</v>
      </c>
      <c r="I12" s="562">
        <f>365/PL!I$4*WC!I11</f>
        <v>105.54227311515118</v>
      </c>
      <c r="J12" s="562">
        <f>365/PL!J$4*WC!J11</f>
        <v>109.27642549334435</v>
      </c>
      <c r="K12" s="562">
        <f>365/PL!K$4*WC!K11</f>
        <v>134.09087643967774</v>
      </c>
      <c r="L12" s="562">
        <f>365/PL!L$4*WC!L11</f>
        <v>132.92424354830163</v>
      </c>
      <c r="M12" s="562">
        <f>365/PL!M$4*WC!M11</f>
        <v>174.55287273186201</v>
      </c>
      <c r="N12" s="562">
        <f>365/PL!N$4*WC!N11</f>
        <v>139.37152215609638</v>
      </c>
      <c r="O12" s="562">
        <f>365/PL!O$4*WC!O11</f>
        <v>161.1024406269164</v>
      </c>
      <c r="P12" s="562">
        <f>365/PL!P$4*WC!P11</f>
        <v>166.14994499724446</v>
      </c>
      <c r="Q12" s="562">
        <f>365/PL!Q$4*WC!Q11</f>
        <v>181.11764480106416</v>
      </c>
      <c r="R12" s="562">
        <f>365/PL!R$4*WC!R11</f>
        <v>223.00583965140481</v>
      </c>
      <c r="S12" s="562">
        <f>365/PL!S$4*WC!S11</f>
        <v>279.68671852377895</v>
      </c>
      <c r="T12" s="562">
        <f>365/PL!T$4*WC!T11</f>
        <v>235.62535870831027</v>
      </c>
      <c r="U12" s="562">
        <f>365/PL!U$4*WC!U11</f>
        <v>242.02218029535277</v>
      </c>
      <c r="V12" s="562">
        <f>365/PL!V$4*WC!V11</f>
        <v>333.92328385785049</v>
      </c>
      <c r="W12" s="562">
        <f>365/PL!W$4*WC!W11</f>
        <v>373.78923677307273</v>
      </c>
      <c r="X12" s="563">
        <f>W12+3</f>
        <v>376.78923677307273</v>
      </c>
      <c r="Y12" s="563">
        <f>X12+3</f>
        <v>379.78923677307273</v>
      </c>
      <c r="Z12" s="563">
        <f>Y12+2</f>
        <v>381.78923677307273</v>
      </c>
      <c r="AA12" s="563">
        <f t="shared" ref="AA12:AC12" si="29">Z12+2</f>
        <v>383.78923677307273</v>
      </c>
      <c r="AB12" s="563">
        <f t="shared" si="29"/>
        <v>385.78923677307273</v>
      </c>
      <c r="AC12" s="563">
        <f t="shared" si="29"/>
        <v>387.78923677307273</v>
      </c>
      <c r="AD12" s="563">
        <f t="shared" ref="AD12" si="30">AC12+3</f>
        <v>390.78923677307273</v>
      </c>
      <c r="AE12" s="563">
        <f t="shared" ref="AE12:AG12" si="31">AD12</f>
        <v>390.78923677307273</v>
      </c>
      <c r="AF12" s="563">
        <f t="shared" si="31"/>
        <v>390.78923677307273</v>
      </c>
      <c r="AG12" s="563">
        <f t="shared" si="31"/>
        <v>390.78923677307273</v>
      </c>
    </row>
    <row r="13" spans="1:33" x14ac:dyDescent="0.4">
      <c r="A13" s="564"/>
      <c r="B13" s="1683"/>
      <c r="C13" s="565"/>
      <c r="D13" s="565"/>
      <c r="E13" s="565"/>
      <c r="F13" s="565"/>
      <c r="G13" s="565"/>
      <c r="H13" s="565"/>
      <c r="I13" s="565"/>
      <c r="J13" s="565"/>
      <c r="K13" s="565"/>
      <c r="L13" s="565"/>
      <c r="M13" s="566"/>
      <c r="N13" s="566"/>
      <c r="O13" s="566"/>
      <c r="P13" s="566"/>
      <c r="Q13" s="566"/>
      <c r="R13" s="566"/>
      <c r="S13" s="566"/>
      <c r="T13" s="566"/>
      <c r="U13" s="566"/>
      <c r="V13" s="566"/>
      <c r="W13" s="565"/>
      <c r="X13" s="565"/>
      <c r="Y13" s="565"/>
      <c r="Z13" s="565"/>
      <c r="AA13" s="565"/>
      <c r="AB13" s="565"/>
      <c r="AC13" s="565"/>
      <c r="AD13" s="565"/>
      <c r="AE13" s="565"/>
      <c r="AF13" s="565"/>
      <c r="AG13" s="565"/>
    </row>
    <row r="14" spans="1:33" s="567" customFormat="1" x14ac:dyDescent="0.4">
      <c r="A14" s="568" t="s">
        <v>2316</v>
      </c>
      <c r="B14" s="1684" t="s">
        <v>764</v>
      </c>
      <c r="C14" s="570"/>
      <c r="D14" s="570">
        <f>BS!D30</f>
        <v>224.77199999999999</v>
      </c>
      <c r="E14" s="570">
        <f>BS!E30</f>
        <v>595.03700000000003</v>
      </c>
      <c r="F14" s="570">
        <f>BS!F30</f>
        <v>506.38499999999999</v>
      </c>
      <c r="G14" s="570">
        <f>BS!G30</f>
        <v>539.29399999999998</v>
      </c>
      <c r="H14" s="570">
        <f>BS!H30</f>
        <v>194.28100000000001</v>
      </c>
      <c r="I14" s="570">
        <f>BS!I30</f>
        <v>2937.9</v>
      </c>
      <c r="J14" s="570">
        <f>BS!J30</f>
        <v>5458.6819999999998</v>
      </c>
      <c r="K14" s="570">
        <f>BS!K30</f>
        <v>1075.2670000000001</v>
      </c>
      <c r="L14" s="570">
        <f>BS!L30</f>
        <v>1354.1479999999999</v>
      </c>
      <c r="M14" s="570">
        <f>BS!M30</f>
        <v>2421.7150000000001</v>
      </c>
      <c r="N14" s="570">
        <f>BS!N30</f>
        <v>6485.5360000000001</v>
      </c>
      <c r="O14" s="570">
        <f>BS!O30</f>
        <v>10979.356</v>
      </c>
      <c r="P14" s="570">
        <f>BS!P30</f>
        <v>9081.81</v>
      </c>
      <c r="Q14" s="570">
        <f>BS!Q30</f>
        <v>12115.947</v>
      </c>
      <c r="R14" s="570">
        <f>BS!R30</f>
        <v>11981.742</v>
      </c>
      <c r="S14" s="570">
        <f>BS!S30</f>
        <v>13467.619000000001</v>
      </c>
      <c r="T14" s="570">
        <f>BS!T30</f>
        <v>18777.148000000001</v>
      </c>
      <c r="U14" s="570">
        <f>BS!U30</f>
        <v>21593.654999999999</v>
      </c>
      <c r="V14" s="570">
        <f>BS!V30</f>
        <v>26241.434000000005</v>
      </c>
      <c r="W14" s="570">
        <f>BS!W30</f>
        <v>30752.5</v>
      </c>
      <c r="X14" s="570">
        <f>PL!X$4*WC!X15/365</f>
        <v>31988.959741678864</v>
      </c>
      <c r="Y14" s="570">
        <f>PL!Y$4*WC!Y15/365</f>
        <v>35586.693416696427</v>
      </c>
      <c r="Z14" s="570">
        <f>PL!Z$4*WC!Z15/365</f>
        <v>38632.014536121511</v>
      </c>
      <c r="AA14" s="570">
        <f>PL!AA$4*WC!AA15/365</f>
        <v>42758.954744848823</v>
      </c>
      <c r="AB14" s="570">
        <f>PL!AB$4*WC!AB15/365</f>
        <v>46730.815491669564</v>
      </c>
      <c r="AC14" s="570">
        <f>PL!AC$4*WC!AC15/365</f>
        <v>50584.220478772106</v>
      </c>
      <c r="AD14" s="570">
        <f>PL!AD$4*WC!AD15/365</f>
        <v>54349.66536190531</v>
      </c>
      <c r="AE14" s="570">
        <f>PL!AE$4*WC!AE15/365</f>
        <v>58052.577549889058</v>
      </c>
      <c r="AF14" s="570">
        <f>PL!AF$4*WC!AF15/365</f>
        <v>61714.209480890939</v>
      </c>
      <c r="AG14" s="570">
        <f>PL!AG$4*WC!AG15/365</f>
        <v>65352.394562633701</v>
      </c>
    </row>
    <row r="15" spans="1:33" s="555" customFormat="1" x14ac:dyDescent="0.4">
      <c r="A15" s="560" t="s">
        <v>2607</v>
      </c>
      <c r="B15" s="1682" t="s">
        <v>2027</v>
      </c>
      <c r="C15" s="561"/>
      <c r="D15" s="562">
        <f>365/PL!D$4*WC!D14</f>
        <v>7.9692245405604716</v>
      </c>
      <c r="E15" s="562">
        <f>365/PL!E$4*WC!E14</f>
        <v>21.359328152602579</v>
      </c>
      <c r="F15" s="562">
        <f>365/PL!F$4*WC!F14</f>
        <v>16.770141828559971</v>
      </c>
      <c r="G15" s="562">
        <f>365/PL!G$4*WC!G14</f>
        <v>17.355170579292995</v>
      </c>
      <c r="H15" s="562">
        <f>365/PL!H$4*WC!H14</f>
        <v>5.9178276224454063</v>
      </c>
      <c r="I15" s="562">
        <f>365/PL!I$4*WC!I14</f>
        <v>65.468779486511977</v>
      </c>
      <c r="J15" s="562">
        <f>365/PL!J$4*WC!J14</f>
        <v>90.933770593857062</v>
      </c>
      <c r="K15" s="562">
        <f>365/PL!K$4*WC!K14</f>
        <v>14.383856954688955</v>
      </c>
      <c r="L15" s="562">
        <f>365/PL!L$4*WC!L14</f>
        <v>14.351629484394044</v>
      </c>
      <c r="M15" s="562">
        <f>365/PL!M$4*WC!M14</f>
        <v>23.260061555908454</v>
      </c>
      <c r="N15" s="562">
        <f>365/PL!N$4*WC!N14</f>
        <v>51.230216526716823</v>
      </c>
      <c r="O15" s="562">
        <f>365/PL!O$4*WC!O14</f>
        <v>79.905548522343565</v>
      </c>
      <c r="P15" s="562">
        <f>365/PL!P$4*WC!P14</f>
        <v>59.591603461556595</v>
      </c>
      <c r="Q15" s="562">
        <f>365/PL!Q$4*WC!Q14</f>
        <v>71.709806154655126</v>
      </c>
      <c r="R15" s="562">
        <f>365/PL!R$4*WC!R14</f>
        <v>70.020416917228346</v>
      </c>
      <c r="S15" s="562">
        <f>365/PL!S$4*WC!S14</f>
        <v>63.584341981063311</v>
      </c>
      <c r="T15" s="562">
        <f>365/PL!T$4*WC!T14</f>
        <v>67.209033680863683</v>
      </c>
      <c r="U15" s="562">
        <f>365/PL!U$4*WC!U14</f>
        <v>69.299269999380044</v>
      </c>
      <c r="V15" s="562">
        <f>365/PL!V$4*WC!V14</f>
        <v>90.940756810088885</v>
      </c>
      <c r="W15" s="562">
        <f>365/PL!W$4*WC!W14</f>
        <v>111.74544667167753</v>
      </c>
      <c r="X15" s="563">
        <f>W15+1</f>
        <v>112.74544667167753</v>
      </c>
      <c r="Y15" s="563">
        <f t="shared" ref="Y15:AG15" si="32">X15+1</f>
        <v>113.74544667167753</v>
      </c>
      <c r="Z15" s="563">
        <f t="shared" si="32"/>
        <v>114.74544667167753</v>
      </c>
      <c r="AA15" s="563">
        <f t="shared" si="32"/>
        <v>115.74544667167753</v>
      </c>
      <c r="AB15" s="563">
        <f t="shared" si="32"/>
        <v>116.74544667167753</v>
      </c>
      <c r="AC15" s="563">
        <f t="shared" si="32"/>
        <v>117.74544667167753</v>
      </c>
      <c r="AD15" s="563">
        <f t="shared" si="32"/>
        <v>118.74544667167753</v>
      </c>
      <c r="AE15" s="563">
        <f t="shared" si="32"/>
        <v>119.74544667167753</v>
      </c>
      <c r="AF15" s="563">
        <f t="shared" si="32"/>
        <v>120.74544667167753</v>
      </c>
      <c r="AG15" s="563">
        <f t="shared" si="32"/>
        <v>121.74544667167753</v>
      </c>
    </row>
    <row r="16" spans="1:33" x14ac:dyDescent="0.4">
      <c r="A16" s="564"/>
      <c r="B16" s="1683"/>
      <c r="C16" s="571"/>
      <c r="D16" s="571"/>
      <c r="E16" s="571"/>
      <c r="F16" s="571"/>
      <c r="G16" s="571"/>
      <c r="H16" s="571"/>
      <c r="I16" s="571"/>
      <c r="J16" s="571"/>
      <c r="K16" s="571"/>
      <c r="L16" s="571"/>
      <c r="M16" s="572"/>
      <c r="N16" s="572"/>
      <c r="O16" s="572"/>
      <c r="P16" s="572"/>
      <c r="Q16" s="572"/>
      <c r="R16" s="572"/>
      <c r="S16" s="572"/>
      <c r="T16" s="572"/>
      <c r="U16" s="572"/>
      <c r="V16" s="572"/>
      <c r="W16" s="572"/>
      <c r="X16" s="572"/>
      <c r="Y16" s="572"/>
      <c r="Z16" s="572"/>
      <c r="AA16" s="572"/>
      <c r="AB16" s="572"/>
      <c r="AC16" s="572"/>
      <c r="AD16" s="572"/>
      <c r="AE16" s="572"/>
      <c r="AF16" s="572"/>
      <c r="AG16" s="572"/>
    </row>
    <row r="17" spans="1:33" x14ac:dyDescent="0.4">
      <c r="A17" s="568"/>
      <c r="B17" s="1685" t="s">
        <v>722</v>
      </c>
      <c r="C17" s="573"/>
      <c r="D17" s="570">
        <f>BS!D31</f>
        <v>519.74599999999998</v>
      </c>
      <c r="E17" s="570">
        <f>BS!E31</f>
        <v>662.53200000000004</v>
      </c>
      <c r="F17" s="570">
        <f>BS!F31</f>
        <v>703.26800000000003</v>
      </c>
      <c r="G17" s="570">
        <f>BS!G31</f>
        <v>678.92200000000003</v>
      </c>
      <c r="H17" s="570">
        <f>BS!H31</f>
        <v>669.47299999999996</v>
      </c>
      <c r="I17" s="570">
        <f>BS!I31</f>
        <v>926.34899999999993</v>
      </c>
      <c r="J17" s="570">
        <f>BS!J31</f>
        <v>1333.1690000000001</v>
      </c>
      <c r="K17" s="570">
        <f>BS!K31</f>
        <v>312.57599999999996</v>
      </c>
      <c r="L17" s="570">
        <f>BS!L31</f>
        <v>1803.6100000000001</v>
      </c>
      <c r="M17" s="570">
        <f>BS!M31</f>
        <v>2088.0770000000002</v>
      </c>
      <c r="N17" s="570">
        <f>BS!N31</f>
        <v>3275.973</v>
      </c>
      <c r="O17" s="570">
        <f>BS!O31</f>
        <v>4026.8670000000002</v>
      </c>
      <c r="P17" s="570">
        <f>BS!P31</f>
        <v>4152.0349999999999</v>
      </c>
      <c r="Q17" s="570">
        <f>BS!Q31</f>
        <v>5979.6180000000004</v>
      </c>
      <c r="R17" s="570">
        <f>BS!R31</f>
        <v>8804.1440000000002</v>
      </c>
      <c r="S17" s="570">
        <f>BS!S31</f>
        <v>8092.19</v>
      </c>
      <c r="T17" s="570">
        <f>BS!T31</f>
        <v>9704.5929999999989</v>
      </c>
      <c r="U17" s="570">
        <f>BS!U31</f>
        <v>10630.892</v>
      </c>
      <c r="V17" s="570">
        <f>BS!V31</f>
        <v>7283.7650000000003</v>
      </c>
      <c r="W17" s="570">
        <f>BS!W31</f>
        <v>6759.84</v>
      </c>
      <c r="X17" s="570">
        <f>PL!X$4*WC!X18/365</f>
        <v>6969.2642404449289</v>
      </c>
      <c r="Y17" s="570">
        <f>PL!Y$4*WC!Y18/365</f>
        <v>7684.9216069866179</v>
      </c>
      <c r="Z17" s="570">
        <f>PL!Z$4*WC!Z18/365</f>
        <v>8269.8516742984484</v>
      </c>
      <c r="AA17" s="570">
        <f>PL!AA$4*WC!AA18/365</f>
        <v>9074.213438504059</v>
      </c>
      <c r="AB17" s="570">
        <f>PL!AB$4*WC!AB18/365</f>
        <v>9832.166719566736</v>
      </c>
      <c r="AC17" s="570">
        <f>PL!AC$4*WC!AC18/365</f>
        <v>10552.53413122778</v>
      </c>
      <c r="AD17" s="570">
        <f>PL!AD$4*WC!AD18/365</f>
        <v>11242.573467727583</v>
      </c>
      <c r="AE17" s="570">
        <f>PL!AE$4*WC!AE18/365</f>
        <v>11908.260438711959</v>
      </c>
      <c r="AF17" s="570">
        <f>PL!AF$4*WC!AF18/365</f>
        <v>12554.523478842752</v>
      </c>
      <c r="AG17" s="570">
        <f>PL!AG$4*WC!AG18/365</f>
        <v>13185.439276449966</v>
      </c>
    </row>
    <row r="18" spans="1:33" x14ac:dyDescent="0.4">
      <c r="A18" s="568"/>
      <c r="B18" s="1686" t="s">
        <v>2027</v>
      </c>
      <c r="C18" s="574"/>
      <c r="D18" s="575">
        <f>365/PL!D$4*WC!D17</f>
        <v>18.427440152946733</v>
      </c>
      <c r="E18" s="575">
        <f>365/PL!E$4*WC!E17</f>
        <v>23.78211506108039</v>
      </c>
      <c r="F18" s="575">
        <f>365/PL!F$4*WC!F17</f>
        <v>23.290389927599975</v>
      </c>
      <c r="G18" s="575">
        <f>365/PL!G$4*WC!G17</f>
        <v>21.848578178201056</v>
      </c>
      <c r="H18" s="575">
        <f>365/PL!H$4*WC!H17</f>
        <v>20.392245314165528</v>
      </c>
      <c r="I18" s="575">
        <f>365/PL!I$4*WC!I17</f>
        <v>20.642955311123892</v>
      </c>
      <c r="J18" s="575">
        <f>365/PL!J$4*WC!J17</f>
        <v>22.208673084243017</v>
      </c>
      <c r="K18" s="575">
        <f>365/PL!K$4*WC!K17</f>
        <v>4.1813321449173593</v>
      </c>
      <c r="L18" s="575">
        <f>365/PL!L$4*WC!L17</f>
        <v>19.11515023051243</v>
      </c>
      <c r="M18" s="575">
        <f>365/PL!M$4*WC!M17</f>
        <v>20.055538968655132</v>
      </c>
      <c r="N18" s="575">
        <f>365/PL!N$4*WC!N17</f>
        <v>25.877399512650626</v>
      </c>
      <c r="O18" s="575">
        <f>365/PL!O$4*WC!O17</f>
        <v>29.306729507771134</v>
      </c>
      <c r="P18" s="575">
        <f>365/PL!P$4*WC!P17</f>
        <v>27.244175255648837</v>
      </c>
      <c r="Q18" s="575">
        <f>365/PL!Q$4*WC!Q17</f>
        <v>35.39114587236859</v>
      </c>
      <c r="R18" s="575">
        <f>365/PL!R$4*WC!R17</f>
        <v>51.450768467499501</v>
      </c>
      <c r="S18" s="575">
        <f>365/PL!S$4*WC!S17</f>
        <v>38.205459802192259</v>
      </c>
      <c r="T18" s="575">
        <f>365/PL!T$4*WC!T17</f>
        <v>34.735643442554419</v>
      </c>
      <c r="U18" s="575">
        <f>365/PL!U$4*WC!U17</f>
        <v>34.117107781996573</v>
      </c>
      <c r="V18" s="575">
        <f>365/PL!V$4*WC!V17</f>
        <v>25.242183850426656</v>
      </c>
      <c r="W18" s="575">
        <f>365/PL!W$4*WC!W17</f>
        <v>24.56324982453695</v>
      </c>
      <c r="X18" s="576">
        <f t="shared" ref="X18:AG18" si="33">W18</f>
        <v>24.56324982453695</v>
      </c>
      <c r="Y18" s="576">
        <f t="shared" si="33"/>
        <v>24.56324982453695</v>
      </c>
      <c r="Z18" s="576">
        <f t="shared" si="33"/>
        <v>24.56324982453695</v>
      </c>
      <c r="AA18" s="576">
        <f t="shared" si="33"/>
        <v>24.56324982453695</v>
      </c>
      <c r="AB18" s="576">
        <f t="shared" si="33"/>
        <v>24.56324982453695</v>
      </c>
      <c r="AC18" s="576">
        <f t="shared" si="33"/>
        <v>24.56324982453695</v>
      </c>
      <c r="AD18" s="576">
        <f t="shared" si="33"/>
        <v>24.56324982453695</v>
      </c>
      <c r="AE18" s="576">
        <f t="shared" si="33"/>
        <v>24.56324982453695</v>
      </c>
      <c r="AF18" s="576">
        <f t="shared" si="33"/>
        <v>24.56324982453695</v>
      </c>
      <c r="AG18" s="576">
        <f t="shared" si="33"/>
        <v>24.56324982453695</v>
      </c>
    </row>
    <row r="19" spans="1:33" x14ac:dyDescent="0.4">
      <c r="A19" s="550"/>
      <c r="B19" s="354"/>
      <c r="C19" s="577"/>
      <c r="D19" s="577"/>
      <c r="E19" s="577"/>
      <c r="F19" s="577"/>
      <c r="G19" s="577"/>
      <c r="H19" s="577"/>
      <c r="I19" s="577"/>
      <c r="J19" s="577"/>
      <c r="K19" s="577"/>
      <c r="L19" s="577"/>
      <c r="M19" s="578"/>
      <c r="N19" s="578"/>
      <c r="O19" s="578"/>
      <c r="P19" s="578"/>
      <c r="Q19" s="578"/>
      <c r="R19" s="578"/>
      <c r="S19" s="578"/>
      <c r="T19" s="578"/>
      <c r="U19" s="578"/>
      <c r="V19" s="578"/>
      <c r="W19" s="578"/>
      <c r="X19" s="578"/>
      <c r="Y19" s="578"/>
      <c r="Z19" s="578"/>
      <c r="AA19" s="578"/>
      <c r="AB19" s="578"/>
      <c r="AC19" s="578"/>
      <c r="AD19" s="578"/>
      <c r="AE19" s="578"/>
      <c r="AF19" s="578"/>
      <c r="AG19" s="578"/>
    </row>
    <row r="20" spans="1:33" x14ac:dyDescent="0.4">
      <c r="A20" s="579" t="s">
        <v>2028</v>
      </c>
      <c r="B20" s="1679" t="s">
        <v>239</v>
      </c>
      <c r="C20" s="553"/>
      <c r="D20" s="554">
        <f>BS!D27</f>
        <v>8.7149999999999999</v>
      </c>
      <c r="E20" s="554">
        <f>BS!E27</f>
        <v>54.485999999999997</v>
      </c>
      <c r="F20" s="554">
        <f>BS!F27</f>
        <v>55.509</v>
      </c>
      <c r="G20" s="554">
        <f>BS!G27</f>
        <v>46.883000000000003</v>
      </c>
      <c r="H20" s="554">
        <f>BS!H27</f>
        <v>117.711</v>
      </c>
      <c r="I20" s="554">
        <f>BS!I27</f>
        <v>149.559</v>
      </c>
      <c r="J20" s="554">
        <f>BS!J27</f>
        <v>185.374</v>
      </c>
      <c r="K20" s="554">
        <f>BS!K27</f>
        <v>163.42699999999999</v>
      </c>
      <c r="L20" s="554">
        <f>BS!L27</f>
        <v>160.28899999999999</v>
      </c>
      <c r="M20" s="554">
        <f>BS!M27</f>
        <v>108.83499999999999</v>
      </c>
      <c r="N20" s="554">
        <f>BS!N27</f>
        <v>131.36500000000001</v>
      </c>
      <c r="O20" s="554">
        <f>BS!O27</f>
        <v>214.03900000000002</v>
      </c>
      <c r="P20" s="554">
        <f>BS!P27</f>
        <v>280.20400000000001</v>
      </c>
      <c r="Q20" s="554">
        <f>BS!Q27</f>
        <v>259.81099999999998</v>
      </c>
      <c r="R20" s="554">
        <f>BS!R27</f>
        <v>410.072</v>
      </c>
      <c r="S20" s="554">
        <f>BS!S27</f>
        <v>366.96699999999998</v>
      </c>
      <c r="T20" s="554">
        <f>BS!T27</f>
        <v>590.24599999999998</v>
      </c>
      <c r="U20" s="554">
        <f>BS!U27</f>
        <v>522.85199999999998</v>
      </c>
      <c r="V20" s="554">
        <f>BS!V27</f>
        <v>421.71400000000006</v>
      </c>
      <c r="W20" s="554">
        <f>BS!W27</f>
        <v>460.09</v>
      </c>
      <c r="X20" s="554">
        <f>PL!X19*WC!X21/365</f>
        <v>542.18191309240899</v>
      </c>
      <c r="Y20" s="554">
        <f>PL!Y19*WC!Y21/365</f>
        <v>599.57459485104562</v>
      </c>
      <c r="Z20" s="554">
        <f>PL!Z19*WC!Z21/365</f>
        <v>647.8850464774489</v>
      </c>
      <c r="AA20" s="554">
        <f>PL!AA19*WC!AA21/365</f>
        <v>709.72530022256387</v>
      </c>
      <c r="AB20" s="554">
        <f>PL!AB19*WC!AB21/365</f>
        <v>768.15943817443224</v>
      </c>
      <c r="AC20" s="554">
        <f>PL!AC19*WC!AC21/365</f>
        <v>823.87423572062437</v>
      </c>
      <c r="AD20" s="554">
        <f>PL!AD19*WC!AD21/365</f>
        <v>877.4351521104777</v>
      </c>
      <c r="AE20" s="554">
        <f>PL!AE19*WC!AE21/365</f>
        <v>929.30855888505926</v>
      </c>
      <c r="AF20" s="554">
        <f>PL!AF19*WC!AF21/365</f>
        <v>979.88013734722847</v>
      </c>
      <c r="AG20" s="554">
        <f>PL!AG19*WC!AG21/365</f>
        <v>1029.4701458136581</v>
      </c>
    </row>
    <row r="21" spans="1:33" s="555" customFormat="1" x14ac:dyDescent="0.4">
      <c r="A21" s="556" t="s">
        <v>2607</v>
      </c>
      <c r="B21" s="1687" t="s">
        <v>2027</v>
      </c>
      <c r="C21" s="580"/>
      <c r="D21" s="581">
        <f>365/PL!D$19*WC!D20</f>
        <v>0.32340864615054266</v>
      </c>
      <c r="E21" s="581">
        <f>365/PL!E$19*WC!E20</f>
        <v>2.1151836191616753</v>
      </c>
      <c r="F21" s="581">
        <f>365/PL!F$19*WC!F20</f>
        <v>2.0036353793883945</v>
      </c>
      <c r="G21" s="581">
        <f>365/PL!G$19*WC!G20</f>
        <v>1.6535062579378916</v>
      </c>
      <c r="H21" s="581">
        <f>365/PL!H$19*WC!H20</f>
        <v>4.0277909934895577</v>
      </c>
      <c r="I21" s="581">
        <f>365/PL!I$19*WC!I20</f>
        <v>3.7438145213329532</v>
      </c>
      <c r="J21" s="581">
        <f>365/PL!J$19*WC!J20</f>
        <v>3.5254245642412485</v>
      </c>
      <c r="K21" s="581">
        <f>365/PL!K$19*WC!K20</f>
        <v>2.5340560139424184</v>
      </c>
      <c r="L21" s="581">
        <f>365/PL!L$19*WC!L20</f>
        <v>1.9701149459348433</v>
      </c>
      <c r="M21" s="581">
        <f>365/PL!M$19*WC!M20</f>
        <v>1.2078525852646136</v>
      </c>
      <c r="N21" s="581">
        <f>365/PL!N$19*WC!N20</f>
        <v>1.1920115859362783</v>
      </c>
      <c r="O21" s="581">
        <f>365/PL!O$19*WC!O20</f>
        <v>1.8365970266137446</v>
      </c>
      <c r="P21" s="581">
        <f>365/PL!P$19*WC!P20</f>
        <v>2.1793035367252034</v>
      </c>
      <c r="Q21" s="581">
        <f>365/PL!Q$19*WC!Q20</f>
        <v>1.8085795517124152</v>
      </c>
      <c r="R21" s="581">
        <f>365/PL!R$19*WC!R20</f>
        <v>2.8148475237358217</v>
      </c>
      <c r="S21" s="581">
        <f>365/PL!S$19*WC!S20</f>
        <v>2.0503500772293224</v>
      </c>
      <c r="T21" s="581">
        <f>365/PL!T$19*WC!T20</f>
        <v>2.4493837492734492</v>
      </c>
      <c r="U21" s="581">
        <f>365/PL!U$19*WC!U20</f>
        <v>1.9594514931618274</v>
      </c>
      <c r="V21" s="581">
        <f>365/PL!V$19*WC!V20</f>
        <v>1.7296353507141047</v>
      </c>
      <c r="W21" s="581">
        <f>365/PL!W$19*WC!W20</f>
        <v>1.9881521497203634</v>
      </c>
      <c r="X21" s="582">
        <f>W21+0.3</f>
        <v>2.2881521497203634</v>
      </c>
      <c r="Y21" s="582">
        <f t="shared" ref="Y21:AG21" si="34">X21</f>
        <v>2.2881521497203634</v>
      </c>
      <c r="Z21" s="582">
        <f t="shared" si="34"/>
        <v>2.2881521497203634</v>
      </c>
      <c r="AA21" s="582">
        <f t="shared" si="34"/>
        <v>2.2881521497203634</v>
      </c>
      <c r="AB21" s="582">
        <f t="shared" si="34"/>
        <v>2.2881521497203634</v>
      </c>
      <c r="AC21" s="582">
        <f t="shared" si="34"/>
        <v>2.2881521497203634</v>
      </c>
      <c r="AD21" s="582">
        <f t="shared" si="34"/>
        <v>2.2881521497203634</v>
      </c>
      <c r="AE21" s="582">
        <f t="shared" si="34"/>
        <v>2.2881521497203634</v>
      </c>
      <c r="AF21" s="582">
        <f t="shared" si="34"/>
        <v>2.2881521497203634</v>
      </c>
      <c r="AG21" s="582">
        <f t="shared" si="34"/>
        <v>2.2881521497203634</v>
      </c>
    </row>
    <row r="22" spans="1:33" x14ac:dyDescent="0.4">
      <c r="A22" s="583"/>
      <c r="B22" s="354"/>
      <c r="C22" s="584"/>
      <c r="D22" s="584"/>
      <c r="E22" s="584"/>
      <c r="F22" s="584"/>
      <c r="G22" s="584"/>
      <c r="H22" s="584"/>
      <c r="I22" s="584"/>
      <c r="J22" s="584"/>
      <c r="K22" s="584"/>
      <c r="L22" s="584"/>
      <c r="M22" s="584"/>
      <c r="N22" s="584"/>
      <c r="O22" s="584"/>
      <c r="P22" s="584"/>
      <c r="Q22" s="584"/>
      <c r="R22" s="584"/>
      <c r="S22" s="584"/>
      <c r="T22" s="584"/>
      <c r="U22" s="584"/>
      <c r="V22" s="584"/>
      <c r="W22" s="584"/>
      <c r="X22" s="584"/>
      <c r="Y22" s="584"/>
      <c r="Z22" s="584"/>
      <c r="AA22" s="584"/>
      <c r="AB22" s="584"/>
      <c r="AC22" s="584"/>
      <c r="AD22" s="584"/>
      <c r="AE22" s="584"/>
      <c r="AF22" s="584"/>
      <c r="AG22" s="584"/>
    </row>
    <row r="23" spans="1:33" x14ac:dyDescent="0.35">
      <c r="A23" s="331" t="s">
        <v>2273</v>
      </c>
      <c r="B23" s="1688" t="s">
        <v>2029</v>
      </c>
      <c r="C23" s="585"/>
      <c r="D23" s="586">
        <f>BS!D40</f>
        <v>0</v>
      </c>
      <c r="E23" s="586">
        <f>BS!E40</f>
        <v>0</v>
      </c>
      <c r="F23" s="586">
        <f>BS!F40</f>
        <v>0</v>
      </c>
      <c r="G23" s="586">
        <f>BS!G40</f>
        <v>0</v>
      </c>
      <c r="H23" s="586">
        <f>BS!H40</f>
        <v>0</v>
      </c>
      <c r="I23" s="586">
        <f>BS!I40</f>
        <v>0</v>
      </c>
      <c r="J23" s="586">
        <f>BS!J40</f>
        <v>0</v>
      </c>
      <c r="K23" s="586">
        <f>BS!K40</f>
        <v>0</v>
      </c>
      <c r="L23" s="586">
        <f>BS!L40</f>
        <v>0</v>
      </c>
      <c r="M23" s="586">
        <f>BS!M40</f>
        <v>1104.0820000000001</v>
      </c>
      <c r="N23" s="586">
        <f>BS!N40</f>
        <v>628.81600000000003</v>
      </c>
      <c r="O23" s="586">
        <f>BS!O40</f>
        <v>0</v>
      </c>
      <c r="P23" s="586">
        <f>BS!P40</f>
        <v>338.024</v>
      </c>
      <c r="Q23" s="586">
        <f>BS!Q40</f>
        <v>327.88299999999998</v>
      </c>
      <c r="R23" s="586">
        <f>BS!R40</f>
        <v>342.22199999999998</v>
      </c>
      <c r="S23" s="586">
        <f>BS!S40</f>
        <v>618.899</v>
      </c>
      <c r="T23" s="586">
        <f>BS!T40</f>
        <v>340.72699999999998</v>
      </c>
      <c r="U23" s="586">
        <f>BS!U40</f>
        <v>0</v>
      </c>
      <c r="V23" s="586">
        <f>BS!V40</f>
        <v>0</v>
      </c>
      <c r="W23" s="586">
        <f>BS!W40</f>
        <v>12.34</v>
      </c>
      <c r="X23" s="586">
        <f>PL!X$4*WC!X24/365</f>
        <v>12.722301227113425</v>
      </c>
      <c r="Y23" s="586">
        <f>PL!Y$4*WC!Y24/365</f>
        <v>14.028724441734548</v>
      </c>
      <c r="Z23" s="586">
        <f>PL!Z$4*WC!Z24/365</f>
        <v>15.096506671880231</v>
      </c>
      <c r="AA23" s="586">
        <f>PL!AA$4*WC!AA24/365</f>
        <v>16.564858610727487</v>
      </c>
      <c r="AB23" s="586">
        <f>PL!AB$4*WC!AB24/365</f>
        <v>17.948492467196491</v>
      </c>
      <c r="AC23" s="586">
        <f>PL!AC$4*WC!AC24/365</f>
        <v>19.263513807923086</v>
      </c>
      <c r="AD23" s="586">
        <f>PL!AD$4*WC!AD24/365</f>
        <v>20.52317164189661</v>
      </c>
      <c r="AE23" s="586">
        <f>PL!AE$4*WC!AE24/365</f>
        <v>21.738374549354067</v>
      </c>
      <c r="AF23" s="586">
        <f>PL!AF$4*WC!AF24/365</f>
        <v>22.918119323670318</v>
      </c>
      <c r="AG23" s="586">
        <f>PL!AG$4*WC!AG24/365</f>
        <v>24.069847906369471</v>
      </c>
    </row>
    <row r="24" spans="1:33" x14ac:dyDescent="0.4">
      <c r="A24" s="556" t="s">
        <v>2607</v>
      </c>
      <c r="B24" s="1687" t="s">
        <v>2027</v>
      </c>
      <c r="C24" s="587"/>
      <c r="D24" s="588">
        <f>365/PL!D$4*WC!D23</f>
        <v>0</v>
      </c>
      <c r="E24" s="588">
        <f>365/PL!E$4*WC!E23</f>
        <v>0</v>
      </c>
      <c r="F24" s="588">
        <f>365/PL!F$4*WC!F23</f>
        <v>0</v>
      </c>
      <c r="G24" s="588">
        <f>365/PL!G$4*WC!G23</f>
        <v>0</v>
      </c>
      <c r="H24" s="588">
        <f>365/PL!H$4*WC!H23</f>
        <v>0</v>
      </c>
      <c r="I24" s="588">
        <f>365/PL!I$4*WC!I23</f>
        <v>0</v>
      </c>
      <c r="J24" s="588">
        <f>365/PL!J$4*WC!J23</f>
        <v>0</v>
      </c>
      <c r="K24" s="588">
        <f>365/PL!K$4*WC!K23</f>
        <v>0</v>
      </c>
      <c r="L24" s="588">
        <f>365/PL!L$4*WC!L23</f>
        <v>0</v>
      </c>
      <c r="M24" s="588">
        <f>365/PL!M$4*WC!M23</f>
        <v>10.604474631726077</v>
      </c>
      <c r="N24" s="588">
        <f>365/PL!N$4*WC!N23</f>
        <v>4.9671114053586267</v>
      </c>
      <c r="O24" s="588">
        <f>365/PL!O$4*WC!O23</f>
        <v>0</v>
      </c>
      <c r="P24" s="588">
        <f>365/PL!P$4*WC!P23</f>
        <v>2.2179931278554834</v>
      </c>
      <c r="Q24" s="588">
        <f>365/PL!Q$4*WC!Q23</f>
        <v>1.9406181267883382</v>
      </c>
      <c r="R24" s="588">
        <f>365/PL!R$4*WC!R23</f>
        <v>1.9999201383444674</v>
      </c>
      <c r="S24" s="588">
        <f>365/PL!S$4*WC!S23</f>
        <v>2.9219927938069898</v>
      </c>
      <c r="T24" s="588">
        <f>365/PL!T$4*WC!T23</f>
        <v>1.2195639305276627</v>
      </c>
      <c r="U24" s="588">
        <f>365/PL!U$4*WC!U23</f>
        <v>0</v>
      </c>
      <c r="V24" s="588">
        <f>365/PL!V$4*WC!V23</f>
        <v>0</v>
      </c>
      <c r="W24" s="588">
        <f>365/PL!W$4*WC!W23</f>
        <v>4.4839893079538271E-2</v>
      </c>
      <c r="X24" s="589">
        <f t="shared" ref="X24:AC24" si="35">W24</f>
        <v>4.4839893079538271E-2</v>
      </c>
      <c r="Y24" s="589">
        <f t="shared" si="35"/>
        <v>4.4839893079538271E-2</v>
      </c>
      <c r="Z24" s="589">
        <f t="shared" si="35"/>
        <v>4.4839893079538271E-2</v>
      </c>
      <c r="AA24" s="589">
        <f t="shared" si="35"/>
        <v>4.4839893079538271E-2</v>
      </c>
      <c r="AB24" s="589">
        <f t="shared" si="35"/>
        <v>4.4839893079538271E-2</v>
      </c>
      <c r="AC24" s="589">
        <f t="shared" si="35"/>
        <v>4.4839893079538271E-2</v>
      </c>
      <c r="AD24" s="589">
        <f t="shared" ref="AD24" si="36">AC24</f>
        <v>4.4839893079538271E-2</v>
      </c>
      <c r="AE24" s="589">
        <f t="shared" ref="AE24" si="37">AD24</f>
        <v>4.4839893079538271E-2</v>
      </c>
      <c r="AF24" s="589">
        <f t="shared" ref="AF24:AG24" si="38">AE24</f>
        <v>4.4839893079538271E-2</v>
      </c>
      <c r="AG24" s="589">
        <f t="shared" si="38"/>
        <v>4.4839893079538271E-2</v>
      </c>
    </row>
    <row r="25" spans="1:33" x14ac:dyDescent="0.4">
      <c r="B25" s="1687"/>
      <c r="C25" s="587"/>
      <c r="D25" s="588"/>
      <c r="E25" s="588"/>
      <c r="F25" s="588"/>
      <c r="G25" s="588"/>
      <c r="H25" s="588"/>
      <c r="I25" s="588"/>
      <c r="J25" s="588"/>
      <c r="K25" s="588"/>
      <c r="L25" s="588"/>
      <c r="M25" s="588"/>
      <c r="N25" s="588"/>
      <c r="O25" s="588"/>
      <c r="P25" s="588"/>
      <c r="Q25" s="588"/>
      <c r="R25" s="588"/>
      <c r="S25" s="588"/>
      <c r="T25" s="588"/>
      <c r="U25" s="588"/>
      <c r="V25" s="588"/>
      <c r="W25" s="589"/>
      <c r="X25" s="589"/>
      <c r="Y25" s="589"/>
      <c r="Z25" s="589"/>
      <c r="AA25" s="589"/>
      <c r="AB25" s="589"/>
      <c r="AC25" s="589"/>
      <c r="AD25" s="589"/>
      <c r="AE25" s="589"/>
      <c r="AF25" s="589"/>
      <c r="AG25" s="589"/>
    </row>
    <row r="26" spans="1:33" x14ac:dyDescent="0.4">
      <c r="A26" s="310" t="s">
        <v>632</v>
      </c>
      <c r="B26" s="1688" t="s">
        <v>2030</v>
      </c>
      <c r="C26" s="585"/>
      <c r="D26" s="586">
        <f>BS!D35</f>
        <v>20.696999999999999</v>
      </c>
      <c r="E26" s="586">
        <f>BS!E35</f>
        <v>31.146000000000001</v>
      </c>
      <c r="F26" s="586">
        <f>BS!F35</f>
        <v>2.4140000000000001</v>
      </c>
      <c r="G26" s="586">
        <f>BS!G35</f>
        <v>4.8319999999999999</v>
      </c>
      <c r="H26" s="586">
        <f>BS!H35</f>
        <v>4.0990000000000002</v>
      </c>
      <c r="I26" s="586">
        <f>BS!I35</f>
        <v>6.2169999999999996</v>
      </c>
      <c r="J26" s="586">
        <f>BS!J35</f>
        <v>15.054</v>
      </c>
      <c r="K26" s="586">
        <f>BS!K35</f>
        <v>18.696999999999999</v>
      </c>
      <c r="L26" s="586">
        <f>BS!L35</f>
        <v>11.558999999999999</v>
      </c>
      <c r="M26" s="586">
        <f>BS!M35</f>
        <v>41.271000000000001</v>
      </c>
      <c r="N26" s="586">
        <f>BS!N35</f>
        <v>42.262999999999998</v>
      </c>
      <c r="O26" s="586">
        <f>BS!O35</f>
        <v>30.315000000000001</v>
      </c>
      <c r="P26" s="586">
        <f>BS!P35</f>
        <v>57.901000000000003</v>
      </c>
      <c r="Q26" s="586">
        <f>BS!Q35</f>
        <v>12.127000000000001</v>
      </c>
      <c r="R26" s="586">
        <f>BS!R35</f>
        <v>47.942999999999998</v>
      </c>
      <c r="S26" s="586">
        <f>BS!S35</f>
        <v>122.94199999999999</v>
      </c>
      <c r="T26" s="586">
        <f>BS!T35</f>
        <v>188.82499999999999</v>
      </c>
      <c r="U26" s="586">
        <f>BS!U35</f>
        <v>404.56</v>
      </c>
      <c r="V26" s="586">
        <f>BS!V35</f>
        <v>537.58799999999997</v>
      </c>
      <c r="W26" s="586">
        <f>BS!W35</f>
        <v>913.65</v>
      </c>
      <c r="X26" s="586">
        <f>PL!X$19*WC!X27/365</f>
        <v>935.50649699169401</v>
      </c>
      <c r="Y26" s="586">
        <f>PL!Y$19*WC!Y27/365</f>
        <v>1034.5345637133335</v>
      </c>
      <c r="Z26" s="586">
        <f>PL!Z$19*WC!Z27/365</f>
        <v>1117.8917179779028</v>
      </c>
      <c r="AA26" s="586">
        <f>PL!AA$19*WC!AA27/365</f>
        <v>1224.5938372430096</v>
      </c>
      <c r="AB26" s="586">
        <f>PL!AB$19*WC!AB27/365</f>
        <v>1325.4188820850436</v>
      </c>
      <c r="AC26" s="586">
        <f>PL!AC$19*WC!AC27/365</f>
        <v>1421.551847468852</v>
      </c>
      <c r="AD26" s="586">
        <f>PL!AD$19*WC!AD27/365</f>
        <v>1513.9684037160844</v>
      </c>
      <c r="AE26" s="586">
        <f>PL!AE$19*WC!AE27/365</f>
        <v>1603.4732504969893</v>
      </c>
      <c r="AF26" s="586">
        <f>PL!AF$19*WC!AF27/365</f>
        <v>1690.7318607015334</v>
      </c>
      <c r="AG26" s="586">
        <f>PL!AG$19*WC!AG27/365</f>
        <v>1776.2968232832177</v>
      </c>
    </row>
    <row r="27" spans="1:33" x14ac:dyDescent="0.4">
      <c r="A27" s="556" t="s">
        <v>2607</v>
      </c>
      <c r="B27" s="1687" t="s">
        <v>2027</v>
      </c>
      <c r="C27" s="587"/>
      <c r="D27" s="588">
        <f>365/PL!D$19*WC!D26</f>
        <v>0.76805378650347456</v>
      </c>
      <c r="E27" s="588">
        <f>365/PL!E$19*WC!E26</f>
        <v>1.2091089271080562</v>
      </c>
      <c r="F27" s="588">
        <f>365/PL!F$19*WC!F26</f>
        <v>8.7134983621459314E-2</v>
      </c>
      <c r="G27" s="588">
        <f>365/PL!G$19*WC!G26</f>
        <v>0.17041874961832415</v>
      </c>
      <c r="H27" s="588">
        <f>365/PL!H$19*WC!H26</f>
        <v>0.14025804964968183</v>
      </c>
      <c r="I27" s="588">
        <f>365/PL!I$19*WC!I26</f>
        <v>0.15562617347753707</v>
      </c>
      <c r="J27" s="588">
        <f>365/PL!J$19*WC!J26</f>
        <v>0.28629549661812204</v>
      </c>
      <c r="K27" s="588">
        <f>365/PL!K$19*WC!K26</f>
        <v>0.28991075705165853</v>
      </c>
      <c r="L27" s="588">
        <f>365/PL!L$19*WC!L26</f>
        <v>0.14207187430242157</v>
      </c>
      <c r="M27" s="588">
        <f>365/PL!M$19*WC!M26</f>
        <v>0.45802622360872769</v>
      </c>
      <c r="N27" s="588">
        <f>365/PL!N$19*WC!N26</f>
        <v>0.38349625590092434</v>
      </c>
      <c r="O27" s="588">
        <f>365/PL!O$19*WC!O26</f>
        <v>0.26012286948544733</v>
      </c>
      <c r="P27" s="588">
        <f>365/PL!P$19*WC!P26</f>
        <v>0.45032852521707761</v>
      </c>
      <c r="Q27" s="588">
        <f>365/PL!Q$19*WC!Q26</f>
        <v>8.4417689103296098E-2</v>
      </c>
      <c r="R27" s="588">
        <f>365/PL!R$19*WC!R26</f>
        <v>0.32909400015233053</v>
      </c>
      <c r="S27" s="588">
        <f>365/PL!S$19*WC!S26</f>
        <v>0.68691228147143302</v>
      </c>
      <c r="T27" s="588">
        <f>365/PL!T$19*WC!T26</f>
        <v>0.78357987424998909</v>
      </c>
      <c r="U27" s="588">
        <f>365/PL!U$19*WC!U26</f>
        <v>1.516137828818765</v>
      </c>
      <c r="V27" s="588">
        <f>365/PL!V$19*WC!V26</f>
        <v>2.2048857968189197</v>
      </c>
      <c r="W27" s="588">
        <f>365/PL!W$19*WC!W26</f>
        <v>3.9480867038883916</v>
      </c>
      <c r="X27" s="589">
        <f t="shared" ref="X27:Y27" si="39">W27</f>
        <v>3.9480867038883916</v>
      </c>
      <c r="Y27" s="589">
        <f t="shared" si="39"/>
        <v>3.9480867038883916</v>
      </c>
      <c r="Z27" s="589">
        <f>Y27</f>
        <v>3.9480867038883916</v>
      </c>
      <c r="AA27" s="589">
        <f t="shared" ref="AA27:AG27" si="40">Z27</f>
        <v>3.9480867038883916</v>
      </c>
      <c r="AB27" s="589">
        <f t="shared" si="40"/>
        <v>3.9480867038883916</v>
      </c>
      <c r="AC27" s="589">
        <f t="shared" si="40"/>
        <v>3.9480867038883916</v>
      </c>
      <c r="AD27" s="589">
        <f t="shared" si="40"/>
        <v>3.9480867038883916</v>
      </c>
      <c r="AE27" s="589">
        <f t="shared" si="40"/>
        <v>3.9480867038883916</v>
      </c>
      <c r="AF27" s="589">
        <f t="shared" si="40"/>
        <v>3.9480867038883916</v>
      </c>
      <c r="AG27" s="589">
        <f t="shared" si="40"/>
        <v>3.9480867038883916</v>
      </c>
    </row>
    <row r="28" spans="1:33" x14ac:dyDescent="0.4">
      <c r="B28" s="1687"/>
      <c r="C28" s="587"/>
      <c r="D28" s="588"/>
      <c r="E28" s="588"/>
      <c r="F28" s="588"/>
      <c r="G28" s="588"/>
      <c r="H28" s="588"/>
      <c r="I28" s="588"/>
      <c r="J28" s="588"/>
      <c r="K28" s="588"/>
      <c r="L28" s="588"/>
      <c r="M28" s="588"/>
      <c r="N28" s="588"/>
      <c r="O28" s="588"/>
      <c r="P28" s="588"/>
      <c r="Q28" s="588"/>
      <c r="R28" s="588"/>
      <c r="S28" s="588"/>
      <c r="T28" s="588"/>
      <c r="U28" s="588"/>
      <c r="V28" s="588"/>
      <c r="W28" s="589"/>
      <c r="X28" s="589"/>
      <c r="Y28" s="589"/>
      <c r="Z28" s="589"/>
      <c r="AA28" s="589"/>
      <c r="AB28" s="589"/>
      <c r="AC28" s="589"/>
      <c r="AD28" s="589"/>
      <c r="AE28" s="589"/>
      <c r="AF28" s="589"/>
      <c r="AG28" s="589"/>
    </row>
    <row r="29" spans="1:33" x14ac:dyDescent="0.4">
      <c r="A29" s="310" t="s">
        <v>2272</v>
      </c>
      <c r="B29" s="1688" t="s">
        <v>2031</v>
      </c>
      <c r="C29" s="585"/>
      <c r="D29" s="586">
        <f>BS!D34</f>
        <v>0.42699999999999999</v>
      </c>
      <c r="E29" s="586">
        <f>BS!E34</f>
        <v>1.6120000000000001</v>
      </c>
      <c r="F29" s="586">
        <f>BS!F34</f>
        <v>18.02</v>
      </c>
      <c r="G29" s="586">
        <f>BS!G34</f>
        <v>18.050999999999998</v>
      </c>
      <c r="H29" s="586">
        <f>BS!H34</f>
        <v>23.48</v>
      </c>
      <c r="I29" s="586">
        <f>BS!I34</f>
        <v>28.270999999999997</v>
      </c>
      <c r="J29" s="586">
        <f>BS!J34</f>
        <v>8.5060000000000002</v>
      </c>
      <c r="K29" s="586">
        <f>BS!K34</f>
        <v>10.566000000000001</v>
      </c>
      <c r="L29" s="586">
        <f>BS!L34</f>
        <v>17.175999999999998</v>
      </c>
      <c r="M29" s="586">
        <f>BS!M34</f>
        <v>35.817</v>
      </c>
      <c r="N29" s="586">
        <f>BS!N34</f>
        <v>37.040999999999997</v>
      </c>
      <c r="O29" s="586">
        <f>BS!O34</f>
        <v>44.346000000000004</v>
      </c>
      <c r="P29" s="586">
        <f>BS!P34</f>
        <v>45.811</v>
      </c>
      <c r="Q29" s="586">
        <f>BS!Q34</f>
        <v>52.053000000000004</v>
      </c>
      <c r="R29" s="586">
        <f>BS!R34</f>
        <v>62.142000000000003</v>
      </c>
      <c r="S29" s="586">
        <f>BS!S34</f>
        <v>72.751999999999995</v>
      </c>
      <c r="T29" s="586">
        <f>BS!T34</f>
        <v>471.69299999999998</v>
      </c>
      <c r="U29" s="586">
        <f>BS!U34</f>
        <v>525.58900000000006</v>
      </c>
      <c r="V29" s="586">
        <f>BS!V34</f>
        <v>612.49199999999996</v>
      </c>
      <c r="W29" s="586">
        <f>BS!W34</f>
        <v>228.81200000000001</v>
      </c>
      <c r="X29" s="586">
        <f>PL!X$4*WC!X30/365</f>
        <v>235.90074460115699</v>
      </c>
      <c r="Y29" s="586">
        <f>PL!Y$4*WC!Y30/365</f>
        <v>594.43889377735582</v>
      </c>
      <c r="Z29" s="586">
        <f>PL!Z$4*WC!Z30/365</f>
        <v>639.68401141575157</v>
      </c>
      <c r="AA29" s="586">
        <f>PL!AA$4*WC!AA30/365</f>
        <v>664.9602274122218</v>
      </c>
      <c r="AB29" s="586">
        <f>PL!AB$4*WC!AB30/365</f>
        <v>720.50319976557716</v>
      </c>
      <c r="AC29" s="586">
        <f>PL!AC$4*WC!AC30/365</f>
        <v>773.2918718774655</v>
      </c>
      <c r="AD29" s="586">
        <f>PL!AD$4*WC!AD30/365</f>
        <v>823.85809640280934</v>
      </c>
      <c r="AE29" s="586">
        <f>PL!AE$4*WC!AE30/365</f>
        <v>872.63977457370515</v>
      </c>
      <c r="AF29" s="586">
        <f>PL!AF$4*WC!AF30/365</f>
        <v>919.99806309599182</v>
      </c>
      <c r="AG29" s="586">
        <f>PL!AG$4*WC!AG30/365</f>
        <v>966.23170252909949</v>
      </c>
    </row>
    <row r="30" spans="1:33" x14ac:dyDescent="0.4">
      <c r="A30" s="556" t="s">
        <v>2607</v>
      </c>
      <c r="B30" s="1687" t="s">
        <v>2027</v>
      </c>
      <c r="C30" s="587"/>
      <c r="D30" s="588">
        <f>365/PL!D$4*WC!D29</f>
        <v>1.513915825289325E-2</v>
      </c>
      <c r="E30" s="588">
        <f>365/PL!E$4*WC!E29</f>
        <v>5.7864026912604352E-2</v>
      </c>
      <c r="F30" s="588">
        <f>365/PL!F$4*WC!F29</f>
        <v>0.59677509355658376</v>
      </c>
      <c r="G30" s="588">
        <f>365/PL!G$4*WC!G29</f>
        <v>0.58090426395772587</v>
      </c>
      <c r="H30" s="588">
        <f>365/PL!H$4*WC!H29</f>
        <v>0.71520422776812009</v>
      </c>
      <c r="I30" s="588">
        <f>365/PL!I$4*WC!I29</f>
        <v>0.62999689058959796</v>
      </c>
      <c r="J30" s="588">
        <f>365/PL!J$4*WC!J29</f>
        <v>0.14169769418173622</v>
      </c>
      <c r="K30" s="588">
        <f>365/PL!K$4*WC!K29</f>
        <v>0.141341483169523</v>
      </c>
      <c r="L30" s="588">
        <f>365/PL!L$4*WC!L29</f>
        <v>0.18203592814371258</v>
      </c>
      <c r="M30" s="588">
        <f>365/PL!M$4*WC!M29</f>
        <v>0.34401472706242187</v>
      </c>
      <c r="N30" s="588">
        <f>365/PL!N$4*WC!N29</f>
        <v>0.29259238563568496</v>
      </c>
      <c r="O30" s="588">
        <f>365/PL!O$4*WC!O29</f>
        <v>0.32274128416747283</v>
      </c>
      <c r="P30" s="588">
        <f>365/PL!P$4*WC!P29</f>
        <v>0.30059547008551923</v>
      </c>
      <c r="Q30" s="588">
        <f>365/PL!Q$4*WC!Q29</f>
        <v>0.30808244207145041</v>
      </c>
      <c r="R30" s="588">
        <f>365/PL!R$4*WC!R29</f>
        <v>0.36315326670115278</v>
      </c>
      <c r="S30" s="588">
        <f>365/PL!S$4*WC!S29</f>
        <v>0.34348224788704801</v>
      </c>
      <c r="T30" s="588">
        <f>365/PL!T$4*WC!T29</f>
        <v>1.6883304495457794</v>
      </c>
      <c r="U30" s="588">
        <f>365/PL!U$4*WC!U29</f>
        <v>1.6867424259442951</v>
      </c>
      <c r="V30" s="588">
        <f>365/PL!V$4*WC!V29</f>
        <v>2.1226159370758837</v>
      </c>
      <c r="W30" s="588">
        <f>365/PL!W$4*WC!W29</f>
        <v>0.83143481485537363</v>
      </c>
      <c r="X30" s="589">
        <f t="shared" ref="X30:AC30" si="41">W30</f>
        <v>0.83143481485537363</v>
      </c>
      <c r="Y30" s="589">
        <v>1.9</v>
      </c>
      <c r="Z30" s="589">
        <v>1.9</v>
      </c>
      <c r="AA30" s="589">
        <v>1.8</v>
      </c>
      <c r="AB30" s="589">
        <f t="shared" si="41"/>
        <v>1.8</v>
      </c>
      <c r="AC30" s="589">
        <f t="shared" si="41"/>
        <v>1.8</v>
      </c>
      <c r="AD30" s="589">
        <f t="shared" ref="AD30" si="42">AC30</f>
        <v>1.8</v>
      </c>
      <c r="AE30" s="589">
        <f t="shared" ref="AE30" si="43">AD30</f>
        <v>1.8</v>
      </c>
      <c r="AF30" s="589">
        <f t="shared" ref="AF30:AG30" si="44">AE30</f>
        <v>1.8</v>
      </c>
      <c r="AG30" s="589">
        <f t="shared" si="44"/>
        <v>1.8</v>
      </c>
    </row>
    <row r="31" spans="1:33" x14ac:dyDescent="0.4">
      <c r="B31" s="1687"/>
      <c r="C31" s="587"/>
      <c r="D31" s="588"/>
      <c r="E31" s="588"/>
      <c r="F31" s="588"/>
      <c r="G31" s="588"/>
      <c r="H31" s="588"/>
      <c r="I31" s="588"/>
      <c r="J31" s="588"/>
      <c r="K31" s="588"/>
      <c r="L31" s="588"/>
      <c r="M31" s="588"/>
      <c r="N31" s="588"/>
      <c r="O31" s="588"/>
      <c r="P31" s="588"/>
      <c r="Q31" s="588"/>
      <c r="R31" s="588"/>
      <c r="S31" s="588"/>
      <c r="T31" s="588"/>
      <c r="U31" s="588"/>
      <c r="V31" s="588"/>
      <c r="W31" s="589"/>
      <c r="X31" s="589"/>
      <c r="Y31" s="589"/>
      <c r="Z31" s="589"/>
      <c r="AA31" s="589"/>
      <c r="AB31" s="589"/>
      <c r="AC31" s="589"/>
      <c r="AD31" s="589"/>
      <c r="AE31" s="589"/>
      <c r="AF31" s="589"/>
      <c r="AG31" s="589"/>
    </row>
    <row r="32" spans="1:33" x14ac:dyDescent="0.4">
      <c r="A32" s="579" t="s">
        <v>2032</v>
      </c>
      <c r="B32" s="1679" t="s">
        <v>3031</v>
      </c>
      <c r="C32" s="553"/>
      <c r="D32" s="554">
        <f>BS!D26</f>
        <v>20.408000000000001</v>
      </c>
      <c r="E32" s="554">
        <f>BS!E26</f>
        <v>20.408000000000001</v>
      </c>
      <c r="F32" s="554">
        <f>BS!F26</f>
        <v>9.3089999999999993</v>
      </c>
      <c r="G32" s="554">
        <f>BS!G26</f>
        <v>7.859</v>
      </c>
      <c r="H32" s="554">
        <f>BS!H26</f>
        <v>8.1300000000000008</v>
      </c>
      <c r="I32" s="554">
        <f>BS!I26</f>
        <v>158.608</v>
      </c>
      <c r="J32" s="554">
        <f>BS!J26</f>
        <v>158.608</v>
      </c>
      <c r="K32" s="554">
        <f>BS!K26</f>
        <v>152.905</v>
      </c>
      <c r="L32" s="554">
        <f>BS!L26</f>
        <v>66.543999999999997</v>
      </c>
      <c r="M32" s="554">
        <f>BS!M26</f>
        <v>418.91500000000002</v>
      </c>
      <c r="N32" s="554">
        <f>BS!N26</f>
        <v>414.209</v>
      </c>
      <c r="O32" s="554">
        <f>BS!O26</f>
        <v>414.36700000000002</v>
      </c>
      <c r="P32" s="554">
        <f>BS!P26</f>
        <v>710.27499999999998</v>
      </c>
      <c r="Q32" s="554">
        <f>BS!Q26</f>
        <v>1716.9190000000001</v>
      </c>
      <c r="R32" s="554">
        <f>BS!R26</f>
        <v>1431.4469999999999</v>
      </c>
      <c r="S32" s="554">
        <f>BS!S26</f>
        <v>1256.0309999999999</v>
      </c>
      <c r="T32" s="554">
        <f>BS!T26</f>
        <v>1567.758</v>
      </c>
      <c r="U32" s="554">
        <f>BS!U26</f>
        <v>4078.9859999999999</v>
      </c>
      <c r="V32" s="554">
        <f>BS!V26</f>
        <v>3580.7389999999996</v>
      </c>
      <c r="W32" s="554">
        <f>BS!W26</f>
        <v>4045.72</v>
      </c>
      <c r="X32" s="590">
        <f t="shared" ref="X32:AC32" si="45">W32</f>
        <v>4045.72</v>
      </c>
      <c r="Y32" s="590">
        <f t="shared" si="45"/>
        <v>4045.72</v>
      </c>
      <c r="Z32" s="590">
        <f t="shared" si="45"/>
        <v>4045.72</v>
      </c>
      <c r="AA32" s="590">
        <f t="shared" si="45"/>
        <v>4045.72</v>
      </c>
      <c r="AB32" s="590">
        <f t="shared" si="45"/>
        <v>4045.72</v>
      </c>
      <c r="AC32" s="590">
        <f t="shared" si="45"/>
        <v>4045.72</v>
      </c>
      <c r="AD32" s="590">
        <f t="shared" ref="AD32" si="46">AC32</f>
        <v>4045.72</v>
      </c>
      <c r="AE32" s="590">
        <f t="shared" ref="AE32" si="47">AD32</f>
        <v>4045.72</v>
      </c>
      <c r="AF32" s="590">
        <f t="shared" ref="AF32:AG32" si="48">AE32</f>
        <v>4045.72</v>
      </c>
      <c r="AG32" s="590">
        <f t="shared" si="48"/>
        <v>4045.72</v>
      </c>
    </row>
    <row r="33" spans="1:33" x14ac:dyDescent="0.4">
      <c r="A33" s="550"/>
      <c r="B33" s="1689"/>
      <c r="C33" s="361"/>
      <c r="D33" s="361"/>
      <c r="E33" s="361"/>
      <c r="F33" s="361"/>
      <c r="G33" s="361"/>
      <c r="H33" s="361"/>
      <c r="I33" s="361"/>
      <c r="J33" s="361"/>
      <c r="K33" s="361"/>
      <c r="L33" s="361"/>
      <c r="M33" s="361"/>
      <c r="N33" s="361"/>
      <c r="O33" s="361"/>
      <c r="P33" s="361"/>
      <c r="Q33" s="361"/>
      <c r="R33" s="361"/>
      <c r="S33" s="361"/>
      <c r="T33" s="361"/>
      <c r="U33" s="361"/>
      <c r="V33" s="361"/>
      <c r="W33" s="361"/>
      <c r="X33" s="361"/>
      <c r="Y33" s="361"/>
      <c r="Z33" s="361"/>
      <c r="AA33" s="361"/>
      <c r="AB33" s="361"/>
      <c r="AC33" s="361"/>
      <c r="AD33" s="361"/>
      <c r="AE33" s="361"/>
      <c r="AF33" s="361"/>
      <c r="AG33" s="361"/>
    </row>
    <row r="34" spans="1:33" x14ac:dyDescent="0.4">
      <c r="A34" s="579" t="s">
        <v>2032</v>
      </c>
      <c r="B34" s="1679" t="s">
        <v>2018</v>
      </c>
      <c r="C34" s="553"/>
      <c r="D34" s="554"/>
      <c r="E34" s="554"/>
      <c r="F34" s="554"/>
      <c r="G34" s="554"/>
      <c r="H34" s="554"/>
      <c r="I34" s="554"/>
      <c r="J34" s="554"/>
      <c r="K34" s="554"/>
      <c r="L34" s="554"/>
      <c r="M34" s="554"/>
      <c r="N34" s="554"/>
      <c r="O34" s="554"/>
      <c r="P34" s="554">
        <f>BS!P28</f>
        <v>2349.5100000000002</v>
      </c>
      <c r="Q34" s="554">
        <f>BS!Q28</f>
        <v>1810.383</v>
      </c>
      <c r="R34" s="554">
        <f>BS!R28</f>
        <v>4311.6909999999998</v>
      </c>
      <c r="S34" s="554">
        <f>BS!S28</f>
        <v>6312.4340000000002</v>
      </c>
      <c r="T34" s="554">
        <f>BS!T28</f>
        <v>6827.8509999999997</v>
      </c>
      <c r="U34" s="554">
        <f>BS!U28</f>
        <v>6289.7370000000001</v>
      </c>
      <c r="V34" s="554">
        <f>BS!V28</f>
        <v>7029.2659999999996</v>
      </c>
      <c r="W34" s="554">
        <f>BS!W28</f>
        <v>6690.65</v>
      </c>
      <c r="X34" s="590">
        <f t="shared" ref="X34:AG34" si="49">W34*1.03</f>
        <v>6891.3694999999998</v>
      </c>
      <c r="Y34" s="590">
        <f t="shared" si="49"/>
        <v>7098.1105850000004</v>
      </c>
      <c r="Z34" s="590">
        <f t="shared" si="49"/>
        <v>7311.0539025500002</v>
      </c>
      <c r="AA34" s="590">
        <f t="shared" si="49"/>
        <v>7530.3855196265004</v>
      </c>
      <c r="AB34" s="590">
        <f t="shared" si="49"/>
        <v>7756.2970852152957</v>
      </c>
      <c r="AC34" s="590">
        <f t="shared" si="49"/>
        <v>7988.9859977717551</v>
      </c>
      <c r="AD34" s="590">
        <f t="shared" si="49"/>
        <v>8228.6555777049089</v>
      </c>
      <c r="AE34" s="590">
        <f t="shared" si="49"/>
        <v>8475.5152450360565</v>
      </c>
      <c r="AF34" s="590">
        <f t="shared" si="49"/>
        <v>8729.7807023871392</v>
      </c>
      <c r="AG34" s="590">
        <f t="shared" si="49"/>
        <v>8991.6741234587535</v>
      </c>
    </row>
    <row r="35" spans="1:33" x14ac:dyDescent="0.4">
      <c r="A35" s="550"/>
      <c r="B35" s="1689"/>
      <c r="C35" s="361"/>
      <c r="D35" s="361"/>
      <c r="E35" s="361"/>
      <c r="F35" s="361"/>
      <c r="G35" s="361"/>
      <c r="H35" s="361"/>
      <c r="I35" s="361"/>
      <c r="J35" s="361"/>
      <c r="K35" s="361"/>
      <c r="L35" s="361"/>
      <c r="M35" s="361"/>
      <c r="N35" s="361"/>
      <c r="O35" s="361"/>
      <c r="P35" s="361"/>
      <c r="Q35" s="361"/>
      <c r="R35" s="361"/>
      <c r="S35" s="361"/>
      <c r="T35" s="361"/>
      <c r="U35" s="361"/>
      <c r="V35" s="361"/>
      <c r="W35" s="361"/>
      <c r="X35" s="361"/>
      <c r="Y35" s="361"/>
      <c r="Z35" s="361"/>
      <c r="AA35" s="361"/>
      <c r="AB35" s="361"/>
      <c r="AC35" s="361"/>
      <c r="AD35" s="361"/>
      <c r="AE35" s="361"/>
      <c r="AF35" s="361"/>
      <c r="AG35" s="361"/>
    </row>
    <row r="36" spans="1:33" x14ac:dyDescent="0.4">
      <c r="A36" s="552" t="s">
        <v>512</v>
      </c>
      <c r="B36" s="1679" t="s">
        <v>459</v>
      </c>
      <c r="C36" s="553"/>
      <c r="D36" s="554">
        <f t="shared" ref="D36:M36" si="50">D38+D41+D50+D53+D56</f>
        <v>4433.661000000001</v>
      </c>
      <c r="E36" s="554">
        <f t="shared" si="50"/>
        <v>5214.7970000000005</v>
      </c>
      <c r="F36" s="554">
        <f t="shared" si="50"/>
        <v>5186.7519999999995</v>
      </c>
      <c r="G36" s="554">
        <f t="shared" si="50"/>
        <v>5253.5360000000001</v>
      </c>
      <c r="H36" s="554">
        <f t="shared" si="50"/>
        <v>8232.2630000000008</v>
      </c>
      <c r="I36" s="554">
        <f t="shared" si="50"/>
        <v>10278.981</v>
      </c>
      <c r="J36" s="554">
        <f t="shared" si="50"/>
        <v>12426.694000000001</v>
      </c>
      <c r="K36" s="554">
        <f t="shared" si="50"/>
        <v>17776.382000000001</v>
      </c>
      <c r="L36" s="554">
        <f t="shared" si="50"/>
        <v>23195.668000000001</v>
      </c>
      <c r="M36" s="554">
        <f t="shared" si="50"/>
        <v>30898.471999999994</v>
      </c>
      <c r="N36" s="554">
        <f t="shared" ref="N36:AC36" si="51">N38+N41+N50+N53+N56+N44+N47</f>
        <v>38260.493999999999</v>
      </c>
      <c r="O36" s="554">
        <f t="shared" si="51"/>
        <v>46328.764999999992</v>
      </c>
      <c r="P36" s="554">
        <f t="shared" si="51"/>
        <v>51574.167000000009</v>
      </c>
      <c r="Q36" s="554">
        <f t="shared" si="51"/>
        <v>61753.012000000002</v>
      </c>
      <c r="R36" s="554">
        <f t="shared" si="51"/>
        <v>70888.125999999989</v>
      </c>
      <c r="S36" s="554">
        <f t="shared" si="51"/>
        <v>79198.453999999998</v>
      </c>
      <c r="T36" s="554">
        <f t="shared" si="51"/>
        <v>86788.699000000008</v>
      </c>
      <c r="U36" s="554">
        <f t="shared" ref="U36:W36" si="52">U38+U41+U50+U53+U56+U44+U47</f>
        <v>96678.656999999992</v>
      </c>
      <c r="V36" s="554">
        <f t="shared" si="52"/>
        <v>110691.21900000003</v>
      </c>
      <c r="W36" s="554">
        <f t="shared" si="52"/>
        <v>114079.63</v>
      </c>
      <c r="X36" s="554">
        <f>X38+X41+X50+X53+X56+X44+X47</f>
        <v>113619.8544624772</v>
      </c>
      <c r="Y36" s="554">
        <f t="shared" si="51"/>
        <v>123550.81210589115</v>
      </c>
      <c r="Z36" s="554">
        <f t="shared" si="51"/>
        <v>131240.68117704274</v>
      </c>
      <c r="AA36" s="554">
        <f t="shared" si="51"/>
        <v>141286.13646324445</v>
      </c>
      <c r="AB36" s="554">
        <f t="shared" si="51"/>
        <v>150233.0190313397</v>
      </c>
      <c r="AC36" s="554">
        <f t="shared" si="51"/>
        <v>158248.97014828431</v>
      </c>
      <c r="AD36" s="554">
        <f t="shared" ref="AD36:AF36" si="53">AD38+AD41+AD50+AD53+AD56+AD44+AD47</f>
        <v>165469.14833659632</v>
      </c>
      <c r="AE36" s="554">
        <f t="shared" si="53"/>
        <v>172002.46432703501</v>
      </c>
      <c r="AF36" s="554">
        <f t="shared" si="53"/>
        <v>177936.65404672161</v>
      </c>
      <c r="AG36" s="554">
        <f t="shared" ref="AG36" si="54">AG38+AG41+AG50+AG53+AG56+AG44+AG47</f>
        <v>183342.40819910812</v>
      </c>
    </row>
    <row r="37" spans="1:33" s="555" customFormat="1" x14ac:dyDescent="0.4">
      <c r="A37" s="556" t="s">
        <v>577</v>
      </c>
      <c r="B37" s="1680" t="s">
        <v>577</v>
      </c>
      <c r="C37" s="413"/>
      <c r="D37" s="348"/>
      <c r="E37" s="348">
        <f t="shared" ref="E37:AC37" si="55">E36/D36-1</f>
        <v>0.17618306857470589</v>
      </c>
      <c r="F37" s="348">
        <f t="shared" si="55"/>
        <v>-5.3779658153521037E-3</v>
      </c>
      <c r="G37" s="348">
        <f t="shared" si="55"/>
        <v>1.2875880705304654E-2</v>
      </c>
      <c r="H37" s="348">
        <f t="shared" si="55"/>
        <v>0.56699468700699884</v>
      </c>
      <c r="I37" s="348">
        <f t="shared" si="55"/>
        <v>0.24862155157093491</v>
      </c>
      <c r="J37" s="348">
        <f t="shared" si="55"/>
        <v>0.20894220934935093</v>
      </c>
      <c r="K37" s="348">
        <f t="shared" si="55"/>
        <v>0.43049969686225475</v>
      </c>
      <c r="L37" s="348">
        <f t="shared" si="55"/>
        <v>0.30485877272439343</v>
      </c>
      <c r="M37" s="348">
        <f t="shared" si="55"/>
        <v>0.33207942103672083</v>
      </c>
      <c r="N37" s="348">
        <f t="shared" si="55"/>
        <v>0.23826492132038135</v>
      </c>
      <c r="O37" s="348">
        <f t="shared" si="55"/>
        <v>0.21087733472547421</v>
      </c>
      <c r="P37" s="348">
        <f t="shared" si="55"/>
        <v>0.11322127840014762</v>
      </c>
      <c r="Q37" s="348">
        <f t="shared" si="55"/>
        <v>0.19736324582809051</v>
      </c>
      <c r="R37" s="348">
        <f t="shared" si="55"/>
        <v>0.1479298532029496</v>
      </c>
      <c r="S37" s="348">
        <f t="shared" si="55"/>
        <v>0.11723159390615012</v>
      </c>
      <c r="T37" s="348">
        <f t="shared" si="55"/>
        <v>9.5838297550606466E-2</v>
      </c>
      <c r="U37" s="348">
        <f t="shared" si="55"/>
        <v>0.11395444469100724</v>
      </c>
      <c r="V37" s="348">
        <f t="shared" si="55"/>
        <v>0.14493955992789642</v>
      </c>
      <c r="W37" s="348">
        <f t="shared" si="55"/>
        <v>3.0611380293860346E-2</v>
      </c>
      <c r="X37" s="348">
        <f>X36/W36-1</f>
        <v>-4.0303035478183036E-3</v>
      </c>
      <c r="Y37" s="348">
        <f t="shared" si="55"/>
        <v>8.7405125542504791E-2</v>
      </c>
      <c r="Z37" s="348">
        <f t="shared" si="55"/>
        <v>6.2240538447945415E-2</v>
      </c>
      <c r="AA37" s="348">
        <f t="shared" si="55"/>
        <v>7.6542236721938828E-2</v>
      </c>
      <c r="AB37" s="348">
        <f t="shared" si="55"/>
        <v>6.3324561008310853E-2</v>
      </c>
      <c r="AC37" s="348">
        <f t="shared" si="55"/>
        <v>5.3356786468309103E-2</v>
      </c>
      <c r="AD37" s="348">
        <f t="shared" ref="AD37" si="56">AD36/AC36-1</f>
        <v>4.5625435549732085E-2</v>
      </c>
      <c r="AE37" s="348">
        <f t="shared" ref="AE37" si="57">AE36/AD36-1</f>
        <v>3.9483589878329894E-2</v>
      </c>
      <c r="AF37" s="348">
        <f t="shared" ref="AF37:AG37" si="58">AF36/AE36-1</f>
        <v>3.4500608714557179E-2</v>
      </c>
      <c r="AG37" s="348">
        <f t="shared" si="58"/>
        <v>3.0380216944885907E-2</v>
      </c>
    </row>
    <row r="38" spans="1:33" x14ac:dyDescent="0.4">
      <c r="A38" s="591" t="s">
        <v>2033</v>
      </c>
      <c r="B38" s="1681" t="s">
        <v>555</v>
      </c>
      <c r="C38" s="592"/>
      <c r="D38" s="593">
        <f>BS!D58</f>
        <v>3440.2330000000002</v>
      </c>
      <c r="E38" s="593">
        <f>BS!E58</f>
        <v>3759.933</v>
      </c>
      <c r="F38" s="593">
        <f>BS!F58</f>
        <v>3690.4259999999999</v>
      </c>
      <c r="G38" s="593">
        <f>BS!G58</f>
        <v>3552.277</v>
      </c>
      <c r="H38" s="593">
        <f>BS!H58</f>
        <v>4116.9110000000001</v>
      </c>
      <c r="I38" s="593">
        <f>BS!I58</f>
        <v>5175.8879999999999</v>
      </c>
      <c r="J38" s="593">
        <f>BS!J58</f>
        <v>6498.27</v>
      </c>
      <c r="K38" s="593">
        <f>BS!K58</f>
        <v>13019.734</v>
      </c>
      <c r="L38" s="593">
        <f>BS!L58</f>
        <v>17261.317999999999</v>
      </c>
      <c r="M38" s="593">
        <f>BS!M58</f>
        <v>21926.977999999999</v>
      </c>
      <c r="N38" s="593">
        <f>BS!N58</f>
        <v>29000.144</v>
      </c>
      <c r="O38" s="593">
        <f>BS!O58</f>
        <v>33133.985999999997</v>
      </c>
      <c r="P38" s="593">
        <f>BS!P58</f>
        <v>36714.715000000004</v>
      </c>
      <c r="Q38" s="593">
        <f>BS!Q58</f>
        <v>44699.248</v>
      </c>
      <c r="R38" s="593">
        <f>BS!R58</f>
        <v>51288.245999999999</v>
      </c>
      <c r="S38" s="593">
        <f>BS!S58</f>
        <v>60561.364000000001</v>
      </c>
      <c r="T38" s="593">
        <f>BS!T58</f>
        <v>69736.718999999997</v>
      </c>
      <c r="U38" s="593">
        <f>BS!U58</f>
        <v>74884.548999999999</v>
      </c>
      <c r="V38" s="593">
        <f>BS!V58</f>
        <v>94119.227000000014</v>
      </c>
      <c r="W38" s="593">
        <f>BS!W58</f>
        <v>96447.27</v>
      </c>
      <c r="X38" s="593">
        <f>PL!X$19*WC!X39/365</f>
        <v>97569.739350056654</v>
      </c>
      <c r="Y38" s="593">
        <f>PL!Y$19*WC!Y39/365</f>
        <v>106587.81482905462</v>
      </c>
      <c r="Z38" s="593">
        <f>PL!Z$19*WC!Z39/365</f>
        <v>113760.34120844443</v>
      </c>
      <c r="AA38" s="593">
        <f>PL!AA$19*WC!AA39/365</f>
        <v>123067.83012769149</v>
      </c>
      <c r="AB38" s="593">
        <f>PL!AB$19*WC!AB39/365</f>
        <v>131521.87162964392</v>
      </c>
      <c r="AC38" s="593">
        <f>PL!AC$19*WC!AC39/365</f>
        <v>139260.88136092242</v>
      </c>
      <c r="AD38" s="593">
        <f>PL!AD$19*WC!AD39/365</f>
        <v>146397.03090644517</v>
      </c>
      <c r="AE38" s="593">
        <f>PL!AE$19*WC!AE39/365</f>
        <v>153021.23343501796</v>
      </c>
      <c r="AF38" s="593">
        <f>PL!AF$19*WC!AF39/365</f>
        <v>159207.21546775478</v>
      </c>
      <c r="AG38" s="593">
        <f>PL!AG$19*WC!AG39/365</f>
        <v>165014.84569104866</v>
      </c>
    </row>
    <row r="39" spans="1:33" s="555" customFormat="1" x14ac:dyDescent="0.4">
      <c r="A39" s="560" t="s">
        <v>2607</v>
      </c>
      <c r="B39" s="1682" t="s">
        <v>2027</v>
      </c>
      <c r="C39" s="594"/>
      <c r="D39" s="595">
        <f>365/PL!D$19*WC!D38</f>
        <v>127.6650713680344</v>
      </c>
      <c r="E39" s="595">
        <f>365/PL!E$19*WC!E38</f>
        <v>145.96315917383208</v>
      </c>
      <c r="F39" s="595">
        <f>365/PL!F$19*WC!F38</f>
        <v>133.20845445990372</v>
      </c>
      <c r="G39" s="595">
        <f>365/PL!G$19*WC!G38</f>
        <v>125.28447943665806</v>
      </c>
      <c r="H39" s="595">
        <f>365/PL!H$19*WC!H38</f>
        <v>140.87092155192028</v>
      </c>
      <c r="I39" s="595">
        <f>365/PL!I$19*WC!I38</f>
        <v>129.56468454050224</v>
      </c>
      <c r="J39" s="595">
        <f>365/PL!J$19*WC!J38</f>
        <v>123.58346199074293</v>
      </c>
      <c r="K39" s="595">
        <f>365/PL!K$19*WC!K38</f>
        <v>201.88056589566338</v>
      </c>
      <c r="L39" s="595">
        <f>365/PL!L$19*WC!L38</f>
        <v>212.15916612078269</v>
      </c>
      <c r="M39" s="595">
        <f>365/PL!M$19*WC!M38</f>
        <v>243.34595547700931</v>
      </c>
      <c r="N39" s="595">
        <f>365/PL!N$19*WC!N38</f>
        <v>263.14853759997294</v>
      </c>
      <c r="O39" s="595">
        <f>365/PL!O$19*WC!O38</f>
        <v>284.31164492200691</v>
      </c>
      <c r="P39" s="595">
        <f>365/PL!P$19*WC!P38</f>
        <v>285.55091379622661</v>
      </c>
      <c r="Q39" s="595">
        <f>365/PL!Q$19*WC!Q38</f>
        <v>311.15751800240207</v>
      </c>
      <c r="R39" s="595">
        <f>365/PL!R$19*WC!R38</f>
        <v>352.05669309256336</v>
      </c>
      <c r="S39" s="595">
        <f>365/PL!S$19*WC!S38</f>
        <v>338.37374301916282</v>
      </c>
      <c r="T39" s="595">
        <f>365/PL!T$19*WC!T38</f>
        <v>289.39117968821301</v>
      </c>
      <c r="U39" s="595">
        <f>365/PL!U$19*WC!U38</f>
        <v>280.63895969184404</v>
      </c>
      <c r="V39" s="595">
        <f>365/PL!V$19*WC!V38</f>
        <v>386.02451472107975</v>
      </c>
      <c r="W39" s="595">
        <f>365/PL!W$19*WC!W38</f>
        <v>416.77029969171321</v>
      </c>
      <c r="X39" s="563">
        <f>W39-5</f>
        <v>411.77029969171321</v>
      </c>
      <c r="Y39" s="563">
        <f t="shared" ref="Y39:AG39" si="59">X39-5</f>
        <v>406.77029969171321</v>
      </c>
      <c r="Z39" s="563">
        <f t="shared" si="59"/>
        <v>401.77029969171321</v>
      </c>
      <c r="AA39" s="563">
        <f t="shared" si="59"/>
        <v>396.77029969171321</v>
      </c>
      <c r="AB39" s="563">
        <f t="shared" si="59"/>
        <v>391.77029969171321</v>
      </c>
      <c r="AC39" s="563">
        <f t="shared" si="59"/>
        <v>386.77029969171321</v>
      </c>
      <c r="AD39" s="563">
        <f t="shared" si="59"/>
        <v>381.77029969171321</v>
      </c>
      <c r="AE39" s="563">
        <f t="shared" si="59"/>
        <v>376.77029969171321</v>
      </c>
      <c r="AF39" s="563">
        <f t="shared" si="59"/>
        <v>371.77029969171321</v>
      </c>
      <c r="AG39" s="563">
        <f t="shared" si="59"/>
        <v>366.77029969171321</v>
      </c>
    </row>
    <row r="40" spans="1:33" x14ac:dyDescent="0.4">
      <c r="A40" s="568"/>
      <c r="B40" s="1683"/>
      <c r="C40" s="372"/>
      <c r="D40" s="372"/>
      <c r="E40" s="372"/>
      <c r="F40" s="372"/>
      <c r="G40" s="372"/>
      <c r="H40" s="372"/>
      <c r="I40" s="372"/>
      <c r="J40" s="372"/>
      <c r="K40" s="372"/>
      <c r="L40" s="372"/>
      <c r="M40" s="372"/>
      <c r="N40" s="372"/>
      <c r="O40" s="372"/>
      <c r="P40" s="372"/>
      <c r="Q40" s="372"/>
      <c r="R40" s="372"/>
      <c r="S40" s="372"/>
      <c r="T40" s="372"/>
      <c r="U40" s="372"/>
      <c r="V40" s="372"/>
      <c r="W40" s="372"/>
      <c r="X40" s="372"/>
      <c r="Y40" s="372"/>
      <c r="Z40" s="372"/>
      <c r="AA40" s="372"/>
      <c r="AB40" s="372"/>
      <c r="AC40" s="372"/>
      <c r="AD40" s="372"/>
      <c r="AE40" s="372"/>
      <c r="AF40" s="372"/>
      <c r="AG40" s="372"/>
    </row>
    <row r="41" spans="1:33" s="346" customFormat="1" outlineLevel="1" x14ac:dyDescent="0.4">
      <c r="A41" s="564" t="s">
        <v>2034</v>
      </c>
      <c r="B41" s="1685" t="s">
        <v>3032</v>
      </c>
      <c r="C41" s="573"/>
      <c r="D41" s="570">
        <f>BS!D60</f>
        <v>329.983</v>
      </c>
      <c r="E41" s="570">
        <f>BS!E60</f>
        <v>425.86399999999998</v>
      </c>
      <c r="F41" s="570">
        <f>BS!F60</f>
        <v>301.089</v>
      </c>
      <c r="G41" s="570">
        <f>BS!G60</f>
        <v>505.44900000000001</v>
      </c>
      <c r="H41" s="570">
        <f>BS!H60</f>
        <v>692.96500000000003</v>
      </c>
      <c r="I41" s="570">
        <f>BS!I60</f>
        <v>1282.0350000000001</v>
      </c>
      <c r="J41" s="570">
        <f>BS!J60</f>
        <v>1219.729</v>
      </c>
      <c r="K41" s="570">
        <f>BS!K60</f>
        <v>1903.3779999999999</v>
      </c>
      <c r="L41" s="570">
        <f>BS!L60</f>
        <v>3793.0520000000001</v>
      </c>
      <c r="M41" s="570">
        <f>BS!M60</f>
        <v>4669.0150000000003</v>
      </c>
      <c r="N41" s="570">
        <f>BS!N60</f>
        <v>5304.6710000000003</v>
      </c>
      <c r="O41" s="570"/>
      <c r="P41" s="570"/>
      <c r="Q41" s="570"/>
      <c r="R41" s="570"/>
      <c r="S41" s="570"/>
      <c r="T41" s="570"/>
      <c r="U41" s="570"/>
      <c r="V41" s="570"/>
      <c r="W41" s="570"/>
      <c r="X41" s="570"/>
      <c r="Y41" s="570"/>
      <c r="Z41" s="570"/>
      <c r="AA41" s="570"/>
      <c r="AB41" s="570"/>
      <c r="AC41" s="570"/>
      <c r="AD41" s="570"/>
      <c r="AE41" s="570"/>
      <c r="AF41" s="570"/>
      <c r="AG41" s="570"/>
    </row>
    <row r="42" spans="1:33" s="555" customFormat="1" outlineLevel="1" x14ac:dyDescent="0.4">
      <c r="A42" s="560" t="s">
        <v>2607</v>
      </c>
      <c r="B42" s="1682" t="s">
        <v>2027</v>
      </c>
      <c r="C42" s="561"/>
      <c r="D42" s="595">
        <f>365/PL!D$19*WC!D41</f>
        <v>12.245479665254678</v>
      </c>
      <c r="E42" s="595">
        <f>365/PL!E$19*WC!E41</f>
        <v>16.532330448017245</v>
      </c>
      <c r="F42" s="595">
        <f>365/PL!F$19*WC!F41</f>
        <v>10.868013704888799</v>
      </c>
      <c r="G42" s="595">
        <f>365/PL!G$19*WC!G41</f>
        <v>17.826570069501724</v>
      </c>
      <c r="H42" s="595">
        <f>365/PL!H$19*WC!H41</f>
        <v>23.711617315318801</v>
      </c>
      <c r="I42" s="595">
        <f>365/PL!I$19*WC!I41</f>
        <v>32.092359870399591</v>
      </c>
      <c r="J42" s="595">
        <f>365/PL!J$19*WC!J41</f>
        <v>23.196686581275767</v>
      </c>
      <c r="K42" s="595">
        <f>365/PL!K$19*WC!K41</f>
        <v>29.51327790209508</v>
      </c>
      <c r="L42" s="595">
        <f>365/PL!L$19*WC!L41</f>
        <v>46.620469501388428</v>
      </c>
      <c r="M42" s="595">
        <f>365/PL!M$19*WC!M41</f>
        <v>51.816803770747107</v>
      </c>
      <c r="N42" s="595">
        <f>365/PL!N$19*WC!N41</f>
        <v>48.134809816771465</v>
      </c>
      <c r="O42" s="562"/>
      <c r="P42" s="562"/>
      <c r="Q42" s="562"/>
      <c r="R42" s="562"/>
      <c r="S42" s="562"/>
      <c r="T42" s="563"/>
      <c r="U42" s="563"/>
      <c r="V42" s="563"/>
      <c r="W42" s="563"/>
      <c r="X42" s="563"/>
      <c r="Y42" s="563"/>
      <c r="Z42" s="563"/>
      <c r="AA42" s="563"/>
      <c r="AB42" s="563"/>
      <c r="AC42" s="563"/>
      <c r="AD42" s="563"/>
      <c r="AE42" s="563"/>
      <c r="AF42" s="563"/>
      <c r="AG42" s="563"/>
    </row>
    <row r="43" spans="1:33" outlineLevel="1" x14ac:dyDescent="0.4">
      <c r="A43" s="564"/>
      <c r="B43" s="1683"/>
      <c r="C43" s="565"/>
      <c r="D43" s="565"/>
      <c r="E43" s="565"/>
      <c r="F43" s="565"/>
      <c r="G43" s="565"/>
      <c r="H43" s="565"/>
      <c r="I43" s="565"/>
      <c r="J43" s="565"/>
      <c r="K43" s="565"/>
      <c r="L43" s="565"/>
      <c r="M43" s="565"/>
      <c r="N43" s="565"/>
      <c r="O43" s="565"/>
      <c r="P43" s="596"/>
      <c r="Q43" s="596"/>
      <c r="R43" s="596"/>
      <c r="S43" s="596"/>
      <c r="T43" s="565"/>
      <c r="U43" s="565"/>
      <c r="V43" s="565"/>
      <c r="W43" s="565"/>
      <c r="X43" s="565"/>
      <c r="Y43" s="565"/>
      <c r="Z43" s="565"/>
      <c r="AA43" s="565"/>
      <c r="AB43" s="565"/>
      <c r="AC43" s="565"/>
      <c r="AD43" s="565"/>
      <c r="AE43" s="565"/>
      <c r="AF43" s="565"/>
      <c r="AG43" s="565"/>
    </row>
    <row r="44" spans="1:33" s="334" customFormat="1" x14ac:dyDescent="0.4">
      <c r="A44" s="564" t="s">
        <v>2610</v>
      </c>
      <c r="B44" s="1684" t="s">
        <v>2020</v>
      </c>
      <c r="C44" s="597"/>
      <c r="D44" s="597"/>
      <c r="E44" s="597"/>
      <c r="F44" s="597"/>
      <c r="G44" s="597"/>
      <c r="H44" s="597"/>
      <c r="I44" s="597"/>
      <c r="J44" s="597"/>
      <c r="K44" s="597"/>
      <c r="L44" s="597"/>
      <c r="M44" s="597"/>
      <c r="N44" s="597"/>
      <c r="O44" s="570">
        <f>BS!O61</f>
        <v>7604.5959999999995</v>
      </c>
      <c r="P44" s="570">
        <f>BS!P61</f>
        <v>9027.4860000000008</v>
      </c>
      <c r="Q44" s="570">
        <f>BS!Q61</f>
        <v>7830.567</v>
      </c>
      <c r="R44" s="570">
        <f>BS!R61</f>
        <v>8547.2939999999999</v>
      </c>
      <c r="S44" s="570">
        <f>BS!S61</f>
        <v>9662.8189999999995</v>
      </c>
      <c r="T44" s="570">
        <f>BS!T61</f>
        <v>8503.09</v>
      </c>
      <c r="U44" s="570">
        <f>BS!U61</f>
        <v>9926.7420000000002</v>
      </c>
      <c r="V44" s="570">
        <f>BS!V61</f>
        <v>8324.6689999999999</v>
      </c>
      <c r="W44" s="570">
        <f>BS!W61</f>
        <v>9001.1299999999992</v>
      </c>
      <c r="X44" s="569">
        <f>PL!X$19*WC!X45/365</f>
        <v>7750.0868448742476</v>
      </c>
      <c r="Y44" s="569">
        <f>PL!Y$19*WC!Y45/365</f>
        <v>8308.4380988432331</v>
      </c>
      <c r="Z44" s="569">
        <f>PL!Z$19*WC!Z45/365</f>
        <v>8694.7390261970286</v>
      </c>
      <c r="AA44" s="569">
        <f>PL!AA$19*WC!AA45/365</f>
        <v>9214.4728499256344</v>
      </c>
      <c r="AB44" s="569">
        <f>PL!AB$19*WC!AB45/365</f>
        <v>9637.4205644313442</v>
      </c>
      <c r="AC44" s="569">
        <f>PL!AC$19*WC!AC45/365</f>
        <v>9976.3641560459437</v>
      </c>
      <c r="AD44" s="569">
        <f>PL!AD$19*WC!AD45/365</f>
        <v>10241.469026350414</v>
      </c>
      <c r="AE44" s="569">
        <f>PL!AE$19*WC!AE45/365</f>
        <v>10440.798825305974</v>
      </c>
      <c r="AF44" s="569">
        <f>PL!AF$19*WC!AF45/365</f>
        <v>10580.73063027786</v>
      </c>
      <c r="AG44" s="569">
        <f>PL!AG$19*WC!AG45/365</f>
        <v>10666.289451118491</v>
      </c>
    </row>
    <row r="45" spans="1:33" s="555" customFormat="1" x14ac:dyDescent="0.4">
      <c r="A45" s="560" t="s">
        <v>2607</v>
      </c>
      <c r="B45" s="1682" t="s">
        <v>2027</v>
      </c>
      <c r="C45" s="598"/>
      <c r="D45" s="598"/>
      <c r="E45" s="598"/>
      <c r="F45" s="598"/>
      <c r="G45" s="598"/>
      <c r="H45" s="598"/>
      <c r="I45" s="598"/>
      <c r="J45" s="598"/>
      <c r="K45" s="598"/>
      <c r="L45" s="598"/>
      <c r="M45" s="598"/>
      <c r="N45" s="598"/>
      <c r="O45" s="595">
        <f>365/PL!O$4*WC!O44</f>
        <v>55.344722829901841</v>
      </c>
      <c r="P45" s="595">
        <f>365/PL!P$4*WC!P44</f>
        <v>59.235148716693459</v>
      </c>
      <c r="Q45" s="595">
        <f>365/PL!Q$4*WC!Q44</f>
        <v>46.346227963116654</v>
      </c>
      <c r="R45" s="595">
        <f>365/PL!R$4*WC!R44</f>
        <v>49.949756003269329</v>
      </c>
      <c r="S45" s="595">
        <f>365/PL!S$4*WC!S44</f>
        <v>45.62083229389814</v>
      </c>
      <c r="T45" s="595">
        <f>365/PL!T$4*WC!T44</f>
        <v>30.435104532456965</v>
      </c>
      <c r="U45" s="595">
        <f>365/PL!U$4*WC!U44</f>
        <v>31.857319850307224</v>
      </c>
      <c r="V45" s="595">
        <f>365/PL!V$4*WC!V44</f>
        <v>28.849478997736394</v>
      </c>
      <c r="W45" s="595">
        <f>365/PL!W$4*WC!W44</f>
        <v>32.707431668964688</v>
      </c>
      <c r="X45" s="563">
        <f>W45</f>
        <v>32.707431668964688</v>
      </c>
      <c r="Y45" s="563">
        <f>X45-1</f>
        <v>31.707431668964688</v>
      </c>
      <c r="Z45" s="563">
        <f t="shared" ref="Z45:AG45" si="60">Y45-1</f>
        <v>30.707431668964688</v>
      </c>
      <c r="AA45" s="563">
        <f t="shared" si="60"/>
        <v>29.707431668964688</v>
      </c>
      <c r="AB45" s="563">
        <f t="shared" si="60"/>
        <v>28.707431668964688</v>
      </c>
      <c r="AC45" s="563">
        <f t="shared" si="60"/>
        <v>27.707431668964688</v>
      </c>
      <c r="AD45" s="563">
        <f t="shared" si="60"/>
        <v>26.707431668964688</v>
      </c>
      <c r="AE45" s="563">
        <f t="shared" si="60"/>
        <v>25.707431668964688</v>
      </c>
      <c r="AF45" s="563">
        <f t="shared" si="60"/>
        <v>24.707431668964688</v>
      </c>
      <c r="AG45" s="563">
        <f t="shared" si="60"/>
        <v>23.707431668964688</v>
      </c>
    </row>
    <row r="46" spans="1:33" x14ac:dyDescent="0.4">
      <c r="A46" s="564"/>
      <c r="B46" s="1683"/>
      <c r="C46" s="565"/>
      <c r="D46" s="565"/>
      <c r="E46" s="565"/>
      <c r="F46" s="565"/>
      <c r="G46" s="565"/>
      <c r="H46" s="565"/>
      <c r="I46" s="565"/>
      <c r="J46" s="565"/>
      <c r="K46" s="565"/>
      <c r="L46" s="565"/>
      <c r="M46" s="565"/>
      <c r="N46" s="565"/>
      <c r="O46" s="565"/>
      <c r="P46" s="596"/>
      <c r="Q46" s="596"/>
      <c r="R46" s="596"/>
      <c r="S46" s="596"/>
      <c r="T46" s="596"/>
      <c r="U46" s="596"/>
      <c r="V46" s="596"/>
      <c r="W46" s="565"/>
      <c r="X46" s="565"/>
      <c r="Y46" s="565"/>
      <c r="Z46" s="565"/>
      <c r="AA46" s="565"/>
      <c r="AB46" s="565"/>
      <c r="AC46" s="565"/>
      <c r="AD46" s="565"/>
      <c r="AE46" s="565"/>
      <c r="AF46" s="565"/>
      <c r="AG46" s="565"/>
    </row>
    <row r="47" spans="1:33" x14ac:dyDescent="0.4">
      <c r="A47" s="564" t="s">
        <v>2611</v>
      </c>
      <c r="B47" s="1684" t="s">
        <v>2036</v>
      </c>
      <c r="C47" s="597"/>
      <c r="D47" s="597"/>
      <c r="E47" s="597"/>
      <c r="F47" s="597"/>
      <c r="G47" s="597"/>
      <c r="H47" s="597"/>
      <c r="I47" s="597"/>
      <c r="J47" s="597"/>
      <c r="K47" s="597"/>
      <c r="L47" s="597"/>
      <c r="M47" s="597"/>
      <c r="N47" s="597"/>
      <c r="O47" s="597"/>
      <c r="P47" s="570">
        <f>BS!P48</f>
        <v>740.01</v>
      </c>
      <c r="Q47" s="570">
        <f>BS!Q48</f>
        <v>688.21</v>
      </c>
      <c r="R47" s="570">
        <f>BS!R48</f>
        <v>656.125</v>
      </c>
      <c r="S47" s="570">
        <f>BS!S48</f>
        <v>667.10599999999999</v>
      </c>
      <c r="T47" s="570">
        <f>BS!T48</f>
        <v>663.89800000000002</v>
      </c>
      <c r="U47" s="570">
        <f>BS!U48</f>
        <v>591.47299999999996</v>
      </c>
      <c r="V47" s="570">
        <f>BS!V48</f>
        <v>486.41400000000004</v>
      </c>
      <c r="W47" s="570">
        <f>BS!W48</f>
        <v>391.48</v>
      </c>
      <c r="X47" s="569">
        <f>PL!X$19*WC!X48/365</f>
        <v>337.06923442183046</v>
      </c>
      <c r="Y47" s="569">
        <f>PL!Y$19*WC!Y48/365</f>
        <v>372.74970777340491</v>
      </c>
      <c r="Z47" s="569">
        <f>PL!Z$19*WC!Z48/365</f>
        <v>402.78384677927261</v>
      </c>
      <c r="AA47" s="569">
        <f>PL!AA$19*WC!AA48/365</f>
        <v>441.22933247876495</v>
      </c>
      <c r="AB47" s="569">
        <f>PL!AB$19*WC!AB48/365</f>
        <v>477.55726904012141</v>
      </c>
      <c r="AC47" s="569">
        <f>PL!AC$19*WC!AC48/365</f>
        <v>512.19461805781441</v>
      </c>
      <c r="AD47" s="569">
        <f>PL!AD$19*WC!AD48/365</f>
        <v>545.49292006034261</v>
      </c>
      <c r="AE47" s="569">
        <f>PL!AE$19*WC!AE48/365</f>
        <v>577.74211370944954</v>
      </c>
      <c r="AF47" s="569">
        <f>PL!AF$19*WC!AF48/365</f>
        <v>609.18197332874593</v>
      </c>
      <c r="AG47" s="569">
        <f>PL!AG$19*WC!AG48/365</f>
        <v>640.0116004061482</v>
      </c>
    </row>
    <row r="48" spans="1:33" s="555" customFormat="1" x14ac:dyDescent="0.4">
      <c r="A48" s="560" t="s">
        <v>2607</v>
      </c>
      <c r="B48" s="1682" t="s">
        <v>2027</v>
      </c>
      <c r="C48" s="598"/>
      <c r="D48" s="598"/>
      <c r="E48" s="598"/>
      <c r="F48" s="598"/>
      <c r="G48" s="598"/>
      <c r="H48" s="598"/>
      <c r="I48" s="598"/>
      <c r="J48" s="598"/>
      <c r="K48" s="598"/>
      <c r="L48" s="598"/>
      <c r="M48" s="598"/>
      <c r="N48" s="598"/>
      <c r="O48" s="598"/>
      <c r="P48" s="595">
        <f>365/PL!P$4*WC!P47</f>
        <v>4.8556821247732005</v>
      </c>
      <c r="Q48" s="595">
        <f>365/PL!Q$4*WC!Q47</f>
        <v>4.0732602819816899</v>
      </c>
      <c r="R48" s="595">
        <f>365/PL!R$4*WC!R47</f>
        <v>3.8343461284524776</v>
      </c>
      <c r="S48" s="595">
        <f>365/PL!S$4*WC!S47</f>
        <v>3.1495913302580969</v>
      </c>
      <c r="T48" s="595">
        <f>365/PL!T$4*WC!T47</f>
        <v>2.3762896816203418</v>
      </c>
      <c r="U48" s="595">
        <f>365/PL!U$4*WC!U47</f>
        <v>1.8981801424697815</v>
      </c>
      <c r="V48" s="595">
        <f>365/PL!V$4*WC!V47</f>
        <v>1.6856875002723772</v>
      </c>
      <c r="W48" s="595">
        <f>365/PL!W$4*WC!W47</f>
        <v>1.4225219888798737</v>
      </c>
      <c r="X48" s="563">
        <f t="shared" ref="X48:AC48" si="61">W48</f>
        <v>1.4225219888798737</v>
      </c>
      <c r="Y48" s="563">
        <f t="shared" si="61"/>
        <v>1.4225219888798737</v>
      </c>
      <c r="Z48" s="563">
        <f t="shared" si="61"/>
        <v>1.4225219888798737</v>
      </c>
      <c r="AA48" s="563">
        <f t="shared" si="61"/>
        <v>1.4225219888798737</v>
      </c>
      <c r="AB48" s="563">
        <f t="shared" si="61"/>
        <v>1.4225219888798737</v>
      </c>
      <c r="AC48" s="563">
        <f t="shared" si="61"/>
        <v>1.4225219888798737</v>
      </c>
      <c r="AD48" s="563">
        <f t="shared" ref="AD48" si="62">AC48</f>
        <v>1.4225219888798737</v>
      </c>
      <c r="AE48" s="563">
        <f t="shared" ref="AE48" si="63">AD48</f>
        <v>1.4225219888798737</v>
      </c>
      <c r="AF48" s="563">
        <f t="shared" ref="AF48:AG48" si="64">AE48</f>
        <v>1.4225219888798737</v>
      </c>
      <c r="AG48" s="563">
        <f t="shared" si="64"/>
        <v>1.4225219888798737</v>
      </c>
    </row>
    <row r="49" spans="1:33" x14ac:dyDescent="0.4">
      <c r="A49" s="564"/>
      <c r="B49" s="1683"/>
      <c r="C49" s="565"/>
      <c r="D49" s="565"/>
      <c r="E49" s="565"/>
      <c r="F49" s="565"/>
      <c r="G49" s="565"/>
      <c r="H49" s="565"/>
      <c r="I49" s="565"/>
      <c r="J49" s="565"/>
      <c r="K49" s="565"/>
      <c r="L49" s="565"/>
      <c r="M49" s="565"/>
      <c r="N49" s="565"/>
      <c r="O49" s="565"/>
      <c r="P49" s="565"/>
      <c r="Q49" s="565"/>
      <c r="R49" s="565"/>
      <c r="S49" s="565"/>
      <c r="T49" s="565"/>
      <c r="U49" s="565"/>
      <c r="V49" s="565"/>
      <c r="W49" s="565"/>
      <c r="X49" s="565"/>
      <c r="Y49" s="565"/>
      <c r="Z49" s="565"/>
      <c r="AA49" s="565"/>
      <c r="AB49" s="565"/>
      <c r="AC49" s="565"/>
      <c r="AD49" s="565"/>
      <c r="AE49" s="565"/>
      <c r="AF49" s="565"/>
      <c r="AG49" s="565"/>
    </row>
    <row r="50" spans="1:33" x14ac:dyDescent="0.4">
      <c r="A50" s="568" t="s">
        <v>2037</v>
      </c>
      <c r="B50" s="1684" t="s">
        <v>3033</v>
      </c>
      <c r="C50" s="570"/>
      <c r="D50" s="570">
        <f>BS!D62</f>
        <v>49.442999999999998</v>
      </c>
      <c r="E50" s="570">
        <f>BS!E62</f>
        <v>101.52</v>
      </c>
      <c r="F50" s="570">
        <f>BS!F62</f>
        <v>114.622</v>
      </c>
      <c r="G50" s="570">
        <f>BS!G62</f>
        <v>134.047</v>
      </c>
      <c r="H50" s="570">
        <f>BS!H62</f>
        <v>112.36199999999999</v>
      </c>
      <c r="I50" s="570">
        <f>BS!I62</f>
        <v>313.78699999999998</v>
      </c>
      <c r="J50" s="570">
        <f>BS!J62</f>
        <v>594.57000000000005</v>
      </c>
      <c r="K50" s="570">
        <f>BS!K62</f>
        <v>608.63300000000004</v>
      </c>
      <c r="L50" s="570">
        <f>BS!L62</f>
        <v>930.971</v>
      </c>
      <c r="M50" s="570">
        <f>BS!M62</f>
        <v>2015.547</v>
      </c>
      <c r="N50" s="570">
        <f>BS!N62</f>
        <v>2392.7080000000001</v>
      </c>
      <c r="O50" s="570">
        <f>BS!O62</f>
        <v>3247.384</v>
      </c>
      <c r="P50" s="570">
        <f>BS!P62</f>
        <v>3885.6170000000002</v>
      </c>
      <c r="Q50" s="570">
        <f>BS!Q62</f>
        <v>4781.8919999999998</v>
      </c>
      <c r="R50" s="570">
        <f>BS!R62</f>
        <v>5326.55</v>
      </c>
      <c r="S50" s="570">
        <f>BS!S62</f>
        <v>5573.2089999999998</v>
      </c>
      <c r="T50" s="570">
        <f>BS!T62</f>
        <v>5481.5240000000003</v>
      </c>
      <c r="U50" s="570">
        <f>BS!U62</f>
        <v>6136.8310000000001</v>
      </c>
      <c r="V50" s="570">
        <f>BS!V62</f>
        <v>5988.280999999999</v>
      </c>
      <c r="W50" s="570">
        <f>BS!W62</f>
        <v>6230.03</v>
      </c>
      <c r="X50" s="569">
        <f>PL!X$19*WC!X51/365</f>
        <v>5905.1621556176042</v>
      </c>
      <c r="Y50" s="569">
        <f>PL!Y$19*WC!Y51/365</f>
        <v>6006.1844459918393</v>
      </c>
      <c r="Z50" s="569">
        <f>PL!Z$19*WC!Z51/365</f>
        <v>5923.8346149625304</v>
      </c>
      <c r="AA50" s="569">
        <f>PL!AA$19*WC!AA51/365</f>
        <v>5868.9132139661315</v>
      </c>
      <c r="AB50" s="569">
        <f>PL!AB$19*WC!AB51/365</f>
        <v>5680.6977401676822</v>
      </c>
      <c r="AC50" s="569">
        <f>PL!AC$19*WC!AC51/365</f>
        <v>5372.5982791202287</v>
      </c>
      <c r="AD50" s="569">
        <f>PL!AD$19*WC!AD51/365</f>
        <v>4954.9386826499167</v>
      </c>
      <c r="AE50" s="569">
        <f>PL!AE$19*WC!AE51/365</f>
        <v>4435.5928578461262</v>
      </c>
      <c r="AF50" s="569">
        <f>PL!AF$19*WC!AF51/365</f>
        <v>3820.4895444631602</v>
      </c>
      <c r="AG50" s="569">
        <f>PL!AG$19*WC!AG51/365</f>
        <v>3114.0111400145292</v>
      </c>
    </row>
    <row r="51" spans="1:33" s="555" customFormat="1" x14ac:dyDescent="0.4">
      <c r="A51" s="560" t="s">
        <v>2607</v>
      </c>
      <c r="B51" s="1682" t="s">
        <v>2027</v>
      </c>
      <c r="C51" s="594"/>
      <c r="D51" s="595">
        <f>365/PL!D$19*WC!D50</f>
        <v>1.834801341551495</v>
      </c>
      <c r="E51" s="595">
        <f>365/PL!E$19*WC!E50</f>
        <v>3.9410755243052029</v>
      </c>
      <c r="F51" s="595">
        <f>365/PL!F$19*WC!F50</f>
        <v>4.1373596075637566</v>
      </c>
      <c r="G51" s="595">
        <f>365/PL!G$19*WC!G50</f>
        <v>4.7276742818889694</v>
      </c>
      <c r="H51" s="595">
        <f>365/PL!H$19*WC!H50</f>
        <v>3.8447609111338248</v>
      </c>
      <c r="I51" s="595">
        <f>365/PL!I$19*WC!I50</f>
        <v>7.8548287111140302</v>
      </c>
      <c r="J51" s="595">
        <f>365/PL!J$19*WC!J50</f>
        <v>11.307473988590198</v>
      </c>
      <c r="K51" s="595">
        <f>365/PL!K$19*WC!K50</f>
        <v>9.4373029789068887</v>
      </c>
      <c r="L51" s="595">
        <f>365/PL!L$19*WC!L50</f>
        <v>11.442581096219373</v>
      </c>
      <c r="M51" s="595">
        <f>365/PL!M$19*WC!M50</f>
        <v>22.368573112255586</v>
      </c>
      <c r="N51" s="595">
        <f>365/PL!N$19*WC!N50</f>
        <v>21.711533953202306</v>
      </c>
      <c r="O51" s="595">
        <f>365/PL!O$19*WC!O50</f>
        <v>27.864715302692723</v>
      </c>
      <c r="P51" s="595">
        <f>365/PL!P$19*WC!P50</f>
        <v>30.220620942097813</v>
      </c>
      <c r="Q51" s="595">
        <f>365/PL!Q$19*WC!Q50</f>
        <v>33.287397722564421</v>
      </c>
      <c r="R51" s="595">
        <f>365/PL!R$19*WC!R50</f>
        <v>36.562911092576527</v>
      </c>
      <c r="S51" s="595">
        <f>365/PL!S$19*WC!S50</f>
        <v>31.139120148583267</v>
      </c>
      <c r="T51" s="595">
        <f>365/PL!T$19*WC!T50</f>
        <v>22.747050902254987</v>
      </c>
      <c r="U51" s="595">
        <f>365/PL!U$19*WC!U50</f>
        <v>22.998520931796744</v>
      </c>
      <c r="V51" s="595">
        <f>365/PL!V$19*WC!V50</f>
        <v>24.560584916814729</v>
      </c>
      <c r="W51" s="595">
        <f>365/PL!W$19*WC!W50</f>
        <v>26.921357858945765</v>
      </c>
      <c r="X51" s="563">
        <f t="shared" ref="X51:AC51" si="65">W51-2</f>
        <v>24.921357858945765</v>
      </c>
      <c r="Y51" s="563">
        <f t="shared" si="65"/>
        <v>22.921357858945765</v>
      </c>
      <c r="Z51" s="563">
        <f t="shared" si="65"/>
        <v>20.921357858945765</v>
      </c>
      <c r="AA51" s="563">
        <f t="shared" si="65"/>
        <v>18.921357858945765</v>
      </c>
      <c r="AB51" s="563">
        <f t="shared" si="65"/>
        <v>16.921357858945765</v>
      </c>
      <c r="AC51" s="563">
        <f t="shared" si="65"/>
        <v>14.921357858945765</v>
      </c>
      <c r="AD51" s="563">
        <f t="shared" ref="AD51" si="66">AC51-2</f>
        <v>12.921357858945765</v>
      </c>
      <c r="AE51" s="563">
        <f t="shared" ref="AE51" si="67">AD51-2</f>
        <v>10.921357858945765</v>
      </c>
      <c r="AF51" s="563">
        <f t="shared" ref="AF51:AG51" si="68">AE51-2</f>
        <v>8.9213578589457647</v>
      </c>
      <c r="AG51" s="563">
        <f t="shared" si="68"/>
        <v>6.9213578589457647</v>
      </c>
    </row>
    <row r="52" spans="1:33" x14ac:dyDescent="0.4">
      <c r="A52" s="568"/>
      <c r="B52" s="1690"/>
      <c r="C52" s="599"/>
      <c r="D52" s="599"/>
      <c r="E52" s="599"/>
      <c r="F52" s="599"/>
      <c r="G52" s="599"/>
      <c r="H52" s="599"/>
      <c r="I52" s="599"/>
      <c r="J52" s="599"/>
      <c r="K52" s="599"/>
      <c r="L52" s="599"/>
      <c r="M52" s="600"/>
      <c r="N52" s="600"/>
      <c r="O52" s="600"/>
      <c r="P52" s="600"/>
      <c r="Q52" s="600"/>
      <c r="R52" s="600"/>
      <c r="S52" s="600"/>
      <c r="T52" s="600"/>
      <c r="U52" s="600"/>
      <c r="V52" s="600"/>
      <c r="W52" s="600"/>
      <c r="X52" s="600"/>
      <c r="Y52" s="600"/>
      <c r="Z52" s="600"/>
      <c r="AA52" s="600"/>
      <c r="AB52" s="600"/>
      <c r="AC52" s="600"/>
      <c r="AD52" s="600"/>
      <c r="AE52" s="600"/>
      <c r="AF52" s="600"/>
      <c r="AG52" s="600"/>
    </row>
    <row r="53" spans="1:33" x14ac:dyDescent="0.4">
      <c r="A53" s="564" t="s">
        <v>2038</v>
      </c>
      <c r="B53" s="1684" t="s">
        <v>49</v>
      </c>
      <c r="C53" s="570"/>
      <c r="D53" s="570">
        <f>BS!D63</f>
        <v>378.23299999999995</v>
      </c>
      <c r="E53" s="570">
        <f>BS!E63</f>
        <v>602.13499999999999</v>
      </c>
      <c r="F53" s="570">
        <f>BS!F63</f>
        <v>623.92399999999998</v>
      </c>
      <c r="G53" s="570">
        <f>BS!G63</f>
        <v>681.875</v>
      </c>
      <c r="H53" s="570">
        <f>BS!H63</f>
        <v>688.84500000000003</v>
      </c>
      <c r="I53" s="570">
        <f>BS!I63</f>
        <v>699.87400000000002</v>
      </c>
      <c r="J53" s="570">
        <f>BS!J63</f>
        <v>1140.077</v>
      </c>
      <c r="K53" s="570">
        <f>BS!K63</f>
        <v>1767.1320000000001</v>
      </c>
      <c r="L53" s="570">
        <f>BS!L63</f>
        <v>829.7360000000001</v>
      </c>
      <c r="M53" s="570">
        <f>BS!M63</f>
        <v>723.54600000000005</v>
      </c>
      <c r="N53" s="570">
        <f>BS!N63</f>
        <v>827.94100000000003</v>
      </c>
      <c r="O53" s="570">
        <f>BS!O63</f>
        <v>34.343000000000004</v>
      </c>
      <c r="P53" s="570">
        <f>BS!P63</f>
        <v>39.594999999999999</v>
      </c>
      <c r="Q53" s="570">
        <f>BS!Q63</f>
        <v>59.206000000000003</v>
      </c>
      <c r="R53" s="570">
        <f>BS!R63</f>
        <v>88.825000000000003</v>
      </c>
      <c r="S53" s="570">
        <f>BS!S63</f>
        <v>115.36199999999999</v>
      </c>
      <c r="T53" s="570">
        <f>BS!T63</f>
        <v>139.83500000000001</v>
      </c>
      <c r="U53" s="570">
        <f>BS!U63</f>
        <v>163.56399999999999</v>
      </c>
      <c r="V53" s="570">
        <f>BS!V63</f>
        <v>161.27799999999996</v>
      </c>
      <c r="W53" s="570">
        <f>BS!W63</f>
        <v>302.73</v>
      </c>
      <c r="X53" s="569">
        <f>PL!X$19*WC!X54/365</f>
        <v>309.97196063513991</v>
      </c>
      <c r="Y53" s="569">
        <f>PL!Y$19*WC!Y54/365</f>
        <v>342.78405130294692</v>
      </c>
      <c r="Z53" s="569">
        <f>PL!Z$19*WC!Z54/365</f>
        <v>370.40372110047673</v>
      </c>
      <c r="AA53" s="569">
        <f>PL!AA$19*WC!AA54/365</f>
        <v>405.75854249283242</v>
      </c>
      <c r="AB53" s="569">
        <f>PL!AB$19*WC!AB54/365</f>
        <v>439.16604626892712</v>
      </c>
      <c r="AC53" s="569">
        <f>PL!AC$19*WC!AC54/365</f>
        <v>471.01887022847438</v>
      </c>
      <c r="AD53" s="569">
        <f>PL!AD$19*WC!AD54/365</f>
        <v>501.64029426691866</v>
      </c>
      <c r="AE53" s="569">
        <f>PL!AE$19*WC!AE54/365</f>
        <v>531.29694863783027</v>
      </c>
      <c r="AF53" s="569">
        <f>PL!AF$19*WC!AF54/365</f>
        <v>560.20933200916681</v>
      </c>
      <c r="AG53" s="569">
        <f>PL!AG$19*WC!AG54/365</f>
        <v>588.56053993600244</v>
      </c>
    </row>
    <row r="54" spans="1:33" s="555" customFormat="1" x14ac:dyDescent="0.4">
      <c r="A54" s="560" t="s">
        <v>2607</v>
      </c>
      <c r="B54" s="1682" t="s">
        <v>2027</v>
      </c>
      <c r="C54" s="594"/>
      <c r="D54" s="595">
        <f>365/PL!D$19*WC!D53</f>
        <v>14.036009461785218</v>
      </c>
      <c r="E54" s="595">
        <f>365/PL!E$19*WC!E53</f>
        <v>23.375290689790319</v>
      </c>
      <c r="F54" s="595">
        <f>365/PL!F$19*WC!F53</f>
        <v>22.52096417607099</v>
      </c>
      <c r="G54" s="595">
        <f>365/PL!G$19*WC!G53</f>
        <v>24.048900019866473</v>
      </c>
      <c r="H54" s="595">
        <f>365/PL!H$19*WC!H53</f>
        <v>23.570640695519657</v>
      </c>
      <c r="I54" s="595">
        <f>365/PL!I$19*WC!I53</f>
        <v>17.519496949721376</v>
      </c>
      <c r="J54" s="595">
        <f>365/PL!J$19*WC!J53</f>
        <v>21.681872651647318</v>
      </c>
      <c r="K54" s="595">
        <f>365/PL!K$19*WC!K53</f>
        <v>27.400683314446781</v>
      </c>
      <c r="L54" s="595">
        <f>365/PL!L$19*WC!L53</f>
        <v>10.198299913158067</v>
      </c>
      <c r="M54" s="595">
        <f>365/PL!M$19*WC!M53</f>
        <v>8.0299251771752687</v>
      </c>
      <c r="N54" s="595">
        <f>365/PL!N$19*WC!N53</f>
        <v>7.5127717768939082</v>
      </c>
      <c r="O54" s="595">
        <f>365/PL!O$19*WC!O53</f>
        <v>0.29468578943555068</v>
      </c>
      <c r="P54" s="595">
        <f>365/PL!P$19*WC!P53</f>
        <v>0.30795250437764782</v>
      </c>
      <c r="Q54" s="595">
        <f>365/PL!Q$19*WC!Q53</f>
        <v>0.41214098301721358</v>
      </c>
      <c r="R54" s="595">
        <f>365/PL!R$19*WC!R53</f>
        <v>0.60971934512923187</v>
      </c>
      <c r="S54" s="595">
        <f>365/PL!S$19*WC!S53</f>
        <v>0.64456064335302388</v>
      </c>
      <c r="T54" s="595">
        <f>365/PL!T$19*WC!T53</f>
        <v>0.58028275766316562</v>
      </c>
      <c r="U54" s="595">
        <f>365/PL!U$19*WC!U53</f>
        <v>0.61297599325912711</v>
      </c>
      <c r="V54" s="595">
        <f>365/PL!V$19*WC!V53</f>
        <v>0.66147230135226542</v>
      </c>
      <c r="W54" s="595">
        <f>365/PL!W$19*WC!W53</f>
        <v>1.3081642728267202</v>
      </c>
      <c r="X54" s="563">
        <f t="shared" ref="X54:AC54" si="69">W54</f>
        <v>1.3081642728267202</v>
      </c>
      <c r="Y54" s="563">
        <f t="shared" si="69"/>
        <v>1.3081642728267202</v>
      </c>
      <c r="Z54" s="563">
        <f t="shared" si="69"/>
        <v>1.3081642728267202</v>
      </c>
      <c r="AA54" s="563">
        <f t="shared" si="69"/>
        <v>1.3081642728267202</v>
      </c>
      <c r="AB54" s="563">
        <f t="shared" si="69"/>
        <v>1.3081642728267202</v>
      </c>
      <c r="AC54" s="563">
        <f t="shared" si="69"/>
        <v>1.3081642728267202</v>
      </c>
      <c r="AD54" s="563">
        <f t="shared" ref="AD54" si="70">AC54</f>
        <v>1.3081642728267202</v>
      </c>
      <c r="AE54" s="563">
        <f t="shared" ref="AE54" si="71">AD54</f>
        <v>1.3081642728267202</v>
      </c>
      <c r="AF54" s="563">
        <f t="shared" ref="AF54:AG54" si="72">AE54</f>
        <v>1.3081642728267202</v>
      </c>
      <c r="AG54" s="563">
        <f t="shared" si="72"/>
        <v>1.3081642728267202</v>
      </c>
    </row>
    <row r="55" spans="1:33" x14ac:dyDescent="0.4">
      <c r="A55" s="564" t="s">
        <v>2039</v>
      </c>
      <c r="B55" s="1691"/>
      <c r="C55" s="565"/>
      <c r="D55" s="565"/>
      <c r="E55" s="565"/>
      <c r="F55" s="565"/>
      <c r="G55" s="565"/>
      <c r="H55" s="565"/>
      <c r="I55" s="565"/>
      <c r="J55" s="565"/>
      <c r="K55" s="565"/>
      <c r="L55" s="565"/>
      <c r="M55" s="565"/>
      <c r="N55" s="565"/>
      <c r="O55" s="565"/>
      <c r="P55" s="565"/>
      <c r="Q55" s="565"/>
      <c r="R55" s="565"/>
      <c r="S55" s="565"/>
      <c r="T55" s="565"/>
      <c r="U55" s="565"/>
      <c r="V55" s="565"/>
      <c r="W55" s="565"/>
      <c r="X55" s="565"/>
      <c r="Y55" s="565"/>
      <c r="Z55" s="565"/>
      <c r="AA55" s="565"/>
      <c r="AB55" s="565"/>
      <c r="AC55" s="565"/>
      <c r="AD55" s="565"/>
      <c r="AE55" s="565"/>
      <c r="AF55" s="565"/>
      <c r="AG55" s="565"/>
    </row>
    <row r="56" spans="1:33" x14ac:dyDescent="0.4">
      <c r="A56" s="601" t="s">
        <v>577</v>
      </c>
      <c r="B56" s="1684" t="s">
        <v>3034</v>
      </c>
      <c r="C56" s="570"/>
      <c r="D56" s="570">
        <f>BS!D59</f>
        <v>235.76900000000003</v>
      </c>
      <c r="E56" s="570">
        <f>BS!E59</f>
        <v>325.34499999999997</v>
      </c>
      <c r="F56" s="570">
        <f>BS!F59</f>
        <v>456.69100000000003</v>
      </c>
      <c r="G56" s="570">
        <f>BS!G59</f>
        <v>379.88799999999998</v>
      </c>
      <c r="H56" s="570">
        <f>BS!H59</f>
        <v>2621.1799999999998</v>
      </c>
      <c r="I56" s="570">
        <f>BS!I59</f>
        <v>2807.3970000000004</v>
      </c>
      <c r="J56" s="570">
        <f>BS!J59</f>
        <v>2974.0480000000002</v>
      </c>
      <c r="K56" s="570">
        <f>BS!K59</f>
        <v>477.505</v>
      </c>
      <c r="L56" s="570">
        <f>BS!L59</f>
        <v>380.59100000000001</v>
      </c>
      <c r="M56" s="570">
        <f>BS!M59</f>
        <v>1563.386</v>
      </c>
      <c r="N56" s="570">
        <f>BS!N59</f>
        <v>735.03</v>
      </c>
      <c r="O56" s="570">
        <f>BS!O59</f>
        <v>2308.4560000000001</v>
      </c>
      <c r="P56" s="570">
        <f>BS!P59</f>
        <v>1166.7439999999999</v>
      </c>
      <c r="Q56" s="570">
        <f>BS!Q59</f>
        <v>3693.8889999999997</v>
      </c>
      <c r="R56" s="570">
        <f>BS!R59</f>
        <v>4981.0859999999993</v>
      </c>
      <c r="S56" s="570">
        <f>BS!S59</f>
        <v>2618.5940000000001</v>
      </c>
      <c r="T56" s="570">
        <f>BS!T59</f>
        <v>2263.6330000000003</v>
      </c>
      <c r="U56" s="570">
        <f>BS!U59</f>
        <v>4975.4979999999987</v>
      </c>
      <c r="V56" s="570">
        <f>BS!V59</f>
        <v>1611.3500000000001</v>
      </c>
      <c r="W56" s="570">
        <f>BS!W59</f>
        <v>1706.99</v>
      </c>
      <c r="X56" s="569">
        <f>PL!X$19*WC!X57/365</f>
        <v>1747.8249168717252</v>
      </c>
      <c r="Y56" s="569">
        <f>PL!Y$19*WC!Y57/365</f>
        <v>1932.8409729251061</v>
      </c>
      <c r="Z56" s="569">
        <f>PL!Z$19*WC!Z57/365</f>
        <v>2088.5787595590218</v>
      </c>
      <c r="AA56" s="569">
        <f>PL!AA$19*WC!AA57/365</f>
        <v>2287.9323966895913</v>
      </c>
      <c r="AB56" s="569">
        <f>PL!AB$19*WC!AB57/365</f>
        <v>2476.3057817877179</v>
      </c>
      <c r="AC56" s="569">
        <f>PL!AC$19*WC!AC57/365</f>
        <v>2655.9128639094356</v>
      </c>
      <c r="AD56" s="569">
        <f>PL!AD$19*WC!AD57/365</f>
        <v>2828.5765068235305</v>
      </c>
      <c r="AE56" s="569">
        <f>PL!AE$19*WC!AE57/365</f>
        <v>2995.8001465176553</v>
      </c>
      <c r="AF56" s="569">
        <f>PL!AF$19*WC!AF57/365</f>
        <v>3158.8270988878789</v>
      </c>
      <c r="AG56" s="569">
        <f>PL!AG$19*WC!AG57/365</f>
        <v>3318.6897765842718</v>
      </c>
    </row>
    <row r="57" spans="1:33" s="555" customFormat="1" x14ac:dyDescent="0.4">
      <c r="A57" s="560" t="s">
        <v>2607</v>
      </c>
      <c r="B57" s="1686" t="s">
        <v>2027</v>
      </c>
      <c r="C57" s="602"/>
      <c r="D57" s="603">
        <f>365/PL!D$19*WC!D56</f>
        <v>8.7492522196520142</v>
      </c>
      <c r="E57" s="603">
        <f>365/PL!E$19*WC!E56</f>
        <v>12.630114425286408</v>
      </c>
      <c r="F57" s="603">
        <f>365/PL!F$19*WC!F56</f>
        <v>16.484574484286608</v>
      </c>
      <c r="G57" s="603">
        <f>365/PL!G$19*WC!G56</f>
        <v>13.398186662873742</v>
      </c>
      <c r="H57" s="603">
        <f>365/PL!H$19*WC!H56</f>
        <v>89.690557350757004</v>
      </c>
      <c r="I57" s="603">
        <f>365/PL!I$19*WC!I56</f>
        <v>70.275768464262057</v>
      </c>
      <c r="J57" s="603">
        <f>365/PL!J$19*WC!J56</f>
        <v>56.560153389539835</v>
      </c>
      <c r="K57" s="603">
        <f>365/PL!K$19*WC!K56</f>
        <v>7.4040667511339899</v>
      </c>
      <c r="L57" s="603">
        <f>365/PL!L$19*WC!L56</f>
        <v>4.6778507407762726</v>
      </c>
      <c r="M57" s="603">
        <f>365/PL!M$19*WC!M56</f>
        <v>17.350483041912099</v>
      </c>
      <c r="N57" s="603">
        <f>365/PL!N$19*WC!N56</f>
        <v>6.6696934191812325</v>
      </c>
      <c r="O57" s="603">
        <f>365/PL!O$19*WC!O56</f>
        <v>19.808088365525247</v>
      </c>
      <c r="P57" s="603">
        <f>365/PL!P$19*WC!P56</f>
        <v>9.0744219413459852</v>
      </c>
      <c r="Q57" s="603">
        <f>365/PL!Q$19*WC!Q56</f>
        <v>25.713661514313952</v>
      </c>
      <c r="R57" s="603">
        <f>365/PL!R$19*WC!R56</f>
        <v>34.191550734054424</v>
      </c>
      <c r="S57" s="603">
        <f>365/PL!S$19*WC!S56</f>
        <v>14.630837132854564</v>
      </c>
      <c r="T57" s="603">
        <f>365/PL!T$19*WC!T56</f>
        <v>9.3935509677644689</v>
      </c>
      <c r="U57" s="603">
        <f>365/PL!U$19*WC!U56</f>
        <v>18.646284197676749</v>
      </c>
      <c r="V57" s="603">
        <f>365/PL!V$19*WC!V56</f>
        <v>6.6088579520081678</v>
      </c>
      <c r="W57" s="603">
        <f>365/PL!W$19*WC!W56</f>
        <v>7.3762868961532817</v>
      </c>
      <c r="X57" s="576">
        <f t="shared" ref="X57:AG57" si="73">W57</f>
        <v>7.3762868961532817</v>
      </c>
      <c r="Y57" s="576">
        <f t="shared" si="73"/>
        <v>7.3762868961532817</v>
      </c>
      <c r="Z57" s="576">
        <f t="shared" si="73"/>
        <v>7.3762868961532817</v>
      </c>
      <c r="AA57" s="576">
        <f t="shared" si="73"/>
        <v>7.3762868961532817</v>
      </c>
      <c r="AB57" s="576">
        <f t="shared" si="73"/>
        <v>7.3762868961532817</v>
      </c>
      <c r="AC57" s="576">
        <f t="shared" si="73"/>
        <v>7.3762868961532817</v>
      </c>
      <c r="AD57" s="576">
        <f t="shared" si="73"/>
        <v>7.3762868961532817</v>
      </c>
      <c r="AE57" s="576">
        <f t="shared" si="73"/>
        <v>7.3762868961532817</v>
      </c>
      <c r="AF57" s="576">
        <f t="shared" si="73"/>
        <v>7.3762868961532817</v>
      </c>
      <c r="AG57" s="576">
        <f t="shared" si="73"/>
        <v>7.3762868961532817</v>
      </c>
    </row>
    <row r="58" spans="1:33" x14ac:dyDescent="0.4">
      <c r="A58" s="604"/>
      <c r="B58" s="1692"/>
      <c r="C58" s="605"/>
      <c r="D58" s="605"/>
      <c r="E58" s="605"/>
      <c r="F58" s="605"/>
      <c r="G58" s="605"/>
      <c r="H58" s="605"/>
      <c r="I58" s="605"/>
      <c r="J58" s="605"/>
      <c r="K58" s="605"/>
      <c r="L58" s="605"/>
      <c r="M58" s="605"/>
      <c r="N58" s="605"/>
      <c r="O58" s="605"/>
      <c r="P58" s="605"/>
      <c r="Q58" s="605"/>
      <c r="R58" s="605"/>
      <c r="S58" s="605"/>
      <c r="T58" s="605"/>
      <c r="U58" s="605"/>
      <c r="V58" s="605"/>
      <c r="W58" s="605"/>
      <c r="X58" s="605"/>
      <c r="Y58" s="605"/>
      <c r="Z58" s="605"/>
      <c r="AA58" s="605"/>
      <c r="AB58" s="605"/>
      <c r="AC58" s="605"/>
      <c r="AD58" s="605"/>
      <c r="AE58" s="605"/>
      <c r="AF58" s="605"/>
      <c r="AG58" s="605"/>
    </row>
    <row r="59" spans="1:33" x14ac:dyDescent="0.4">
      <c r="A59" s="542" t="s">
        <v>2035</v>
      </c>
      <c r="B59" s="1692" t="s">
        <v>1663</v>
      </c>
      <c r="C59" s="605"/>
      <c r="D59" s="605"/>
      <c r="E59" s="605"/>
      <c r="F59" s="606"/>
      <c r="G59" s="606"/>
      <c r="H59" s="606"/>
      <c r="I59" s="606"/>
      <c r="J59" s="607"/>
      <c r="K59" s="607"/>
      <c r="L59" s="607"/>
      <c r="M59" s="607"/>
      <c r="N59" s="607"/>
      <c r="O59" s="607"/>
      <c r="P59" s="607"/>
      <c r="Q59" s="607"/>
      <c r="R59" s="607"/>
      <c r="S59" s="607"/>
      <c r="T59" s="607"/>
      <c r="U59" s="607"/>
      <c r="V59" s="607"/>
      <c r="W59" s="607"/>
      <c r="X59" s="607"/>
      <c r="Y59" s="607"/>
      <c r="Z59" s="607"/>
      <c r="AA59" s="607"/>
      <c r="AB59" s="607"/>
      <c r="AC59" s="607"/>
      <c r="AD59" s="607"/>
      <c r="AE59" s="607"/>
      <c r="AF59" s="607"/>
      <c r="AG59" s="607"/>
    </row>
    <row r="60" spans="1:33" x14ac:dyDescent="0.4">
      <c r="A60" s="608" t="s">
        <v>2026</v>
      </c>
      <c r="B60" s="1679" t="s">
        <v>2040</v>
      </c>
      <c r="C60" s="609"/>
      <c r="D60" s="586"/>
      <c r="E60" s="586"/>
      <c r="F60" s="586"/>
      <c r="G60" s="586"/>
      <c r="H60" s="586"/>
      <c r="I60" s="586">
        <f>BS!I14</f>
        <v>919.47299999999996</v>
      </c>
      <c r="J60" s="586">
        <f>BS!J14</f>
        <v>3186.846</v>
      </c>
      <c r="K60" s="586">
        <f>BS!K14</f>
        <v>8141.1670000000004</v>
      </c>
      <c r="L60" s="586">
        <f>BS!L14</f>
        <v>12901.281999999999</v>
      </c>
      <c r="M60" s="586">
        <f>BS!M14</f>
        <v>17949.960999999999</v>
      </c>
      <c r="N60" s="586">
        <f>BS!N14</f>
        <v>21820.298999999999</v>
      </c>
      <c r="O60" s="586">
        <f>BS!O14</f>
        <v>29094.86</v>
      </c>
      <c r="P60" s="586">
        <f>BS!P14</f>
        <v>38047.726999999999</v>
      </c>
      <c r="Q60" s="586">
        <f>BS!Q14</f>
        <v>44317.072</v>
      </c>
      <c r="R60" s="586">
        <f>BS!R14</f>
        <v>53729.652999999998</v>
      </c>
      <c r="S60" s="586">
        <f>BS!S14</f>
        <v>54434.752999999997</v>
      </c>
      <c r="T60" s="586">
        <f>BS!T14</f>
        <v>53285.839</v>
      </c>
      <c r="U60" s="586">
        <f>BS!U14</f>
        <v>55600.845999999998</v>
      </c>
      <c r="V60" s="586">
        <f>BS!V14</f>
        <v>50405.362999999998</v>
      </c>
      <c r="W60" s="586">
        <f>BS!W14</f>
        <v>53621.83</v>
      </c>
      <c r="X60" s="586">
        <f>PL!X4*X61/365</f>
        <v>56417.978323428979</v>
      </c>
      <c r="Y60" s="586">
        <f>PL!Y4*Y61/365</f>
        <v>60959.957628163276</v>
      </c>
      <c r="Z60" s="586">
        <f>PL!Z4*Z61/365</f>
        <v>65263.187604309554</v>
      </c>
      <c r="AA60" s="586">
        <f>PL!AA4*AA61/365</f>
        <v>71241.546907289056</v>
      </c>
      <c r="AB60" s="586">
        <f>PL!AB4*AB61/365</f>
        <v>76791.949974914547</v>
      </c>
      <c r="AC60" s="586">
        <f>PL!AC4*AC61/365</f>
        <v>82418.219323027384</v>
      </c>
      <c r="AD60" s="586">
        <f>PL!AD4*AD61/365</f>
        <v>87349.919047282514</v>
      </c>
      <c r="AE60" s="586">
        <f>PL!AE4*AE61/365</f>
        <v>92037.218175761969</v>
      </c>
      <c r="AF60" s="586">
        <f>PL!AF4*AF61/365</f>
        <v>96520.981466630183</v>
      </c>
      <c r="AG60" s="586">
        <f>PL!AG4*AG61/365</f>
        <v>100834.7574349764</v>
      </c>
    </row>
    <row r="61" spans="1:33" s="588" customFormat="1" x14ac:dyDescent="0.4">
      <c r="A61" s="610" t="s">
        <v>2607</v>
      </c>
      <c r="B61" s="1693" t="s">
        <v>2027</v>
      </c>
      <c r="I61" s="588">
        <f>365/PL!I$4*WC!I60</f>
        <v>20.489729085673993</v>
      </c>
      <c r="J61" s="588">
        <f>365/PL!J$4*WC!J60</f>
        <v>53.088258865775842</v>
      </c>
      <c r="K61" s="588">
        <f>365/PL!K$4*WC!K60</f>
        <v>108.90446891073027</v>
      </c>
      <c r="L61" s="588">
        <f>365/PL!L$4*WC!L60</f>
        <v>136.73130199777438</v>
      </c>
      <c r="M61" s="588">
        <f>365/PL!M$4*WC!M60</f>
        <v>172.40558768730261</v>
      </c>
      <c r="N61" s="588">
        <f>365/PL!N$4*WC!N60</f>
        <v>172.36179745940854</v>
      </c>
      <c r="O61" s="588">
        <f>365/PL!O$4*WC!O60</f>
        <v>211.7465493860289</v>
      </c>
      <c r="P61" s="588">
        <f>365/PL!P$4*WC!P60</f>
        <v>249.65563692673163</v>
      </c>
      <c r="Q61" s="588">
        <f>365/PL!Q$4*WC!Q60</f>
        <v>262.29634732323393</v>
      </c>
      <c r="R61" s="588">
        <f>365/PL!R$4*WC!R60</f>
        <v>313.99213101717663</v>
      </c>
      <c r="S61" s="588">
        <f>365/PL!S$4*WC!S60</f>
        <v>257.00147519815579</v>
      </c>
      <c r="T61" s="588">
        <f>365/PL!T$4*WC!T60</f>
        <v>190.72596903768772</v>
      </c>
      <c r="U61" s="588">
        <f>365/PL!U$4*WC!U60</f>
        <v>178.43658422568805</v>
      </c>
      <c r="V61" s="588">
        <f>365/PL!V$4*WC!V60</f>
        <v>174.68183554706849</v>
      </c>
      <c r="W61" s="588">
        <f>365/PL!W$4*WC!W60</f>
        <v>194.84579610447145</v>
      </c>
      <c r="X61" s="589">
        <f>W61+4</f>
        <v>198.84579610447145</v>
      </c>
      <c r="Y61" s="589">
        <f>X61-4</f>
        <v>194.84579610447145</v>
      </c>
      <c r="Z61" s="589">
        <f t="shared" ref="Z61:AG61" si="74">Y61-1</f>
        <v>193.84579610447145</v>
      </c>
      <c r="AA61" s="589">
        <f t="shared" si="74"/>
        <v>192.84579610447145</v>
      </c>
      <c r="AB61" s="589">
        <f t="shared" si="74"/>
        <v>191.84579610447145</v>
      </c>
      <c r="AC61" s="589">
        <f>AB61</f>
        <v>191.84579610447145</v>
      </c>
      <c r="AD61" s="589">
        <f t="shared" si="74"/>
        <v>190.84579610447145</v>
      </c>
      <c r="AE61" s="589">
        <f t="shared" si="74"/>
        <v>189.84579610447145</v>
      </c>
      <c r="AF61" s="589">
        <f t="shared" si="74"/>
        <v>188.84579610447145</v>
      </c>
      <c r="AG61" s="589">
        <f t="shared" si="74"/>
        <v>187.84579610447145</v>
      </c>
    </row>
    <row r="62" spans="1:33" s="588" customFormat="1" x14ac:dyDescent="0.4">
      <c r="A62" s="610"/>
      <c r="B62" s="1694" t="s">
        <v>3035</v>
      </c>
      <c r="J62" s="522">
        <f>1151212/1000</f>
        <v>1151.212</v>
      </c>
      <c r="K62" s="522">
        <f>1510230/1000</f>
        <v>1510.23</v>
      </c>
      <c r="L62" s="522">
        <f>7306737/1000</f>
        <v>7306.7370000000001</v>
      </c>
      <c r="M62" s="522">
        <f>8588196/1000</f>
        <v>8588.1959999999999</v>
      </c>
      <c r="N62" s="522">
        <f>11120287/1000</f>
        <v>11120.287</v>
      </c>
      <c r="O62" s="522">
        <f>13870779/1000</f>
        <v>13870.779</v>
      </c>
      <c r="P62" s="522">
        <f>18124190/1000</f>
        <v>18124.189999999999</v>
      </c>
      <c r="Q62" s="522">
        <f>25209728/1000</f>
        <v>25209.727999999999</v>
      </c>
      <c r="R62" s="522">
        <v>15654.501</v>
      </c>
      <c r="S62" s="522">
        <v>21030.034</v>
      </c>
      <c r="T62" s="589"/>
      <c r="U62" s="589"/>
      <c r="V62" s="589"/>
      <c r="W62" s="589"/>
      <c r="X62" s="589"/>
      <c r="Y62" s="589"/>
      <c r="Z62" s="589"/>
      <c r="AA62" s="589"/>
      <c r="AB62" s="589"/>
      <c r="AC62" s="589"/>
      <c r="AD62" s="589"/>
      <c r="AE62" s="589"/>
      <c r="AF62" s="589"/>
      <c r="AG62" s="589"/>
    </row>
    <row r="63" spans="1:33" s="588" customFormat="1" x14ac:dyDescent="0.4">
      <c r="A63" s="610" t="s">
        <v>2612</v>
      </c>
      <c r="B63" s="1695" t="s">
        <v>2592</v>
      </c>
      <c r="J63" s="611">
        <f t="shared" ref="J63:S63" si="75">J62/J$60</f>
        <v>0.36123866669428017</v>
      </c>
      <c r="K63" s="611">
        <f t="shared" si="75"/>
        <v>0.18550534585520723</v>
      </c>
      <c r="L63" s="611">
        <f t="shared" si="75"/>
        <v>0.56635743641600889</v>
      </c>
      <c r="M63" s="611">
        <f t="shared" si="75"/>
        <v>0.47845207017441432</v>
      </c>
      <c r="N63" s="611">
        <f t="shared" si="75"/>
        <v>0.50963036757653968</v>
      </c>
      <c r="O63" s="611">
        <f t="shared" si="75"/>
        <v>0.47674328042822683</v>
      </c>
      <c r="P63" s="611">
        <f t="shared" si="75"/>
        <v>0.476354080231915</v>
      </c>
      <c r="Q63" s="611">
        <f t="shared" si="75"/>
        <v>0.56884913335429743</v>
      </c>
      <c r="R63" s="611">
        <f t="shared" si="75"/>
        <v>0.29135682301912502</v>
      </c>
      <c r="S63" s="611">
        <f t="shared" si="75"/>
        <v>0.38633470055425806</v>
      </c>
      <c r="T63" s="612"/>
      <c r="U63" s="612"/>
      <c r="V63" s="612"/>
      <c r="W63" s="612"/>
      <c r="X63" s="612"/>
      <c r="Y63" s="612"/>
      <c r="Z63" s="612"/>
      <c r="AA63" s="612"/>
      <c r="AB63" s="612"/>
      <c r="AC63" s="612"/>
      <c r="AD63" s="612"/>
      <c r="AE63" s="612"/>
      <c r="AF63" s="612"/>
      <c r="AG63" s="612"/>
    </row>
    <row r="64" spans="1:33" s="588" customFormat="1" x14ac:dyDescent="0.4">
      <c r="A64" s="610"/>
      <c r="B64" s="1694" t="s">
        <v>3036</v>
      </c>
      <c r="J64" s="522">
        <f>1427396/1000</f>
        <v>1427.396</v>
      </c>
      <c r="K64" s="522">
        <f>2901052/1000</f>
        <v>2901.0520000000001</v>
      </c>
      <c r="L64" s="522">
        <f>4989441/1000</f>
        <v>4989.4409999999998</v>
      </c>
      <c r="M64" s="522">
        <f>8146093/1000</f>
        <v>8146.0929999999998</v>
      </c>
      <c r="N64" s="522">
        <f>7062506/1000</f>
        <v>7062.5060000000003</v>
      </c>
      <c r="O64" s="522">
        <f>10666953/1000</f>
        <v>10666.953</v>
      </c>
      <c r="P64" s="522">
        <f>12753950/1000</f>
        <v>12753.95</v>
      </c>
      <c r="Q64" s="522">
        <f>8450453/1000</f>
        <v>8450.4529999999995</v>
      </c>
      <c r="R64" s="522">
        <v>18185.337</v>
      </c>
      <c r="S64" s="522">
        <v>11081.544</v>
      </c>
      <c r="T64" s="589"/>
      <c r="U64" s="589"/>
      <c r="V64" s="589"/>
      <c r="W64" s="589"/>
      <c r="X64" s="589"/>
      <c r="Y64" s="589"/>
      <c r="Z64" s="589"/>
      <c r="AA64" s="589"/>
      <c r="AB64" s="589"/>
      <c r="AC64" s="589"/>
      <c r="AD64" s="589"/>
      <c r="AE64" s="589"/>
      <c r="AF64" s="589"/>
      <c r="AG64" s="589"/>
    </row>
    <row r="65" spans="1:33" s="588" customFormat="1" x14ac:dyDescent="0.4">
      <c r="A65" s="610"/>
      <c r="B65" s="1695" t="s">
        <v>2592</v>
      </c>
      <c r="J65" s="611">
        <f t="shared" ref="J65:S65" si="76">J64/J$60</f>
        <v>0.44790240883933519</v>
      </c>
      <c r="K65" s="611">
        <f t="shared" si="76"/>
        <v>0.35634350701809703</v>
      </c>
      <c r="L65" s="611">
        <f t="shared" si="76"/>
        <v>0.3867399379379507</v>
      </c>
      <c r="M65" s="611">
        <f t="shared" si="76"/>
        <v>0.45382232306799997</v>
      </c>
      <c r="N65" s="611">
        <f t="shared" si="76"/>
        <v>0.32366678385112874</v>
      </c>
      <c r="O65" s="611">
        <f t="shared" si="76"/>
        <v>0.36662671688401316</v>
      </c>
      <c r="P65" s="611">
        <f t="shared" si="76"/>
        <v>0.33520924916224304</v>
      </c>
      <c r="Q65" s="611">
        <f t="shared" si="76"/>
        <v>0.19068166326511823</v>
      </c>
      <c r="R65" s="611">
        <f t="shared" si="76"/>
        <v>0.33845997479269035</v>
      </c>
      <c r="S65" s="611">
        <f t="shared" si="76"/>
        <v>0.20357480082622953</v>
      </c>
      <c r="T65" s="589"/>
      <c r="U65" s="589"/>
      <c r="V65" s="589"/>
      <c r="W65" s="589"/>
      <c r="X65" s="589"/>
      <c r="Y65" s="589"/>
      <c r="Z65" s="589"/>
      <c r="AA65" s="589"/>
      <c r="AB65" s="589"/>
      <c r="AC65" s="589"/>
      <c r="AD65" s="589"/>
      <c r="AE65" s="589"/>
      <c r="AF65" s="589"/>
      <c r="AG65" s="589"/>
    </row>
    <row r="66" spans="1:33" s="588" customFormat="1" x14ac:dyDescent="0.4">
      <c r="A66" s="610"/>
      <c r="B66" s="1694" t="s">
        <v>3037</v>
      </c>
      <c r="J66" s="522">
        <f>608238/1000</f>
        <v>608.23800000000006</v>
      </c>
      <c r="K66" s="522">
        <f>3729885/1000</f>
        <v>3729.8850000000002</v>
      </c>
      <c r="L66" s="522">
        <f>605104/1000</f>
        <v>605.10400000000004</v>
      </c>
      <c r="M66" s="522">
        <f>1215672/1000</f>
        <v>1215.672</v>
      </c>
      <c r="N66" s="522">
        <f>3637506/1000</f>
        <v>3637.5059999999999</v>
      </c>
      <c r="O66" s="522">
        <f>4557128/1000</f>
        <v>4557.1279999999997</v>
      </c>
      <c r="P66" s="522">
        <f>7169587/1000</f>
        <v>7169.5870000000004</v>
      </c>
      <c r="Q66" s="522">
        <f>4633963/1000+6022928/1000</f>
        <v>10656.891</v>
      </c>
      <c r="R66" s="522">
        <f>8849.031+11040.784</f>
        <v>19889.815000000002</v>
      </c>
      <c r="S66" s="522">
        <v>6449.0940000000001</v>
      </c>
      <c r="T66" s="589"/>
      <c r="U66" s="589"/>
      <c r="V66" s="589"/>
      <c r="W66" s="589"/>
      <c r="X66" s="589"/>
      <c r="Y66" s="589"/>
      <c r="Z66" s="589"/>
      <c r="AA66" s="589"/>
      <c r="AB66" s="589"/>
      <c r="AC66" s="589"/>
      <c r="AD66" s="589"/>
      <c r="AE66" s="589"/>
      <c r="AF66" s="589"/>
      <c r="AG66" s="589"/>
    </row>
    <row r="67" spans="1:33" s="588" customFormat="1" x14ac:dyDescent="0.4">
      <c r="A67" s="610"/>
      <c r="B67" s="1695" t="s">
        <v>2592</v>
      </c>
      <c r="J67" s="611">
        <f t="shared" ref="J67:S67" si="77">J66/J$60</f>
        <v>0.19085892446638464</v>
      </c>
      <c r="K67" s="611">
        <f t="shared" si="77"/>
        <v>0.45815114712669575</v>
      </c>
      <c r="L67" s="611">
        <f t="shared" si="77"/>
        <v>4.6902625646040454E-2</v>
      </c>
      <c r="M67" s="611">
        <f t="shared" si="77"/>
        <v>6.772560675758571E-2</v>
      </c>
      <c r="N67" s="611">
        <f t="shared" si="77"/>
        <v>0.16670284857233167</v>
      </c>
      <c r="O67" s="611">
        <f t="shared" si="77"/>
        <v>0.15663000268775995</v>
      </c>
      <c r="P67" s="611">
        <f t="shared" si="77"/>
        <v>0.18843667060584199</v>
      </c>
      <c r="Q67" s="611">
        <f t="shared" si="77"/>
        <v>0.24046920338058433</v>
      </c>
      <c r="R67" s="611">
        <f t="shared" si="77"/>
        <v>0.37018320218818468</v>
      </c>
      <c r="S67" s="611">
        <f t="shared" si="77"/>
        <v>0.11847383600693477</v>
      </c>
      <c r="T67" s="589"/>
      <c r="U67" s="589"/>
      <c r="V67" s="589"/>
      <c r="W67" s="589"/>
      <c r="X67" s="589"/>
      <c r="Y67" s="589"/>
      <c r="Z67" s="589"/>
      <c r="AA67" s="589"/>
      <c r="AB67" s="589"/>
      <c r="AC67" s="589"/>
      <c r="AD67" s="589"/>
      <c r="AE67" s="589"/>
      <c r="AF67" s="589"/>
      <c r="AG67" s="589"/>
    </row>
    <row r="68" spans="1:33" x14ac:dyDescent="0.4">
      <c r="C68" s="613"/>
      <c r="D68" s="613"/>
      <c r="E68" s="613"/>
    </row>
    <row r="69" spans="1:33" s="346" customFormat="1" x14ac:dyDescent="0.4">
      <c r="A69" s="614" t="s">
        <v>2019</v>
      </c>
      <c r="B69" s="1688" t="s">
        <v>2041</v>
      </c>
      <c r="C69" s="585"/>
      <c r="D69" s="586">
        <f>BS!D13</f>
        <v>10.909000000000001</v>
      </c>
      <c r="E69" s="586">
        <f>BS!E13</f>
        <v>146.77199999999999</v>
      </c>
      <c r="F69" s="586">
        <f>BS!F13</f>
        <v>181.94</v>
      </c>
      <c r="G69" s="586">
        <f>BS!G13</f>
        <v>250.142</v>
      </c>
      <c r="H69" s="586">
        <f>BS!H13</f>
        <v>362.24700000000001</v>
      </c>
      <c r="I69" s="586">
        <f>BS!I13</f>
        <v>356.08499999999998</v>
      </c>
      <c r="J69" s="586">
        <f>BS!J13</f>
        <v>361.471</v>
      </c>
      <c r="K69" s="586">
        <f>BS!K13</f>
        <v>399.64499999999998</v>
      </c>
      <c r="L69" s="586">
        <f>BS!L13</f>
        <v>411.83800000000002</v>
      </c>
      <c r="M69" s="586">
        <f>BS!M13</f>
        <v>281.858</v>
      </c>
      <c r="N69" s="586">
        <f>BS!N13</f>
        <v>196.81800000000001</v>
      </c>
      <c r="O69" s="586">
        <f>BS!O13</f>
        <v>204.06100000000001</v>
      </c>
      <c r="P69" s="586">
        <f>BS!P13</f>
        <v>211.80600000000001</v>
      </c>
      <c r="Q69" s="586">
        <f>BS!Q13</f>
        <v>211.80600000000001</v>
      </c>
      <c r="R69" s="586">
        <f>BS!R13</f>
        <v>211.80600000000001</v>
      </c>
      <c r="S69" s="586">
        <f>BS!S13</f>
        <v>211.80600000000001</v>
      </c>
      <c r="T69" s="586">
        <f>BS!T13</f>
        <v>231.48099999999999</v>
      </c>
      <c r="U69" s="586">
        <f>BS!U13</f>
        <v>222.047</v>
      </c>
      <c r="V69" s="586">
        <f>BS!V13</f>
        <v>13.632</v>
      </c>
      <c r="W69" s="586">
        <f>BS!W13</f>
        <v>13.193</v>
      </c>
      <c r="X69" s="586">
        <f>PL!X$4*WC!X70/365</f>
        <v>13.601727721986014</v>
      </c>
      <c r="Y69" s="586">
        <f>PL!Y$4*WC!Y70/365</f>
        <v>14.99845717664537</v>
      </c>
      <c r="Z69" s="586">
        <f>PL!Z$4*WC!Z70/365</f>
        <v>16.140049637124463</v>
      </c>
      <c r="AA69" s="586">
        <f>PL!AA$4*WC!AA70/365</f>
        <v>17.709901106266429</v>
      </c>
      <c r="AB69" s="586">
        <f>PL!AB$4*WC!AB70/365</f>
        <v>19.189178372749051</v>
      </c>
      <c r="AC69" s="586">
        <f>PL!AC$4*WC!AC70/365</f>
        <v>20.595100297239</v>
      </c>
      <c r="AD69" s="586">
        <f>PL!AD$4*WC!AD70/365</f>
        <v>21.941831723787843</v>
      </c>
      <c r="AE69" s="586">
        <f>PL!AE$4*WC!AE70/365</f>
        <v>23.241035286031458</v>
      </c>
      <c r="AF69" s="586">
        <f>PL!AF$4*WC!AF70/365</f>
        <v>24.502329678864058</v>
      </c>
      <c r="AG69" s="586">
        <f>PL!AG$4*WC!AG70/365</f>
        <v>25.733671266509919</v>
      </c>
    </row>
    <row r="70" spans="1:33" s="555" customFormat="1" x14ac:dyDescent="0.4">
      <c r="A70" s="615" t="s">
        <v>2607</v>
      </c>
      <c r="B70" s="1687" t="s">
        <v>2027</v>
      </c>
      <c r="C70" s="616"/>
      <c r="D70" s="588">
        <f>365/PL!D$4*WC!D69</f>
        <v>0.38677535686372944</v>
      </c>
      <c r="E70" s="588">
        <f>365/PL!E$4*WC!E69</f>
        <v>5.2684981129136261</v>
      </c>
      <c r="F70" s="588">
        <f>365/PL!F$4*WC!F69</f>
        <v>6.0253751676850635</v>
      </c>
      <c r="G70" s="588">
        <f>365/PL!G$4*WC!G69</f>
        <v>8.0498894462862705</v>
      </c>
      <c r="H70" s="588">
        <f>365/PL!H$4*WC!H69</f>
        <v>11.03409650325035</v>
      </c>
      <c r="I70" s="588">
        <f>365/PL!I$4*WC!I69</f>
        <v>7.9350727878602454</v>
      </c>
      <c r="J70" s="588">
        <f>365/PL!J$4*WC!J69</f>
        <v>6.0215856117524531</v>
      </c>
      <c r="K70" s="588">
        <f>365/PL!K$4*WC!K69</f>
        <v>5.3460549916036362</v>
      </c>
      <c r="L70" s="588">
        <f>365/PL!L$4*WC!L69</f>
        <v>4.3647713422712107</v>
      </c>
      <c r="M70" s="588">
        <f>365/PL!M$4*WC!M69</f>
        <v>2.7071866136292853</v>
      </c>
      <c r="N70" s="588">
        <f>365/PL!N$4*WC!N69</f>
        <v>1.554694747875172</v>
      </c>
      <c r="O70" s="588">
        <f>365/PL!O$4*WC!O69</f>
        <v>1.4851149864361761</v>
      </c>
      <c r="P70" s="588">
        <f>365/PL!P$4*WC!P69</f>
        <v>1.3897955542759051</v>
      </c>
      <c r="Q70" s="588">
        <f>365/PL!Q$4*WC!Q69</f>
        <v>1.2536013241385824</v>
      </c>
      <c r="R70" s="588">
        <f>365/PL!R$4*WC!R69</f>
        <v>1.2377786490120106</v>
      </c>
      <c r="S70" s="588">
        <f>365/PL!S$4*WC!S69</f>
        <v>0.99999451555921615</v>
      </c>
      <c r="T70" s="588">
        <f>365/PL!T$4*WC!T69</f>
        <v>0.82853979344893092</v>
      </c>
      <c r="U70" s="588">
        <f>365/PL!U$4*WC!U69</f>
        <v>0.71260261431204397</v>
      </c>
      <c r="V70" s="588">
        <f>365/PL!V$4*WC!V69</f>
        <v>4.7242250436280712E-2</v>
      </c>
      <c r="W70" s="588">
        <f>365/PL!W$4*WC!W69</f>
        <v>4.7939441604404241E-2</v>
      </c>
      <c r="X70" s="589">
        <f t="shared" ref="X70:AC70" si="78">W70</f>
        <v>4.7939441604404241E-2</v>
      </c>
      <c r="Y70" s="589">
        <f t="shared" si="78"/>
        <v>4.7939441604404241E-2</v>
      </c>
      <c r="Z70" s="589">
        <f t="shared" si="78"/>
        <v>4.7939441604404241E-2</v>
      </c>
      <c r="AA70" s="589">
        <f t="shared" si="78"/>
        <v>4.7939441604404241E-2</v>
      </c>
      <c r="AB70" s="589">
        <f t="shared" si="78"/>
        <v>4.7939441604404241E-2</v>
      </c>
      <c r="AC70" s="589">
        <f t="shared" si="78"/>
        <v>4.7939441604404241E-2</v>
      </c>
      <c r="AD70" s="589">
        <f t="shared" ref="AD70" si="79">AC70</f>
        <v>4.7939441604404241E-2</v>
      </c>
      <c r="AE70" s="589">
        <f t="shared" ref="AE70" si="80">AD70</f>
        <v>4.7939441604404241E-2</v>
      </c>
      <c r="AF70" s="589">
        <f t="shared" ref="AF70:AG70" si="81">AE70</f>
        <v>4.7939441604404241E-2</v>
      </c>
      <c r="AG70" s="589">
        <f t="shared" si="81"/>
        <v>4.7939441604404241E-2</v>
      </c>
    </row>
    <row r="71" spans="1:33" x14ac:dyDescent="0.4">
      <c r="C71" s="587"/>
      <c r="D71" s="617"/>
      <c r="E71" s="617"/>
      <c r="F71" s="617"/>
      <c r="G71" s="617"/>
      <c r="H71" s="617"/>
      <c r="I71" s="617"/>
      <c r="J71" s="617"/>
      <c r="K71" s="617"/>
      <c r="L71" s="617"/>
      <c r="M71" s="617"/>
      <c r="N71" s="617"/>
      <c r="O71" s="617"/>
      <c r="P71" s="617"/>
      <c r="Q71" s="617"/>
      <c r="R71" s="617"/>
      <c r="S71" s="617"/>
      <c r="T71" s="617"/>
      <c r="U71" s="617"/>
      <c r="V71" s="617"/>
      <c r="W71" s="617"/>
      <c r="X71" s="618"/>
      <c r="Y71" s="618"/>
      <c r="Z71" s="618"/>
      <c r="AA71" s="618"/>
      <c r="AB71" s="618"/>
      <c r="AC71" s="618"/>
      <c r="AD71" s="618"/>
      <c r="AE71" s="618"/>
      <c r="AF71" s="618"/>
      <c r="AG71" s="618"/>
    </row>
    <row r="72" spans="1:33" x14ac:dyDescent="0.4">
      <c r="B72" s="1688" t="s">
        <v>2317</v>
      </c>
      <c r="C72" s="585"/>
      <c r="D72" s="586">
        <f>BS!D18</f>
        <v>0</v>
      </c>
      <c r="E72" s="586">
        <f>BS!E18</f>
        <v>0</v>
      </c>
      <c r="F72" s="586">
        <f>BS!F18</f>
        <v>0</v>
      </c>
      <c r="G72" s="586">
        <f>BS!G18</f>
        <v>0</v>
      </c>
      <c r="H72" s="586">
        <f>BS!H18</f>
        <v>0</v>
      </c>
      <c r="I72" s="586">
        <f>BS!I18</f>
        <v>0</v>
      </c>
      <c r="J72" s="586">
        <f>BS!J18</f>
        <v>0</v>
      </c>
      <c r="K72" s="586">
        <f>BS!K18</f>
        <v>127.55</v>
      </c>
      <c r="L72" s="586">
        <f>BS!L18</f>
        <v>804.91800000000001</v>
      </c>
      <c r="M72" s="586">
        <f>BS!M18</f>
        <v>0</v>
      </c>
      <c r="N72" s="586">
        <f>BS!N18</f>
        <v>0</v>
      </c>
      <c r="O72" s="586">
        <f>BS!O18</f>
        <v>0</v>
      </c>
      <c r="P72" s="586">
        <f>BS!P18</f>
        <v>1612.3969999999999</v>
      </c>
      <c r="Q72" s="586">
        <f>BS!Q18</f>
        <v>1020.307</v>
      </c>
      <c r="R72" s="586">
        <f>BS!R18</f>
        <v>295.76100000000002</v>
      </c>
      <c r="S72" s="586">
        <f>BS!S18</f>
        <v>898.75400000000002</v>
      </c>
      <c r="T72" s="586">
        <f>BS!T18</f>
        <v>827.673</v>
      </c>
      <c r="U72" s="586">
        <f>BS!U18</f>
        <v>1283.721</v>
      </c>
      <c r="V72" s="586">
        <f>BS!V18</f>
        <v>999.49699999999996</v>
      </c>
      <c r="W72" s="586">
        <f>BS!W18</f>
        <v>1021.85</v>
      </c>
      <c r="X72" s="586">
        <f>PL!X$4*WC!X73/365</f>
        <v>1053.5075777087402</v>
      </c>
      <c r="Y72" s="586">
        <f>PL!Y$4*WC!Y73/365</f>
        <v>1161.6897950394205</v>
      </c>
      <c r="Z72" s="586">
        <f>PL!Z$4*WC!Z73/365</f>
        <v>1250.1106436516056</v>
      </c>
      <c r="AA72" s="586">
        <f>PL!AA$4*WC!AA73/365</f>
        <v>1371.7018453299745</v>
      </c>
      <c r="AB72" s="586">
        <f>PL!AB$4*WC!AB73/365</f>
        <v>1486.2777169857968</v>
      </c>
      <c r="AC72" s="586">
        <f>PL!AC$4*WC!AC73/365</f>
        <v>1595.1719274413456</v>
      </c>
      <c r="AD72" s="586">
        <f>PL!AD$4*WC!AD73/365</f>
        <v>1699.4815998599718</v>
      </c>
      <c r="AE72" s="586">
        <f>PL!AE$4*WC!AE73/365</f>
        <v>1800.1100513174597</v>
      </c>
      <c r="AF72" s="586">
        <f>PL!AF$4*WC!AF73/365</f>
        <v>1897.8022877546607</v>
      </c>
      <c r="AG72" s="586">
        <f>PL!AG$4*WC!AG73/365</f>
        <v>1993.1745610310893</v>
      </c>
    </row>
    <row r="73" spans="1:33" x14ac:dyDescent="0.4">
      <c r="B73" s="1687" t="s">
        <v>2027</v>
      </c>
      <c r="C73" s="587"/>
      <c r="D73" s="588">
        <f>365/PL!D$4*WC!D72</f>
        <v>0</v>
      </c>
      <c r="E73" s="588">
        <f>365/PL!E$4*WC!E72</f>
        <v>0</v>
      </c>
      <c r="F73" s="588">
        <f>365/PL!F$4*WC!F72</f>
        <v>0</v>
      </c>
      <c r="G73" s="588">
        <f>365/PL!G$4*WC!G72</f>
        <v>0</v>
      </c>
      <c r="H73" s="588">
        <f>365/PL!H$4*WC!H72</f>
        <v>0</v>
      </c>
      <c r="I73" s="588">
        <f>365/PL!I$4*WC!I72</f>
        <v>0</v>
      </c>
      <c r="J73" s="588">
        <f>365/PL!J$4*WC!J72</f>
        <v>0</v>
      </c>
      <c r="K73" s="588">
        <f>365/PL!K$4*WC!K72</f>
        <v>1.7062375712921312</v>
      </c>
      <c r="L73" s="588">
        <f>365/PL!L$4*WC!L72</f>
        <v>8.5307402893328401</v>
      </c>
      <c r="M73" s="588">
        <f>365/PL!M$4*WC!M72</f>
        <v>0</v>
      </c>
      <c r="N73" s="588">
        <f>365/PL!N$4*WC!N72</f>
        <v>0</v>
      </c>
      <c r="O73" s="588">
        <f>365/PL!O$4*WC!O72</f>
        <v>0</v>
      </c>
      <c r="P73" s="588">
        <f>365/PL!P$4*WC!P72</f>
        <v>10.579974988091964</v>
      </c>
      <c r="Q73" s="588">
        <f>365/PL!Q$4*WC!Q72</f>
        <v>6.0388195151594601</v>
      </c>
      <c r="R73" s="588">
        <f>365/PL!R$4*WC!R72</f>
        <v>1.7284054795918968</v>
      </c>
      <c r="S73" s="588">
        <f>365/PL!S$4*WC!S72</f>
        <v>4.2432653977550574</v>
      </c>
      <c r="T73" s="588">
        <f>365/PL!T$4*WC!T72</f>
        <v>2.9624894330992912</v>
      </c>
      <c r="U73" s="588">
        <f>365/PL!U$4*WC!U72</f>
        <v>4.1197716728767846</v>
      </c>
      <c r="V73" s="588">
        <f>365/PL!V$4*WC!V72</f>
        <v>3.4637975047176686</v>
      </c>
      <c r="W73" s="588">
        <f>365/PL!W$4*WC!W72</f>
        <v>3.7130992498643582</v>
      </c>
      <c r="X73" s="589">
        <f t="shared" ref="X73:AC73" si="82">W73</f>
        <v>3.7130992498643582</v>
      </c>
      <c r="Y73" s="589">
        <f t="shared" si="82"/>
        <v>3.7130992498643582</v>
      </c>
      <c r="Z73" s="589">
        <f t="shared" si="82"/>
        <v>3.7130992498643582</v>
      </c>
      <c r="AA73" s="589">
        <f t="shared" si="82"/>
        <v>3.7130992498643582</v>
      </c>
      <c r="AB73" s="589">
        <f t="shared" si="82"/>
        <v>3.7130992498643582</v>
      </c>
      <c r="AC73" s="589">
        <f t="shared" si="82"/>
        <v>3.7130992498643582</v>
      </c>
      <c r="AD73" s="589">
        <f t="shared" ref="AD73" si="83">AC73</f>
        <v>3.7130992498643582</v>
      </c>
      <c r="AE73" s="589">
        <f t="shared" ref="AE73" si="84">AD73</f>
        <v>3.7130992498643582</v>
      </c>
      <c r="AF73" s="589">
        <f t="shared" ref="AF73:AG73" si="85">AE73</f>
        <v>3.7130992498643582</v>
      </c>
      <c r="AG73" s="589">
        <f t="shared" si="85"/>
        <v>3.7130992498643582</v>
      </c>
    </row>
    <row r="75" spans="1:33" x14ac:dyDescent="0.4">
      <c r="B75" s="1688" t="s">
        <v>2318</v>
      </c>
      <c r="C75" s="585"/>
      <c r="D75" s="586">
        <f>BS!D15</f>
        <v>0</v>
      </c>
      <c r="E75" s="586">
        <f>BS!E15</f>
        <v>0</v>
      </c>
      <c r="F75" s="586">
        <f>BS!F15</f>
        <v>0</v>
      </c>
      <c r="G75" s="586">
        <f>BS!G15</f>
        <v>0</v>
      </c>
      <c r="H75" s="586">
        <f>BS!H15</f>
        <v>0</v>
      </c>
      <c r="I75" s="586">
        <f>BS!I15</f>
        <v>0</v>
      </c>
      <c r="J75" s="586">
        <f>BS!J15</f>
        <v>0</v>
      </c>
      <c r="K75" s="586">
        <f>BS!K15</f>
        <v>151.02699999999999</v>
      </c>
      <c r="L75" s="586">
        <f>BS!L15</f>
        <v>187.32</v>
      </c>
      <c r="M75" s="586">
        <f>BS!M15</f>
        <v>280.95100000000002</v>
      </c>
      <c r="N75" s="586">
        <f>BS!N15</f>
        <v>225.006</v>
      </c>
      <c r="O75" s="586">
        <f>BS!O15</f>
        <v>222.58</v>
      </c>
      <c r="P75" s="586">
        <f>BS!P15</f>
        <v>198.83</v>
      </c>
      <c r="Q75" s="586">
        <f>BS!Q15</f>
        <v>157.833</v>
      </c>
      <c r="R75" s="586">
        <f>BS!R15</f>
        <v>177.691</v>
      </c>
      <c r="S75" s="586">
        <f>BS!S15</f>
        <v>173.76400000000001</v>
      </c>
      <c r="T75" s="586">
        <f>BS!T15</f>
        <v>119.69799999999999</v>
      </c>
      <c r="U75" s="586">
        <f>BS!U15</f>
        <v>123.17</v>
      </c>
      <c r="V75" s="586">
        <f>BS!V15</f>
        <v>104.37899999999999</v>
      </c>
      <c r="W75" s="586">
        <f>BS!W15</f>
        <v>114.67</v>
      </c>
      <c r="X75" s="586">
        <f>PL!X$4*WC!X76/365</f>
        <v>118.22255119230928</v>
      </c>
      <c r="Y75" s="586">
        <f>PL!Y$4*WC!Y76/365</f>
        <v>130.36254714211512</v>
      </c>
      <c r="Z75" s="586">
        <f>PL!Z$4*WC!Z76/365</f>
        <v>140.28496110733437</v>
      </c>
      <c r="AA75" s="586">
        <f>PL!AA$4*WC!AA76/365</f>
        <v>153.92968694425616</v>
      </c>
      <c r="AB75" s="586">
        <f>PL!AB$4*WC!AB76/365</f>
        <v>166.78716622475054</v>
      </c>
      <c r="AC75" s="586">
        <f>PL!AC$4*WC!AC76/365</f>
        <v>179.00706064461428</v>
      </c>
      <c r="AD75" s="586">
        <f>PL!AD$4*WC!AD76/365</f>
        <v>190.71248721039581</v>
      </c>
      <c r="AE75" s="586">
        <f>PL!AE$4*WC!AE76/365</f>
        <v>202.00481439014834</v>
      </c>
      <c r="AF75" s="586">
        <f>PL!AF$4*WC!AF76/365</f>
        <v>212.96764528729949</v>
      </c>
      <c r="AG75" s="586">
        <f>PL!AG$4*WC!AG76/365</f>
        <v>223.67013447515293</v>
      </c>
    </row>
    <row r="76" spans="1:33" x14ac:dyDescent="0.4">
      <c r="B76" s="1687" t="s">
        <v>2027</v>
      </c>
      <c r="D76" s="588">
        <f>365/PL!D$4*WC!D75</f>
        <v>0</v>
      </c>
      <c r="E76" s="588">
        <f>365/PL!E$4*WC!E75</f>
        <v>0</v>
      </c>
      <c r="F76" s="588">
        <f>365/PL!F$4*WC!F75</f>
        <v>0</v>
      </c>
      <c r="G76" s="588">
        <f>365/PL!G$4*WC!G75</f>
        <v>0</v>
      </c>
      <c r="H76" s="588">
        <f>365/PL!H$4*WC!H75</f>
        <v>0</v>
      </c>
      <c r="I76" s="588">
        <f>365/PL!I$4*WC!I75</f>
        <v>0</v>
      </c>
      <c r="J76" s="588">
        <f>365/PL!J$4*WC!J75</f>
        <v>0</v>
      </c>
      <c r="K76" s="588">
        <f>365/PL!K$4*WC!K75</f>
        <v>2.0202896250845681</v>
      </c>
      <c r="L76" s="588">
        <f>365/PL!L$4*WC!L75</f>
        <v>1.9852684012505963</v>
      </c>
      <c r="M76" s="588">
        <f>365/PL!M$4*WC!M75</f>
        <v>2.698475070020228</v>
      </c>
      <c r="N76" s="588">
        <f>365/PL!N$4*WC!N75</f>
        <v>1.7773559656149385</v>
      </c>
      <c r="O76" s="588">
        <f>365/PL!O$4*WC!O75</f>
        <v>1.6198925501735466</v>
      </c>
      <c r="P76" s="588">
        <f>365/PL!P$4*WC!P75</f>
        <v>1.3046516626378772</v>
      </c>
      <c r="Q76" s="588">
        <f>365/PL!Q$4*WC!Q75</f>
        <v>0.9341551126633092</v>
      </c>
      <c r="R76" s="588">
        <f>365/PL!R$4*WC!R75</f>
        <v>1.0384131040744511</v>
      </c>
      <c r="S76" s="588">
        <f>365/PL!S$4*WC!S75</f>
        <v>0.82038774634161282</v>
      </c>
      <c r="T76" s="588">
        <f>365/PL!T$4*WC!T75</f>
        <v>0.42843497391254631</v>
      </c>
      <c r="U76" s="588">
        <f>365/PL!U$4*WC!U75</f>
        <v>0.39528236816896628</v>
      </c>
      <c r="V76" s="588">
        <f>365/PL!V$4*WC!V75</f>
        <v>0.36172966976881926</v>
      </c>
      <c r="W76" s="588">
        <f>365/PL!W$4*WC!W75</f>
        <v>0.41667670497817288</v>
      </c>
      <c r="X76" s="589">
        <f t="shared" ref="X76:AC76" si="86">W76</f>
        <v>0.41667670497817288</v>
      </c>
      <c r="Y76" s="589">
        <f t="shared" si="86"/>
        <v>0.41667670497817288</v>
      </c>
      <c r="Z76" s="589">
        <f t="shared" si="86"/>
        <v>0.41667670497817288</v>
      </c>
      <c r="AA76" s="589">
        <f t="shared" si="86"/>
        <v>0.41667670497817288</v>
      </c>
      <c r="AB76" s="589">
        <f t="shared" si="86"/>
        <v>0.41667670497817288</v>
      </c>
      <c r="AC76" s="589">
        <f t="shared" si="86"/>
        <v>0.41667670497817288</v>
      </c>
      <c r="AD76" s="589">
        <f t="shared" ref="AD76" si="87">AC76</f>
        <v>0.41667670497817288</v>
      </c>
      <c r="AE76" s="589">
        <f t="shared" ref="AE76" si="88">AD76</f>
        <v>0.41667670497817288</v>
      </c>
      <c r="AF76" s="589">
        <f t="shared" ref="AF76:AG76" si="89">AE76</f>
        <v>0.41667670497817288</v>
      </c>
      <c r="AG76" s="589">
        <f t="shared" si="89"/>
        <v>0.41667670497817288</v>
      </c>
    </row>
    <row r="78" spans="1:33" s="346" customFormat="1" x14ac:dyDescent="0.4">
      <c r="A78" s="614" t="s">
        <v>761</v>
      </c>
      <c r="B78" s="1688" t="s">
        <v>3141</v>
      </c>
      <c r="C78" s="585"/>
      <c r="D78" s="586">
        <f>BS!D22</f>
        <v>0</v>
      </c>
      <c r="E78" s="586">
        <f>BS!E22</f>
        <v>0</v>
      </c>
      <c r="F78" s="586">
        <f>BS!F22</f>
        <v>0</v>
      </c>
      <c r="G78" s="586">
        <f>BS!G22</f>
        <v>0</v>
      </c>
      <c r="H78" s="586">
        <f>BS!H22</f>
        <v>0</v>
      </c>
      <c r="I78" s="586">
        <f>BS!I22</f>
        <v>0</v>
      </c>
      <c r="J78" s="586">
        <f>BS!J22</f>
        <v>577.66399999999999</v>
      </c>
      <c r="K78" s="586">
        <f>BS!K22</f>
        <v>577.66399999999999</v>
      </c>
      <c r="L78" s="586">
        <f>BS!L22</f>
        <v>577.66399999999999</v>
      </c>
      <c r="M78" s="586">
        <f>BS!M22</f>
        <v>577.66399999999999</v>
      </c>
      <c r="N78" s="586">
        <f>BS!N23</f>
        <v>0</v>
      </c>
      <c r="O78" s="586">
        <f>BS!O23</f>
        <v>0</v>
      </c>
      <c r="P78" s="586">
        <f>BS!P23</f>
        <v>0</v>
      </c>
      <c r="Q78" s="586">
        <f>BS!Q23</f>
        <v>0</v>
      </c>
      <c r="R78" s="586">
        <f>BS!R23</f>
        <v>0</v>
      </c>
      <c r="S78" s="586">
        <f>BS!S23</f>
        <v>0</v>
      </c>
      <c r="T78" s="586">
        <f>BS!T23</f>
        <v>0</v>
      </c>
      <c r="U78" s="586">
        <f>BS!U23</f>
        <v>0</v>
      </c>
      <c r="V78" s="586">
        <f>BS!V23</f>
        <v>0</v>
      </c>
      <c r="W78" s="586">
        <f>BS!W23</f>
        <v>37.53</v>
      </c>
      <c r="X78" s="586">
        <f>PL!X$4*WC!X79/365</f>
        <v>38.69270381309294</v>
      </c>
      <c r="Y78" s="586">
        <f>PL!Y$4*WC!Y79/365</f>
        <v>42.665966636815035</v>
      </c>
      <c r="Z78" s="586">
        <f>PL!Z$4*WC!Z79/365</f>
        <v>45.913443711155999</v>
      </c>
      <c r="AA78" s="586">
        <f>PL!AA$4*WC!AA79/365</f>
        <v>50.379185061637159</v>
      </c>
      <c r="AB78" s="586">
        <f>PL!AB$4*WC!AB79/365</f>
        <v>54.587270850395804</v>
      </c>
      <c r="AC78" s="586">
        <f>PL!AC$4*WC!AC79/365</f>
        <v>58.586683404485697</v>
      </c>
      <c r="AD78" s="586">
        <f>PL!AD$4*WC!AD79/365</f>
        <v>62.417717319317653</v>
      </c>
      <c r="AE78" s="586">
        <f>PL!AE$4*WC!AE79/365</f>
        <v>66.113549176439065</v>
      </c>
      <c r="AF78" s="586">
        <f>PL!AF$4*WC!AF79/365</f>
        <v>69.70154118455001</v>
      </c>
      <c r="AG78" s="586">
        <f>PL!AG$4*WC!AG79/365</f>
        <v>73.204326736308445</v>
      </c>
    </row>
    <row r="79" spans="1:33" s="555" customFormat="1" x14ac:dyDescent="0.4">
      <c r="A79" s="615" t="s">
        <v>2607</v>
      </c>
      <c r="B79" s="1687" t="s">
        <v>2027</v>
      </c>
      <c r="C79" s="616"/>
      <c r="D79" s="588">
        <f>365/PL!D$4*WC!D78</f>
        <v>0</v>
      </c>
      <c r="E79" s="588">
        <f>365/PL!E$4*WC!E78</f>
        <v>0</v>
      </c>
      <c r="F79" s="588">
        <f>365/PL!F$4*WC!F78</f>
        <v>0</v>
      </c>
      <c r="G79" s="588">
        <f>365/PL!G$4*WC!G78</f>
        <v>0</v>
      </c>
      <c r="H79" s="588">
        <f>365/PL!H$4*WC!H78</f>
        <v>0</v>
      </c>
      <c r="I79" s="588">
        <f>365/PL!I$4*WC!I78</f>
        <v>0</v>
      </c>
      <c r="J79" s="588">
        <f>365/PL!J$4*WC!J78</f>
        <v>9.623049237220604</v>
      </c>
      <c r="K79" s="588">
        <f>365/PL!K$4*WC!K78</f>
        <v>7.7274168591367909</v>
      </c>
      <c r="L79" s="588">
        <f>365/PL!L$4*WC!L78</f>
        <v>6.1222404748026076</v>
      </c>
      <c r="M79" s="588">
        <f>365/PL!M$4*WC!M78</f>
        <v>5.5483408240161616</v>
      </c>
      <c r="N79" s="588">
        <f>365/PL!N$4*WC!N78</f>
        <v>0</v>
      </c>
      <c r="O79" s="588">
        <f>365/PL!O$4*WC!O78</f>
        <v>0</v>
      </c>
      <c r="P79" s="588">
        <f>365/PL!P$4*WC!P78</f>
        <v>0</v>
      </c>
      <c r="Q79" s="588">
        <f>365/PL!Q$4*WC!Q78</f>
        <v>0</v>
      </c>
      <c r="R79" s="588">
        <f>365/PL!R$4*WC!R78</f>
        <v>0</v>
      </c>
      <c r="S79" s="588">
        <f>365/PL!S$4*WC!S78</f>
        <v>0</v>
      </c>
      <c r="T79" s="588">
        <f>365/PL!T$4*WC!T78</f>
        <v>0</v>
      </c>
      <c r="U79" s="588">
        <f>365/PL!U$4*WC!U78</f>
        <v>0</v>
      </c>
      <c r="V79" s="588">
        <f>365/PL!V$4*WC!V78</f>
        <v>0</v>
      </c>
      <c r="W79" s="588">
        <f>365/PL!W$4*WC!W78</f>
        <v>0.13637286768841744</v>
      </c>
      <c r="X79" s="589">
        <f>W79</f>
        <v>0.13637286768841744</v>
      </c>
      <c r="Y79" s="589">
        <f t="shared" ref="Y79" si="90">X79</f>
        <v>0.13637286768841744</v>
      </c>
      <c r="Z79" s="589">
        <f t="shared" ref="Z79" si="91">Y79</f>
        <v>0.13637286768841744</v>
      </c>
      <c r="AA79" s="589">
        <f t="shared" ref="AA79" si="92">Z79</f>
        <v>0.13637286768841744</v>
      </c>
      <c r="AB79" s="589">
        <f t="shared" ref="AB79" si="93">AA79</f>
        <v>0.13637286768841744</v>
      </c>
      <c r="AC79" s="589">
        <f t="shared" ref="AC79" si="94">AB79</f>
        <v>0.13637286768841744</v>
      </c>
      <c r="AD79" s="589">
        <f t="shared" ref="AD79" si="95">AC79</f>
        <v>0.13637286768841744</v>
      </c>
      <c r="AE79" s="589">
        <f t="shared" ref="AE79" si="96">AD79</f>
        <v>0.13637286768841744</v>
      </c>
      <c r="AF79" s="589">
        <f t="shared" ref="AF79" si="97">AE79</f>
        <v>0.13637286768841744</v>
      </c>
      <c r="AG79" s="589">
        <f t="shared" ref="AG79" si="98">AF79</f>
        <v>0.13637286768841744</v>
      </c>
    </row>
  </sheetData>
  <phoneticPr fontId="51" type="noConversion"/>
  <pageMargins left="0.75" right="0.75" top="1" bottom="1" header="0.5" footer="0.5"/>
  <pageSetup paperSize="9" orientation="portrait" r:id="rId1"/>
  <headerFooter alignWithMargins="0">
    <oddHeader>&amp;A</oddHead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G139"/>
  <sheetViews>
    <sheetView showGridLines="0" zoomScale="145" zoomScaleNormal="145" workbookViewId="0">
      <pane xSplit="2" ySplit="2" topLeftCell="N3" activePane="bottomRight" state="frozen"/>
      <selection pane="topRight"/>
      <selection pane="bottomLeft"/>
      <selection pane="bottomRight" activeCell="Y9" sqref="Y9"/>
    </sheetView>
  </sheetViews>
  <sheetFormatPr defaultColWidth="9" defaultRowHeight="11.65" outlineLevelCol="1" x14ac:dyDescent="0.4"/>
  <cols>
    <col min="1" max="1" width="31.0625" style="334" hidden="1" customWidth="1" outlineLevel="1"/>
    <col min="2" max="2" width="25" style="1677" customWidth="1" collapsed="1"/>
    <col min="3" max="13" width="8.0625" style="312" hidden="1" customWidth="1" outlineLevel="1"/>
    <col min="14" max="14" width="8.0625" style="312" customWidth="1" collapsed="1"/>
    <col min="15" max="23" width="8.0625" style="312" customWidth="1"/>
    <col min="24" max="33" width="8.0625" style="312" customWidth="1" outlineLevel="1"/>
    <col min="34" max="16384" width="9" style="312"/>
  </cols>
  <sheetData>
    <row r="1" spans="1:33" x14ac:dyDescent="0.4">
      <c r="A1" s="314" t="s">
        <v>2011</v>
      </c>
      <c r="B1" s="1668" t="s">
        <v>2983</v>
      </c>
      <c r="D1" s="619">
        <f>BS!D1</f>
        <v>0</v>
      </c>
      <c r="E1" s="619">
        <f>BS!E1</f>
        <v>0</v>
      </c>
      <c r="F1" s="619">
        <f>BS!F1</f>
        <v>0</v>
      </c>
      <c r="G1" s="619">
        <f>BS!G1</f>
        <v>0</v>
      </c>
      <c r="H1" s="619">
        <f>BS!H1</f>
        <v>0</v>
      </c>
      <c r="I1" s="619">
        <f>BS!I1</f>
        <v>0</v>
      </c>
      <c r="J1" s="619">
        <f>BS!J1</f>
        <v>0</v>
      </c>
      <c r="K1" s="619">
        <f>BS!K1</f>
        <v>0</v>
      </c>
      <c r="L1" s="619">
        <f>BS!L1</f>
        <v>0</v>
      </c>
      <c r="M1" s="619">
        <f>BS!M1</f>
        <v>0</v>
      </c>
      <c r="N1" s="619">
        <f>BS!N1</f>
        <v>0</v>
      </c>
      <c r="O1" s="619">
        <f>BS!O1</f>
        <v>0</v>
      </c>
      <c r="P1" s="619">
        <f>BS!P1</f>
        <v>0</v>
      </c>
      <c r="Q1" s="619">
        <f>BS!Q1</f>
        <v>0</v>
      </c>
      <c r="R1" s="619">
        <f>BS!R1</f>
        <v>0</v>
      </c>
      <c r="S1" s="619">
        <f>BS!S1</f>
        <v>0</v>
      </c>
      <c r="T1" s="619">
        <f>BS!T1</f>
        <v>0</v>
      </c>
      <c r="U1" s="619">
        <f>BS!U1</f>
        <v>0</v>
      </c>
      <c r="V1" s="619">
        <f>BS!V1</f>
        <v>0</v>
      </c>
      <c r="W1" s="619">
        <f>BS!W1</f>
        <v>0</v>
      </c>
      <c r="X1" s="619">
        <f ca="1">BS!X1</f>
        <v>0</v>
      </c>
      <c r="Y1" s="619">
        <f ca="1">BS!Y1</f>
        <v>0</v>
      </c>
      <c r="Z1" s="619">
        <f ca="1">BS!Z1</f>
        <v>0</v>
      </c>
      <c r="AA1" s="619">
        <f ca="1">BS!AA1</f>
        <v>0</v>
      </c>
      <c r="AB1" s="619">
        <f ca="1">BS!AB1</f>
        <v>0</v>
      </c>
      <c r="AC1" s="619">
        <f ca="1">BS!AC1</f>
        <v>0</v>
      </c>
      <c r="AD1" s="619">
        <f ca="1">BS!AD1</f>
        <v>0</v>
      </c>
      <c r="AE1" s="619">
        <f ca="1">BS!AE1</f>
        <v>0</v>
      </c>
      <c r="AF1" s="619">
        <f ca="1">BS!AF1</f>
        <v>0</v>
      </c>
      <c r="AG1" s="619">
        <f ca="1">BS!AG1</f>
        <v>0</v>
      </c>
    </row>
    <row r="2" spans="1:33" s="322" customFormat="1" x14ac:dyDescent="0.4">
      <c r="A2" s="318" t="s">
        <v>759</v>
      </c>
      <c r="B2" s="1641" t="s">
        <v>2958</v>
      </c>
      <c r="C2" s="320" t="s">
        <v>328</v>
      </c>
      <c r="D2" s="320" t="s">
        <v>323</v>
      </c>
      <c r="E2" s="320" t="s">
        <v>198</v>
      </c>
      <c r="F2" s="320" t="s">
        <v>331</v>
      </c>
      <c r="G2" s="320" t="s">
        <v>56</v>
      </c>
      <c r="H2" s="320" t="s">
        <v>721</v>
      </c>
      <c r="I2" s="320" t="s">
        <v>747</v>
      </c>
      <c r="J2" s="321" t="s">
        <v>1748</v>
      </c>
      <c r="K2" s="321" t="s">
        <v>2042</v>
      </c>
      <c r="L2" s="321" t="s">
        <v>2043</v>
      </c>
      <c r="M2" s="321" t="s">
        <v>1747</v>
      </c>
      <c r="N2" s="321" t="s">
        <v>1739</v>
      </c>
      <c r="O2" s="321" t="s">
        <v>1810</v>
      </c>
      <c r="P2" s="321" t="s">
        <v>1818</v>
      </c>
      <c r="Q2" s="321" t="s">
        <v>2012</v>
      </c>
      <c r="R2" s="321" t="s">
        <v>2593</v>
      </c>
      <c r="S2" s="321" t="s">
        <v>2653</v>
      </c>
      <c r="T2" s="321" t="str">
        <f>PL!T3</f>
        <v>2022A</v>
      </c>
      <c r="U2" s="321" t="str">
        <f>PL!U3</f>
        <v>2023A</v>
      </c>
      <c r="V2" s="321" t="str">
        <f>PL!V3</f>
        <v>2024A</v>
      </c>
      <c r="W2" s="321" t="str">
        <f>PL!W3</f>
        <v>2025A</v>
      </c>
      <c r="X2" s="321" t="str">
        <f>PL!X3</f>
        <v>2026E</v>
      </c>
      <c r="Y2" s="321" t="str">
        <f>PL!Y3</f>
        <v>2027E</v>
      </c>
      <c r="Z2" s="321" t="str">
        <f>PL!Z3</f>
        <v>2028E</v>
      </c>
      <c r="AA2" s="321" t="str">
        <f>PL!AA3</f>
        <v>2029E</v>
      </c>
      <c r="AB2" s="321" t="str">
        <f>PL!AB3</f>
        <v>2030E</v>
      </c>
      <c r="AC2" s="321" t="str">
        <f>PL!AC3</f>
        <v>2031E</v>
      </c>
      <c r="AD2" s="321" t="str">
        <f>PL!AD3</f>
        <v>2032E</v>
      </c>
      <c r="AE2" s="321" t="str">
        <f>PL!AE3</f>
        <v>2033E</v>
      </c>
      <c r="AF2" s="321" t="str">
        <f>PL!AF3</f>
        <v>2034E</v>
      </c>
      <c r="AG2" s="321" t="str">
        <f>PL!AG3</f>
        <v>2035E</v>
      </c>
    </row>
    <row r="3" spans="1:33" ht="12" x14ac:dyDescent="0.35">
      <c r="A3" s="620" t="s">
        <v>1848</v>
      </c>
      <c r="B3" s="1669" t="s">
        <v>2984</v>
      </c>
      <c r="C3" s="621"/>
      <c r="D3" s="535">
        <f t="shared" ref="D3:AC3" si="0">SUM(D6,D10,D14,D18)</f>
        <v>157.12299999999999</v>
      </c>
      <c r="E3" s="535">
        <f t="shared" si="0"/>
        <v>124.58399999999999</v>
      </c>
      <c r="F3" s="535">
        <f t="shared" si="0"/>
        <v>232.60399999999998</v>
      </c>
      <c r="G3" s="535">
        <f t="shared" si="0"/>
        <v>573.69299999999998</v>
      </c>
      <c r="H3" s="535">
        <f t="shared" si="0"/>
        <v>423.73199999999997</v>
      </c>
      <c r="I3" s="535">
        <f t="shared" si="0"/>
        <v>522.10699999999997</v>
      </c>
      <c r="J3" s="535">
        <f t="shared" si="0"/>
        <v>451.262</v>
      </c>
      <c r="K3" s="535">
        <f t="shared" si="0"/>
        <v>457.62200000000001</v>
      </c>
      <c r="L3" s="535">
        <f t="shared" si="0"/>
        <v>525.23199999999997</v>
      </c>
      <c r="M3" s="535">
        <f t="shared" si="0"/>
        <v>436.35300000000001</v>
      </c>
      <c r="N3" s="535">
        <f t="shared" si="0"/>
        <v>181.86499999999998</v>
      </c>
      <c r="O3" s="535">
        <f t="shared" si="0"/>
        <v>1410.1120000000001</v>
      </c>
      <c r="P3" s="535">
        <f t="shared" si="0"/>
        <v>805.87599999999998</v>
      </c>
      <c r="Q3" s="535">
        <f t="shared" si="0"/>
        <v>502.77700000000004</v>
      </c>
      <c r="R3" s="535">
        <f t="shared" si="0"/>
        <v>548.38</v>
      </c>
      <c r="S3" s="535">
        <f t="shared" si="0"/>
        <v>686.40499999999997</v>
      </c>
      <c r="T3" s="535">
        <f t="shared" si="0"/>
        <v>875.53730119514466</v>
      </c>
      <c r="U3" s="535">
        <f t="shared" si="0"/>
        <v>1015.6575297704101</v>
      </c>
      <c r="V3" s="535">
        <f t="shared" ref="V3:W3" si="1">SUM(V6,V10,V14,V18)</f>
        <v>968.17593592756725</v>
      </c>
      <c r="W3" s="535">
        <f t="shared" si="1"/>
        <v>838.78107426266342</v>
      </c>
      <c r="X3" s="535">
        <f t="shared" si="0"/>
        <v>847.74685512593589</v>
      </c>
      <c r="Y3" s="535">
        <f>SUM(Y6,Y10,Y14,Y18)</f>
        <v>911.68156921235334</v>
      </c>
      <c r="Z3" s="535">
        <f t="shared" si="0"/>
        <v>952.20501570161855</v>
      </c>
      <c r="AA3" s="535">
        <f t="shared" si="0"/>
        <v>1016.4417801762285</v>
      </c>
      <c r="AB3" s="535">
        <f t="shared" si="0"/>
        <v>1070.8624448317119</v>
      </c>
      <c r="AC3" s="535">
        <f t="shared" si="0"/>
        <v>1116.7501920356717</v>
      </c>
      <c r="AD3" s="535">
        <f t="shared" ref="AD3:AF3" si="2">SUM(AD6,AD10,AD14,AD18)</f>
        <v>1155.1340252632394</v>
      </c>
      <c r="AE3" s="535">
        <f t="shared" si="2"/>
        <v>1186.8373448327682</v>
      </c>
      <c r="AF3" s="535">
        <f t="shared" si="2"/>
        <v>1212.517539957073</v>
      </c>
      <c r="AG3" s="535">
        <f>SUM(AG6,AG10,AG14,AG18)</f>
        <v>1232.6982474243575</v>
      </c>
    </row>
    <row r="4" spans="1:33" ht="12" x14ac:dyDescent="0.35">
      <c r="A4" s="622" t="s">
        <v>577</v>
      </c>
      <c r="B4" s="1657" t="s">
        <v>577</v>
      </c>
      <c r="C4" s="624"/>
      <c r="D4" s="624"/>
      <c r="E4" s="624">
        <f t="shared" ref="E4:AC4" si="3">E3/D3-1</f>
        <v>-0.20709253260184701</v>
      </c>
      <c r="F4" s="624">
        <f t="shared" si="3"/>
        <v>0.86704552751557196</v>
      </c>
      <c r="G4" s="624">
        <f t="shared" si="3"/>
        <v>1.4663935271964368</v>
      </c>
      <c r="H4" s="624">
        <f t="shared" si="3"/>
        <v>-0.26139590338386565</v>
      </c>
      <c r="I4" s="624">
        <f t="shared" si="3"/>
        <v>0.23216325413232886</v>
      </c>
      <c r="J4" s="624">
        <f t="shared" si="3"/>
        <v>-0.13569057683578267</v>
      </c>
      <c r="K4" s="624">
        <f t="shared" si="3"/>
        <v>1.4093808031697908E-2</v>
      </c>
      <c r="L4" s="624">
        <f t="shared" si="3"/>
        <v>0.14774202289225591</v>
      </c>
      <c r="M4" s="624">
        <f t="shared" si="3"/>
        <v>-0.16921855484814319</v>
      </c>
      <c r="N4" s="624">
        <f t="shared" si="3"/>
        <v>-0.58321588255380397</v>
      </c>
      <c r="O4" s="624">
        <f t="shared" si="3"/>
        <v>6.7536194429934309</v>
      </c>
      <c r="P4" s="624">
        <f t="shared" si="3"/>
        <v>-0.42850213316389063</v>
      </c>
      <c r="Q4" s="624">
        <f t="shared" si="3"/>
        <v>-0.37611121313949036</v>
      </c>
      <c r="R4" s="624">
        <f t="shared" si="3"/>
        <v>9.0702239760370729E-2</v>
      </c>
      <c r="S4" s="624">
        <f t="shared" si="3"/>
        <v>0.25169590429993804</v>
      </c>
      <c r="T4" s="624">
        <f t="shared" si="3"/>
        <v>0.27554038970453987</v>
      </c>
      <c r="U4" s="624">
        <f t="shared" si="3"/>
        <v>0.16003913069608289</v>
      </c>
      <c r="V4" s="624">
        <f t="shared" si="3"/>
        <v>-4.6749610425845023E-2</v>
      </c>
      <c r="W4" s="624">
        <f t="shared" si="3"/>
        <v>-0.13364808694706531</v>
      </c>
      <c r="X4" s="624">
        <f t="shared" si="3"/>
        <v>1.0689059563192771E-2</v>
      </c>
      <c r="Y4" s="624">
        <f t="shared" si="3"/>
        <v>7.541722354949898E-2</v>
      </c>
      <c r="Z4" s="624">
        <f t="shared" si="3"/>
        <v>4.4449123309880489E-2</v>
      </c>
      <c r="AA4" s="624">
        <f t="shared" si="3"/>
        <v>6.7461065017892174E-2</v>
      </c>
      <c r="AB4" s="624">
        <f t="shared" si="3"/>
        <v>5.3540365731570061E-2</v>
      </c>
      <c r="AC4" s="624">
        <f t="shared" si="3"/>
        <v>4.2851205983949869E-2</v>
      </c>
      <c r="AD4" s="624">
        <f t="shared" ref="AD4" si="4">AD3/AC3-1</f>
        <v>3.4371011083149883E-2</v>
      </c>
      <c r="AE4" s="624">
        <f t="shared" ref="AE4" si="5">AE3/AD3-1</f>
        <v>2.7445576769590918E-2</v>
      </c>
      <c r="AF4" s="624">
        <f t="shared" ref="AF4:AG4" si="6">AF3/AE3-1</f>
        <v>2.1637501748753341E-2</v>
      </c>
      <c r="AG4" s="624">
        <f t="shared" si="6"/>
        <v>1.664364168125676E-2</v>
      </c>
    </row>
    <row r="5" spans="1:33" x14ac:dyDescent="0.25">
      <c r="A5" s="334" t="s">
        <v>1393</v>
      </c>
      <c r="B5" s="1643" t="s">
        <v>2985</v>
      </c>
      <c r="C5" s="624"/>
      <c r="D5" s="624">
        <f>D3/PL!D4</f>
        <v>1.526232692033843E-2</v>
      </c>
      <c r="E5" s="624">
        <f>E3/PL!E4</f>
        <v>1.2252170245215507E-2</v>
      </c>
      <c r="F5" s="624">
        <f>F3/PL!F4</f>
        <v>2.1104750256432821E-2</v>
      </c>
      <c r="G5" s="624">
        <f>G3/PL!G4</f>
        <v>5.0581299696931703E-2</v>
      </c>
      <c r="H5" s="624">
        <f>H3/PL!H4</f>
        <v>3.5361475559571656E-2</v>
      </c>
      <c r="I5" s="624">
        <f>I3/PL!I4</f>
        <v>3.1876005040749271E-2</v>
      </c>
      <c r="J5" s="624">
        <f>J3/PL!J4</f>
        <v>2.059554572979545E-2</v>
      </c>
      <c r="K5" s="624">
        <f>K3/PL!K4</f>
        <v>1.6771544865024142E-2</v>
      </c>
      <c r="L5" s="624">
        <f>L3/PL!L4</f>
        <v>1.5250826991912648E-2</v>
      </c>
      <c r="M5" s="624">
        <f>M3/PL!M4</f>
        <v>1.1482406815916142E-2</v>
      </c>
      <c r="N5" s="624">
        <f>N3/PL!N4</f>
        <v>3.9358322461362765E-3</v>
      </c>
      <c r="O5" s="624">
        <f>O3/PL!O4</f>
        <v>2.8116471266730267E-2</v>
      </c>
      <c r="P5" s="624">
        <f>P3/PL!P4</f>
        <v>1.4487318805146572E-2</v>
      </c>
      <c r="Q5" s="624">
        <f>Q3/PL!Q4</f>
        <v>8.1527424222970647E-3</v>
      </c>
      <c r="R5" s="624">
        <f>R3/PL!R4</f>
        <v>8.7799788814914032E-3</v>
      </c>
      <c r="S5" s="624">
        <f>S3/PL!S4</f>
        <v>8.8786499438478633E-3</v>
      </c>
      <c r="T5" s="624">
        <f>T3/PL!T4</f>
        <v>8.5857810832376327E-3</v>
      </c>
      <c r="U5" s="624">
        <f>U3/PL!U4</f>
        <v>8.930112487725286E-3</v>
      </c>
      <c r="V5" s="624">
        <f>V3/PL!V4</f>
        <v>9.1924742008068442E-3</v>
      </c>
      <c r="W5" s="624">
        <f>W3/PL!W4</f>
        <v>8.3503593808037287E-3</v>
      </c>
      <c r="X5" s="624">
        <f>X3/PL!X4</f>
        <v>8.1860089862440498E-3</v>
      </c>
      <c r="Y5" s="624">
        <f>Y3/PL!Y4</f>
        <v>7.9835618514044783E-3</v>
      </c>
      <c r="Z5" s="624">
        <f>Z3/PL!Z4</f>
        <v>7.7486439475142324E-3</v>
      </c>
      <c r="AA5" s="624">
        <f>AA3/PL!AA4</f>
        <v>7.5381795695905135E-3</v>
      </c>
      <c r="AB5" s="624">
        <f>AB3/PL!AB4</f>
        <v>7.3295517397841967E-3</v>
      </c>
      <c r="AC5" s="624">
        <f>AC3/PL!AC4</f>
        <v>7.121840305429338E-3</v>
      </c>
      <c r="AD5" s="624">
        <f>AD3/PL!AD4</f>
        <v>6.9144812466312563E-3</v>
      </c>
      <c r="AE5" s="624">
        <f>AE3/PL!AE4</f>
        <v>6.7071163446851996E-3</v>
      </c>
      <c r="AF5" s="624">
        <f>AF3/PL!AF4</f>
        <v>6.4995121110261117E-3</v>
      </c>
      <c r="AG5" s="624">
        <f>AG3/PL!AG4</f>
        <v>6.2915135514597965E-3</v>
      </c>
    </row>
    <row r="6" spans="1:33" ht="12" x14ac:dyDescent="0.35">
      <c r="A6" s="626" t="s">
        <v>343</v>
      </c>
      <c r="B6" s="1650" t="s">
        <v>2923</v>
      </c>
      <c r="C6" s="627"/>
      <c r="D6" s="628">
        <f>HK!C36</f>
        <v>19.268000000000001</v>
      </c>
      <c r="E6" s="628">
        <f>HK!D36</f>
        <v>28.141999999999999</v>
      </c>
      <c r="F6" s="628">
        <f>HK!E36</f>
        <v>47.747999999999998</v>
      </c>
      <c r="G6" s="628">
        <f>HK!F36</f>
        <v>33.692999999999998</v>
      </c>
      <c r="H6" s="628">
        <f>HK!G36</f>
        <v>179.297</v>
      </c>
      <c r="I6" s="628">
        <f>HK!H36</f>
        <v>138.68600000000001</v>
      </c>
      <c r="J6" s="628">
        <f>HK!I36</f>
        <v>238.88200000000001</v>
      </c>
      <c r="K6" s="628">
        <f>HK!J36</f>
        <v>225.631</v>
      </c>
      <c r="L6" s="628">
        <f>HK!K36</f>
        <v>181.875</v>
      </c>
      <c r="M6" s="629">
        <f>HK!L36</f>
        <v>119.131</v>
      </c>
      <c r="N6" s="629">
        <f>HK!M36</f>
        <v>62.889000000000003</v>
      </c>
      <c r="O6" s="629">
        <f>HK!N36</f>
        <v>740.15499999999997</v>
      </c>
      <c r="P6" s="629">
        <f>HK!O36</f>
        <v>90.106999999999999</v>
      </c>
      <c r="Q6" s="629">
        <f>HK!P36</f>
        <v>112.11499999999999</v>
      </c>
      <c r="R6" s="629">
        <f>HK!Q36</f>
        <v>75.555000000000007</v>
      </c>
      <c r="S6" s="629">
        <f>HK!R36</f>
        <v>123.93</v>
      </c>
      <c r="T6" s="629">
        <f>HK!S36</f>
        <v>193.41998438411187</v>
      </c>
      <c r="U6" s="629">
        <f>HK!T36</f>
        <v>160.19625454338049</v>
      </c>
      <c r="V6" s="629">
        <f>HK!U36</f>
        <v>213.54678222200229</v>
      </c>
      <c r="W6" s="629">
        <f>HK!V36</f>
        <v>206.61887510665545</v>
      </c>
      <c r="X6" s="629">
        <f>HK!W36</f>
        <v>182.09961604146284</v>
      </c>
      <c r="Y6" s="629">
        <f>HK!X36</f>
        <v>191.47538533226023</v>
      </c>
      <c r="Z6" s="629">
        <f>HK!Y36</f>
        <v>199.20717974650333</v>
      </c>
      <c r="AA6" s="629">
        <f>HK!Z36</f>
        <v>205.04134235945071</v>
      </c>
      <c r="AB6" s="629">
        <f>HK!AA36</f>
        <v>209.27571784695238</v>
      </c>
      <c r="AC6" s="629">
        <f>HK!AB36</f>
        <v>212.12696495313637</v>
      </c>
      <c r="AD6" s="629">
        <f>HK!AC36</f>
        <v>213.74783097682933</v>
      </c>
      <c r="AE6" s="629">
        <f>HK!AD36</f>
        <v>214.24050336556539</v>
      </c>
      <c r="AF6" s="629">
        <f>HK!AE36</f>
        <v>213.66690431013328</v>
      </c>
      <c r="AG6" s="629">
        <f>HK!AF36</f>
        <v>212.05660306362637</v>
      </c>
    </row>
    <row r="7" spans="1:33" ht="12" x14ac:dyDescent="0.35">
      <c r="A7" s="630" t="s">
        <v>577</v>
      </c>
      <c r="B7" s="1651" t="s">
        <v>577</v>
      </c>
      <c r="C7" s="381"/>
      <c r="D7" s="381"/>
      <c r="E7" s="381">
        <f t="shared" ref="E7:W7" si="7">E6/D6-1</f>
        <v>0.46055636288146151</v>
      </c>
      <c r="F7" s="381">
        <f t="shared" si="7"/>
        <v>0.69668111719138648</v>
      </c>
      <c r="G7" s="381">
        <f t="shared" si="7"/>
        <v>-0.29435787886403619</v>
      </c>
      <c r="H7" s="381">
        <f t="shared" si="7"/>
        <v>4.3214911109132466</v>
      </c>
      <c r="I7" s="381">
        <f t="shared" si="7"/>
        <v>-0.22650127999910752</v>
      </c>
      <c r="J7" s="381">
        <f t="shared" si="7"/>
        <v>0.72246657917886448</v>
      </c>
      <c r="K7" s="381">
        <f t="shared" si="7"/>
        <v>-5.5470901951591212E-2</v>
      </c>
      <c r="L7" s="381">
        <f t="shared" si="7"/>
        <v>-0.19392725290407786</v>
      </c>
      <c r="M7" s="381">
        <f t="shared" si="7"/>
        <v>-0.34498419243986256</v>
      </c>
      <c r="N7" s="381">
        <f t="shared" si="7"/>
        <v>-0.47210213966138115</v>
      </c>
      <c r="O7" s="381">
        <f t="shared" si="7"/>
        <v>10.769228322918156</v>
      </c>
      <c r="P7" s="381">
        <f t="shared" si="7"/>
        <v>-0.87825928352845017</v>
      </c>
      <c r="Q7" s="381">
        <f t="shared" si="7"/>
        <v>0.2442429555972343</v>
      </c>
      <c r="R7" s="381">
        <f t="shared" si="7"/>
        <v>-0.32609374303170846</v>
      </c>
      <c r="S7" s="381">
        <f t="shared" si="7"/>
        <v>0.64026206075044656</v>
      </c>
      <c r="T7" s="381">
        <f t="shared" si="7"/>
        <v>0.56071963514977696</v>
      </c>
      <c r="U7" s="381">
        <f t="shared" si="7"/>
        <v>-0.1717698920642684</v>
      </c>
      <c r="V7" s="381">
        <f t="shared" si="7"/>
        <v>0.33303230359967428</v>
      </c>
      <c r="W7" s="381">
        <f t="shared" si="7"/>
        <v>-3.244210492548949E-2</v>
      </c>
      <c r="X7" s="381">
        <f t="shared" ref="X7:AC7" si="8">X6/W6-1</f>
        <v>-0.11866901827113285</v>
      </c>
      <c r="Y7" s="381">
        <f t="shared" si="8"/>
        <v>5.1487034924129649E-2</v>
      </c>
      <c r="Z7" s="381">
        <f t="shared" si="8"/>
        <v>4.0380095858412179E-2</v>
      </c>
      <c r="AA7" s="381">
        <f t="shared" si="8"/>
        <v>2.9286909339168998E-2</v>
      </c>
      <c r="AB7" s="381">
        <f t="shared" si="8"/>
        <v>2.0651325429183576E-2</v>
      </c>
      <c r="AC7" s="381">
        <f t="shared" si="8"/>
        <v>1.3624357070747939E-2</v>
      </c>
      <c r="AD7" s="381">
        <f t="shared" ref="AD7" si="9">AD6/AC6-1</f>
        <v>7.6410183120805275E-3</v>
      </c>
      <c r="AE7" s="381">
        <f t="shared" ref="AE7" si="10">AE6/AD6-1</f>
        <v>2.3049234534195939E-3</v>
      </c>
      <c r="AF7" s="381">
        <f t="shared" ref="AF7:AG7" si="11">AF6/AE6-1</f>
        <v>-2.6773604730258027E-3</v>
      </c>
      <c r="AG7" s="381">
        <f t="shared" si="11"/>
        <v>-7.5365029118856786E-3</v>
      </c>
    </row>
    <row r="8" spans="1:33" x14ac:dyDescent="0.25">
      <c r="A8" s="601" t="s">
        <v>1847</v>
      </c>
      <c r="B8" s="1659" t="s">
        <v>2986</v>
      </c>
      <c r="C8" s="374"/>
      <c r="D8" s="374">
        <f t="shared" ref="D8:AC8" si="12">D6/D3</f>
        <v>0.1226300414325083</v>
      </c>
      <c r="E8" s="374">
        <f t="shared" si="12"/>
        <v>0.22588775444679896</v>
      </c>
      <c r="F8" s="374">
        <f t="shared" si="12"/>
        <v>0.20527591958865712</v>
      </c>
      <c r="G8" s="374">
        <f t="shared" si="12"/>
        <v>5.8730017622665782E-2</v>
      </c>
      <c r="H8" s="374">
        <f t="shared" si="12"/>
        <v>0.42313773800421023</v>
      </c>
      <c r="I8" s="374">
        <f t="shared" si="12"/>
        <v>0.26562754377934028</v>
      </c>
      <c r="J8" s="374">
        <f t="shared" si="12"/>
        <v>0.52936431607358914</v>
      </c>
      <c r="K8" s="374">
        <f t="shared" si="12"/>
        <v>0.49305103338563266</v>
      </c>
      <c r="L8" s="374">
        <f t="shared" si="12"/>
        <v>0.34627555061382398</v>
      </c>
      <c r="M8" s="374">
        <f t="shared" si="12"/>
        <v>0.27301519641207922</v>
      </c>
      <c r="N8" s="374">
        <f t="shared" si="12"/>
        <v>0.34580045638248158</v>
      </c>
      <c r="O8" s="374">
        <f t="shared" si="12"/>
        <v>0.52489093064948023</v>
      </c>
      <c r="P8" s="374">
        <f t="shared" si="12"/>
        <v>0.11181248728092164</v>
      </c>
      <c r="Q8" s="374">
        <f t="shared" si="12"/>
        <v>0.22299150518022898</v>
      </c>
      <c r="R8" s="374">
        <f t="shared" si="12"/>
        <v>0.13777854772238229</v>
      </c>
      <c r="S8" s="374">
        <f t="shared" si="12"/>
        <v>0.18054938410996424</v>
      </c>
      <c r="T8" s="374">
        <f t="shared" si="12"/>
        <v>0.22091575552530496</v>
      </c>
      <c r="U8" s="374">
        <f t="shared" si="12"/>
        <v>0.15772664490519056</v>
      </c>
      <c r="V8" s="374">
        <f t="shared" ref="V8:W8" si="13">V6/V3</f>
        <v>0.22056609165503829</v>
      </c>
      <c r="W8" s="374">
        <f t="shared" si="13"/>
        <v>0.24633230463418035</v>
      </c>
      <c r="X8" s="374">
        <f t="shared" si="12"/>
        <v>0.21480423659538234</v>
      </c>
      <c r="Y8" s="374">
        <f t="shared" si="12"/>
        <v>0.21002441181045839</v>
      </c>
      <c r="Z8" s="374">
        <f t="shared" si="12"/>
        <v>0.20920618612759606</v>
      </c>
      <c r="AA8" s="374">
        <f t="shared" si="12"/>
        <v>0.20172463033141069</v>
      </c>
      <c r="AB8" s="374">
        <f t="shared" si="12"/>
        <v>0.19542726412432967</v>
      </c>
      <c r="AC8" s="374">
        <f t="shared" si="12"/>
        <v>0.18995023816961251</v>
      </c>
      <c r="AD8" s="374">
        <f t="shared" ref="AD8:AF8" si="14">AD6/AD3</f>
        <v>0.18504158504734469</v>
      </c>
      <c r="AE8" s="374">
        <f t="shared" si="14"/>
        <v>0.18051378674451218</v>
      </c>
      <c r="AF8" s="374">
        <f t="shared" si="14"/>
        <v>0.17621757811247643</v>
      </c>
      <c r="AG8" s="374">
        <f t="shared" ref="AG8" si="15">AG6/AG3</f>
        <v>0.17202636858347514</v>
      </c>
    </row>
    <row r="9" spans="1:33" x14ac:dyDescent="0.25">
      <c r="A9" s="601" t="s">
        <v>1846</v>
      </c>
      <c r="B9" s="1659" t="s">
        <v>2987</v>
      </c>
      <c r="C9" s="374"/>
      <c r="D9" s="374">
        <f>HK!C37</f>
        <v>2.5812404851253139E-3</v>
      </c>
      <c r="E9" s="374">
        <f>HK!D37</f>
        <v>5.0911907854186639E-3</v>
      </c>
      <c r="F9" s="374">
        <f>HK!E37</f>
        <v>7.7067086359587332E-3</v>
      </c>
      <c r="G9" s="374">
        <f>HK!F37</f>
        <v>0.01</v>
      </c>
      <c r="H9" s="374">
        <f>HK!G37</f>
        <v>2.8749365635354775E-2</v>
      </c>
      <c r="I9" s="374">
        <f>HK!H37</f>
        <v>1.5926865454471958E-2</v>
      </c>
      <c r="J9" s="374">
        <f>HK!I37</f>
        <v>2.1542530766251341E-2</v>
      </c>
      <c r="K9" s="374">
        <f>HK!J37</f>
        <v>2.0264882021331067E-2</v>
      </c>
      <c r="L9" s="374">
        <f>HK!K37</f>
        <v>1.1899115909590665E-2</v>
      </c>
      <c r="M9" s="374">
        <f>HK!L37</f>
        <v>7.3211146166703815E-3</v>
      </c>
      <c r="N9" s="374">
        <f>HK!M37</f>
        <v>3.5762138024144859E-3</v>
      </c>
      <c r="O9" s="374">
        <f>HK!N37</f>
        <v>4.9300157634215885E-2</v>
      </c>
      <c r="P9" s="374">
        <f>HK!O37</f>
        <v>6.057507566254304E-3</v>
      </c>
      <c r="Q9" s="374">
        <f>HK!P37</f>
        <v>5.2338406133894079E-3</v>
      </c>
      <c r="R9" s="374">
        <f>HK!Q37</f>
        <v>3.3724031591814019E-3</v>
      </c>
      <c r="S9" s="374">
        <f>HK!R37</f>
        <v>5.1974674875195567E-3</v>
      </c>
      <c r="T9" s="374">
        <f>HK!S37</f>
        <v>5.1974674875195567E-3</v>
      </c>
      <c r="U9" s="374">
        <f>HK!T37</f>
        <v>5.1974674875195567E-3</v>
      </c>
      <c r="V9" s="374">
        <f>HK!U37</f>
        <v>5.1974674875195567E-3</v>
      </c>
      <c r="W9" s="374">
        <f>HK!V37</f>
        <v>5.1974674875195567E-3</v>
      </c>
      <c r="X9" s="374">
        <f>HK!W37</f>
        <v>4.9974674875195571E-3</v>
      </c>
      <c r="Y9" s="374">
        <f>HK!X37</f>
        <v>4.7974674875195574E-3</v>
      </c>
      <c r="Z9" s="374">
        <f>HK!Y37</f>
        <v>4.5974674875195578E-3</v>
      </c>
      <c r="AA9" s="374">
        <f>HK!Z37</f>
        <v>4.3974674875195581E-3</v>
      </c>
      <c r="AB9" s="374">
        <f>HK!AA37</f>
        <v>4.1974674875195584E-3</v>
      </c>
      <c r="AC9" s="374">
        <f>HK!AB37</f>
        <v>3.9974674875195588E-3</v>
      </c>
      <c r="AD9" s="374">
        <f>HK!AC37</f>
        <v>3.7974674875195587E-3</v>
      </c>
      <c r="AE9" s="374">
        <f>HK!AD37</f>
        <v>3.5974674875195586E-3</v>
      </c>
      <c r="AF9" s="374">
        <f>HK!AE37</f>
        <v>3.3974674875195585E-3</v>
      </c>
      <c r="AG9" s="374">
        <f>HK!AF37</f>
        <v>3.1974674875195584E-3</v>
      </c>
    </row>
    <row r="10" spans="1:33" ht="12" x14ac:dyDescent="0.35">
      <c r="A10" s="631" t="s">
        <v>359</v>
      </c>
      <c r="B10" s="1670" t="s">
        <v>2924</v>
      </c>
      <c r="C10" s="632"/>
      <c r="D10" s="633">
        <f>Macau!D34</f>
        <v>2.6019999999999999</v>
      </c>
      <c r="E10" s="633">
        <f>Macau!E34</f>
        <v>2.375</v>
      </c>
      <c r="F10" s="633">
        <f>Macau!F34</f>
        <v>0.94699999999999995</v>
      </c>
      <c r="G10" s="633">
        <f>Macau!G34</f>
        <v>0</v>
      </c>
      <c r="H10" s="633">
        <f>Macau!H34</f>
        <v>2.899</v>
      </c>
      <c r="I10" s="633">
        <f>Macau!I34</f>
        <v>88.296000000000006</v>
      </c>
      <c r="J10" s="633">
        <f>Macau!J34</f>
        <v>5.3019999999999996</v>
      </c>
      <c r="K10" s="633">
        <f>Macau!K34</f>
        <v>6.36</v>
      </c>
      <c r="L10" s="633">
        <f>Macau!L34</f>
        <v>10.959</v>
      </c>
      <c r="M10" s="634">
        <f>Macau!M34</f>
        <v>5.2679999999999998</v>
      </c>
      <c r="N10" s="634">
        <f>Macau!N34</f>
        <v>9.0220000000000002</v>
      </c>
      <c r="O10" s="634">
        <f>Macau!O34</f>
        <v>2.9079999999999999</v>
      </c>
      <c r="P10" s="634">
        <f>Macau!P34</f>
        <v>16.638999999999999</v>
      </c>
      <c r="Q10" s="634">
        <f>Macau!Q34</f>
        <v>7.94</v>
      </c>
      <c r="R10" s="634">
        <f>Macau!R34</f>
        <v>10.551</v>
      </c>
      <c r="S10" s="634">
        <f>Macau!S34</f>
        <v>32.451000000000001</v>
      </c>
      <c r="T10" s="634">
        <f>Macau!T34</f>
        <v>40.699166799519361</v>
      </c>
      <c r="U10" s="634">
        <f>Macau!U34</f>
        <v>41.579528497138718</v>
      </c>
      <c r="V10" s="634">
        <f>Macau!V34</f>
        <v>33.913385611459439</v>
      </c>
      <c r="W10" s="634">
        <f>Macau!W34</f>
        <v>13.081706823075919</v>
      </c>
      <c r="X10" s="634">
        <f>Macau!X34</f>
        <v>15.795848436905288</v>
      </c>
      <c r="Y10" s="634">
        <f>Macau!Y34</f>
        <v>17.388783930636531</v>
      </c>
      <c r="Z10" s="634">
        <f>Macau!Z34</f>
        <v>19.917865316704756</v>
      </c>
      <c r="AA10" s="634">
        <f>Macau!AA34</f>
        <v>21.949071835202165</v>
      </c>
      <c r="AB10" s="634">
        <f>Macau!AB34</f>
        <v>23.518490801885967</v>
      </c>
      <c r="AC10" s="634">
        <f>Macau!AC34</f>
        <v>24.654185278141412</v>
      </c>
      <c r="AD10" s="634">
        <f>Macau!AD34</f>
        <v>25.37694386649984</v>
      </c>
      <c r="AE10" s="634">
        <f>Macau!AE34</f>
        <v>25.70091517214075</v>
      </c>
      <c r="AF10" s="634">
        <f>Macau!AF34</f>
        <v>25.634139618620182</v>
      </c>
      <c r="AG10" s="634">
        <f>Macau!AG34</f>
        <v>25.17898964757109</v>
      </c>
    </row>
    <row r="11" spans="1:33" ht="12" x14ac:dyDescent="0.35">
      <c r="A11" s="630" t="s">
        <v>577</v>
      </c>
      <c r="B11" s="1651" t="s">
        <v>577</v>
      </c>
      <c r="C11" s="381"/>
      <c r="D11" s="381"/>
      <c r="E11" s="381">
        <f>E10/D10-1</f>
        <v>-8.7240584166026092E-2</v>
      </c>
      <c r="F11" s="381">
        <f>F10/E10-1</f>
        <v>-0.60126315789473694</v>
      </c>
      <c r="G11" s="381">
        <f>G10/F10-1</f>
        <v>-1</v>
      </c>
      <c r="H11" s="381" t="s">
        <v>6</v>
      </c>
      <c r="I11" s="381">
        <f t="shared" ref="I11:W11" si="16">I10/H10-1</f>
        <v>29.457399103139014</v>
      </c>
      <c r="J11" s="381">
        <f t="shared" si="16"/>
        <v>-0.93995197970462985</v>
      </c>
      <c r="K11" s="381">
        <f t="shared" si="16"/>
        <v>0.19954734062617896</v>
      </c>
      <c r="L11" s="381">
        <f t="shared" si="16"/>
        <v>0.72311320754716957</v>
      </c>
      <c r="M11" s="381">
        <f t="shared" si="16"/>
        <v>-0.51929920613194636</v>
      </c>
      <c r="N11" s="381">
        <f t="shared" si="16"/>
        <v>0.71260440394836766</v>
      </c>
      <c r="O11" s="381">
        <f t="shared" si="16"/>
        <v>-0.67767679006872095</v>
      </c>
      <c r="P11" s="381">
        <f t="shared" si="16"/>
        <v>4.7218019257221453</v>
      </c>
      <c r="Q11" s="381">
        <f t="shared" si="16"/>
        <v>-0.52280786104934185</v>
      </c>
      <c r="R11" s="381">
        <f t="shared" si="16"/>
        <v>0.32884130982367754</v>
      </c>
      <c r="S11" s="381">
        <f t="shared" si="16"/>
        <v>2.075632641455786</v>
      </c>
      <c r="T11" s="381">
        <f t="shared" si="16"/>
        <v>0.25417296229759834</v>
      </c>
      <c r="U11" s="381">
        <f t="shared" si="16"/>
        <v>2.1630951364580708E-2</v>
      </c>
      <c r="V11" s="381">
        <f t="shared" si="16"/>
        <v>-0.18437301149787744</v>
      </c>
      <c r="W11" s="381">
        <f t="shared" si="16"/>
        <v>-0.61426125445123447</v>
      </c>
      <c r="X11" s="381">
        <f t="shared" ref="X11:AC11" si="17">X10/W10-1</f>
        <v>0.20747610770802982</v>
      </c>
      <c r="Y11" s="381">
        <f t="shared" si="17"/>
        <v>0.10084519993301044</v>
      </c>
      <c r="Z11" s="381">
        <f t="shared" si="17"/>
        <v>0.14544325791594592</v>
      </c>
      <c r="AA11" s="381">
        <f t="shared" si="17"/>
        <v>0.10197912709018442</v>
      </c>
      <c r="AB11" s="381">
        <f t="shared" si="17"/>
        <v>7.1502748656858905E-2</v>
      </c>
      <c r="AC11" s="381">
        <f t="shared" si="17"/>
        <v>4.8289428340545282E-2</v>
      </c>
      <c r="AD11" s="381">
        <f t="shared" ref="AD11" si="18">AD10/AC10-1</f>
        <v>2.9315857741980755E-2</v>
      </c>
      <c r="AE11" s="381">
        <f t="shared" ref="AE11" si="19">AE10/AD10-1</f>
        <v>1.2766364119541906E-2</v>
      </c>
      <c r="AF11" s="381">
        <f t="shared" ref="AF11:AG11" si="20">AF10/AE10-1</f>
        <v>-2.5981780443736779E-3</v>
      </c>
      <c r="AG11" s="381">
        <f t="shared" si="20"/>
        <v>-1.7755617228458864E-2</v>
      </c>
    </row>
    <row r="12" spans="1:33" x14ac:dyDescent="0.25">
      <c r="A12" s="601" t="s">
        <v>1847</v>
      </c>
      <c r="B12" s="1659" t="s">
        <v>2986</v>
      </c>
      <c r="C12" s="374"/>
      <c r="D12" s="374">
        <f t="shared" ref="D12:AC12" si="21">D10/D3</f>
        <v>1.6560274434678564E-2</v>
      </c>
      <c r="E12" s="374">
        <f t="shared" si="21"/>
        <v>1.9063443138765814E-2</v>
      </c>
      <c r="F12" s="374">
        <f t="shared" si="21"/>
        <v>4.0712971402039515E-3</v>
      </c>
      <c r="G12" s="374">
        <f t="shared" si="21"/>
        <v>0</v>
      </c>
      <c r="H12" s="374">
        <f t="shared" si="21"/>
        <v>6.8415885512540953E-3</v>
      </c>
      <c r="I12" s="374">
        <f t="shared" si="21"/>
        <v>0.16911476000130243</v>
      </c>
      <c r="J12" s="374">
        <f t="shared" si="21"/>
        <v>1.1749272041519116E-2</v>
      </c>
      <c r="K12" s="374">
        <f t="shared" si="21"/>
        <v>1.3897933228734633E-2</v>
      </c>
      <c r="L12" s="374">
        <f t="shared" si="21"/>
        <v>2.0865065342553387E-2</v>
      </c>
      <c r="M12" s="374">
        <f t="shared" si="21"/>
        <v>1.2072794274360437E-2</v>
      </c>
      <c r="N12" s="374">
        <f t="shared" si="21"/>
        <v>4.9608225881835437E-2</v>
      </c>
      <c r="O12" s="374">
        <f t="shared" si="21"/>
        <v>2.0622475377842326E-3</v>
      </c>
      <c r="P12" s="374">
        <f t="shared" si="21"/>
        <v>2.0647097072006116E-2</v>
      </c>
      <c r="Q12" s="374">
        <f t="shared" si="21"/>
        <v>1.579228962343146E-2</v>
      </c>
      <c r="R12" s="374">
        <f t="shared" si="21"/>
        <v>1.9240307815748203E-2</v>
      </c>
      <c r="S12" s="374">
        <f t="shared" si="21"/>
        <v>4.72767535201521E-2</v>
      </c>
      <c r="T12" s="374">
        <f t="shared" si="21"/>
        <v>4.6484789104888291E-2</v>
      </c>
      <c r="U12" s="374">
        <f t="shared" si="21"/>
        <v>4.093853221029907E-2</v>
      </c>
      <c r="V12" s="374">
        <f t="shared" ref="V12:W12" si="22">V10/V3</f>
        <v>3.5028122836959899E-2</v>
      </c>
      <c r="W12" s="374">
        <f t="shared" si="22"/>
        <v>1.5596092025056107E-2</v>
      </c>
      <c r="X12" s="374">
        <f t="shared" si="21"/>
        <v>1.8632742004756547E-2</v>
      </c>
      <c r="Y12" s="374">
        <f t="shared" si="21"/>
        <v>1.9073308617678385E-2</v>
      </c>
      <c r="Z12" s="374">
        <f t="shared" si="21"/>
        <v>2.0917622768483912E-2</v>
      </c>
      <c r="AA12" s="374">
        <f t="shared" si="21"/>
        <v>2.1594027580602485E-2</v>
      </c>
      <c r="AB12" s="374">
        <f t="shared" si="21"/>
        <v>2.1962195906106263E-2</v>
      </c>
      <c r="AC12" s="374">
        <f t="shared" si="21"/>
        <v>2.2076723562680076E-2</v>
      </c>
      <c r="AD12" s="374">
        <f t="shared" ref="AD12:AF12" si="23">AD10/AD3</f>
        <v>2.1968830725695901E-2</v>
      </c>
      <c r="AE12" s="374">
        <f t="shared" si="23"/>
        <v>2.165495995220992E-2</v>
      </c>
      <c r="AF12" s="374">
        <f t="shared" si="23"/>
        <v>2.1141252620170518E-2</v>
      </c>
      <c r="AG12" s="374">
        <f t="shared" ref="AG12" si="24">AG10/AG3</f>
        <v>2.0425915020306828E-2</v>
      </c>
    </row>
    <row r="13" spans="1:33" x14ac:dyDescent="0.25">
      <c r="A13" s="601" t="s">
        <v>1846</v>
      </c>
      <c r="B13" s="1659" t="s">
        <v>2987</v>
      </c>
      <c r="C13" s="374"/>
      <c r="D13" s="374">
        <f>Macau!D35</f>
        <v>1.676978602732663E-3</v>
      </c>
      <c r="E13" s="374">
        <f>Macau!E35</f>
        <v>1.4967399428528936E-3</v>
      </c>
      <c r="F13" s="374">
        <f>Macau!F35</f>
        <v>4.5568499511594221E-4</v>
      </c>
      <c r="G13" s="374">
        <f>Macau!G35</f>
        <v>0</v>
      </c>
      <c r="H13" s="374">
        <f>Macau!H35</f>
        <v>3.4933603258380928E-2</v>
      </c>
      <c r="I13" s="374">
        <f>Macau!I35</f>
        <v>0.36322947434241382</v>
      </c>
      <c r="J13" s="374">
        <f>Macau!J35</f>
        <v>5.8888340952609431E-3</v>
      </c>
      <c r="K13" s="374">
        <f>Macau!K35</f>
        <v>7.603226350200303E-3</v>
      </c>
      <c r="L13" s="374">
        <f>Macau!L35</f>
        <v>4.8579302530831394E-3</v>
      </c>
      <c r="M13" s="374">
        <f>Macau!M35</f>
        <v>9.9130127486085932E-4</v>
      </c>
      <c r="N13" s="374">
        <f>Macau!N35</f>
        <v>1.0351103415921494E-3</v>
      </c>
      <c r="O13" s="374">
        <f>Macau!O35</f>
        <v>3.6087266655117416E-4</v>
      </c>
      <c r="P13" s="374">
        <f>Macau!P35</f>
        <v>2.3687061446278812E-3</v>
      </c>
      <c r="Q13" s="374">
        <f>Macau!Q35</f>
        <v>1.691647946330871E-3</v>
      </c>
      <c r="R13" s="374">
        <f>Macau!R35</f>
        <v>2.3433882182054013E-3</v>
      </c>
      <c r="S13" s="374">
        <f>Macau!S35</f>
        <v>3.8607783184419361E-3</v>
      </c>
      <c r="T13" s="374">
        <f>Macau!T35</f>
        <v>3.8607783184419361E-3</v>
      </c>
      <c r="U13" s="374">
        <f>Macau!U35</f>
        <v>3.8607783184419361E-3</v>
      </c>
      <c r="V13" s="374">
        <f>Macau!V35</f>
        <v>3.8607783184419361E-3</v>
      </c>
      <c r="W13" s="374">
        <f>Macau!W35</f>
        <v>3.8607783184419361E-3</v>
      </c>
      <c r="X13" s="374">
        <f>Macau!X35</f>
        <v>3.660778318441936E-3</v>
      </c>
      <c r="Y13" s="374">
        <f>Macau!Y35</f>
        <v>3.4607783184419359E-3</v>
      </c>
      <c r="Z13" s="374">
        <f>Macau!Z35</f>
        <v>3.2607783184419358E-3</v>
      </c>
      <c r="AA13" s="374">
        <f>Macau!AA35</f>
        <v>3.0607783184419357E-3</v>
      </c>
      <c r="AB13" s="374">
        <f>Macau!AB35</f>
        <v>2.8607783184419356E-3</v>
      </c>
      <c r="AC13" s="374">
        <f>Macau!AC35</f>
        <v>2.6607783184419355E-3</v>
      </c>
      <c r="AD13" s="374">
        <f>Macau!AD35</f>
        <v>2.4607783184419354E-3</v>
      </c>
      <c r="AE13" s="374">
        <f>Macau!AE35</f>
        <v>2.2607783184419353E-3</v>
      </c>
      <c r="AF13" s="374">
        <f>Macau!AF35</f>
        <v>2.0607783184419352E-3</v>
      </c>
      <c r="AG13" s="374">
        <f>Macau!AG35</f>
        <v>1.8607783184419351E-3</v>
      </c>
    </row>
    <row r="14" spans="1:33" ht="12" x14ac:dyDescent="0.35">
      <c r="A14" s="631" t="s">
        <v>157</v>
      </c>
      <c r="B14" s="1670" t="s">
        <v>143</v>
      </c>
      <c r="C14" s="632"/>
      <c r="D14" s="633">
        <f>'MainLand China'!D73</f>
        <v>85.010999999999996</v>
      </c>
      <c r="E14" s="633">
        <f>'MainLand China'!E73</f>
        <v>72.347999999999999</v>
      </c>
      <c r="F14" s="633">
        <f>'MainLand China'!F73</f>
        <v>157.005</v>
      </c>
      <c r="G14" s="633">
        <f>'MainLand China'!G73</f>
        <v>540</v>
      </c>
      <c r="H14" s="633">
        <f>'MainLand China'!H73</f>
        <v>241.536</v>
      </c>
      <c r="I14" s="633">
        <f>'MainLand China'!I73</f>
        <v>295.125</v>
      </c>
      <c r="J14" s="633">
        <f>'MainLand China'!J73</f>
        <v>207.078</v>
      </c>
      <c r="K14" s="633">
        <f>'MainLand China'!K73</f>
        <v>225.631</v>
      </c>
      <c r="L14" s="633">
        <f>'MainLand China'!L73</f>
        <v>321.40199999999999</v>
      </c>
      <c r="M14" s="634">
        <f>'MainLand China'!M73</f>
        <v>303.44600000000003</v>
      </c>
      <c r="N14" s="634">
        <f>'MainLand China'!N73</f>
        <v>103.21</v>
      </c>
      <c r="O14" s="634">
        <f>'MainLand China'!O73</f>
        <v>664.38400000000001</v>
      </c>
      <c r="P14" s="634">
        <f>'MainLand China'!P73</f>
        <v>582.55100000000004</v>
      </c>
      <c r="Q14" s="634">
        <f>'MainLand China'!Q73</f>
        <v>344.62900000000002</v>
      </c>
      <c r="R14" s="634">
        <f>'MainLand China'!R73</f>
        <v>318.50400000000002</v>
      </c>
      <c r="S14" s="634">
        <f>'MainLand China'!S73</f>
        <v>367.67700000000002</v>
      </c>
      <c r="T14" s="634">
        <f>'MainLand China'!T73</f>
        <v>441.17449779669954</v>
      </c>
      <c r="U14" s="634">
        <f>'MainLand China'!U73</f>
        <v>600.42414298631172</v>
      </c>
      <c r="V14" s="634">
        <f>'MainLand China'!V73</f>
        <v>548.11420363089292</v>
      </c>
      <c r="W14" s="634">
        <f>'MainLand China'!W73</f>
        <v>486.24580578258883</v>
      </c>
      <c r="X14" s="634">
        <f>'MainLand China'!X73</f>
        <v>526.73424758080375</v>
      </c>
      <c r="Y14" s="634">
        <f>'MainLand China'!Y73</f>
        <v>567.96526094105536</v>
      </c>
      <c r="Z14" s="634">
        <f>'MainLand China'!Z73</f>
        <v>587.92863979452898</v>
      </c>
      <c r="AA14" s="634">
        <f>'MainLand China'!AA73</f>
        <v>634.61656380637237</v>
      </c>
      <c r="AB14" s="634">
        <f>'MainLand China'!AB73</f>
        <v>673.42449691968477</v>
      </c>
      <c r="AC14" s="634">
        <f>'MainLand China'!AC73</f>
        <v>705.33158587165724</v>
      </c>
      <c r="AD14" s="634">
        <f>'MainLand China'!AD73</f>
        <v>731.13886158950447</v>
      </c>
      <c r="AE14" s="634">
        <f>'MainLand China'!AE73</f>
        <v>751.50291303913332</v>
      </c>
      <c r="AF14" s="634">
        <f>'MainLand China'!AF73</f>
        <v>766.96386272130962</v>
      </c>
      <c r="AG14" s="634">
        <f>'MainLand China'!AG73</f>
        <v>777.96858930435644</v>
      </c>
    </row>
    <row r="15" spans="1:33" ht="12" x14ac:dyDescent="0.35">
      <c r="A15" s="630" t="s">
        <v>577</v>
      </c>
      <c r="B15" s="1651" t="s">
        <v>577</v>
      </c>
      <c r="C15" s="381"/>
      <c r="D15" s="381"/>
      <c r="E15" s="381">
        <f t="shared" ref="E15:AC15" si="25">E14/D14-1</f>
        <v>-0.14895719377492322</v>
      </c>
      <c r="F15" s="381">
        <f t="shared" si="25"/>
        <v>1.1701360092884392</v>
      </c>
      <c r="G15" s="381">
        <f t="shared" si="25"/>
        <v>2.4393809114359417</v>
      </c>
      <c r="H15" s="381">
        <f t="shared" si="25"/>
        <v>-0.55271111111111115</v>
      </c>
      <c r="I15" s="381">
        <f t="shared" si="25"/>
        <v>0.22186754769475359</v>
      </c>
      <c r="J15" s="381">
        <f t="shared" si="25"/>
        <v>-0.2983379923761118</v>
      </c>
      <c r="K15" s="381">
        <f t="shared" si="25"/>
        <v>8.9594259168042978E-2</v>
      </c>
      <c r="L15" s="381">
        <f t="shared" si="25"/>
        <v>0.42445851855463124</v>
      </c>
      <c r="M15" s="381">
        <f t="shared" si="25"/>
        <v>-5.5867729510083786E-2</v>
      </c>
      <c r="N15" s="381">
        <f t="shared" si="25"/>
        <v>-0.6598735854155271</v>
      </c>
      <c r="O15" s="381">
        <f t="shared" si="25"/>
        <v>5.4372056971223728</v>
      </c>
      <c r="P15" s="381">
        <f t="shared" si="25"/>
        <v>-0.12317123832000765</v>
      </c>
      <c r="Q15" s="381">
        <f t="shared" si="25"/>
        <v>-0.40841402726971543</v>
      </c>
      <c r="R15" s="381">
        <f t="shared" si="25"/>
        <v>-7.5806156765681365E-2</v>
      </c>
      <c r="S15" s="381">
        <f t="shared" si="25"/>
        <v>0.15438738602968871</v>
      </c>
      <c r="T15" s="381">
        <f t="shared" si="25"/>
        <v>0.19989691440231372</v>
      </c>
      <c r="U15" s="381">
        <f t="shared" si="25"/>
        <v>0.36096747655390771</v>
      </c>
      <c r="V15" s="381">
        <f t="shared" si="25"/>
        <v>-8.7121645534182557E-2</v>
      </c>
      <c r="W15" s="381">
        <f t="shared" si="25"/>
        <v>-0.11287501297807467</v>
      </c>
      <c r="X15" s="381">
        <f t="shared" si="25"/>
        <v>8.3267436586009769E-2</v>
      </c>
      <c r="Y15" s="381">
        <f t="shared" si="25"/>
        <v>7.8276689905048435E-2</v>
      </c>
      <c r="Z15" s="381">
        <f t="shared" si="25"/>
        <v>3.5148943476571937E-2</v>
      </c>
      <c r="AA15" s="381">
        <f t="shared" si="25"/>
        <v>7.9410868686648817E-2</v>
      </c>
      <c r="AB15" s="381">
        <f t="shared" si="25"/>
        <v>6.1151780975501113E-2</v>
      </c>
      <c r="AC15" s="381">
        <f t="shared" si="25"/>
        <v>4.7380350875144694E-2</v>
      </c>
      <c r="AD15" s="381">
        <f t="shared" ref="AD15" si="26">AD14/AC14-1</f>
        <v>3.6588855844239987E-2</v>
      </c>
      <c r="AE15" s="381">
        <f t="shared" ref="AE15" si="27">AE14/AD14-1</f>
        <v>2.7852508626551753E-2</v>
      </c>
      <c r="AF15" s="381">
        <f t="shared" ref="AF15:AG15" si="28">AF14/AE14-1</f>
        <v>2.0573372922336519E-2</v>
      </c>
      <c r="AG15" s="381">
        <f t="shared" si="28"/>
        <v>1.4348429069396262E-2</v>
      </c>
    </row>
    <row r="16" spans="1:33" x14ac:dyDescent="0.25">
      <c r="A16" s="601" t="s">
        <v>1847</v>
      </c>
      <c r="B16" s="1659" t="s">
        <v>2986</v>
      </c>
      <c r="C16" s="374"/>
      <c r="D16" s="374">
        <f t="shared" ref="D16:AC16" si="29">D14/D3</f>
        <v>0.54104745963353551</v>
      </c>
      <c r="E16" s="374">
        <f t="shared" si="29"/>
        <v>0.58071662492775966</v>
      </c>
      <c r="F16" s="374">
        <f t="shared" si="29"/>
        <v>0.67498839228904062</v>
      </c>
      <c r="G16" s="374">
        <f t="shared" si="29"/>
        <v>0.94126998237733428</v>
      </c>
      <c r="H16" s="374">
        <f t="shared" si="29"/>
        <v>0.57002067344453577</v>
      </c>
      <c r="I16" s="374">
        <f t="shared" si="29"/>
        <v>0.5652576962193574</v>
      </c>
      <c r="J16" s="374">
        <f t="shared" si="29"/>
        <v>0.45888641188489171</v>
      </c>
      <c r="K16" s="374">
        <f t="shared" si="29"/>
        <v>0.49305103338563266</v>
      </c>
      <c r="L16" s="374">
        <f t="shared" si="29"/>
        <v>0.61192387364060075</v>
      </c>
      <c r="M16" s="374">
        <f t="shared" si="29"/>
        <v>0.69541403405041335</v>
      </c>
      <c r="N16" s="374">
        <f t="shared" si="29"/>
        <v>0.56750886646688481</v>
      </c>
      <c r="O16" s="374">
        <f t="shared" si="29"/>
        <v>0.47115690101211816</v>
      </c>
      <c r="P16" s="374">
        <f t="shared" si="29"/>
        <v>0.72287920225940472</v>
      </c>
      <c r="Q16" s="374">
        <f t="shared" si="29"/>
        <v>0.68545100511757695</v>
      </c>
      <c r="R16" s="374">
        <f t="shared" si="29"/>
        <v>0.58080892811554041</v>
      </c>
      <c r="S16" s="374">
        <f t="shared" si="29"/>
        <v>0.53565606311142844</v>
      </c>
      <c r="T16" s="374">
        <f t="shared" si="29"/>
        <v>0.5038900081064257</v>
      </c>
      <c r="U16" s="374">
        <f t="shared" si="29"/>
        <v>0.59116791377703659</v>
      </c>
      <c r="V16" s="374">
        <f t="shared" ref="V16:W16" si="30">V14/V3</f>
        <v>0.56613078603918054</v>
      </c>
      <c r="W16" s="374">
        <f t="shared" si="30"/>
        <v>0.57970526601357419</v>
      </c>
      <c r="X16" s="374">
        <f t="shared" si="29"/>
        <v>0.62133435753360056</v>
      </c>
      <c r="Y16" s="374">
        <f t="shared" si="29"/>
        <v>0.62298644627833</v>
      </c>
      <c r="Z16" s="374">
        <f t="shared" si="29"/>
        <v>0.61743913348463331</v>
      </c>
      <c r="AA16" s="374">
        <f t="shared" si="29"/>
        <v>0.62435111993954429</v>
      </c>
      <c r="AB16" s="374">
        <f t="shared" si="29"/>
        <v>0.62886181149579368</v>
      </c>
      <c r="AC16" s="374">
        <f t="shared" si="29"/>
        <v>0.6315929837325045</v>
      </c>
      <c r="AD16" s="374">
        <f t="shared" ref="AD16:AF16" si="31">AD14/AD3</f>
        <v>0.63294721270364085</v>
      </c>
      <c r="AE16" s="374">
        <f t="shared" si="31"/>
        <v>0.63319789886205857</v>
      </c>
      <c r="AF16" s="374">
        <f t="shared" si="31"/>
        <v>0.63253836538188357</v>
      </c>
      <c r="AG16" s="374">
        <f t="shared" ref="AG16" si="32">AG14/AG3</f>
        <v>0.63111032317103632</v>
      </c>
    </row>
    <row r="17" spans="1:33" x14ac:dyDescent="0.25">
      <c r="A17" s="601" t="s">
        <v>1846</v>
      </c>
      <c r="B17" s="1659" t="s">
        <v>2987</v>
      </c>
      <c r="C17" s="374"/>
      <c r="D17" s="374">
        <f>'MainLand China'!D74</f>
        <v>0.10058544989008024</v>
      </c>
      <c r="E17" s="374">
        <f>'MainLand China'!E74</f>
        <v>9.4398682687703309E-2</v>
      </c>
      <c r="F17" s="374">
        <f>'MainLand China'!F74</f>
        <v>0.14922401232532079</v>
      </c>
      <c r="G17" s="374">
        <f>'MainLand China'!G74</f>
        <v>0.25298913692755937</v>
      </c>
      <c r="H17" s="374">
        <f>'MainLand China'!H74</f>
        <v>5.0056027453555862E-2</v>
      </c>
      <c r="I17" s="374">
        <f>'MainLand China'!I74</f>
        <v>3.9103139274881724E-2</v>
      </c>
      <c r="J17" s="374">
        <f>'MainLand China'!J74</f>
        <v>2.3505011548872409E-2</v>
      </c>
      <c r="K17" s="374">
        <f>'MainLand China'!K74</f>
        <v>1.6164787684697268E-2</v>
      </c>
      <c r="L17" s="374">
        <f>'MainLand China'!L74</f>
        <v>2.0713017006157606E-2</v>
      </c>
      <c r="M17" s="374">
        <f>'MainLand China'!M74</f>
        <v>2.0739907402218028E-2</v>
      </c>
      <c r="N17" s="374">
        <f>'MainLand China'!N74</f>
        <v>5.6508255209479679E-3</v>
      </c>
      <c r="O17" s="374">
        <f>'MainLand China'!O74</f>
        <v>2.6735932804109547E-2</v>
      </c>
      <c r="P17" s="374">
        <f>'MainLand China'!P74</f>
        <v>1.9024691888206002E-2</v>
      </c>
      <c r="Q17" s="374">
        <f>'MainLand China'!Q74</f>
        <v>1.0791388758035089E-2</v>
      </c>
      <c r="R17" s="374">
        <f>'MainLand China'!R74</f>
        <v>9.8456627509963326E-3</v>
      </c>
      <c r="S17" s="374">
        <f>'MainLand China'!S74</f>
        <v>9.0718533509912859E-3</v>
      </c>
      <c r="T17" s="374">
        <f>'MainLand China'!T74</f>
        <v>9.0718533509912859E-3</v>
      </c>
      <c r="U17" s="374">
        <f>'MainLand China'!U74</f>
        <v>9.0718533509912859E-3</v>
      </c>
      <c r="V17" s="374">
        <f>'MainLand China'!V74</f>
        <v>9.0718533509912859E-3</v>
      </c>
      <c r="W17" s="374">
        <f>'MainLand China'!W74</f>
        <v>9.0718533509912859E-3</v>
      </c>
      <c r="X17" s="374">
        <f>'MainLand China'!X74</f>
        <v>8.8718533509912854E-3</v>
      </c>
      <c r="Y17" s="374">
        <f>'MainLand China'!Y74</f>
        <v>8.6718533509912848E-3</v>
      </c>
      <c r="Z17" s="374">
        <f>'MainLand China'!Z74</f>
        <v>8.4718533509912843E-3</v>
      </c>
      <c r="AA17" s="374">
        <f>'MainLand China'!AA74</f>
        <v>8.2718533509912838E-3</v>
      </c>
      <c r="AB17" s="374">
        <f>'MainLand China'!AB74</f>
        <v>8.0718533509912833E-3</v>
      </c>
      <c r="AC17" s="374">
        <f>'MainLand China'!AC74</f>
        <v>7.8718533509912827E-3</v>
      </c>
      <c r="AD17" s="374">
        <f>'MainLand China'!AD74</f>
        <v>7.6718533509912831E-3</v>
      </c>
      <c r="AE17" s="374">
        <f>'MainLand China'!AE74</f>
        <v>7.4718533509912834E-3</v>
      </c>
      <c r="AF17" s="374">
        <f>'MainLand China'!AF74</f>
        <v>7.2718533509912838E-3</v>
      </c>
      <c r="AG17" s="374">
        <f>'MainLand China'!AG74</f>
        <v>7.0718533509912841E-3</v>
      </c>
    </row>
    <row r="18" spans="1:33" ht="12" x14ac:dyDescent="0.35">
      <c r="A18" s="631" t="s">
        <v>718</v>
      </c>
      <c r="B18" s="1670" t="s">
        <v>2930</v>
      </c>
      <c r="C18" s="632"/>
      <c r="D18" s="633">
        <f>Overseas!D24</f>
        <v>50.241999999999997</v>
      </c>
      <c r="E18" s="633">
        <f>Overseas!E24</f>
        <v>21.718999999999998</v>
      </c>
      <c r="F18" s="633">
        <f>Overseas!F24</f>
        <v>26.904</v>
      </c>
      <c r="G18" s="633">
        <f>Overseas!G24</f>
        <v>0</v>
      </c>
      <c r="H18" s="633">
        <f>Overseas!H24</f>
        <v>0</v>
      </c>
      <c r="I18" s="633">
        <f>Overseas!I24</f>
        <v>0</v>
      </c>
      <c r="J18" s="633">
        <f>Overseas!J24</f>
        <v>0</v>
      </c>
      <c r="K18" s="633">
        <f>Overseas!K24</f>
        <v>0</v>
      </c>
      <c r="L18" s="633">
        <f>Overseas!L24</f>
        <v>10.996</v>
      </c>
      <c r="M18" s="634">
        <f>Overseas!M24</f>
        <v>8.5079999999999991</v>
      </c>
      <c r="N18" s="634">
        <f>Overseas!N24</f>
        <v>6.7439999999999998</v>
      </c>
      <c r="O18" s="634">
        <f>Overseas!O24</f>
        <v>2.665</v>
      </c>
      <c r="P18" s="634">
        <f>Overseas!P24</f>
        <v>116.57899999999999</v>
      </c>
      <c r="Q18" s="634">
        <f>Overseas!Q24</f>
        <v>38.093000000000004</v>
      </c>
      <c r="R18" s="634">
        <f>Overseas!R24</f>
        <v>143.77000000000001</v>
      </c>
      <c r="S18" s="634">
        <f>Overseas!S24</f>
        <v>162.34700000000001</v>
      </c>
      <c r="T18" s="634">
        <f>Overseas!T24</f>
        <v>200.24365221481384</v>
      </c>
      <c r="U18" s="634">
        <f>Overseas!U24</f>
        <v>213.4576037435792</v>
      </c>
      <c r="V18" s="634">
        <f>Overseas!V24</f>
        <v>172.6015644632127</v>
      </c>
      <c r="W18" s="634">
        <f>Overseas!W24</f>
        <v>132.83468655034318</v>
      </c>
      <c r="X18" s="634">
        <f>Overseas!X24</f>
        <v>123.11714306676402</v>
      </c>
      <c r="Y18" s="634">
        <f>Overseas!Y24</f>
        <v>134.85213900840117</v>
      </c>
      <c r="Z18" s="634">
        <f>Overseas!Z24</f>
        <v>145.15133084388154</v>
      </c>
      <c r="AA18" s="634">
        <f>Overseas!AA24</f>
        <v>154.83480217520321</v>
      </c>
      <c r="AB18" s="634">
        <f>Overseas!AB24</f>
        <v>164.64373926318868</v>
      </c>
      <c r="AC18" s="634">
        <f>Overseas!AC24</f>
        <v>174.63745593273669</v>
      </c>
      <c r="AD18" s="634">
        <f>Overseas!AD24</f>
        <v>184.87038883040569</v>
      </c>
      <c r="AE18" s="634">
        <f>Overseas!AE24</f>
        <v>195.39301325592879</v>
      </c>
      <c r="AF18" s="634">
        <f>Overseas!AF24</f>
        <v>206.25263330701011</v>
      </c>
      <c r="AG18" s="634">
        <f>Overseas!AG24</f>
        <v>217.49406540880358</v>
      </c>
    </row>
    <row r="19" spans="1:33" ht="12" x14ac:dyDescent="0.35">
      <c r="A19" s="630" t="s">
        <v>577</v>
      </c>
      <c r="B19" s="1651" t="s">
        <v>577</v>
      </c>
      <c r="C19" s="381"/>
      <c r="D19" s="381"/>
      <c r="E19" s="381">
        <f>E18/D18-1</f>
        <v>-0.56771227260061308</v>
      </c>
      <c r="F19" s="381">
        <f>F18/E18-1</f>
        <v>0.2387310649661587</v>
      </c>
      <c r="G19" s="381">
        <f>G18/F18-1</f>
        <v>-1</v>
      </c>
      <c r="H19" s="381" t="s">
        <v>6</v>
      </c>
      <c r="I19" s="381" t="s">
        <v>6</v>
      </c>
      <c r="J19" s="381" t="s">
        <v>6</v>
      </c>
      <c r="K19" s="381" t="s">
        <v>6</v>
      </c>
      <c r="L19" s="381" t="s">
        <v>6</v>
      </c>
      <c r="M19" s="381">
        <f t="shared" ref="M19:W19" si="33">M18/L18-1</f>
        <v>-0.22626409603492192</v>
      </c>
      <c r="N19" s="381">
        <f t="shared" si="33"/>
        <v>-0.2073342736248236</v>
      </c>
      <c r="O19" s="381">
        <f t="shared" si="33"/>
        <v>-0.60483392645314349</v>
      </c>
      <c r="P19" s="381">
        <f t="shared" si="33"/>
        <v>42.744465290806751</v>
      </c>
      <c r="Q19" s="381">
        <f t="shared" si="33"/>
        <v>-0.67324303691059284</v>
      </c>
      <c r="R19" s="381">
        <f t="shared" si="33"/>
        <v>2.7741842333237079</v>
      </c>
      <c r="S19" s="381">
        <f t="shared" si="33"/>
        <v>0.12921332684148301</v>
      </c>
      <c r="T19" s="381">
        <f t="shared" si="33"/>
        <v>0.23342995075248596</v>
      </c>
      <c r="U19" s="381">
        <f t="shared" si="33"/>
        <v>6.5989365368695596E-2</v>
      </c>
      <c r="V19" s="381">
        <f t="shared" si="33"/>
        <v>-0.19140118957507712</v>
      </c>
      <c r="W19" s="381">
        <f t="shared" si="33"/>
        <v>-0.23039697256825964</v>
      </c>
      <c r="X19" s="381">
        <f t="shared" ref="X19:AC19" si="34">X18/W18-1</f>
        <v>-7.3155165536497924E-2</v>
      </c>
      <c r="Y19" s="381">
        <f t="shared" si="34"/>
        <v>9.5315694056298028E-2</v>
      </c>
      <c r="Z19" s="381">
        <f t="shared" si="34"/>
        <v>7.6373959739998831E-2</v>
      </c>
      <c r="AA19" s="381">
        <f t="shared" si="34"/>
        <v>6.6712935217499325E-2</v>
      </c>
      <c r="AB19" s="381">
        <f t="shared" si="34"/>
        <v>6.3350984082287676E-2</v>
      </c>
      <c r="AC19" s="381">
        <f t="shared" si="34"/>
        <v>6.0699038507457059E-2</v>
      </c>
      <c r="AD19" s="381">
        <f t="shared" ref="AD19" si="35">AD18/AC18-1</f>
        <v>5.8595292991500791E-2</v>
      </c>
      <c r="AE19" s="381">
        <f t="shared" ref="AE19" si="36">AE18/AD18-1</f>
        <v>5.6918928402191149E-2</v>
      </c>
      <c r="AF19" s="381">
        <f t="shared" ref="AF19:AG19" si="37">AF18/AE18-1</f>
        <v>5.5578343719267176E-2</v>
      </c>
      <c r="AG19" s="381">
        <f t="shared" si="37"/>
        <v>5.4503217348311095E-2</v>
      </c>
    </row>
    <row r="20" spans="1:33" x14ac:dyDescent="0.25">
      <c r="A20" s="601" t="s">
        <v>1847</v>
      </c>
      <c r="B20" s="1659" t="s">
        <v>2986</v>
      </c>
      <c r="C20" s="374"/>
      <c r="D20" s="374">
        <f t="shared" ref="D20:AC20" si="38">D18/D3</f>
        <v>0.31976222449927766</v>
      </c>
      <c r="E20" s="374">
        <f t="shared" si="38"/>
        <v>0.17433217748667565</v>
      </c>
      <c r="F20" s="374">
        <f t="shared" si="38"/>
        <v>0.11566439098209834</v>
      </c>
      <c r="G20" s="374">
        <f t="shared" si="38"/>
        <v>0</v>
      </c>
      <c r="H20" s="374">
        <f t="shared" si="38"/>
        <v>0</v>
      </c>
      <c r="I20" s="374">
        <f t="shared" si="38"/>
        <v>0</v>
      </c>
      <c r="J20" s="374">
        <f t="shared" si="38"/>
        <v>0</v>
      </c>
      <c r="K20" s="374">
        <f t="shared" si="38"/>
        <v>0</v>
      </c>
      <c r="L20" s="374">
        <f t="shared" si="38"/>
        <v>2.0935510403021905E-2</v>
      </c>
      <c r="M20" s="374">
        <f t="shared" si="38"/>
        <v>1.9497975263147036E-2</v>
      </c>
      <c r="N20" s="374">
        <f t="shared" si="38"/>
        <v>3.7082451268798285E-2</v>
      </c>
      <c r="O20" s="374">
        <f t="shared" si="38"/>
        <v>1.8899208006172559E-3</v>
      </c>
      <c r="P20" s="374">
        <f t="shared" si="38"/>
        <v>0.14466121338766758</v>
      </c>
      <c r="Q20" s="374">
        <f t="shared" si="38"/>
        <v>7.5765200078762557E-2</v>
      </c>
      <c r="R20" s="374">
        <f t="shared" si="38"/>
        <v>0.2621722163463292</v>
      </c>
      <c r="S20" s="374">
        <f t="shared" si="38"/>
        <v>0.23651779925845531</v>
      </c>
      <c r="T20" s="374">
        <f t="shared" si="38"/>
        <v>0.22870944726338097</v>
      </c>
      <c r="U20" s="374">
        <f t="shared" si="38"/>
        <v>0.21016690910747385</v>
      </c>
      <c r="V20" s="374">
        <f t="shared" ref="V20:W20" si="39">V18/V3</f>
        <v>0.17827499946882139</v>
      </c>
      <c r="W20" s="374">
        <f t="shared" si="39"/>
        <v>0.1583663373271893</v>
      </c>
      <c r="X20" s="374">
        <f t="shared" si="38"/>
        <v>0.14522866386626054</v>
      </c>
      <c r="Y20" s="374">
        <f t="shared" si="38"/>
        <v>0.14791583329353317</v>
      </c>
      <c r="Z20" s="374">
        <f t="shared" si="38"/>
        <v>0.15243705761928683</v>
      </c>
      <c r="AA20" s="374">
        <f t="shared" si="38"/>
        <v>0.15233022214844247</v>
      </c>
      <c r="AB20" s="374">
        <f t="shared" si="38"/>
        <v>0.15374872847377027</v>
      </c>
      <c r="AC20" s="374">
        <f t="shared" si="38"/>
        <v>0.15638005453520293</v>
      </c>
      <c r="AD20" s="374">
        <f t="shared" ref="AD20:AF20" si="40">AD18/AD3</f>
        <v>0.16004237152331846</v>
      </c>
      <c r="AE20" s="374">
        <f t="shared" si="40"/>
        <v>0.16463335444121935</v>
      </c>
      <c r="AF20" s="374">
        <f t="shared" si="40"/>
        <v>0.17010280388546967</v>
      </c>
      <c r="AG20" s="374">
        <f t="shared" ref="AG20" si="41">AG18/AG3</f>
        <v>0.17643739322518159</v>
      </c>
    </row>
    <row r="21" spans="1:33" x14ac:dyDescent="0.25">
      <c r="A21" s="635" t="s">
        <v>1846</v>
      </c>
      <c r="B21" s="1671" t="s">
        <v>2987</v>
      </c>
      <c r="C21" s="497"/>
      <c r="D21" s="497">
        <f>Overseas!D26</f>
        <v>4.0237120469499801E-2</v>
      </c>
      <c r="E21" s="497">
        <f>Overseas!E26</f>
        <v>8.9864200335227091E-3</v>
      </c>
      <c r="F21" s="497">
        <f>Overseas!F26</f>
        <v>1.4389097146194491E-2</v>
      </c>
      <c r="G21" s="497">
        <f>Overseas!G26</f>
        <v>0</v>
      </c>
      <c r="H21" s="497">
        <f>Overseas!H26</f>
        <v>0</v>
      </c>
      <c r="I21" s="497">
        <f>Overseas!I26</f>
        <v>0</v>
      </c>
      <c r="J21" s="497">
        <f>Overseas!J26</f>
        <v>0</v>
      </c>
      <c r="K21" s="497">
        <f>Overseas!K26</f>
        <v>0</v>
      </c>
      <c r="L21" s="497">
        <f>Overseas!L26</f>
        <v>7.956481029914227E-3</v>
      </c>
      <c r="M21" s="497">
        <f>Overseas!M26</f>
        <v>4.7680426814916098E-3</v>
      </c>
      <c r="N21" s="497">
        <f>Overseas!N26</f>
        <v>4.1082296783044167E-3</v>
      </c>
      <c r="O21" s="497">
        <f>Overseas!O26</f>
        <v>1.1944304135597657E-3</v>
      </c>
      <c r="P21" s="497">
        <f>Overseas!P26</f>
        <v>3.7536516956135219E-2</v>
      </c>
      <c r="Q21" s="497">
        <f>Overseas!Q26</f>
        <v>1.052495757469258E-2</v>
      </c>
      <c r="R21" s="497">
        <f>Overseas!R26</f>
        <v>4.4914468194514612E-2</v>
      </c>
      <c r="S21" s="497">
        <f>Overseas!S26</f>
        <v>3.5833570241717183E-2</v>
      </c>
      <c r="T21" s="497">
        <f>Overseas!T26</f>
        <v>3.5833570241717183E-2</v>
      </c>
      <c r="U21" s="497">
        <f>Overseas!X26</f>
        <v>3.5833570241717183E-2</v>
      </c>
      <c r="V21" s="497">
        <f>Overseas!Y26</f>
        <v>3.5833570241717183E-2</v>
      </c>
      <c r="W21" s="497">
        <f>Overseas!Z26</f>
        <v>3.5833570241717183E-2</v>
      </c>
      <c r="X21" s="497">
        <f>Overseas!AA26</f>
        <v>3.5833570241717183E-2</v>
      </c>
      <c r="Y21" s="497">
        <f>Overseas!AB26</f>
        <v>3.5833570241717183E-2</v>
      </c>
      <c r="Z21" s="497">
        <f>Overseas!AD26</f>
        <v>3.5833570241717183E-2</v>
      </c>
      <c r="AA21" s="497">
        <f>Overseas!AE26</f>
        <v>3.5833570241717183E-2</v>
      </c>
      <c r="AB21" s="497">
        <f>Overseas!AF26</f>
        <v>3.5833570241717183E-2</v>
      </c>
      <c r="AC21" s="497">
        <f>Overseas!AG26</f>
        <v>3.5833570241717183E-2</v>
      </c>
      <c r="AD21" s="497">
        <f>Overseas!AH26</f>
        <v>0</v>
      </c>
      <c r="AE21" s="497">
        <f>Overseas!AI26</f>
        <v>0</v>
      </c>
      <c r="AF21" s="497">
        <f>Overseas!AJ26</f>
        <v>0</v>
      </c>
      <c r="AG21" s="497">
        <f>Overseas!AK26</f>
        <v>0</v>
      </c>
    </row>
    <row r="22" spans="1:33" x14ac:dyDescent="0.25">
      <c r="B22" s="1643"/>
      <c r="C22" s="636"/>
      <c r="D22" s="636"/>
      <c r="E22" s="636"/>
      <c r="F22" s="636"/>
      <c r="G22" s="636"/>
      <c r="H22" s="636"/>
      <c r="I22" s="636"/>
      <c r="J22" s="636"/>
      <c r="K22" s="636"/>
      <c r="L22" s="637"/>
      <c r="M22" s="637"/>
      <c r="N22" s="637"/>
      <c r="O22" s="637"/>
      <c r="P22" s="637"/>
      <c r="Q22" s="637"/>
      <c r="R22" s="637"/>
      <c r="S22" s="637"/>
      <c r="T22" s="637"/>
      <c r="U22" s="637"/>
      <c r="V22" s="637"/>
      <c r="W22" s="637"/>
      <c r="X22" s="637"/>
      <c r="Y22" s="637"/>
      <c r="Z22" s="637"/>
      <c r="AA22" s="637"/>
      <c r="AB22" s="637"/>
      <c r="AC22" s="637"/>
      <c r="AD22" s="637"/>
      <c r="AE22" s="637"/>
      <c r="AF22" s="637"/>
      <c r="AG22" s="637"/>
    </row>
    <row r="23" spans="1:33" x14ac:dyDescent="0.25">
      <c r="A23" s="638" t="s">
        <v>2319</v>
      </c>
      <c r="B23" s="1669" t="s">
        <v>2988</v>
      </c>
      <c r="C23" s="639"/>
      <c r="D23" s="535">
        <f t="shared" ref="D23:S23" si="42">D27+D30+D33+D39+D36</f>
        <v>92.627999999999986</v>
      </c>
      <c r="E23" s="535">
        <f t="shared" si="42"/>
        <v>93.991</v>
      </c>
      <c r="F23" s="535">
        <f t="shared" si="42"/>
        <v>124.04900000000001</v>
      </c>
      <c r="G23" s="535">
        <f t="shared" si="42"/>
        <v>89.838999999999999</v>
      </c>
      <c r="H23" s="535">
        <f t="shared" si="42"/>
        <v>176.44</v>
      </c>
      <c r="I23" s="535">
        <f t="shared" si="42"/>
        <v>197.55600000000001</v>
      </c>
      <c r="J23" s="535">
        <f t="shared" si="42"/>
        <v>259.41300000000001</v>
      </c>
      <c r="K23" s="535">
        <f t="shared" si="42"/>
        <v>305.26</v>
      </c>
      <c r="L23" s="535">
        <f t="shared" si="42"/>
        <v>320.38099999999997</v>
      </c>
      <c r="M23" s="535">
        <f t="shared" si="42"/>
        <v>342.37699999999995</v>
      </c>
      <c r="N23" s="535">
        <f t="shared" si="42"/>
        <v>361.35299999999995</v>
      </c>
      <c r="O23" s="535">
        <f t="shared" si="42"/>
        <v>346.16</v>
      </c>
      <c r="P23" s="535">
        <f t="shared" si="42"/>
        <v>364.29600000000005</v>
      </c>
      <c r="Q23" s="535">
        <f t="shared" si="42"/>
        <v>342.505</v>
      </c>
      <c r="R23" s="535">
        <f t="shared" si="42"/>
        <v>288.41699999999997</v>
      </c>
      <c r="S23" s="535">
        <f t="shared" si="42"/>
        <v>299.21300000000002</v>
      </c>
      <c r="T23" s="535"/>
      <c r="U23" s="535"/>
      <c r="V23" s="535"/>
      <c r="W23" s="535"/>
      <c r="X23" s="535"/>
      <c r="Y23" s="535"/>
      <c r="Z23" s="535"/>
      <c r="AA23" s="535"/>
      <c r="AB23" s="535"/>
      <c r="AC23" s="535"/>
      <c r="AD23" s="535"/>
      <c r="AE23" s="535"/>
      <c r="AF23" s="535"/>
      <c r="AG23" s="535"/>
    </row>
    <row r="24" spans="1:33" ht="12" x14ac:dyDescent="0.35">
      <c r="A24" s="622" t="s">
        <v>577</v>
      </c>
      <c r="B24" s="1657" t="s">
        <v>577</v>
      </c>
      <c r="C24" s="624"/>
      <c r="D24" s="624"/>
      <c r="E24" s="624">
        <f t="shared" ref="E24:S24" si="43">E23/D23-1</f>
        <v>1.4714773070777953E-2</v>
      </c>
      <c r="F24" s="624">
        <f t="shared" si="43"/>
        <v>0.31979657626794067</v>
      </c>
      <c r="G24" s="624">
        <f t="shared" si="43"/>
        <v>-0.27577811993647672</v>
      </c>
      <c r="H24" s="624">
        <f t="shared" si="43"/>
        <v>0.96395774663564815</v>
      </c>
      <c r="I24" s="624">
        <f t="shared" si="43"/>
        <v>0.11967807753343918</v>
      </c>
      <c r="J24" s="624">
        <f t="shared" si="43"/>
        <v>0.31311121909736994</v>
      </c>
      <c r="K24" s="624">
        <f t="shared" si="43"/>
        <v>0.17673362553148841</v>
      </c>
      <c r="L24" s="624">
        <f t="shared" si="43"/>
        <v>4.9534822774028653E-2</v>
      </c>
      <c r="M24" s="624">
        <f t="shared" si="43"/>
        <v>6.8655756739631757E-2</v>
      </c>
      <c r="N24" s="624">
        <f t="shared" si="43"/>
        <v>5.5424283757378623E-2</v>
      </c>
      <c r="O24" s="624">
        <f t="shared" si="43"/>
        <v>-4.20447595564446E-2</v>
      </c>
      <c r="P24" s="624">
        <f t="shared" si="43"/>
        <v>5.2391957476311646E-2</v>
      </c>
      <c r="Q24" s="624">
        <f t="shared" si="43"/>
        <v>-5.9816742429233516E-2</v>
      </c>
      <c r="R24" s="624">
        <f t="shared" si="43"/>
        <v>-0.15791886249835774</v>
      </c>
      <c r="S24" s="624">
        <f t="shared" si="43"/>
        <v>3.7431912820673041E-2</v>
      </c>
      <c r="T24" s="624"/>
      <c r="U24" s="624"/>
      <c r="V24" s="624"/>
      <c r="W24" s="624"/>
      <c r="X24" s="624"/>
      <c r="Y24" s="624"/>
      <c r="Z24" s="624"/>
      <c r="AA24" s="624"/>
      <c r="AB24" s="624"/>
      <c r="AC24" s="624"/>
      <c r="AD24" s="624"/>
      <c r="AE24" s="624"/>
      <c r="AF24" s="624"/>
      <c r="AG24" s="624"/>
    </row>
    <row r="25" spans="1:33" x14ac:dyDescent="0.25">
      <c r="A25" s="334" t="s">
        <v>2320</v>
      </c>
      <c r="B25" s="1643" t="s">
        <v>2989</v>
      </c>
      <c r="C25" s="624"/>
      <c r="D25" s="624">
        <f t="shared" ref="D25:S25" si="44">D46/D23</f>
        <v>0.99540095867340361</v>
      </c>
      <c r="E25" s="624">
        <f t="shared" si="44"/>
        <v>0.10948920641338</v>
      </c>
      <c r="F25" s="624">
        <f t="shared" si="44"/>
        <v>9.7800062878378696E-2</v>
      </c>
      <c r="G25" s="624">
        <f t="shared" si="44"/>
        <v>0.96193190039960386</v>
      </c>
      <c r="H25" s="624">
        <f t="shared" si="44"/>
        <v>0.44043867603717984</v>
      </c>
      <c r="I25" s="624">
        <f t="shared" si="44"/>
        <v>0.42983761566340684</v>
      </c>
      <c r="J25" s="624">
        <f t="shared" si="44"/>
        <v>0.43145486155281348</v>
      </c>
      <c r="K25" s="624">
        <f t="shared" si="44"/>
        <v>0.42634475529057203</v>
      </c>
      <c r="L25" s="624">
        <f t="shared" si="44"/>
        <v>0.45599146016773784</v>
      </c>
      <c r="M25" s="624">
        <f t="shared" si="44"/>
        <v>0.40630649839212341</v>
      </c>
      <c r="N25" s="624">
        <f t="shared" si="44"/>
        <v>0.36710086812618137</v>
      </c>
      <c r="O25" s="624">
        <f t="shared" si="44"/>
        <v>0.38070834296279177</v>
      </c>
      <c r="P25" s="624">
        <f t="shared" si="44"/>
        <v>0.39778092540132193</v>
      </c>
      <c r="Q25" s="624">
        <f t="shared" si="44"/>
        <v>0.56426037576093779</v>
      </c>
      <c r="R25" s="624">
        <f t="shared" si="44"/>
        <v>0.68317054819930878</v>
      </c>
      <c r="S25" s="624">
        <f t="shared" si="44"/>
        <v>0.79821732344517105</v>
      </c>
      <c r="T25" s="624"/>
      <c r="U25" s="624"/>
      <c r="V25" s="624"/>
      <c r="W25" s="624"/>
      <c r="X25" s="624"/>
      <c r="Y25" s="624"/>
      <c r="Z25" s="624"/>
      <c r="AA25" s="624"/>
      <c r="AB25" s="624"/>
      <c r="AC25" s="624"/>
      <c r="AD25" s="624"/>
      <c r="AE25" s="624"/>
      <c r="AF25" s="624"/>
      <c r="AG25" s="624"/>
    </row>
    <row r="26" spans="1:33" x14ac:dyDescent="0.25">
      <c r="A26" s="334" t="s">
        <v>2321</v>
      </c>
      <c r="B26" s="1643" t="s">
        <v>2990</v>
      </c>
      <c r="C26" s="624"/>
      <c r="D26" s="624">
        <f t="shared" ref="D26:S26" si="45">D57/D23</f>
        <v>0</v>
      </c>
      <c r="E26" s="624">
        <f t="shared" si="45"/>
        <v>0</v>
      </c>
      <c r="F26" s="624">
        <f t="shared" si="45"/>
        <v>0</v>
      </c>
      <c r="G26" s="624">
        <f t="shared" si="45"/>
        <v>0</v>
      </c>
      <c r="H26" s="624">
        <f t="shared" si="45"/>
        <v>0</v>
      </c>
      <c r="I26" s="624">
        <f t="shared" si="45"/>
        <v>0.45691854461519765</v>
      </c>
      <c r="J26" s="624">
        <f t="shared" si="45"/>
        <v>0.53483826947762836</v>
      </c>
      <c r="K26" s="624">
        <f t="shared" si="45"/>
        <v>0.46019131232392063</v>
      </c>
      <c r="L26" s="624">
        <f t="shared" si="45"/>
        <v>0.44402445837924226</v>
      </c>
      <c r="M26" s="624">
        <f t="shared" si="45"/>
        <v>0.52825686304862773</v>
      </c>
      <c r="N26" s="624">
        <f t="shared" si="45"/>
        <v>0.58287879165248391</v>
      </c>
      <c r="O26" s="624">
        <f t="shared" si="45"/>
        <v>0.59784781603882586</v>
      </c>
      <c r="P26" s="624">
        <f t="shared" si="45"/>
        <v>0.58161220545929671</v>
      </c>
      <c r="Q26" s="624">
        <f t="shared" si="45"/>
        <v>0.78849943796440924</v>
      </c>
      <c r="R26" s="624">
        <f t="shared" si="45"/>
        <v>0.69700468418990558</v>
      </c>
      <c r="S26" s="624">
        <f t="shared" si="45"/>
        <v>0.58481416248625562</v>
      </c>
      <c r="T26" s="624"/>
      <c r="U26" s="624"/>
      <c r="V26" s="624"/>
      <c r="W26" s="624"/>
      <c r="X26" s="624"/>
      <c r="Y26" s="624"/>
      <c r="Z26" s="624"/>
      <c r="AA26" s="624"/>
      <c r="AB26" s="624"/>
      <c r="AC26" s="624"/>
      <c r="AD26" s="624"/>
      <c r="AE26" s="624"/>
      <c r="AF26" s="624"/>
      <c r="AG26" s="624"/>
    </row>
    <row r="27" spans="1:33" ht="12" x14ac:dyDescent="0.35">
      <c r="A27" s="626" t="s">
        <v>343</v>
      </c>
      <c r="B27" s="1650" t="s">
        <v>2923</v>
      </c>
      <c r="C27" s="640"/>
      <c r="D27" s="629">
        <f>HK!C32</f>
        <v>26.553999999999998</v>
      </c>
      <c r="E27" s="629">
        <f>HK!D32</f>
        <v>17.994</v>
      </c>
      <c r="F27" s="629">
        <f>HK!E32</f>
        <v>27.707999999999998</v>
      </c>
      <c r="G27" s="629">
        <f>HK!F32</f>
        <v>10.054</v>
      </c>
      <c r="H27" s="629">
        <f>HK!G32</f>
        <v>2.048</v>
      </c>
      <c r="I27" s="629">
        <f>HK!H32</f>
        <v>4.1779999999999999</v>
      </c>
      <c r="J27" s="629">
        <f>HK!I32</f>
        <v>16.236000000000001</v>
      </c>
      <c r="K27" s="629">
        <f>HK!J32</f>
        <v>15.827</v>
      </c>
      <c r="L27" s="629">
        <f>HK!K32</f>
        <v>4.8769999999999998</v>
      </c>
      <c r="M27" s="629">
        <f>HK!L32</f>
        <v>7.4779999999999998</v>
      </c>
      <c r="N27" s="629">
        <f>HK!M32</f>
        <v>4.5250000000000004</v>
      </c>
      <c r="O27" s="629">
        <f>HK!N32</f>
        <v>17.759</v>
      </c>
      <c r="P27" s="629">
        <f>HK!O32</f>
        <v>30.734000000000002</v>
      </c>
      <c r="Q27" s="629">
        <f>HK!P32</f>
        <v>43.244</v>
      </c>
      <c r="R27" s="629">
        <f>HK!Q32</f>
        <v>58.167999999999999</v>
      </c>
      <c r="S27" s="629">
        <f>HK!R32</f>
        <v>80.08</v>
      </c>
      <c r="T27" s="629"/>
      <c r="U27" s="629"/>
      <c r="V27" s="629"/>
      <c r="W27" s="629"/>
      <c r="X27" s="629"/>
      <c r="Y27" s="629"/>
      <c r="Z27" s="629"/>
      <c r="AA27" s="629"/>
      <c r="AB27" s="629"/>
      <c r="AC27" s="629"/>
      <c r="AD27" s="629"/>
      <c r="AE27" s="629"/>
      <c r="AF27" s="629"/>
      <c r="AG27" s="629"/>
    </row>
    <row r="28" spans="1:33" s="555" customFormat="1" ht="12" x14ac:dyDescent="0.35">
      <c r="A28" s="630" t="s">
        <v>577</v>
      </c>
      <c r="B28" s="1651" t="s">
        <v>577</v>
      </c>
      <c r="C28" s="381"/>
      <c r="D28" s="381"/>
      <c r="E28" s="381">
        <f t="shared" ref="E28:S28" si="46">E27/D27-1</f>
        <v>-0.32236197936280786</v>
      </c>
      <c r="F28" s="381">
        <f t="shared" si="46"/>
        <v>0.53984661553851288</v>
      </c>
      <c r="G28" s="381">
        <f t="shared" si="46"/>
        <v>-0.63714450700158798</v>
      </c>
      <c r="H28" s="381">
        <f t="shared" si="46"/>
        <v>-0.79629998010741998</v>
      </c>
      <c r="I28" s="381">
        <f t="shared" si="46"/>
        <v>1.0400390625</v>
      </c>
      <c r="J28" s="381">
        <f t="shared" si="46"/>
        <v>2.8860698898994737</v>
      </c>
      <c r="K28" s="381">
        <f t="shared" si="46"/>
        <v>-2.5190933727519127E-2</v>
      </c>
      <c r="L28" s="381">
        <f t="shared" si="46"/>
        <v>-0.69185568964427879</v>
      </c>
      <c r="M28" s="381">
        <f t="shared" si="46"/>
        <v>0.53331966372770157</v>
      </c>
      <c r="N28" s="381">
        <f t="shared" si="46"/>
        <v>-0.39489168226798599</v>
      </c>
      <c r="O28" s="381">
        <f t="shared" si="46"/>
        <v>2.9246408839779003</v>
      </c>
      <c r="P28" s="381">
        <f t="shared" si="46"/>
        <v>0.73061546258235266</v>
      </c>
      <c r="Q28" s="381">
        <f t="shared" si="46"/>
        <v>0.40704106201600831</v>
      </c>
      <c r="R28" s="381">
        <f t="shared" si="46"/>
        <v>0.34511146054944031</v>
      </c>
      <c r="S28" s="381">
        <f t="shared" si="46"/>
        <v>0.37670196671709522</v>
      </c>
      <c r="T28" s="381"/>
      <c r="U28" s="381"/>
      <c r="V28" s="381"/>
      <c r="W28" s="381"/>
      <c r="X28" s="381"/>
      <c r="Y28" s="381"/>
      <c r="Z28" s="381"/>
      <c r="AA28" s="381"/>
      <c r="AB28" s="381"/>
      <c r="AC28" s="381"/>
      <c r="AD28" s="381"/>
      <c r="AE28" s="381"/>
      <c r="AF28" s="381"/>
      <c r="AG28" s="381"/>
    </row>
    <row r="29" spans="1:33" s="555" customFormat="1" x14ac:dyDescent="0.25">
      <c r="A29" s="641" t="s">
        <v>2322</v>
      </c>
      <c r="B29" s="1651" t="s">
        <v>2991</v>
      </c>
      <c r="C29" s="381"/>
      <c r="D29" s="381">
        <f>D27/$D$23</f>
        <v>0.28667357602452825</v>
      </c>
      <c r="E29" s="381">
        <f t="shared" ref="E29:S29" si="47">E27/E$23</f>
        <v>0.19144386164632785</v>
      </c>
      <c r="F29" s="381">
        <f t="shared" si="47"/>
        <v>0.22336334835427935</v>
      </c>
      <c r="G29" s="381">
        <f t="shared" si="47"/>
        <v>0.11191130800654504</v>
      </c>
      <c r="H29" s="381">
        <f t="shared" si="47"/>
        <v>1.1607345273180684E-2</v>
      </c>
      <c r="I29" s="381">
        <f t="shared" si="47"/>
        <v>2.1148433861791084E-2</v>
      </c>
      <c r="J29" s="381">
        <f t="shared" si="47"/>
        <v>6.2587457066530974E-2</v>
      </c>
      <c r="K29" s="381">
        <f t="shared" si="47"/>
        <v>5.1847605320055036E-2</v>
      </c>
      <c r="L29" s="381">
        <f t="shared" si="47"/>
        <v>1.5222500710092048E-2</v>
      </c>
      <c r="M29" s="381">
        <f t="shared" si="47"/>
        <v>2.1841420422516702E-2</v>
      </c>
      <c r="N29" s="381">
        <f t="shared" si="47"/>
        <v>1.2522381161910932E-2</v>
      </c>
      <c r="O29" s="381">
        <f t="shared" si="47"/>
        <v>5.1302865726831522E-2</v>
      </c>
      <c r="P29" s="381">
        <f t="shared" si="47"/>
        <v>8.4365461053648672E-2</v>
      </c>
      <c r="Q29" s="381">
        <f t="shared" si="47"/>
        <v>0.12625801083195864</v>
      </c>
      <c r="R29" s="381">
        <f t="shared" si="47"/>
        <v>0.20168020609048706</v>
      </c>
      <c r="S29" s="381">
        <f t="shared" si="47"/>
        <v>0.26763543027876457</v>
      </c>
      <c r="T29" s="381"/>
      <c r="U29" s="381"/>
      <c r="V29" s="381"/>
      <c r="W29" s="381"/>
      <c r="X29" s="381"/>
      <c r="Y29" s="381"/>
      <c r="Z29" s="381"/>
      <c r="AA29" s="381"/>
      <c r="AB29" s="381"/>
      <c r="AC29" s="381"/>
      <c r="AD29" s="381"/>
      <c r="AE29" s="381"/>
      <c r="AF29" s="381"/>
      <c r="AG29" s="381"/>
    </row>
    <row r="30" spans="1:33" ht="12" x14ac:dyDescent="0.35">
      <c r="A30" s="631" t="s">
        <v>359</v>
      </c>
      <c r="B30" s="1670" t="s">
        <v>2924</v>
      </c>
      <c r="C30" s="642"/>
      <c r="D30" s="634">
        <f>Macau!D30</f>
        <v>2.1789999999999998</v>
      </c>
      <c r="E30" s="634">
        <f>Macau!E30</f>
        <v>7.3140000000000001</v>
      </c>
      <c r="F30" s="634">
        <f>Macau!F30</f>
        <v>2.0329999999999999</v>
      </c>
      <c r="G30" s="634">
        <f>Macau!G30</f>
        <v>3.1909999999999998</v>
      </c>
      <c r="H30" s="634">
        <f>Macau!H30</f>
        <v>1.8740000000000001</v>
      </c>
      <c r="I30" s="634">
        <f>Macau!I30</f>
        <v>2.77</v>
      </c>
      <c r="J30" s="634">
        <f>Macau!J30</f>
        <v>6.3209999999999997</v>
      </c>
      <c r="K30" s="634">
        <f>Macau!K30</f>
        <v>6.7789999999999999</v>
      </c>
      <c r="L30" s="634">
        <f>Macau!L30</f>
        <v>6.9749999999999996</v>
      </c>
      <c r="M30" s="634">
        <f>Macau!M30</f>
        <v>2.9510000000000001</v>
      </c>
      <c r="N30" s="634">
        <f>Macau!N30</f>
        <v>3.4420000000000002</v>
      </c>
      <c r="O30" s="634">
        <f>Macau!O30</f>
        <v>1.478</v>
      </c>
      <c r="P30" s="634">
        <f>Macau!P30</f>
        <v>1.5029999999999999</v>
      </c>
      <c r="Q30" s="634">
        <f>Macau!Q30</f>
        <v>0.81299999999999994</v>
      </c>
      <c r="R30" s="634">
        <f>Macau!R30</f>
        <v>7.4870000000000001</v>
      </c>
      <c r="S30" s="634">
        <f>Macau!S30</f>
        <v>9.1359999999999992</v>
      </c>
      <c r="T30" s="634"/>
      <c r="U30" s="634"/>
      <c r="V30" s="634"/>
      <c r="W30" s="634"/>
      <c r="X30" s="634"/>
      <c r="Y30" s="634"/>
      <c r="Z30" s="634"/>
      <c r="AA30" s="634"/>
      <c r="AB30" s="634"/>
      <c r="AC30" s="634"/>
      <c r="AD30" s="634"/>
      <c r="AE30" s="634"/>
      <c r="AF30" s="634"/>
      <c r="AG30" s="634"/>
    </row>
    <row r="31" spans="1:33" s="555" customFormat="1" ht="12" x14ac:dyDescent="0.35">
      <c r="A31" s="630" t="s">
        <v>577</v>
      </c>
      <c r="B31" s="1651" t="s">
        <v>577</v>
      </c>
      <c r="C31" s="381"/>
      <c r="D31" s="381"/>
      <c r="E31" s="381">
        <f t="shared" ref="E31:S31" si="48">E30/D30-1</f>
        <v>2.3565855897200554</v>
      </c>
      <c r="F31" s="381">
        <f t="shared" si="48"/>
        <v>-0.72203992343450918</v>
      </c>
      <c r="G31" s="381">
        <f t="shared" si="48"/>
        <v>0.56960157402852918</v>
      </c>
      <c r="H31" s="381">
        <f t="shared" si="48"/>
        <v>-0.41272328423691629</v>
      </c>
      <c r="I31" s="381">
        <f t="shared" si="48"/>
        <v>0.47812166488794006</v>
      </c>
      <c r="J31" s="381">
        <f t="shared" si="48"/>
        <v>1.2819494584837545</v>
      </c>
      <c r="K31" s="381">
        <f t="shared" si="48"/>
        <v>7.2456889732637197E-2</v>
      </c>
      <c r="L31" s="381">
        <f t="shared" si="48"/>
        <v>2.891281899985243E-2</v>
      </c>
      <c r="M31" s="381">
        <f t="shared" si="48"/>
        <v>-0.57691756272401429</v>
      </c>
      <c r="N31" s="381">
        <f t="shared" si="48"/>
        <v>0.16638427651643517</v>
      </c>
      <c r="O31" s="381">
        <f t="shared" si="48"/>
        <v>-0.57059848925043588</v>
      </c>
      <c r="P31" s="381">
        <f t="shared" si="48"/>
        <v>1.6914749661705031E-2</v>
      </c>
      <c r="Q31" s="381">
        <f t="shared" si="48"/>
        <v>-0.45908183632734534</v>
      </c>
      <c r="R31" s="381">
        <f t="shared" si="48"/>
        <v>8.2091020910209114</v>
      </c>
      <c r="S31" s="381">
        <f t="shared" si="48"/>
        <v>0.22024843061306254</v>
      </c>
      <c r="T31" s="381"/>
      <c r="U31" s="381"/>
      <c r="V31" s="381"/>
      <c r="W31" s="381"/>
      <c r="X31" s="381"/>
      <c r="Y31" s="381"/>
      <c r="Z31" s="381"/>
      <c r="AA31" s="381"/>
      <c r="AB31" s="381"/>
      <c r="AC31" s="381"/>
      <c r="AD31" s="381"/>
      <c r="AE31" s="381"/>
      <c r="AF31" s="381"/>
      <c r="AG31" s="381"/>
    </row>
    <row r="32" spans="1:33" s="555" customFormat="1" x14ac:dyDescent="0.25">
      <c r="A32" s="641" t="s">
        <v>1737</v>
      </c>
      <c r="B32" s="1651" t="s">
        <v>2991</v>
      </c>
      <c r="C32" s="381"/>
      <c r="D32" s="381">
        <f>D30/$D$23</f>
        <v>2.3524204344258757E-2</v>
      </c>
      <c r="E32" s="381">
        <f t="shared" ref="E32:S32" si="49">E30/E$23</f>
        <v>7.7815961102658759E-2</v>
      </c>
      <c r="F32" s="381">
        <f t="shared" si="49"/>
        <v>1.6388685116365306E-2</v>
      </c>
      <c r="G32" s="381">
        <f t="shared" si="49"/>
        <v>3.5519095270428208E-2</v>
      </c>
      <c r="H32" s="381">
        <f t="shared" si="49"/>
        <v>1.062117433688506E-2</v>
      </c>
      <c r="I32" s="381">
        <f t="shared" si="49"/>
        <v>1.4021340784385185E-2</v>
      </c>
      <c r="J32" s="381">
        <f t="shared" si="49"/>
        <v>2.4366550635473161E-2</v>
      </c>
      <c r="K32" s="381">
        <f t="shared" si="49"/>
        <v>2.2207298696193409E-2</v>
      </c>
      <c r="L32" s="381">
        <f t="shared" si="49"/>
        <v>2.1770953957943824E-2</v>
      </c>
      <c r="M32" s="381">
        <f t="shared" si="49"/>
        <v>8.6191537398832303E-3</v>
      </c>
      <c r="N32" s="381">
        <f t="shared" si="49"/>
        <v>9.5253118142093751E-3</v>
      </c>
      <c r="O32" s="381">
        <f t="shared" si="49"/>
        <v>4.2697018719667201E-3</v>
      </c>
      <c r="P32" s="381">
        <f t="shared" si="49"/>
        <v>4.1257658607286377E-3</v>
      </c>
      <c r="Q32" s="381">
        <f t="shared" si="49"/>
        <v>2.3736879753580237E-3</v>
      </c>
      <c r="R32" s="381">
        <f t="shared" si="49"/>
        <v>2.5958941393884553E-2</v>
      </c>
      <c r="S32" s="381">
        <f t="shared" si="49"/>
        <v>3.0533432705129787E-2</v>
      </c>
      <c r="T32" s="381"/>
      <c r="U32" s="381"/>
      <c r="V32" s="381"/>
      <c r="W32" s="381"/>
      <c r="X32" s="381"/>
      <c r="Y32" s="381"/>
      <c r="Z32" s="381"/>
      <c r="AA32" s="381"/>
      <c r="AB32" s="381"/>
      <c r="AC32" s="381"/>
      <c r="AD32" s="381"/>
      <c r="AE32" s="381"/>
      <c r="AF32" s="381"/>
      <c r="AG32" s="381"/>
    </row>
    <row r="33" spans="1:33" ht="12" x14ac:dyDescent="0.35">
      <c r="A33" s="631" t="s">
        <v>157</v>
      </c>
      <c r="B33" s="1670" t="s">
        <v>143</v>
      </c>
      <c r="C33" s="642"/>
      <c r="D33" s="634">
        <f>'MainLand China'!D68</f>
        <v>50.436999999999998</v>
      </c>
      <c r="E33" s="634">
        <f>'MainLand China'!E68</f>
        <v>47.545999999999999</v>
      </c>
      <c r="F33" s="634">
        <f>'MainLand China'!F68</f>
        <v>77.67</v>
      </c>
      <c r="G33" s="634">
        <f>'MainLand China'!G68</f>
        <v>76.593999999999994</v>
      </c>
      <c r="H33" s="634">
        <f>'MainLand China'!H68</f>
        <v>172.518</v>
      </c>
      <c r="I33" s="634">
        <f>'MainLand China'!I68</f>
        <v>190.608</v>
      </c>
      <c r="J33" s="634">
        <f>'MainLand China'!J68</f>
        <v>236.85599999999999</v>
      </c>
      <c r="K33" s="634">
        <f>'MainLand China'!K68</f>
        <v>263.40699999999998</v>
      </c>
      <c r="L33" s="634">
        <f>'MainLand China'!L68</f>
        <v>272.64</v>
      </c>
      <c r="M33" s="634">
        <f>'MainLand China'!M68</f>
        <v>307.66899999999998</v>
      </c>
      <c r="N33" s="634">
        <f>'MainLand China'!N68</f>
        <v>335.10899999999998</v>
      </c>
      <c r="O33" s="634">
        <f>'MainLand China'!O68</f>
        <v>326.69200000000001</v>
      </c>
      <c r="P33" s="634">
        <f>'MainLand China'!P68</f>
        <v>332.09800000000001</v>
      </c>
      <c r="Q33" s="634">
        <f>'MainLand China'!Q68</f>
        <v>298.87099999999998</v>
      </c>
      <c r="R33" s="634">
        <f>'MainLand China'!R68</f>
        <v>222.756</v>
      </c>
      <c r="S33" s="634">
        <f>'MainLand China'!S68</f>
        <v>209.72300000000001</v>
      </c>
      <c r="T33" s="634"/>
      <c r="U33" s="634"/>
      <c r="V33" s="634"/>
      <c r="W33" s="634"/>
      <c r="X33" s="634"/>
      <c r="Y33" s="634"/>
      <c r="Z33" s="634"/>
      <c r="AA33" s="634"/>
      <c r="AB33" s="634"/>
      <c r="AC33" s="634"/>
      <c r="AD33" s="634"/>
      <c r="AE33" s="634"/>
      <c r="AF33" s="634"/>
      <c r="AG33" s="634"/>
    </row>
    <row r="34" spans="1:33" s="555" customFormat="1" ht="12" x14ac:dyDescent="0.35">
      <c r="A34" s="630" t="s">
        <v>577</v>
      </c>
      <c r="B34" s="1651" t="s">
        <v>577</v>
      </c>
      <c r="C34" s="381"/>
      <c r="D34" s="381"/>
      <c r="E34" s="381">
        <f t="shared" ref="E34:S34" si="50">E33/D33-1</f>
        <v>-5.731903166326302E-2</v>
      </c>
      <c r="F34" s="381">
        <f t="shared" si="50"/>
        <v>0.63357590543894338</v>
      </c>
      <c r="G34" s="381">
        <f t="shared" si="50"/>
        <v>-1.3853482683146789E-2</v>
      </c>
      <c r="H34" s="381">
        <f t="shared" si="50"/>
        <v>1.2523696373084054</v>
      </c>
      <c r="I34" s="381">
        <f t="shared" si="50"/>
        <v>0.10485862344798802</v>
      </c>
      <c r="J34" s="381">
        <f t="shared" si="50"/>
        <v>0.24263409720473428</v>
      </c>
      <c r="K34" s="381">
        <f t="shared" si="50"/>
        <v>0.11209764582700021</v>
      </c>
      <c r="L34" s="381">
        <f t="shared" si="50"/>
        <v>3.5052219568955989E-2</v>
      </c>
      <c r="M34" s="381">
        <f t="shared" si="50"/>
        <v>0.12848078051643186</v>
      </c>
      <c r="N34" s="381">
        <f t="shared" si="50"/>
        <v>8.9186755896759173E-2</v>
      </c>
      <c r="O34" s="381">
        <f t="shared" si="50"/>
        <v>-2.5117200672020057E-2</v>
      </c>
      <c r="P34" s="381">
        <f t="shared" si="50"/>
        <v>1.6547696301103088E-2</v>
      </c>
      <c r="Q34" s="381">
        <f t="shared" si="50"/>
        <v>-0.10005179194093317</v>
      </c>
      <c r="R34" s="381">
        <f t="shared" si="50"/>
        <v>-0.25467509393684895</v>
      </c>
      <c r="S34" s="381">
        <f t="shared" si="50"/>
        <v>-5.8507963870782276E-2</v>
      </c>
      <c r="T34" s="381"/>
      <c r="U34" s="381"/>
      <c r="V34" s="381"/>
      <c r="W34" s="381"/>
      <c r="X34" s="381"/>
      <c r="Y34" s="381"/>
      <c r="Z34" s="381"/>
      <c r="AA34" s="381"/>
      <c r="AB34" s="381"/>
      <c r="AC34" s="381"/>
      <c r="AD34" s="381"/>
      <c r="AE34" s="381"/>
      <c r="AF34" s="381"/>
      <c r="AG34" s="381"/>
    </row>
    <row r="35" spans="1:33" s="555" customFormat="1" x14ac:dyDescent="0.25">
      <c r="A35" s="641" t="s">
        <v>1737</v>
      </c>
      <c r="B35" s="1651" t="s">
        <v>2991</v>
      </c>
      <c r="C35" s="381"/>
      <c r="D35" s="381">
        <f>D33/$D$23</f>
        <v>0.54451137884872836</v>
      </c>
      <c r="E35" s="381">
        <f t="shared" ref="E35:S35" si="51">E33/E$23</f>
        <v>0.50585694374993351</v>
      </c>
      <c r="F35" s="381">
        <f t="shared" si="51"/>
        <v>0.6261235479528251</v>
      </c>
      <c r="G35" s="381">
        <f t="shared" si="51"/>
        <v>0.85256959672302668</v>
      </c>
      <c r="H35" s="381">
        <f t="shared" si="51"/>
        <v>0.97777148038993422</v>
      </c>
      <c r="I35" s="381">
        <f t="shared" si="51"/>
        <v>0.96483022535382368</v>
      </c>
      <c r="J35" s="381">
        <f t="shared" si="51"/>
        <v>0.91304599229799577</v>
      </c>
      <c r="K35" s="381">
        <f t="shared" si="51"/>
        <v>0.86289392648889462</v>
      </c>
      <c r="L35" s="381">
        <f t="shared" si="51"/>
        <v>0.85098679384857412</v>
      </c>
      <c r="M35" s="381">
        <f t="shared" si="51"/>
        <v>0.89862636800953344</v>
      </c>
      <c r="N35" s="381">
        <f t="shared" si="51"/>
        <v>0.92737295663796904</v>
      </c>
      <c r="O35" s="381">
        <f t="shared" si="51"/>
        <v>0.94376011093136114</v>
      </c>
      <c r="P35" s="381">
        <f t="shared" si="51"/>
        <v>0.91161582888640003</v>
      </c>
      <c r="Q35" s="381">
        <f t="shared" si="51"/>
        <v>0.87260331965956694</v>
      </c>
      <c r="R35" s="381">
        <f t="shared" si="51"/>
        <v>0.77234004930361255</v>
      </c>
      <c r="S35" s="381">
        <f t="shared" si="51"/>
        <v>0.70091540140301389</v>
      </c>
      <c r="T35" s="381"/>
      <c r="U35" s="381"/>
      <c r="V35" s="381"/>
      <c r="W35" s="381"/>
      <c r="X35" s="381"/>
      <c r="Y35" s="381"/>
      <c r="Z35" s="381"/>
      <c r="AA35" s="381"/>
      <c r="AB35" s="381"/>
      <c r="AC35" s="381"/>
      <c r="AD35" s="381"/>
      <c r="AE35" s="381"/>
      <c r="AF35" s="381"/>
      <c r="AG35" s="381"/>
    </row>
    <row r="36" spans="1:33" s="567" customFormat="1" ht="12" x14ac:dyDescent="0.35">
      <c r="A36" s="631" t="s">
        <v>2242</v>
      </c>
      <c r="B36" s="1672" t="s">
        <v>2992</v>
      </c>
      <c r="C36" s="643"/>
      <c r="D36" s="643"/>
      <c r="E36" s="643"/>
      <c r="F36" s="643"/>
      <c r="G36" s="643"/>
      <c r="H36" s="643"/>
      <c r="I36" s="643"/>
      <c r="J36" s="643"/>
      <c r="K36" s="643">
        <f>CSCD!D30</f>
        <v>0</v>
      </c>
      <c r="L36" s="643">
        <f>CSCD!E30</f>
        <v>35.853000000000002</v>
      </c>
      <c r="M36" s="643">
        <f>CSCD!F30</f>
        <v>24.279</v>
      </c>
      <c r="N36" s="643">
        <f>CSCD!G30</f>
        <v>18.277000000000001</v>
      </c>
      <c r="O36" s="643">
        <f>CSCD!H30</f>
        <v>6.7000000000000004E-2</v>
      </c>
      <c r="P36" s="643">
        <f>CSCD!I30</f>
        <v>-3.9E-2</v>
      </c>
      <c r="Q36" s="643">
        <f>CSCD!J30</f>
        <v>-0.42299999999999999</v>
      </c>
      <c r="R36" s="643">
        <f>CSCD!K30</f>
        <v>6.0000000000000001E-3</v>
      </c>
      <c r="S36" s="643">
        <f>CSCD!L30</f>
        <v>0.27400000000000002</v>
      </c>
      <c r="T36" s="643"/>
      <c r="U36" s="643"/>
      <c r="V36" s="643"/>
      <c r="W36" s="643"/>
      <c r="X36" s="643"/>
      <c r="Y36" s="643"/>
      <c r="Z36" s="643"/>
      <c r="AA36" s="643"/>
      <c r="AB36" s="643"/>
      <c r="AC36" s="643"/>
      <c r="AD36" s="643"/>
      <c r="AE36" s="643"/>
      <c r="AF36" s="643"/>
      <c r="AG36" s="643"/>
    </row>
    <row r="37" spans="1:33" s="555" customFormat="1" ht="12" x14ac:dyDescent="0.35">
      <c r="A37" s="630" t="s">
        <v>577</v>
      </c>
      <c r="B37" s="1651" t="s">
        <v>577</v>
      </c>
      <c r="C37" s="381"/>
      <c r="D37" s="381"/>
      <c r="E37" s="381"/>
      <c r="F37" s="381"/>
      <c r="G37" s="381"/>
      <c r="H37" s="381"/>
      <c r="I37" s="381"/>
      <c r="J37" s="381"/>
      <c r="K37" s="381"/>
      <c r="L37" s="381" t="e">
        <f t="shared" ref="L37:S37" si="52">L36/K36-1</f>
        <v>#DIV/0!</v>
      </c>
      <c r="M37" s="381">
        <f t="shared" si="52"/>
        <v>-0.32281817421136305</v>
      </c>
      <c r="N37" s="381">
        <f t="shared" si="52"/>
        <v>-0.24720952263272777</v>
      </c>
      <c r="O37" s="381">
        <f t="shared" si="52"/>
        <v>-0.99633419051266614</v>
      </c>
      <c r="P37" s="381">
        <f t="shared" si="52"/>
        <v>-1.5820895522388061</v>
      </c>
      <c r="Q37" s="381">
        <f t="shared" si="52"/>
        <v>9.8461538461538467</v>
      </c>
      <c r="R37" s="381">
        <f t="shared" si="52"/>
        <v>-1.0141843971631206</v>
      </c>
      <c r="S37" s="381">
        <f t="shared" si="52"/>
        <v>44.666666666666671</v>
      </c>
      <c r="T37" s="381"/>
      <c r="U37" s="381"/>
      <c r="V37" s="381"/>
      <c r="W37" s="381"/>
      <c r="X37" s="381"/>
      <c r="Y37" s="381"/>
      <c r="Z37" s="381"/>
      <c r="AA37" s="381"/>
      <c r="AB37" s="381"/>
      <c r="AC37" s="381"/>
      <c r="AD37" s="381"/>
      <c r="AE37" s="381"/>
      <c r="AF37" s="381"/>
      <c r="AG37" s="381"/>
    </row>
    <row r="38" spans="1:33" s="555" customFormat="1" x14ac:dyDescent="0.25">
      <c r="A38" s="641" t="s">
        <v>1737</v>
      </c>
      <c r="B38" s="1651" t="s">
        <v>2991</v>
      </c>
      <c r="C38" s="381"/>
      <c r="D38" s="381"/>
      <c r="E38" s="381"/>
      <c r="F38" s="381"/>
      <c r="G38" s="381"/>
      <c r="H38" s="381"/>
      <c r="I38" s="381"/>
      <c r="J38" s="381"/>
      <c r="K38" s="381">
        <f t="shared" ref="K38:S38" si="53">K36/K$23</f>
        <v>0</v>
      </c>
      <c r="L38" s="381">
        <f t="shared" si="53"/>
        <v>0.11190738526941361</v>
      </c>
      <c r="M38" s="381">
        <f t="shared" si="53"/>
        <v>7.0913057828066728E-2</v>
      </c>
      <c r="N38" s="381">
        <f t="shared" si="53"/>
        <v>5.0579350385910743E-2</v>
      </c>
      <c r="O38" s="381">
        <f t="shared" si="53"/>
        <v>1.9355211462907326E-4</v>
      </c>
      <c r="P38" s="381">
        <f t="shared" si="53"/>
        <v>-1.070558007773898E-4</v>
      </c>
      <c r="Q38" s="381">
        <f t="shared" si="53"/>
        <v>-1.2350184668836952E-3</v>
      </c>
      <c r="R38" s="381">
        <f t="shared" si="53"/>
        <v>2.0803212015935262E-5</v>
      </c>
      <c r="S38" s="381">
        <f t="shared" si="53"/>
        <v>9.1573561309167713E-4</v>
      </c>
      <c r="T38" s="381"/>
      <c r="U38" s="381"/>
      <c r="V38" s="381"/>
      <c r="W38" s="381"/>
      <c r="X38" s="381"/>
      <c r="Y38" s="381"/>
      <c r="Z38" s="381"/>
      <c r="AA38" s="381"/>
      <c r="AB38" s="381"/>
      <c r="AC38" s="381"/>
      <c r="AD38" s="381"/>
      <c r="AE38" s="381"/>
      <c r="AF38" s="381"/>
      <c r="AG38" s="381"/>
    </row>
    <row r="39" spans="1:33" ht="12" x14ac:dyDescent="0.35">
      <c r="A39" s="631" t="s">
        <v>718</v>
      </c>
      <c r="B39" s="1670" t="s">
        <v>2930</v>
      </c>
      <c r="C39" s="642"/>
      <c r="D39" s="634">
        <f>Overseas!D20</f>
        <v>13.457999999999998</v>
      </c>
      <c r="E39" s="634">
        <f>Overseas!E20</f>
        <v>21.137</v>
      </c>
      <c r="F39" s="634">
        <f>Overseas!F20</f>
        <v>16.638000000000002</v>
      </c>
      <c r="G39" s="634">
        <f>Overseas!G20</f>
        <v>0</v>
      </c>
      <c r="H39" s="634">
        <f>Overseas!H20</f>
        <v>0</v>
      </c>
      <c r="I39" s="634">
        <f>Overseas!I20</f>
        <v>0</v>
      </c>
      <c r="J39" s="634">
        <f>Overseas!J20</f>
        <v>0</v>
      </c>
      <c r="K39" s="634">
        <f>Overseas!K20</f>
        <v>19.247</v>
      </c>
      <c r="L39" s="634">
        <f>Overseas!L20</f>
        <v>3.5999999999999997E-2</v>
      </c>
      <c r="M39" s="634">
        <f>Overseas!M20</f>
        <v>0</v>
      </c>
      <c r="N39" s="634">
        <f>Overseas!N20</f>
        <v>0</v>
      </c>
      <c r="O39" s="634">
        <f>Overseas!O20</f>
        <v>0.16400000000000001</v>
      </c>
      <c r="P39" s="634">
        <f>Overseas!P20</f>
        <v>0</v>
      </c>
      <c r="Q39" s="634">
        <f>Overseas!Q20</f>
        <v>0</v>
      </c>
      <c r="R39" s="634">
        <f>Overseas!R20</f>
        <v>0</v>
      </c>
      <c r="S39" s="634">
        <f>Overseas!S20</f>
        <v>0</v>
      </c>
      <c r="T39" s="634"/>
      <c r="U39" s="634"/>
      <c r="V39" s="634"/>
      <c r="W39" s="634"/>
      <c r="X39" s="634"/>
      <c r="Y39" s="634"/>
      <c r="Z39" s="634"/>
      <c r="AA39" s="634"/>
      <c r="AB39" s="634"/>
      <c r="AC39" s="634"/>
      <c r="AD39" s="634"/>
      <c r="AE39" s="634"/>
      <c r="AF39" s="634"/>
      <c r="AG39" s="634"/>
    </row>
    <row r="40" spans="1:33" s="555" customFormat="1" ht="12" x14ac:dyDescent="0.35">
      <c r="A40" s="630" t="s">
        <v>577</v>
      </c>
      <c r="B40" s="1651" t="s">
        <v>577</v>
      </c>
      <c r="C40" s="381"/>
      <c r="D40" s="381"/>
      <c r="E40" s="381">
        <f>E39/D39-1</f>
        <v>0.57058998365284608</v>
      </c>
      <c r="F40" s="381">
        <f>F39/E39-1</f>
        <v>-0.2128495056062828</v>
      </c>
      <c r="G40" s="381">
        <f>G39/F39-1</f>
        <v>-1</v>
      </c>
      <c r="H40" s="381" t="s">
        <v>6</v>
      </c>
      <c r="I40" s="381" t="s">
        <v>6</v>
      </c>
      <c r="J40" s="381" t="s">
        <v>6</v>
      </c>
      <c r="K40" s="381" t="s">
        <v>6</v>
      </c>
      <c r="L40" s="381" t="s">
        <v>6</v>
      </c>
      <c r="M40" s="381" t="s">
        <v>6</v>
      </c>
      <c r="N40" s="381" t="s">
        <v>6</v>
      </c>
      <c r="O40" s="381" t="s">
        <v>6</v>
      </c>
      <c r="P40" s="381" t="s">
        <v>6</v>
      </c>
      <c r="Q40" s="381" t="s">
        <v>6</v>
      </c>
      <c r="R40" s="381" t="s">
        <v>6</v>
      </c>
      <c r="S40" s="381"/>
      <c r="T40" s="381"/>
      <c r="U40" s="381"/>
      <c r="V40" s="381"/>
      <c r="W40" s="381"/>
      <c r="X40" s="381"/>
      <c r="Y40" s="381"/>
      <c r="Z40" s="381"/>
      <c r="AA40" s="381"/>
      <c r="AB40" s="381"/>
      <c r="AC40" s="381"/>
      <c r="AD40" s="381"/>
      <c r="AE40" s="381"/>
      <c r="AF40" s="381"/>
      <c r="AG40" s="381"/>
    </row>
    <row r="41" spans="1:33" s="555" customFormat="1" x14ac:dyDescent="0.25">
      <c r="A41" s="644" t="s">
        <v>1737</v>
      </c>
      <c r="B41" s="1673" t="s">
        <v>2991</v>
      </c>
      <c r="C41" s="411"/>
      <c r="D41" s="411">
        <f>D39/$D$23</f>
        <v>0.14529084078248478</v>
      </c>
      <c r="E41" s="411">
        <f t="shared" ref="E41:S41" si="54">E39/E$23</f>
        <v>0.22488323350107989</v>
      </c>
      <c r="F41" s="411">
        <f t="shared" si="54"/>
        <v>0.13412441857653024</v>
      </c>
      <c r="G41" s="411">
        <f t="shared" si="54"/>
        <v>0</v>
      </c>
      <c r="H41" s="411">
        <f t="shared" si="54"/>
        <v>0</v>
      </c>
      <c r="I41" s="411">
        <f t="shared" si="54"/>
        <v>0</v>
      </c>
      <c r="J41" s="411">
        <f t="shared" si="54"/>
        <v>0</v>
      </c>
      <c r="K41" s="411">
        <f t="shared" si="54"/>
        <v>6.305116949485684E-2</v>
      </c>
      <c r="L41" s="411">
        <f t="shared" si="54"/>
        <v>1.1236621397648425E-4</v>
      </c>
      <c r="M41" s="411">
        <f t="shared" si="54"/>
        <v>0</v>
      </c>
      <c r="N41" s="411">
        <f t="shared" si="54"/>
        <v>0</v>
      </c>
      <c r="O41" s="411">
        <f t="shared" si="54"/>
        <v>4.7376935521146291E-4</v>
      </c>
      <c r="P41" s="411">
        <f t="shared" si="54"/>
        <v>0</v>
      </c>
      <c r="Q41" s="411">
        <f t="shared" si="54"/>
        <v>0</v>
      </c>
      <c r="R41" s="411">
        <f t="shared" si="54"/>
        <v>0</v>
      </c>
      <c r="S41" s="411">
        <f t="shared" si="54"/>
        <v>0</v>
      </c>
      <c r="T41" s="411"/>
      <c r="U41" s="411"/>
      <c r="V41" s="411"/>
      <c r="W41" s="411"/>
      <c r="X41" s="411"/>
      <c r="Y41" s="411"/>
      <c r="Z41" s="411"/>
      <c r="AA41" s="411"/>
      <c r="AB41" s="411"/>
      <c r="AC41" s="411"/>
      <c r="AD41" s="411"/>
      <c r="AE41" s="411"/>
      <c r="AF41" s="411"/>
      <c r="AG41" s="411"/>
    </row>
    <row r="42" spans="1:33" x14ac:dyDescent="0.25">
      <c r="B42" s="1643"/>
      <c r="C42" s="645"/>
      <c r="D42" s="645"/>
      <c r="E42" s="645"/>
      <c r="F42" s="645"/>
      <c r="G42" s="645"/>
      <c r="H42" s="645"/>
      <c r="I42" s="645"/>
      <c r="J42" s="645"/>
      <c r="K42" s="645"/>
      <c r="L42" s="645"/>
      <c r="M42" s="636"/>
      <c r="N42" s="636"/>
      <c r="O42" s="636"/>
      <c r="P42" s="636"/>
      <c r="Q42" s="636"/>
      <c r="R42" s="636"/>
      <c r="S42" s="636"/>
      <c r="T42" s="636"/>
      <c r="U42" s="636"/>
      <c r="V42" s="636"/>
      <c r="W42" s="636"/>
      <c r="X42" s="636"/>
      <c r="Y42" s="636"/>
      <c r="Z42" s="636"/>
      <c r="AA42" s="636"/>
      <c r="AB42" s="636"/>
      <c r="AC42" s="636"/>
      <c r="AD42" s="636"/>
      <c r="AE42" s="636"/>
      <c r="AF42" s="636"/>
      <c r="AG42" s="636"/>
    </row>
    <row r="43" spans="1:33" x14ac:dyDescent="0.25">
      <c r="A43" s="554" t="s">
        <v>1845</v>
      </c>
      <c r="B43" s="1669" t="s">
        <v>2993</v>
      </c>
      <c r="C43" s="639"/>
      <c r="D43" s="535">
        <f t="shared" ref="D43:AC43" si="55">D46+D56</f>
        <v>92.202000000000012</v>
      </c>
      <c r="E43" s="535">
        <f t="shared" si="55"/>
        <v>10.291</v>
      </c>
      <c r="F43" s="535">
        <f t="shared" si="55"/>
        <v>12.132</v>
      </c>
      <c r="G43" s="535">
        <f t="shared" si="55"/>
        <v>86.419000000000011</v>
      </c>
      <c r="H43" s="535">
        <f t="shared" si="55"/>
        <v>77.711000000000013</v>
      </c>
      <c r="I43" s="535">
        <f t="shared" si="55"/>
        <v>175.184</v>
      </c>
      <c r="J43" s="535">
        <f t="shared" si="55"/>
        <v>270.13499999999999</v>
      </c>
      <c r="K43" s="535">
        <f t="shared" si="55"/>
        <v>296.57900000000001</v>
      </c>
      <c r="L43" s="535">
        <f t="shared" si="55"/>
        <v>314.30399999999997</v>
      </c>
      <c r="M43" s="400">
        <f t="shared" si="55"/>
        <v>334.58800000000002</v>
      </c>
      <c r="N43" s="400">
        <f t="shared" si="55"/>
        <v>354.113</v>
      </c>
      <c r="O43" s="400">
        <f t="shared" si="55"/>
        <v>356.42200000000003</v>
      </c>
      <c r="P43" s="400">
        <f t="shared" si="55"/>
        <v>374.63699999999994</v>
      </c>
      <c r="Q43" s="400">
        <f t="shared" si="55"/>
        <v>480.92500000000001</v>
      </c>
      <c r="R43" s="400">
        <f t="shared" si="55"/>
        <v>415.52</v>
      </c>
      <c r="S43" s="400">
        <f t="shared" si="55"/>
        <v>431.78800000000001</v>
      </c>
      <c r="T43" s="400">
        <f t="shared" si="55"/>
        <v>587.96199999999999</v>
      </c>
      <c r="U43" s="400">
        <f>U46+U56</f>
        <v>731.64100000000008</v>
      </c>
      <c r="V43" s="400">
        <f>V46+V56</f>
        <v>765.48</v>
      </c>
      <c r="W43" s="400">
        <f>W46+W56</f>
        <v>1002.475</v>
      </c>
      <c r="X43" s="400">
        <f t="shared" si="55"/>
        <v>949.41469433955456</v>
      </c>
      <c r="Y43" s="400">
        <f t="shared" si="55"/>
        <v>1004.5908757293512</v>
      </c>
      <c r="Z43" s="400">
        <f t="shared" si="55"/>
        <v>1059.8072660803921</v>
      </c>
      <c r="AA43" s="400">
        <f t="shared" si="55"/>
        <v>1120.0331118373456</v>
      </c>
      <c r="AB43" s="400">
        <f t="shared" si="55"/>
        <v>1183.3011709037319</v>
      </c>
      <c r="AC43" s="400">
        <f t="shared" si="55"/>
        <v>1250.1949875892976</v>
      </c>
      <c r="AD43" s="400">
        <f t="shared" ref="AD43:AF43" si="56">AD46+AD56</f>
        <v>1319.624158345403</v>
      </c>
      <c r="AE43" s="400">
        <f t="shared" si="56"/>
        <v>1391.4086301710847</v>
      </c>
      <c r="AF43" s="400">
        <f t="shared" si="56"/>
        <v>1465.0028482353607</v>
      </c>
      <c r="AG43" s="400">
        <f t="shared" ref="AG43" si="57">AG46+AG56</f>
        <v>1540.1001296391535</v>
      </c>
    </row>
    <row r="44" spans="1:33" x14ac:dyDescent="0.25">
      <c r="B44" s="1645" t="s">
        <v>544</v>
      </c>
      <c r="C44" s="636"/>
      <c r="D44" s="636"/>
      <c r="E44" s="636"/>
      <c r="F44" s="636"/>
      <c r="G44" s="636"/>
      <c r="H44" s="636"/>
      <c r="I44" s="636"/>
      <c r="J44" s="636"/>
      <c r="K44" s="636"/>
      <c r="L44" s="636"/>
      <c r="M44" s="636"/>
      <c r="N44" s="636"/>
      <c r="O44" s="636"/>
      <c r="P44" s="636"/>
      <c r="Q44" s="636"/>
      <c r="R44" s="636"/>
      <c r="S44" s="636"/>
      <c r="T44" s="636"/>
      <c r="U44" s="636"/>
      <c r="V44" s="636"/>
      <c r="W44" s="636"/>
      <c r="X44" s="636"/>
      <c r="Y44" s="636"/>
      <c r="Z44" s="636"/>
      <c r="AA44" s="636"/>
      <c r="AB44" s="636"/>
      <c r="AC44" s="636"/>
      <c r="AD44" s="636"/>
      <c r="AE44" s="636"/>
      <c r="AF44" s="636"/>
      <c r="AG44" s="636"/>
    </row>
    <row r="45" spans="1:33" x14ac:dyDescent="0.25">
      <c r="B45" s="1645" t="s">
        <v>110</v>
      </c>
      <c r="C45" s="636"/>
      <c r="D45" s="636"/>
      <c r="E45" s="647"/>
      <c r="F45" s="647"/>
      <c r="G45" s="647"/>
      <c r="H45" s="647"/>
      <c r="I45" s="647"/>
      <c r="J45" s="647"/>
      <c r="K45" s="647"/>
      <c r="L45" s="647"/>
      <c r="M45" s="647"/>
      <c r="N45" s="647"/>
      <c r="O45" s="647"/>
      <c r="P45" s="647"/>
      <c r="Q45" s="647"/>
      <c r="R45" s="647"/>
      <c r="S45" s="647"/>
      <c r="T45" s="647"/>
      <c r="U45" s="647"/>
      <c r="V45" s="647"/>
      <c r="W45" s="647"/>
      <c r="X45" s="647"/>
      <c r="Y45" s="647"/>
      <c r="Z45" s="647"/>
      <c r="AA45" s="647"/>
      <c r="AB45" s="647"/>
      <c r="AC45" s="647"/>
      <c r="AD45" s="647"/>
      <c r="AE45" s="647"/>
      <c r="AF45" s="647"/>
      <c r="AG45" s="647"/>
    </row>
    <row r="46" spans="1:33" x14ac:dyDescent="0.25">
      <c r="A46" s="334" t="s">
        <v>1844</v>
      </c>
      <c r="B46" s="1645" t="s">
        <v>2994</v>
      </c>
      <c r="C46" s="647"/>
      <c r="D46" s="648">
        <f t="shared" ref="D46:O46" si="58">D48+D51</f>
        <v>92.202000000000012</v>
      </c>
      <c r="E46" s="648">
        <f t="shared" si="58"/>
        <v>10.291</v>
      </c>
      <c r="F46" s="648">
        <f t="shared" si="58"/>
        <v>12.132</v>
      </c>
      <c r="G46" s="648">
        <f t="shared" si="58"/>
        <v>86.419000000000011</v>
      </c>
      <c r="H46" s="648">
        <f t="shared" si="58"/>
        <v>77.711000000000013</v>
      </c>
      <c r="I46" s="648">
        <f t="shared" si="58"/>
        <v>84.917000000000002</v>
      </c>
      <c r="J46" s="648">
        <f t="shared" si="58"/>
        <v>111.92500000000001</v>
      </c>
      <c r="K46" s="648">
        <f t="shared" si="58"/>
        <v>130.14600000000002</v>
      </c>
      <c r="L46" s="648">
        <f t="shared" si="58"/>
        <v>146.09100000000001</v>
      </c>
      <c r="M46" s="649">
        <f t="shared" si="58"/>
        <v>139.11000000000001</v>
      </c>
      <c r="N46" s="649">
        <f t="shared" si="58"/>
        <v>132.65299999999999</v>
      </c>
      <c r="O46" s="649">
        <f t="shared" si="58"/>
        <v>131.786</v>
      </c>
      <c r="P46" s="649">
        <f t="shared" ref="P46:AC46" si="59">P48</f>
        <v>144.91</v>
      </c>
      <c r="Q46" s="649">
        <f t="shared" si="59"/>
        <v>193.262</v>
      </c>
      <c r="R46" s="649">
        <f t="shared" si="59"/>
        <v>197.03800000000001</v>
      </c>
      <c r="S46" s="649">
        <f t="shared" si="59"/>
        <v>238.83699999999999</v>
      </c>
      <c r="T46" s="649">
        <f t="shared" si="59"/>
        <v>402.00700000000001</v>
      </c>
      <c r="U46" s="649">
        <f t="shared" si="59"/>
        <v>552.54300000000001</v>
      </c>
      <c r="V46" s="649">
        <f t="shared" ref="V46:W46" si="60">V48</f>
        <v>590.24300000000005</v>
      </c>
      <c r="W46" s="649">
        <f t="shared" si="60"/>
        <v>839</v>
      </c>
      <c r="X46" s="649">
        <f t="shared" si="59"/>
        <v>794.44446371084621</v>
      </c>
      <c r="Y46" s="649">
        <f t="shared" si="59"/>
        <v>851.28691579435474</v>
      </c>
      <c r="Z46" s="649">
        <f t="shared" si="59"/>
        <v>911.50413317386437</v>
      </c>
      <c r="AA46" s="649">
        <f t="shared" si="59"/>
        <v>975.10587429392456</v>
      </c>
      <c r="AB46" s="649">
        <f t="shared" si="59"/>
        <v>1042.5411213050904</v>
      </c>
      <c r="AC46" s="649">
        <f t="shared" si="59"/>
        <v>1113.2170662701035</v>
      </c>
      <c r="AD46" s="649">
        <f t="shared" ref="AD46:AF46" si="61">AD48</f>
        <v>1186.6156018255701</v>
      </c>
      <c r="AE46" s="649">
        <f t="shared" si="61"/>
        <v>1262.2784668470322</v>
      </c>
      <c r="AF46" s="649">
        <f t="shared" si="61"/>
        <v>1339.7952405806911</v>
      </c>
      <c r="AG46" s="649">
        <f t="shared" ref="AG46" si="62">AG48</f>
        <v>1418.7936580811595</v>
      </c>
    </row>
    <row r="47" spans="1:33" ht="12" x14ac:dyDescent="0.35">
      <c r="A47" s="622" t="s">
        <v>577</v>
      </c>
      <c r="B47" s="1657" t="s">
        <v>577</v>
      </c>
      <c r="C47" s="624"/>
      <c r="D47" s="624"/>
      <c r="E47" s="624">
        <f t="shared" ref="E47:AC47" si="63">E46/D46-1</f>
        <v>-0.88838636905923951</v>
      </c>
      <c r="F47" s="624">
        <f t="shared" si="63"/>
        <v>0.17889417938004071</v>
      </c>
      <c r="G47" s="624">
        <f t="shared" si="63"/>
        <v>6.1232278272337632</v>
      </c>
      <c r="H47" s="624">
        <f t="shared" si="63"/>
        <v>-0.10076487809393764</v>
      </c>
      <c r="I47" s="624">
        <f t="shared" si="63"/>
        <v>9.2728185199006496E-2</v>
      </c>
      <c r="J47" s="624">
        <f t="shared" si="63"/>
        <v>0.31805174464477082</v>
      </c>
      <c r="K47" s="624">
        <f t="shared" si="63"/>
        <v>0.16279651552378827</v>
      </c>
      <c r="L47" s="624">
        <f t="shared" si="63"/>
        <v>0.12251625097966889</v>
      </c>
      <c r="M47" s="624">
        <f t="shared" si="63"/>
        <v>-4.7785284514446413E-2</v>
      </c>
      <c r="N47" s="624">
        <f t="shared" si="63"/>
        <v>-4.641650492416094E-2</v>
      </c>
      <c r="O47" s="624">
        <f t="shared" si="63"/>
        <v>-6.5358491703918498E-3</v>
      </c>
      <c r="P47" s="624">
        <f t="shared" si="63"/>
        <v>9.9585691955139444E-2</v>
      </c>
      <c r="Q47" s="624">
        <f t="shared" si="63"/>
        <v>0.33366917397005036</v>
      </c>
      <c r="R47" s="624">
        <f t="shared" si="63"/>
        <v>1.9538243420848422E-2</v>
      </c>
      <c r="S47" s="624">
        <f t="shared" si="63"/>
        <v>0.21213674519635783</v>
      </c>
      <c r="T47" s="624">
        <f t="shared" si="63"/>
        <v>0.68318560357063607</v>
      </c>
      <c r="U47" s="624">
        <f t="shared" si="63"/>
        <v>0.37446114122390894</v>
      </c>
      <c r="V47" s="624">
        <f t="shared" si="63"/>
        <v>6.8229983910754521E-2</v>
      </c>
      <c r="W47" s="624">
        <f t="shared" si="63"/>
        <v>0.42144845428069444</v>
      </c>
      <c r="X47" s="624">
        <f t="shared" si="63"/>
        <v>-5.3105525970385981E-2</v>
      </c>
      <c r="Y47" s="624">
        <f t="shared" si="63"/>
        <v>7.1549937950347919E-2</v>
      </c>
      <c r="Z47" s="624">
        <f t="shared" si="63"/>
        <v>7.0736688491587651E-2</v>
      </c>
      <c r="AA47" s="624">
        <f t="shared" si="63"/>
        <v>6.9776689765079114E-2</v>
      </c>
      <c r="AB47" s="624">
        <f t="shared" si="63"/>
        <v>6.9156846234770031E-2</v>
      </c>
      <c r="AC47" s="624">
        <f t="shared" si="63"/>
        <v>6.7791997380917124E-2</v>
      </c>
      <c r="AD47" s="624">
        <f t="shared" ref="AD47" si="64">AD46/AC46-1</f>
        <v>6.5933713899475777E-2</v>
      </c>
      <c r="AE47" s="624">
        <f t="shared" ref="AE47" si="65">AE46/AD46-1</f>
        <v>6.3763585195624639E-2</v>
      </c>
      <c r="AF47" s="624">
        <f t="shared" ref="AF47:AG47" si="66">AF46/AE46-1</f>
        <v>6.1410200498217549E-2</v>
      </c>
      <c r="AG47" s="624">
        <f t="shared" si="66"/>
        <v>5.8963052791730419E-2</v>
      </c>
    </row>
    <row r="48" spans="1:33" x14ac:dyDescent="0.25">
      <c r="A48" s="650" t="s">
        <v>1843</v>
      </c>
      <c r="B48" s="1650" t="s">
        <v>2995</v>
      </c>
      <c r="C48" s="640"/>
      <c r="D48" s="629">
        <f t="shared" ref="D48:AC48" si="67">D65</f>
        <v>91.628000000000014</v>
      </c>
      <c r="E48" s="629">
        <f t="shared" si="67"/>
        <v>9.7409999999999997</v>
      </c>
      <c r="F48" s="629">
        <f t="shared" si="67"/>
        <v>11.218999999999999</v>
      </c>
      <c r="G48" s="629">
        <f t="shared" si="67"/>
        <v>84.754000000000005</v>
      </c>
      <c r="H48" s="629">
        <f t="shared" si="67"/>
        <v>76.659000000000006</v>
      </c>
      <c r="I48" s="629">
        <f t="shared" si="67"/>
        <v>83.858999999999995</v>
      </c>
      <c r="J48" s="629">
        <f t="shared" si="67"/>
        <v>110.90600000000001</v>
      </c>
      <c r="K48" s="629">
        <f t="shared" si="67"/>
        <v>129.13800000000001</v>
      </c>
      <c r="L48" s="629">
        <f t="shared" si="67"/>
        <v>145.084</v>
      </c>
      <c r="M48" s="629">
        <f t="shared" si="67"/>
        <v>139.11000000000001</v>
      </c>
      <c r="N48" s="629">
        <f t="shared" si="67"/>
        <v>132.65299999999999</v>
      </c>
      <c r="O48" s="629">
        <f t="shared" si="67"/>
        <v>131.786</v>
      </c>
      <c r="P48" s="629">
        <f t="shared" si="67"/>
        <v>144.91</v>
      </c>
      <c r="Q48" s="629">
        <f t="shared" si="67"/>
        <v>193.262</v>
      </c>
      <c r="R48" s="629">
        <f t="shared" si="67"/>
        <v>197.03800000000001</v>
      </c>
      <c r="S48" s="629">
        <f t="shared" si="67"/>
        <v>238.83699999999999</v>
      </c>
      <c r="T48" s="629">
        <f t="shared" si="67"/>
        <v>402.00700000000001</v>
      </c>
      <c r="U48" s="629">
        <f>U65</f>
        <v>552.54300000000001</v>
      </c>
      <c r="V48" s="629">
        <f>V65</f>
        <v>590.24300000000005</v>
      </c>
      <c r="W48" s="629">
        <f>W65</f>
        <v>839</v>
      </c>
      <c r="X48" s="629">
        <f t="shared" si="67"/>
        <v>794.44446371084621</v>
      </c>
      <c r="Y48" s="629">
        <f t="shared" si="67"/>
        <v>851.28691579435474</v>
      </c>
      <c r="Z48" s="629">
        <f t="shared" si="67"/>
        <v>911.50413317386437</v>
      </c>
      <c r="AA48" s="629">
        <f t="shared" si="67"/>
        <v>975.10587429392456</v>
      </c>
      <c r="AB48" s="629">
        <f t="shared" si="67"/>
        <v>1042.5411213050904</v>
      </c>
      <c r="AC48" s="629">
        <f t="shared" si="67"/>
        <v>1113.2170662701035</v>
      </c>
      <c r="AD48" s="629">
        <f t="shared" ref="AD48:AF48" si="68">AD65</f>
        <v>1186.6156018255701</v>
      </c>
      <c r="AE48" s="629">
        <f t="shared" si="68"/>
        <v>1262.2784668470322</v>
      </c>
      <c r="AF48" s="629">
        <f t="shared" si="68"/>
        <v>1339.7952405806911</v>
      </c>
      <c r="AG48" s="629">
        <f t="shared" ref="AG48" si="69">AG65</f>
        <v>1418.7936580811595</v>
      </c>
    </row>
    <row r="49" spans="1:33" ht="12" x14ac:dyDescent="0.35">
      <c r="A49" s="630" t="s">
        <v>577</v>
      </c>
      <c r="B49" s="1651" t="s">
        <v>577</v>
      </c>
      <c r="C49" s="374"/>
      <c r="D49" s="374"/>
      <c r="E49" s="374">
        <f t="shared" ref="E49:AC49" si="70">E48/D48-1</f>
        <v>-0.89368970183786622</v>
      </c>
      <c r="F49" s="374">
        <f t="shared" si="70"/>
        <v>0.15172980186839125</v>
      </c>
      <c r="G49" s="374">
        <f t="shared" si="70"/>
        <v>6.5545057491755063</v>
      </c>
      <c r="H49" s="374">
        <f t="shared" si="70"/>
        <v>-9.551171626117938E-2</v>
      </c>
      <c r="I49" s="374">
        <f t="shared" si="70"/>
        <v>9.3922435721832898E-2</v>
      </c>
      <c r="J49" s="374">
        <f t="shared" si="70"/>
        <v>0.3225294840148345</v>
      </c>
      <c r="K49" s="374">
        <f t="shared" si="70"/>
        <v>0.16439146664743109</v>
      </c>
      <c r="L49" s="374">
        <f t="shared" si="70"/>
        <v>0.12348030788768605</v>
      </c>
      <c r="M49" s="374">
        <f t="shared" si="70"/>
        <v>-4.11761462325273E-2</v>
      </c>
      <c r="N49" s="374">
        <f t="shared" si="70"/>
        <v>-4.641650492416094E-2</v>
      </c>
      <c r="O49" s="374">
        <f t="shared" si="70"/>
        <v>-6.5358491703918498E-3</v>
      </c>
      <c r="P49" s="374">
        <f t="shared" si="70"/>
        <v>9.9585691955139444E-2</v>
      </c>
      <c r="Q49" s="374">
        <f t="shared" si="70"/>
        <v>0.33366917397005036</v>
      </c>
      <c r="R49" s="374">
        <f t="shared" si="70"/>
        <v>1.9538243420848422E-2</v>
      </c>
      <c r="S49" s="374">
        <f t="shared" si="70"/>
        <v>0.21213674519635783</v>
      </c>
      <c r="T49" s="374">
        <f t="shared" si="70"/>
        <v>0.68318560357063607</v>
      </c>
      <c r="U49" s="374">
        <f t="shared" si="70"/>
        <v>0.37446114122390894</v>
      </c>
      <c r="V49" s="374">
        <f t="shared" si="70"/>
        <v>6.8229983910754521E-2</v>
      </c>
      <c r="W49" s="374">
        <f t="shared" si="70"/>
        <v>0.42144845428069444</v>
      </c>
      <c r="X49" s="374">
        <f t="shared" si="70"/>
        <v>-5.3105525970385981E-2</v>
      </c>
      <c r="Y49" s="374">
        <f t="shared" si="70"/>
        <v>7.1549937950347919E-2</v>
      </c>
      <c r="Z49" s="374">
        <f t="shared" si="70"/>
        <v>7.0736688491587651E-2</v>
      </c>
      <c r="AA49" s="374">
        <f t="shared" si="70"/>
        <v>6.9776689765079114E-2</v>
      </c>
      <c r="AB49" s="374">
        <f t="shared" si="70"/>
        <v>6.9156846234770031E-2</v>
      </c>
      <c r="AC49" s="374">
        <f t="shared" si="70"/>
        <v>6.7791997380917124E-2</v>
      </c>
      <c r="AD49" s="374">
        <f t="shared" ref="AD49" si="71">AD48/AC48-1</f>
        <v>6.5933713899475777E-2</v>
      </c>
      <c r="AE49" s="374">
        <f t="shared" ref="AE49" si="72">AE48/AD48-1</f>
        <v>6.3763585195624639E-2</v>
      </c>
      <c r="AF49" s="374">
        <f t="shared" ref="AF49:AG49" si="73">AF48/AE48-1</f>
        <v>6.1410200498217549E-2</v>
      </c>
      <c r="AG49" s="374">
        <f t="shared" si="73"/>
        <v>5.8963052791730419E-2</v>
      </c>
    </row>
    <row r="50" spans="1:33" x14ac:dyDescent="0.25">
      <c r="A50" s="601" t="s">
        <v>2044</v>
      </c>
      <c r="B50" s="1659" t="s">
        <v>2996</v>
      </c>
      <c r="C50" s="374"/>
      <c r="D50" s="374">
        <f t="shared" ref="D50:AC50" si="74">D48/D46</f>
        <v>0.99377453851326436</v>
      </c>
      <c r="E50" s="374">
        <f t="shared" si="74"/>
        <v>0.94655524244485467</v>
      </c>
      <c r="F50" s="374">
        <f t="shared" si="74"/>
        <v>0.92474447741510057</v>
      </c>
      <c r="G50" s="374">
        <f t="shared" si="74"/>
        <v>0.980733403533945</v>
      </c>
      <c r="H50" s="374">
        <f t="shared" si="74"/>
        <v>0.98646266294346996</v>
      </c>
      <c r="I50" s="374">
        <f t="shared" si="74"/>
        <v>0.98754077510981308</v>
      </c>
      <c r="J50" s="374">
        <f t="shared" si="74"/>
        <v>0.99089568907750725</v>
      </c>
      <c r="K50" s="374">
        <f t="shared" si="74"/>
        <v>0.99225485224286558</v>
      </c>
      <c r="L50" s="374">
        <f t="shared" si="74"/>
        <v>0.99310703602549089</v>
      </c>
      <c r="M50" s="374">
        <f t="shared" si="74"/>
        <v>1</v>
      </c>
      <c r="N50" s="374">
        <f t="shared" si="74"/>
        <v>1</v>
      </c>
      <c r="O50" s="374">
        <f t="shared" si="74"/>
        <v>1</v>
      </c>
      <c r="P50" s="374">
        <f t="shared" si="74"/>
        <v>1</v>
      </c>
      <c r="Q50" s="374">
        <f t="shared" si="74"/>
        <v>1</v>
      </c>
      <c r="R50" s="374">
        <f t="shared" si="74"/>
        <v>1</v>
      </c>
      <c r="S50" s="374">
        <f t="shared" si="74"/>
        <v>1</v>
      </c>
      <c r="T50" s="374">
        <f t="shared" si="74"/>
        <v>1</v>
      </c>
      <c r="U50" s="374">
        <f t="shared" si="74"/>
        <v>1</v>
      </c>
      <c r="V50" s="374">
        <f t="shared" ref="V50:W50" si="75">V48/V46</f>
        <v>1</v>
      </c>
      <c r="W50" s="374">
        <f t="shared" si="75"/>
        <v>1</v>
      </c>
      <c r="X50" s="374">
        <f t="shared" si="74"/>
        <v>1</v>
      </c>
      <c r="Y50" s="374">
        <f t="shared" si="74"/>
        <v>1</v>
      </c>
      <c r="Z50" s="374">
        <f t="shared" si="74"/>
        <v>1</v>
      </c>
      <c r="AA50" s="374">
        <f t="shared" si="74"/>
        <v>1</v>
      </c>
      <c r="AB50" s="374">
        <f t="shared" si="74"/>
        <v>1</v>
      </c>
      <c r="AC50" s="374">
        <f t="shared" si="74"/>
        <v>1</v>
      </c>
      <c r="AD50" s="374">
        <f t="shared" ref="AD50:AF50" si="76">AD48/AD46</f>
        <v>1</v>
      </c>
      <c r="AE50" s="374">
        <f t="shared" si="76"/>
        <v>1</v>
      </c>
      <c r="AF50" s="374">
        <f t="shared" si="76"/>
        <v>1</v>
      </c>
      <c r="AG50" s="374">
        <f t="shared" ref="AG50" si="77">AG48/AG46</f>
        <v>1</v>
      </c>
    </row>
    <row r="51" spans="1:33" x14ac:dyDescent="0.25">
      <c r="A51" s="601" t="s">
        <v>2323</v>
      </c>
      <c r="B51" s="1670" t="s">
        <v>2997</v>
      </c>
      <c r="C51" s="642"/>
      <c r="D51" s="634">
        <f t="shared" ref="D51:L51" si="78">D84</f>
        <v>0.57399999999999995</v>
      </c>
      <c r="E51" s="634">
        <f t="shared" si="78"/>
        <v>0.55000000000000004</v>
      </c>
      <c r="F51" s="634">
        <f t="shared" si="78"/>
        <v>0.91300000000000003</v>
      </c>
      <c r="G51" s="634">
        <f t="shared" si="78"/>
        <v>1.665</v>
      </c>
      <c r="H51" s="634">
        <f t="shared" si="78"/>
        <v>1.052</v>
      </c>
      <c r="I51" s="634">
        <f t="shared" si="78"/>
        <v>1.0580000000000001</v>
      </c>
      <c r="J51" s="634">
        <f t="shared" si="78"/>
        <v>1.0189999999999999</v>
      </c>
      <c r="K51" s="634">
        <f t="shared" si="78"/>
        <v>1.008</v>
      </c>
      <c r="L51" s="634">
        <f t="shared" si="78"/>
        <v>1.0069999999999999</v>
      </c>
      <c r="M51" s="633"/>
      <c r="N51" s="633"/>
      <c r="O51" s="633"/>
      <c r="P51" s="633"/>
      <c r="Q51" s="633"/>
      <c r="R51" s="633"/>
      <c r="S51" s="633"/>
      <c r="T51" s="633"/>
      <c r="U51" s="633"/>
      <c r="V51" s="633"/>
      <c r="W51" s="633"/>
      <c r="X51" s="633"/>
      <c r="Y51" s="633"/>
      <c r="Z51" s="633"/>
      <c r="AA51" s="633"/>
      <c r="AB51" s="633"/>
      <c r="AC51" s="633"/>
      <c r="AD51" s="633"/>
      <c r="AE51" s="633"/>
      <c r="AF51" s="633"/>
      <c r="AG51" s="633"/>
    </row>
    <row r="52" spans="1:33" ht="12" x14ac:dyDescent="0.35">
      <c r="A52" s="630" t="s">
        <v>577</v>
      </c>
      <c r="B52" s="1651" t="s">
        <v>577</v>
      </c>
      <c r="C52" s="374"/>
      <c r="D52" s="374"/>
      <c r="E52" s="374">
        <f t="shared" ref="E52:L52" si="79">E51/D51-1</f>
        <v>-4.1811846689895349E-2</v>
      </c>
      <c r="F52" s="374">
        <f t="shared" si="79"/>
        <v>0.65999999999999992</v>
      </c>
      <c r="G52" s="374">
        <f t="shared" si="79"/>
        <v>0.82365826944140186</v>
      </c>
      <c r="H52" s="374">
        <f t="shared" si="79"/>
        <v>-0.36816816816816811</v>
      </c>
      <c r="I52" s="374">
        <f t="shared" si="79"/>
        <v>5.7034220532319324E-3</v>
      </c>
      <c r="J52" s="374">
        <f t="shared" si="79"/>
        <v>-3.6862003780718466E-2</v>
      </c>
      <c r="K52" s="374">
        <f t="shared" si="79"/>
        <v>-1.079489695780167E-2</v>
      </c>
      <c r="L52" s="374">
        <f t="shared" si="79"/>
        <v>-9.9206349206359956E-4</v>
      </c>
      <c r="M52" s="374"/>
      <c r="N52" s="374"/>
      <c r="O52" s="374"/>
      <c r="P52" s="374"/>
      <c r="Q52" s="374"/>
      <c r="R52" s="374"/>
      <c r="S52" s="374"/>
      <c r="T52" s="374"/>
      <c r="U52" s="374"/>
      <c r="V52" s="374"/>
      <c r="W52" s="374"/>
      <c r="X52" s="374"/>
      <c r="Y52" s="374"/>
      <c r="Z52" s="374"/>
      <c r="AA52" s="374"/>
      <c r="AB52" s="374"/>
      <c r="AC52" s="374"/>
      <c r="AD52" s="374"/>
      <c r="AE52" s="374"/>
      <c r="AF52" s="374"/>
      <c r="AG52" s="374"/>
    </row>
    <row r="53" spans="1:33" x14ac:dyDescent="0.25">
      <c r="A53" s="635" t="s">
        <v>2044</v>
      </c>
      <c r="B53" s="1671" t="s">
        <v>2996</v>
      </c>
      <c r="C53" s="497"/>
      <c r="D53" s="497">
        <f t="shared" ref="D53:L53" si="80">D51/D46</f>
        <v>6.2254614867356447E-3</v>
      </c>
      <c r="E53" s="497">
        <f t="shared" si="80"/>
        <v>5.3444757555145272E-2</v>
      </c>
      <c r="F53" s="497">
        <f t="shared" si="80"/>
        <v>7.525552258489944E-2</v>
      </c>
      <c r="G53" s="497">
        <f t="shared" si="80"/>
        <v>1.9266596466054917E-2</v>
      </c>
      <c r="H53" s="497">
        <f t="shared" si="80"/>
        <v>1.3537337056529961E-2</v>
      </c>
      <c r="I53" s="497">
        <f t="shared" si="80"/>
        <v>1.2459224890186889E-2</v>
      </c>
      <c r="J53" s="497">
        <f t="shared" si="80"/>
        <v>9.1043109224927393E-3</v>
      </c>
      <c r="K53" s="497">
        <f t="shared" si="80"/>
        <v>7.7451477571342945E-3</v>
      </c>
      <c r="L53" s="497">
        <f t="shared" si="80"/>
        <v>6.8929639745090379E-3</v>
      </c>
      <c r="M53" s="497"/>
      <c r="N53" s="497"/>
      <c r="O53" s="497"/>
      <c r="P53" s="497"/>
      <c r="Q53" s="497"/>
      <c r="R53" s="497"/>
      <c r="S53" s="497"/>
      <c r="T53" s="497"/>
      <c r="U53" s="497"/>
      <c r="V53" s="497"/>
      <c r="W53" s="497"/>
      <c r="X53" s="497"/>
      <c r="Y53" s="497"/>
      <c r="Z53" s="497"/>
      <c r="AA53" s="497"/>
      <c r="AB53" s="497"/>
      <c r="AC53" s="497"/>
      <c r="AD53" s="497"/>
      <c r="AE53" s="497"/>
      <c r="AF53" s="497"/>
      <c r="AG53" s="497"/>
    </row>
    <row r="54" spans="1:33" x14ac:dyDescent="0.25">
      <c r="B54" s="1643"/>
      <c r="C54" s="636"/>
      <c r="D54" s="636"/>
      <c r="E54" s="636"/>
      <c r="F54" s="636"/>
      <c r="G54" s="636"/>
      <c r="H54" s="636"/>
      <c r="I54" s="636"/>
      <c r="J54" s="636"/>
      <c r="K54" s="636"/>
      <c r="L54" s="636"/>
      <c r="M54" s="636"/>
      <c r="N54" s="636"/>
      <c r="O54" s="636"/>
      <c r="P54" s="636"/>
      <c r="Q54" s="636"/>
      <c r="R54" s="636"/>
      <c r="S54" s="636"/>
      <c r="T54" s="636"/>
      <c r="U54" s="636"/>
      <c r="V54" s="636"/>
      <c r="W54" s="636"/>
      <c r="X54" s="636"/>
      <c r="Y54" s="636"/>
      <c r="Z54" s="636"/>
      <c r="AA54" s="636"/>
      <c r="AB54" s="636"/>
      <c r="AC54" s="636"/>
      <c r="AD54" s="636"/>
      <c r="AE54" s="636"/>
      <c r="AF54" s="636"/>
      <c r="AG54" s="636"/>
    </row>
    <row r="55" spans="1:33" x14ac:dyDescent="0.25">
      <c r="B55" s="1645" t="s">
        <v>261</v>
      </c>
      <c r="C55" s="636"/>
      <c r="D55" s="636"/>
      <c r="E55" s="636"/>
      <c r="F55" s="636"/>
      <c r="G55" s="636"/>
      <c r="H55" s="636"/>
      <c r="I55" s="636"/>
      <c r="J55" s="636"/>
      <c r="K55" s="636"/>
      <c r="L55" s="636"/>
      <c r="M55" s="636"/>
      <c r="N55" s="636"/>
      <c r="O55" s="636"/>
      <c r="P55" s="636"/>
      <c r="Q55" s="636"/>
      <c r="R55" s="636"/>
      <c r="S55" s="636"/>
      <c r="T55" s="636"/>
      <c r="U55" s="636"/>
      <c r="V55" s="636"/>
      <c r="W55" s="636"/>
      <c r="X55" s="636"/>
      <c r="Y55" s="636"/>
      <c r="Z55" s="636"/>
      <c r="AA55" s="636"/>
      <c r="AB55" s="636"/>
      <c r="AC55" s="636"/>
      <c r="AD55" s="636"/>
      <c r="AE55" s="636"/>
      <c r="AF55" s="636"/>
      <c r="AG55" s="636"/>
    </row>
    <row r="56" spans="1:33" x14ac:dyDescent="0.25">
      <c r="A56" s="567" t="s">
        <v>2324</v>
      </c>
      <c r="B56" s="1674" t="s">
        <v>2998</v>
      </c>
      <c r="C56" s="648"/>
      <c r="D56" s="648"/>
      <c r="E56" s="648"/>
      <c r="F56" s="648"/>
      <c r="G56" s="648"/>
      <c r="H56" s="648"/>
      <c r="I56" s="648">
        <f t="shared" ref="I56:AC56" si="81">I57+I60</f>
        <v>90.266999999999996</v>
      </c>
      <c r="J56" s="648">
        <f t="shared" si="81"/>
        <v>158.21</v>
      </c>
      <c r="K56" s="648">
        <f t="shared" si="81"/>
        <v>166.43299999999999</v>
      </c>
      <c r="L56" s="648">
        <f t="shared" si="81"/>
        <v>168.21299999999999</v>
      </c>
      <c r="M56" s="648">
        <f t="shared" si="81"/>
        <v>195.47800000000001</v>
      </c>
      <c r="N56" s="648">
        <f t="shared" si="81"/>
        <v>221.46</v>
      </c>
      <c r="O56" s="648">
        <f t="shared" si="81"/>
        <v>224.636</v>
      </c>
      <c r="P56" s="648">
        <f t="shared" si="81"/>
        <v>229.72699999999998</v>
      </c>
      <c r="Q56" s="648">
        <f t="shared" si="81"/>
        <v>287.66300000000001</v>
      </c>
      <c r="R56" s="648">
        <f t="shared" si="81"/>
        <v>218.482</v>
      </c>
      <c r="S56" s="648">
        <f t="shared" si="81"/>
        <v>192.95100000000002</v>
      </c>
      <c r="T56" s="648">
        <f t="shared" si="81"/>
        <v>185.95500000000001</v>
      </c>
      <c r="U56" s="648">
        <f t="shared" si="81"/>
        <v>179.09800000000001</v>
      </c>
      <c r="V56" s="648">
        <f t="shared" ref="V56:W56" si="82">V57+V60</f>
        <v>175.23699999999999</v>
      </c>
      <c r="W56" s="648">
        <f t="shared" si="82"/>
        <v>163.47499999999999</v>
      </c>
      <c r="X56" s="648">
        <f t="shared" si="81"/>
        <v>154.97023062870832</v>
      </c>
      <c r="Y56" s="648">
        <f t="shared" si="81"/>
        <v>153.30395993499647</v>
      </c>
      <c r="Z56" s="648">
        <f t="shared" si="81"/>
        <v>148.30313290652774</v>
      </c>
      <c r="AA56" s="648">
        <f t="shared" si="81"/>
        <v>144.92723754342094</v>
      </c>
      <c r="AB56" s="648">
        <f t="shared" si="81"/>
        <v>140.76004959864139</v>
      </c>
      <c r="AC56" s="648">
        <f t="shared" si="81"/>
        <v>136.97792131919414</v>
      </c>
      <c r="AD56" s="648">
        <f t="shared" ref="AD56:AF56" si="83">AD57+AD60</f>
        <v>133.00855651983278</v>
      </c>
      <c r="AE56" s="648">
        <f t="shared" si="83"/>
        <v>129.13016332405246</v>
      </c>
      <c r="AF56" s="648">
        <f t="shared" si="83"/>
        <v>125.2076076546696</v>
      </c>
      <c r="AG56" s="648">
        <f t="shared" ref="AG56" si="84">AG57+AG60</f>
        <v>121.30647155799403</v>
      </c>
    </row>
    <row r="57" spans="1:33" x14ac:dyDescent="0.25">
      <c r="A57" s="593" t="s">
        <v>2325</v>
      </c>
      <c r="B57" s="1675" t="s">
        <v>2999</v>
      </c>
      <c r="C57" s="629"/>
      <c r="D57" s="629"/>
      <c r="E57" s="629"/>
      <c r="F57" s="629"/>
      <c r="G57" s="629">
        <f t="shared" ref="G57:L57" si="85">G114</f>
        <v>0</v>
      </c>
      <c r="H57" s="629">
        <f t="shared" si="85"/>
        <v>0</v>
      </c>
      <c r="I57" s="629">
        <f t="shared" si="85"/>
        <v>90.266999999999996</v>
      </c>
      <c r="J57" s="629">
        <f t="shared" si="85"/>
        <v>138.744</v>
      </c>
      <c r="K57" s="629">
        <f t="shared" si="85"/>
        <v>140.47800000000001</v>
      </c>
      <c r="L57" s="629">
        <f t="shared" si="85"/>
        <v>142.25700000000001</v>
      </c>
      <c r="M57" s="629">
        <f t="shared" ref="M57:AC57" si="86">M105</f>
        <v>180.863</v>
      </c>
      <c r="N57" s="629">
        <f t="shared" si="86"/>
        <v>210.625</v>
      </c>
      <c r="O57" s="629">
        <f t="shared" si="86"/>
        <v>206.95099999999999</v>
      </c>
      <c r="P57" s="629">
        <f t="shared" si="86"/>
        <v>211.87899999999999</v>
      </c>
      <c r="Q57" s="629">
        <f t="shared" si="86"/>
        <v>270.065</v>
      </c>
      <c r="R57" s="629">
        <f t="shared" si="86"/>
        <v>201.02799999999999</v>
      </c>
      <c r="S57" s="629">
        <f t="shared" si="86"/>
        <v>174.98400000000001</v>
      </c>
      <c r="T57" s="629">
        <f t="shared" si="86"/>
        <v>168.262</v>
      </c>
      <c r="U57" s="629">
        <f>U105</f>
        <v>161.67400000000001</v>
      </c>
      <c r="V57" s="629">
        <f>V105</f>
        <v>157.964</v>
      </c>
      <c r="W57" s="629">
        <f>W105</f>
        <v>163.47499999999999</v>
      </c>
      <c r="X57" s="629">
        <f t="shared" si="86"/>
        <v>154.97023062870832</v>
      </c>
      <c r="Y57" s="629">
        <f t="shared" si="86"/>
        <v>153.30395993499647</v>
      </c>
      <c r="Z57" s="629">
        <f t="shared" si="86"/>
        <v>148.30313290652774</v>
      </c>
      <c r="AA57" s="629">
        <f t="shared" si="86"/>
        <v>144.92723754342094</v>
      </c>
      <c r="AB57" s="629">
        <f t="shared" si="86"/>
        <v>140.76004959864139</v>
      </c>
      <c r="AC57" s="629">
        <f t="shared" si="86"/>
        <v>136.97792131919414</v>
      </c>
      <c r="AD57" s="629">
        <f t="shared" ref="AD57:AF57" si="87">AD105</f>
        <v>133.00855651983278</v>
      </c>
      <c r="AE57" s="629">
        <f t="shared" si="87"/>
        <v>129.13016332405246</v>
      </c>
      <c r="AF57" s="629">
        <f t="shared" si="87"/>
        <v>125.2076076546696</v>
      </c>
      <c r="AG57" s="629">
        <f t="shared" ref="AG57" si="88">AG105</f>
        <v>121.30647155799403</v>
      </c>
    </row>
    <row r="58" spans="1:33" ht="12" x14ac:dyDescent="0.35">
      <c r="A58" s="630" t="s">
        <v>577</v>
      </c>
      <c r="B58" s="1651" t="s">
        <v>577</v>
      </c>
      <c r="C58" s="374"/>
      <c r="D58" s="374"/>
      <c r="E58" s="374"/>
      <c r="F58" s="374"/>
      <c r="G58" s="374"/>
      <c r="H58" s="374"/>
      <c r="I58" s="374"/>
      <c r="J58" s="374">
        <f t="shared" ref="J58:AC58" si="89">J57/I57-1</f>
        <v>0.53704011432749521</v>
      </c>
      <c r="K58" s="374">
        <f t="shared" si="89"/>
        <v>1.2497837744334994E-2</v>
      </c>
      <c r="L58" s="374">
        <f t="shared" si="89"/>
        <v>1.2663904668346548E-2</v>
      </c>
      <c r="M58" s="374">
        <f t="shared" si="89"/>
        <v>0.27138207610170317</v>
      </c>
      <c r="N58" s="374">
        <f t="shared" si="89"/>
        <v>0.16455549227868604</v>
      </c>
      <c r="O58" s="374">
        <f t="shared" si="89"/>
        <v>-1.7443323442136505E-2</v>
      </c>
      <c r="P58" s="374">
        <f t="shared" si="89"/>
        <v>2.3812400036723691E-2</v>
      </c>
      <c r="Q58" s="374">
        <f t="shared" si="89"/>
        <v>0.27461900424298769</v>
      </c>
      <c r="R58" s="374">
        <f t="shared" si="89"/>
        <v>-0.25563105178382983</v>
      </c>
      <c r="S58" s="374">
        <f t="shared" si="89"/>
        <v>-0.12955409196728807</v>
      </c>
      <c r="T58" s="374">
        <f t="shared" si="89"/>
        <v>-3.841494079458696E-2</v>
      </c>
      <c r="U58" s="374">
        <f t="shared" si="89"/>
        <v>-3.9153225327168362E-2</v>
      </c>
      <c r="V58" s="374">
        <f t="shared" si="89"/>
        <v>-2.2947412694681923E-2</v>
      </c>
      <c r="W58" s="374">
        <f t="shared" si="89"/>
        <v>3.4887695930718277E-2</v>
      </c>
      <c r="X58" s="374">
        <f t="shared" si="89"/>
        <v>-5.2024892927307942E-2</v>
      </c>
      <c r="Y58" s="374">
        <f t="shared" si="89"/>
        <v>-1.0752198580023076E-2</v>
      </c>
      <c r="Z58" s="374">
        <f t="shared" si="89"/>
        <v>-3.2620338252118075E-2</v>
      </c>
      <c r="AA58" s="374">
        <f t="shared" si="89"/>
        <v>-2.2763479752208271E-2</v>
      </c>
      <c r="AB58" s="374">
        <f t="shared" si="89"/>
        <v>-2.8753656078837841E-2</v>
      </c>
      <c r="AC58" s="374">
        <f t="shared" si="89"/>
        <v>-2.6869330397591429E-2</v>
      </c>
      <c r="AD58" s="374">
        <f t="shared" ref="AD58" si="90">AD57/AC57-1</f>
        <v>-2.8978135754533119E-2</v>
      </c>
      <c r="AE58" s="374">
        <f t="shared" ref="AE58" si="91">AE57/AD57-1</f>
        <v>-2.9158975161135747E-2</v>
      </c>
      <c r="AF58" s="374">
        <f t="shared" ref="AF58:AG58" si="92">AF57/AE57-1</f>
        <v>-3.037675759411218E-2</v>
      </c>
      <c r="AG58" s="374">
        <f t="shared" si="92"/>
        <v>-3.1157340753887319E-2</v>
      </c>
    </row>
    <row r="59" spans="1:33" x14ac:dyDescent="0.25">
      <c r="A59" s="601"/>
      <c r="B59" s="1651"/>
      <c r="C59" s="374"/>
      <c r="D59" s="374"/>
      <c r="E59" s="374"/>
      <c r="F59" s="374"/>
      <c r="G59" s="374"/>
      <c r="H59" s="374"/>
      <c r="I59" s="374"/>
      <c r="J59" s="374"/>
      <c r="K59" s="374"/>
      <c r="L59" s="374"/>
      <c r="M59" s="374"/>
      <c r="N59" s="374"/>
      <c r="O59" s="374"/>
      <c r="P59" s="374"/>
      <c r="Q59" s="374"/>
      <c r="R59" s="374"/>
      <c r="S59" s="374"/>
      <c r="T59" s="374"/>
      <c r="U59" s="374"/>
      <c r="V59" s="374"/>
      <c r="W59" s="374"/>
      <c r="X59" s="374"/>
      <c r="Y59" s="374"/>
      <c r="Z59" s="374"/>
      <c r="AA59" s="374"/>
      <c r="AB59" s="374"/>
      <c r="AC59" s="374"/>
      <c r="AD59" s="374"/>
      <c r="AE59" s="374"/>
      <c r="AF59" s="374"/>
      <c r="AG59" s="374"/>
    </row>
    <row r="60" spans="1:33" x14ac:dyDescent="0.25">
      <c r="A60" s="569" t="s">
        <v>2326</v>
      </c>
      <c r="B60" s="1670" t="s">
        <v>3000</v>
      </c>
      <c r="C60" s="375"/>
      <c r="D60" s="375"/>
      <c r="E60" s="375"/>
      <c r="F60" s="375"/>
      <c r="G60" s="634">
        <f t="shared" ref="G60:AC60" si="93">G132</f>
        <v>0</v>
      </c>
      <c r="H60" s="634">
        <f t="shared" si="93"/>
        <v>0</v>
      </c>
      <c r="I60" s="634">
        <f t="shared" si="93"/>
        <v>0</v>
      </c>
      <c r="J60" s="634">
        <f t="shared" si="93"/>
        <v>19.466000000000001</v>
      </c>
      <c r="K60" s="634">
        <f t="shared" si="93"/>
        <v>25.954999999999998</v>
      </c>
      <c r="L60" s="634">
        <f t="shared" si="93"/>
        <v>25.956</v>
      </c>
      <c r="M60" s="634">
        <f t="shared" si="93"/>
        <v>14.615</v>
      </c>
      <c r="N60" s="634">
        <f t="shared" si="93"/>
        <v>10.835000000000001</v>
      </c>
      <c r="O60" s="634">
        <f t="shared" si="93"/>
        <v>17.684999999999999</v>
      </c>
      <c r="P60" s="634">
        <f t="shared" si="93"/>
        <v>17.847999999999999</v>
      </c>
      <c r="Q60" s="634">
        <f t="shared" si="93"/>
        <v>17.597999999999999</v>
      </c>
      <c r="R60" s="634">
        <f t="shared" si="93"/>
        <v>17.454000000000001</v>
      </c>
      <c r="S60" s="634">
        <f t="shared" si="93"/>
        <v>17.966999999999999</v>
      </c>
      <c r="T60" s="634">
        <f t="shared" si="93"/>
        <v>17.693000000000001</v>
      </c>
      <c r="U60" s="634">
        <f t="shared" si="93"/>
        <v>17.423999999999999</v>
      </c>
      <c r="V60" s="634">
        <f t="shared" ref="V60:W60" si="94">V132</f>
        <v>17.273</v>
      </c>
      <c r="W60" s="634">
        <f t="shared" si="94"/>
        <v>0</v>
      </c>
      <c r="X60" s="634">
        <f t="shared" si="93"/>
        <v>0</v>
      </c>
      <c r="Y60" s="634">
        <f t="shared" si="93"/>
        <v>0</v>
      </c>
      <c r="Z60" s="634">
        <f t="shared" si="93"/>
        <v>0</v>
      </c>
      <c r="AA60" s="634">
        <f t="shared" si="93"/>
        <v>0</v>
      </c>
      <c r="AB60" s="634">
        <f t="shared" si="93"/>
        <v>0</v>
      </c>
      <c r="AC60" s="634">
        <f t="shared" si="93"/>
        <v>0</v>
      </c>
      <c r="AD60" s="634">
        <f t="shared" ref="AD60:AF60" si="95">AD132</f>
        <v>0</v>
      </c>
      <c r="AE60" s="634">
        <f t="shared" si="95"/>
        <v>0</v>
      </c>
      <c r="AF60" s="634">
        <f t="shared" si="95"/>
        <v>0</v>
      </c>
      <c r="AG60" s="634">
        <f t="shared" ref="AG60" si="96">AG132</f>
        <v>0</v>
      </c>
    </row>
    <row r="61" spans="1:33" ht="12" x14ac:dyDescent="0.35">
      <c r="A61" s="652" t="s">
        <v>577</v>
      </c>
      <c r="B61" s="1673" t="s">
        <v>577</v>
      </c>
      <c r="C61" s="497"/>
      <c r="D61" s="497"/>
      <c r="E61" s="497"/>
      <c r="F61" s="497"/>
      <c r="G61" s="497"/>
      <c r="H61" s="497"/>
      <c r="I61" s="497"/>
      <c r="J61" s="497" t="e">
        <f t="shared" ref="J61:S61" si="97">J60/I60-1</f>
        <v>#DIV/0!</v>
      </c>
      <c r="K61" s="497">
        <f t="shared" si="97"/>
        <v>0.33335045720743839</v>
      </c>
      <c r="L61" s="497">
        <f t="shared" si="97"/>
        <v>3.8528221922629058E-5</v>
      </c>
      <c r="M61" s="497">
        <f t="shared" si="97"/>
        <v>-0.43693173062105095</v>
      </c>
      <c r="N61" s="497">
        <f t="shared" si="97"/>
        <v>-0.25863838522066362</v>
      </c>
      <c r="O61" s="497">
        <f t="shared" si="97"/>
        <v>0.63221042916474368</v>
      </c>
      <c r="P61" s="497">
        <f t="shared" si="97"/>
        <v>9.2168504382243999E-3</v>
      </c>
      <c r="Q61" s="497">
        <f t="shared" si="97"/>
        <v>-1.4007171671896024E-2</v>
      </c>
      <c r="R61" s="497">
        <f t="shared" si="97"/>
        <v>-8.1827480395498808E-3</v>
      </c>
      <c r="S61" s="497">
        <f t="shared" si="97"/>
        <v>2.9391543485733918E-2</v>
      </c>
      <c r="T61" s="497">
        <f t="shared" ref="T61" si="98">T60/S60-1</f>
        <v>-1.5250180887181886E-2</v>
      </c>
      <c r="U61" s="497">
        <f t="shared" ref="U61:W61" si="99">U60/T60-1</f>
        <v>-1.5203752896625899E-2</v>
      </c>
      <c r="V61" s="497">
        <f t="shared" si="99"/>
        <v>-8.6662075298439278E-3</v>
      </c>
      <c r="W61" s="497">
        <f t="shared" si="99"/>
        <v>-1</v>
      </c>
      <c r="X61" s="497" t="e">
        <f t="shared" ref="X61:AC61" si="100">X60/W60-1</f>
        <v>#DIV/0!</v>
      </c>
      <c r="Y61" s="497" t="e">
        <f t="shared" si="100"/>
        <v>#DIV/0!</v>
      </c>
      <c r="Z61" s="497" t="e">
        <f t="shared" si="100"/>
        <v>#DIV/0!</v>
      </c>
      <c r="AA61" s="497" t="e">
        <f t="shared" si="100"/>
        <v>#DIV/0!</v>
      </c>
      <c r="AB61" s="497" t="e">
        <f t="shared" si="100"/>
        <v>#DIV/0!</v>
      </c>
      <c r="AC61" s="497" t="e">
        <f t="shared" si="100"/>
        <v>#DIV/0!</v>
      </c>
      <c r="AD61" s="497" t="e">
        <f t="shared" ref="AD61" si="101">AD60/AC60-1</f>
        <v>#DIV/0!</v>
      </c>
      <c r="AE61" s="497" t="e">
        <f t="shared" ref="AE61" si="102">AE60/AD60-1</f>
        <v>#DIV/0!</v>
      </c>
      <c r="AF61" s="497" t="e">
        <f t="shared" ref="AF61:AG61" si="103">AF60/AE60-1</f>
        <v>#DIV/0!</v>
      </c>
      <c r="AG61" s="497" t="e">
        <f t="shared" si="103"/>
        <v>#DIV/0!</v>
      </c>
    </row>
    <row r="62" spans="1:33" x14ac:dyDescent="0.25">
      <c r="B62" s="1643"/>
      <c r="C62" s="653"/>
      <c r="D62" s="653"/>
      <c r="E62" s="653"/>
      <c r="F62" s="653"/>
      <c r="G62" s="653"/>
      <c r="H62" s="653"/>
      <c r="I62" s="653"/>
      <c r="J62" s="653"/>
      <c r="K62" s="653"/>
      <c r="L62" s="636"/>
      <c r="M62" s="636"/>
      <c r="N62" s="636"/>
      <c r="O62" s="636"/>
      <c r="P62" s="636"/>
      <c r="Q62" s="636"/>
      <c r="R62" s="636"/>
      <c r="S62" s="636"/>
      <c r="T62" s="636"/>
      <c r="U62" s="636"/>
      <c r="V62" s="636"/>
      <c r="W62" s="636"/>
      <c r="X62" s="636"/>
      <c r="Y62" s="636"/>
      <c r="Z62" s="636"/>
      <c r="AA62" s="636"/>
      <c r="AB62" s="636"/>
      <c r="AC62" s="636"/>
      <c r="AD62" s="636"/>
      <c r="AE62" s="636"/>
      <c r="AF62" s="636"/>
      <c r="AG62" s="636"/>
    </row>
    <row r="63" spans="1:33" x14ac:dyDescent="0.25">
      <c r="A63" s="554" t="s">
        <v>2327</v>
      </c>
      <c r="B63" s="1669" t="s">
        <v>2995</v>
      </c>
      <c r="C63" s="621"/>
      <c r="D63" s="621"/>
      <c r="E63" s="654"/>
      <c r="F63" s="654"/>
      <c r="G63" s="654"/>
      <c r="H63" s="654"/>
      <c r="I63" s="654"/>
      <c r="J63" s="654"/>
      <c r="K63" s="654"/>
      <c r="L63" s="655"/>
      <c r="M63" s="655"/>
      <c r="N63" s="655"/>
      <c r="O63" s="655"/>
      <c r="P63" s="655"/>
      <c r="Q63" s="655"/>
      <c r="R63" s="655"/>
      <c r="S63" s="655"/>
      <c r="T63" s="655"/>
      <c r="U63" s="655"/>
      <c r="V63" s="655"/>
      <c r="W63" s="655"/>
      <c r="X63" s="655"/>
      <c r="Y63" s="655"/>
      <c r="Z63" s="655"/>
      <c r="AA63" s="655"/>
      <c r="AB63" s="655"/>
      <c r="AC63" s="655"/>
      <c r="AD63" s="655"/>
      <c r="AE63" s="655"/>
      <c r="AF63" s="655"/>
      <c r="AG63" s="655"/>
    </row>
    <row r="64" spans="1:33" x14ac:dyDescent="0.25">
      <c r="A64" s="567" t="s">
        <v>2328</v>
      </c>
      <c r="B64" s="1643" t="s">
        <v>3001</v>
      </c>
      <c r="C64" s="624"/>
      <c r="D64" s="624">
        <f t="shared" ref="D64:S64" si="104">D74*2/(D67+D70)</f>
        <v>6.4273852008382523E-2</v>
      </c>
      <c r="E64" s="624">
        <f t="shared" si="104"/>
        <v>6.2295792779673963E-3</v>
      </c>
      <c r="F64" s="624">
        <f t="shared" si="104"/>
        <v>6.4326140815707516E-3</v>
      </c>
      <c r="G64" s="624">
        <f t="shared" si="104"/>
        <v>4.4269186783385553E-2</v>
      </c>
      <c r="H64" s="624">
        <f t="shared" si="104"/>
        <v>3.5066276172255148E-2</v>
      </c>
      <c r="I64" s="624">
        <f t="shared" si="104"/>
        <v>3.1379870093422267E-2</v>
      </c>
      <c r="J64" s="624">
        <f t="shared" si="104"/>
        <v>3.5043145130648726E-2</v>
      </c>
      <c r="K64" s="624">
        <f t="shared" si="104"/>
        <v>3.5961039839846422E-2</v>
      </c>
      <c r="L64" s="624">
        <f t="shared" si="104"/>
        <v>3.4941863909671939E-2</v>
      </c>
      <c r="M64" s="624">
        <f t="shared" si="104"/>
        <v>3.0344240587444952E-2</v>
      </c>
      <c r="N64" s="624">
        <f t="shared" si="104"/>
        <v>2.8815292504446283E-2</v>
      </c>
      <c r="O64" s="624">
        <f t="shared" si="104"/>
        <v>2.4438798321592008E-2</v>
      </c>
      <c r="P64" s="624">
        <f t="shared" si="104"/>
        <v>2.2330762339495238E-2</v>
      </c>
      <c r="Q64" s="624">
        <f t="shared" si="104"/>
        <v>2.7112061536980977E-2</v>
      </c>
      <c r="R64" s="624">
        <f t="shared" si="104"/>
        <v>2.4578102190509422E-2</v>
      </c>
      <c r="S64" s="624">
        <f t="shared" si="104"/>
        <v>2.6940271852685261E-2</v>
      </c>
      <c r="T64" s="624">
        <f t="shared" ref="T64:U64" si="105">T74*2/(T67+T70)</f>
        <v>4.4072961407503622E-2</v>
      </c>
      <c r="U64" s="624">
        <f t="shared" si="105"/>
        <v>5.7857710285614594E-2</v>
      </c>
      <c r="V64" s="624">
        <f t="shared" ref="V64:W64" si="106">V74*2/(V67+V70)</f>
        <v>5.5966049243293382E-2</v>
      </c>
      <c r="W64" s="624">
        <f t="shared" si="106"/>
        <v>7.3263310240055265E-2</v>
      </c>
      <c r="X64" s="656">
        <f>AVERAGE(V64:W64)</f>
        <v>6.4614679741674327E-2</v>
      </c>
      <c r="Y64" s="656">
        <f>X64</f>
        <v>6.4614679741674327E-2</v>
      </c>
      <c r="Z64" s="656">
        <f t="shared" ref="Z64:AG64" si="107">Y64</f>
        <v>6.4614679741674327E-2</v>
      </c>
      <c r="AA64" s="656">
        <f t="shared" si="107"/>
        <v>6.4614679741674327E-2</v>
      </c>
      <c r="AB64" s="656">
        <f t="shared" si="107"/>
        <v>6.4614679741674327E-2</v>
      </c>
      <c r="AC64" s="656">
        <f t="shared" si="107"/>
        <v>6.4614679741674327E-2</v>
      </c>
      <c r="AD64" s="656">
        <f t="shared" si="107"/>
        <v>6.4614679741674327E-2</v>
      </c>
      <c r="AE64" s="656">
        <f t="shared" si="107"/>
        <v>6.4614679741674327E-2</v>
      </c>
      <c r="AF64" s="656">
        <f t="shared" si="107"/>
        <v>6.4614679741674327E-2</v>
      </c>
      <c r="AG64" s="656">
        <f t="shared" si="107"/>
        <v>6.4614679741674327E-2</v>
      </c>
    </row>
    <row r="65" spans="1:33" s="346" customFormat="1" x14ac:dyDescent="0.25">
      <c r="A65" s="567" t="s">
        <v>2329</v>
      </c>
      <c r="B65" s="1645" t="s">
        <v>3002</v>
      </c>
      <c r="C65" s="657"/>
      <c r="D65" s="658">
        <f t="shared" ref="D65:AC65" si="108">D74</f>
        <v>91.628000000000014</v>
      </c>
      <c r="E65" s="658">
        <f t="shared" si="108"/>
        <v>9.7409999999999997</v>
      </c>
      <c r="F65" s="658">
        <f t="shared" si="108"/>
        <v>11.218999999999999</v>
      </c>
      <c r="G65" s="658">
        <f t="shared" si="108"/>
        <v>84.754000000000005</v>
      </c>
      <c r="H65" s="658">
        <f t="shared" si="108"/>
        <v>76.659000000000006</v>
      </c>
      <c r="I65" s="658">
        <f t="shared" si="108"/>
        <v>83.858999999999995</v>
      </c>
      <c r="J65" s="658">
        <f t="shared" si="108"/>
        <v>110.90600000000001</v>
      </c>
      <c r="K65" s="658">
        <f t="shared" si="108"/>
        <v>129.13800000000001</v>
      </c>
      <c r="L65" s="658">
        <f t="shared" si="108"/>
        <v>145.084</v>
      </c>
      <c r="M65" s="658">
        <f t="shared" si="108"/>
        <v>139.11000000000001</v>
      </c>
      <c r="N65" s="658">
        <f t="shared" si="108"/>
        <v>132.65299999999999</v>
      </c>
      <c r="O65" s="658">
        <f t="shared" si="108"/>
        <v>131.786</v>
      </c>
      <c r="P65" s="658">
        <f t="shared" si="108"/>
        <v>144.91</v>
      </c>
      <c r="Q65" s="658">
        <f t="shared" si="108"/>
        <v>193.262</v>
      </c>
      <c r="R65" s="658">
        <f t="shared" si="108"/>
        <v>197.03800000000001</v>
      </c>
      <c r="S65" s="658">
        <f t="shared" si="108"/>
        <v>238.83699999999999</v>
      </c>
      <c r="T65" s="658">
        <f t="shared" ref="T65" si="109">T74</f>
        <v>402.00700000000001</v>
      </c>
      <c r="U65" s="658">
        <f t="shared" si="108"/>
        <v>552.54300000000001</v>
      </c>
      <c r="V65" s="658">
        <f t="shared" ref="V65" si="110">V74</f>
        <v>590.24300000000005</v>
      </c>
      <c r="W65" s="658">
        <f>W74</f>
        <v>839</v>
      </c>
      <c r="X65" s="658">
        <f t="shared" si="108"/>
        <v>794.44446371084621</v>
      </c>
      <c r="Y65" s="658">
        <f t="shared" si="108"/>
        <v>851.28691579435474</v>
      </c>
      <c r="Z65" s="658">
        <f t="shared" si="108"/>
        <v>911.50413317386437</v>
      </c>
      <c r="AA65" s="658">
        <f t="shared" si="108"/>
        <v>975.10587429392456</v>
      </c>
      <c r="AB65" s="658">
        <f t="shared" si="108"/>
        <v>1042.5411213050904</v>
      </c>
      <c r="AC65" s="658">
        <f t="shared" si="108"/>
        <v>1113.2170662701035</v>
      </c>
      <c r="AD65" s="658">
        <f t="shared" ref="AD65:AF65" si="111">AD74</f>
        <v>1186.6156018255701</v>
      </c>
      <c r="AE65" s="658">
        <f t="shared" si="111"/>
        <v>1262.2784668470322</v>
      </c>
      <c r="AF65" s="658">
        <f t="shared" si="111"/>
        <v>1339.7952405806911</v>
      </c>
      <c r="AG65" s="658">
        <f t="shared" ref="AG65" si="112">AG74</f>
        <v>1418.7936580811595</v>
      </c>
    </row>
    <row r="66" spans="1:33" s="346" customFormat="1" x14ac:dyDescent="0.25">
      <c r="A66" s="593" t="s">
        <v>2330</v>
      </c>
      <c r="B66" s="1650" t="s">
        <v>3003</v>
      </c>
      <c r="C66" s="659"/>
      <c r="D66" s="659"/>
      <c r="E66" s="659"/>
      <c r="F66" s="659"/>
      <c r="G66" s="659"/>
      <c r="H66" s="659"/>
      <c r="I66" s="659"/>
      <c r="J66" s="659"/>
      <c r="K66" s="659"/>
      <c r="L66" s="627"/>
      <c r="M66" s="627"/>
      <c r="N66" s="627"/>
      <c r="O66" s="627"/>
      <c r="P66" s="627"/>
      <c r="Q66" s="627"/>
      <c r="R66" s="627"/>
      <c r="S66" s="627"/>
      <c r="T66" s="627"/>
      <c r="U66" s="627"/>
      <c r="V66" s="627"/>
      <c r="W66" s="627"/>
      <c r="X66" s="627"/>
      <c r="Y66" s="627"/>
      <c r="Z66" s="627"/>
      <c r="AA66" s="627"/>
      <c r="AB66" s="627"/>
      <c r="AC66" s="627"/>
      <c r="AD66" s="627"/>
      <c r="AE66" s="627"/>
      <c r="AF66" s="627"/>
      <c r="AG66" s="627"/>
    </row>
    <row r="67" spans="1:33" x14ac:dyDescent="0.25">
      <c r="A67" s="601" t="s">
        <v>1841</v>
      </c>
      <c r="B67" s="1659" t="s">
        <v>3004</v>
      </c>
      <c r="C67" s="660"/>
      <c r="D67" s="380">
        <v>1343.5949999999998</v>
      </c>
      <c r="E67" s="661">
        <f t="shared" ref="E67:AC67" si="113">D70</f>
        <v>1507.58</v>
      </c>
      <c r="F67" s="661">
        <f t="shared" si="113"/>
        <v>1619.758</v>
      </c>
      <c r="G67" s="661">
        <f t="shared" si="113"/>
        <v>1868.404</v>
      </c>
      <c r="H67" s="661">
        <f t="shared" si="113"/>
        <v>1960.625</v>
      </c>
      <c r="I67" s="661">
        <f t="shared" si="113"/>
        <v>2411.61</v>
      </c>
      <c r="J67" s="661">
        <f t="shared" si="113"/>
        <v>2933.154</v>
      </c>
      <c r="K67" s="661">
        <f t="shared" si="113"/>
        <v>3396.529</v>
      </c>
      <c r="L67" s="661">
        <f t="shared" si="113"/>
        <v>3785.5770000000002</v>
      </c>
      <c r="M67" s="661">
        <f t="shared" si="113"/>
        <v>4518.7309999999998</v>
      </c>
      <c r="N67" s="661">
        <f t="shared" si="113"/>
        <v>4650.0600000000004</v>
      </c>
      <c r="O67" s="661">
        <f t="shared" si="113"/>
        <v>4557.0649999999996</v>
      </c>
      <c r="P67" s="661">
        <f t="shared" si="113"/>
        <v>6227.9170000000004</v>
      </c>
      <c r="Q67" s="661">
        <f t="shared" si="113"/>
        <v>6750.5919999999996</v>
      </c>
      <c r="R67" s="661">
        <f t="shared" si="113"/>
        <v>7505.9409999999998</v>
      </c>
      <c r="S67" s="661">
        <f t="shared" si="113"/>
        <v>8527.6810000000005</v>
      </c>
      <c r="T67" s="661">
        <f t="shared" si="113"/>
        <v>9203.1719999999987</v>
      </c>
      <c r="U67" s="661">
        <f t="shared" si="113"/>
        <v>9039.6229999999996</v>
      </c>
      <c r="V67" s="661">
        <f t="shared" si="113"/>
        <v>10060.441529770409</v>
      </c>
      <c r="W67" s="661">
        <f t="shared" si="113"/>
        <v>11032.453465697976</v>
      </c>
      <c r="X67" s="661">
        <f t="shared" si="113"/>
        <v>11871.234539960638</v>
      </c>
      <c r="Y67" s="661">
        <f t="shared" si="113"/>
        <v>12718.981395086574</v>
      </c>
      <c r="Z67" s="661">
        <f t="shared" si="113"/>
        <v>13630.662964298926</v>
      </c>
      <c r="AA67" s="661">
        <f t="shared" si="113"/>
        <v>14582.867980000545</v>
      </c>
      <c r="AB67" s="661">
        <f t="shared" si="113"/>
        <v>15599.309760176773</v>
      </c>
      <c r="AC67" s="661">
        <f t="shared" si="113"/>
        <v>16670.172205008486</v>
      </c>
      <c r="AD67" s="661">
        <f t="shared" ref="AD67" si="114">AC70</f>
        <v>17786.92239704416</v>
      </c>
      <c r="AE67" s="661">
        <f t="shared" ref="AE67" si="115">AD70</f>
        <v>18942.0564223074</v>
      </c>
      <c r="AF67" s="661">
        <f t="shared" ref="AF67:AG67" si="116">AE70</f>
        <v>20128.893767140169</v>
      </c>
      <c r="AG67" s="661">
        <f t="shared" si="116"/>
        <v>21341.411307097242</v>
      </c>
    </row>
    <row r="68" spans="1:33" x14ac:dyDescent="0.25">
      <c r="A68" s="601" t="s">
        <v>1637</v>
      </c>
      <c r="B68" s="1659" t="s">
        <v>3005</v>
      </c>
      <c r="C68" s="660"/>
      <c r="D68" s="380">
        <v>157.12299999999999</v>
      </c>
      <c r="E68" s="661">
        <f t="shared" ref="E68:S68" si="117">E70-E67</f>
        <v>112.17800000000011</v>
      </c>
      <c r="F68" s="661">
        <f t="shared" si="117"/>
        <v>248.64599999999996</v>
      </c>
      <c r="G68" s="661">
        <f t="shared" si="117"/>
        <v>92.221000000000004</v>
      </c>
      <c r="H68" s="661">
        <f t="shared" si="117"/>
        <v>450.98500000000013</v>
      </c>
      <c r="I68" s="661">
        <f t="shared" si="117"/>
        <v>521.54399999999987</v>
      </c>
      <c r="J68" s="661">
        <f t="shared" si="117"/>
        <v>463.375</v>
      </c>
      <c r="K68" s="661">
        <f t="shared" si="117"/>
        <v>389.04800000000023</v>
      </c>
      <c r="L68" s="661">
        <f t="shared" si="117"/>
        <v>733.15399999999954</v>
      </c>
      <c r="M68" s="661">
        <f t="shared" si="117"/>
        <v>131.32900000000063</v>
      </c>
      <c r="N68" s="661">
        <f t="shared" si="117"/>
        <v>-92.9950000000008</v>
      </c>
      <c r="O68" s="661">
        <f t="shared" si="117"/>
        <v>1670.8520000000008</v>
      </c>
      <c r="P68" s="661">
        <f t="shared" si="117"/>
        <v>522.67499999999927</v>
      </c>
      <c r="Q68" s="661">
        <f t="shared" si="117"/>
        <v>755.34900000000016</v>
      </c>
      <c r="R68" s="661">
        <f t="shared" si="117"/>
        <v>1021.7400000000007</v>
      </c>
      <c r="S68" s="661">
        <f t="shared" si="117"/>
        <v>675.49099999999817</v>
      </c>
      <c r="T68" s="661">
        <f t="shared" ref="T68" si="118">T70-T67</f>
        <v>-163.54899999999907</v>
      </c>
      <c r="U68" s="661">
        <f>U3-U127</f>
        <v>1020.8185297704101</v>
      </c>
      <c r="V68" s="661">
        <f>V3-V127</f>
        <v>972.01193592756727</v>
      </c>
      <c r="W68" s="661">
        <f>W3-W127</f>
        <v>838.78107426266342</v>
      </c>
      <c r="X68" s="661">
        <f t="shared" ref="X68:AC68" si="119">X3-X127</f>
        <v>847.74685512593589</v>
      </c>
      <c r="Y68" s="661">
        <f t="shared" si="119"/>
        <v>911.68156921235334</v>
      </c>
      <c r="Z68" s="661">
        <f t="shared" si="119"/>
        <v>952.20501570161855</v>
      </c>
      <c r="AA68" s="661">
        <f t="shared" si="119"/>
        <v>1016.4417801762285</v>
      </c>
      <c r="AB68" s="661">
        <f t="shared" si="119"/>
        <v>1070.8624448317119</v>
      </c>
      <c r="AC68" s="661">
        <f t="shared" si="119"/>
        <v>1116.7501920356717</v>
      </c>
      <c r="AD68" s="661">
        <f t="shared" ref="AD68:AF68" si="120">AD3-AD127</f>
        <v>1155.1340252632394</v>
      </c>
      <c r="AE68" s="661">
        <f t="shared" si="120"/>
        <v>1186.8373448327682</v>
      </c>
      <c r="AF68" s="661">
        <f t="shared" si="120"/>
        <v>1212.517539957073</v>
      </c>
      <c r="AG68" s="661">
        <f t="shared" ref="AG68" si="121">AG3-AG127</f>
        <v>1232.6982474243575</v>
      </c>
    </row>
    <row r="69" spans="1:33" x14ac:dyDescent="0.25">
      <c r="A69" s="601" t="s">
        <v>2045</v>
      </c>
      <c r="B69" s="1659" t="s">
        <v>3006</v>
      </c>
      <c r="C69" s="660"/>
      <c r="D69" s="380">
        <f>D70-D67-D68</f>
        <v>6.8620000000001369</v>
      </c>
      <c r="E69" s="380"/>
      <c r="F69" s="380"/>
      <c r="G69" s="380"/>
      <c r="H69" s="380"/>
      <c r="I69" s="380"/>
      <c r="J69" s="380"/>
      <c r="K69" s="380"/>
      <c r="L69" s="443"/>
      <c r="M69" s="443"/>
      <c r="N69" s="443"/>
      <c r="O69" s="443"/>
      <c r="P69" s="443"/>
      <c r="Q69" s="443"/>
      <c r="R69" s="443"/>
      <c r="S69" s="443"/>
      <c r="T69" s="443"/>
      <c r="U69" s="443"/>
      <c r="V69" s="443"/>
      <c r="W69" s="443"/>
      <c r="X69" s="443"/>
      <c r="Y69" s="443"/>
      <c r="Z69" s="443"/>
      <c r="AA69" s="443"/>
      <c r="AB69" s="443"/>
      <c r="AC69" s="443"/>
      <c r="AD69" s="443"/>
      <c r="AE69" s="443"/>
      <c r="AF69" s="443"/>
      <c r="AG69" s="443"/>
    </row>
    <row r="70" spans="1:33" x14ac:dyDescent="0.25">
      <c r="A70" s="601" t="s">
        <v>2046</v>
      </c>
      <c r="B70" s="1659" t="s">
        <v>3007</v>
      </c>
      <c r="C70" s="660"/>
      <c r="D70" s="380">
        <v>1507.58</v>
      </c>
      <c r="E70" s="661">
        <f>'CF（org）'!D149</f>
        <v>1619.758</v>
      </c>
      <c r="F70" s="661">
        <f>'CF（org）'!E149</f>
        <v>1868.404</v>
      </c>
      <c r="G70" s="661">
        <f>'CF（org）'!F149</f>
        <v>1960.625</v>
      </c>
      <c r="H70" s="661">
        <f>'CF（org）'!G149</f>
        <v>2411.61</v>
      </c>
      <c r="I70" s="661">
        <f>'CF（org）'!H149</f>
        <v>2933.154</v>
      </c>
      <c r="J70" s="661">
        <f>'CF（org）'!I149</f>
        <v>3396.529</v>
      </c>
      <c r="K70" s="661">
        <f>'CF（org）'!J149</f>
        <v>3785.5770000000002</v>
      </c>
      <c r="L70" s="661">
        <f>'CF（org）'!K149</f>
        <v>4518.7309999999998</v>
      </c>
      <c r="M70" s="661">
        <f>'CF（org）'!L149</f>
        <v>4650.0600000000004</v>
      </c>
      <c r="N70" s="661">
        <f>'CF（org）'!M149</f>
        <v>4557.0649999999996</v>
      </c>
      <c r="O70" s="661">
        <f>'CF（org）'!N149</f>
        <v>6227.9170000000004</v>
      </c>
      <c r="P70" s="661">
        <f>'CF（org）'!O149</f>
        <v>6750.5919999999996</v>
      </c>
      <c r="Q70" s="661">
        <f>'CF（org）'!P149+'CF（org）'!P152</f>
        <v>7505.9409999999998</v>
      </c>
      <c r="R70" s="661">
        <f>'CF（org）'!Q149+'CF（org）'!Q152</f>
        <v>8527.6810000000005</v>
      </c>
      <c r="S70" s="661">
        <f>'CF（org）'!R149+'CF（org）'!R152</f>
        <v>9203.1719999999987</v>
      </c>
      <c r="T70" s="661">
        <f>'CF（org）'!S149+'CF（org）'!S152</f>
        <v>9039.6229999999996</v>
      </c>
      <c r="U70" s="661">
        <f t="shared" ref="U70:AC70" si="122">U67+U68+U69</f>
        <v>10060.441529770409</v>
      </c>
      <c r="V70" s="661">
        <f t="shared" ref="V70:W70" si="123">V67+V68+V69</f>
        <v>11032.453465697976</v>
      </c>
      <c r="W70" s="661">
        <f t="shared" si="123"/>
        <v>11871.234539960638</v>
      </c>
      <c r="X70" s="661">
        <f t="shared" si="122"/>
        <v>12718.981395086574</v>
      </c>
      <c r="Y70" s="661">
        <f t="shared" si="122"/>
        <v>13630.662964298926</v>
      </c>
      <c r="Z70" s="661">
        <f t="shared" si="122"/>
        <v>14582.867980000545</v>
      </c>
      <c r="AA70" s="661">
        <f t="shared" si="122"/>
        <v>15599.309760176773</v>
      </c>
      <c r="AB70" s="661">
        <f t="shared" si="122"/>
        <v>16670.172205008486</v>
      </c>
      <c r="AC70" s="661">
        <f t="shared" si="122"/>
        <v>17786.92239704416</v>
      </c>
      <c r="AD70" s="661">
        <f t="shared" ref="AD70:AF70" si="124">AD67+AD68+AD69</f>
        <v>18942.0564223074</v>
      </c>
      <c r="AE70" s="661">
        <f t="shared" si="124"/>
        <v>20128.893767140169</v>
      </c>
      <c r="AF70" s="661">
        <f t="shared" si="124"/>
        <v>21341.411307097242</v>
      </c>
      <c r="AG70" s="661">
        <f t="shared" ref="AG70" si="125">AG67+AG68+AG69</f>
        <v>22574.109554521598</v>
      </c>
    </row>
    <row r="71" spans="1:33" x14ac:dyDescent="0.25">
      <c r="A71" s="601"/>
      <c r="B71" s="1659"/>
      <c r="C71" s="384"/>
      <c r="D71" s="384"/>
      <c r="E71" s="632"/>
      <c r="F71" s="632"/>
      <c r="G71" s="632"/>
      <c r="H71" s="632"/>
      <c r="I71" s="632"/>
      <c r="J71" s="632"/>
      <c r="K71" s="632"/>
      <c r="L71" s="632"/>
      <c r="M71" s="632"/>
      <c r="N71" s="632"/>
      <c r="O71" s="632"/>
      <c r="P71" s="632"/>
      <c r="Q71" s="632"/>
      <c r="R71" s="632"/>
      <c r="S71" s="632"/>
      <c r="T71" s="632"/>
      <c r="U71" s="632"/>
      <c r="V71" s="632"/>
      <c r="W71" s="632"/>
      <c r="X71" s="632"/>
      <c r="Y71" s="632"/>
      <c r="Z71" s="632"/>
      <c r="AA71" s="632"/>
      <c r="AB71" s="632"/>
      <c r="AC71" s="632"/>
      <c r="AD71" s="632"/>
      <c r="AE71" s="632"/>
      <c r="AF71" s="632"/>
      <c r="AG71" s="632"/>
    </row>
    <row r="72" spans="1:33" x14ac:dyDescent="0.25">
      <c r="A72" s="569" t="s">
        <v>1842</v>
      </c>
      <c r="B72" s="1670" t="s">
        <v>3008</v>
      </c>
      <c r="C72" s="660"/>
      <c r="D72" s="660"/>
      <c r="E72" s="632"/>
      <c r="F72" s="632"/>
      <c r="G72" s="632"/>
      <c r="H72" s="632"/>
      <c r="I72" s="632"/>
      <c r="J72" s="632"/>
      <c r="K72" s="632"/>
      <c r="L72" s="632"/>
      <c r="M72" s="632"/>
      <c r="N72" s="632"/>
      <c r="O72" s="632"/>
      <c r="P72" s="632"/>
      <c r="Q72" s="632"/>
      <c r="R72" s="632"/>
      <c r="S72" s="632"/>
      <c r="T72" s="632"/>
      <c r="U72" s="632"/>
      <c r="V72" s="632"/>
      <c r="W72" s="632"/>
      <c r="X72" s="632"/>
      <c r="Y72" s="632"/>
      <c r="Z72" s="632"/>
      <c r="AA72" s="632"/>
      <c r="AB72" s="632"/>
      <c r="AC72" s="632"/>
      <c r="AD72" s="632"/>
      <c r="AE72" s="632"/>
      <c r="AF72" s="632"/>
      <c r="AG72" s="632"/>
    </row>
    <row r="73" spans="1:33" x14ac:dyDescent="0.25">
      <c r="A73" s="601" t="s">
        <v>1841</v>
      </c>
      <c r="B73" s="1659" t="s">
        <v>3004</v>
      </c>
      <c r="C73" s="660"/>
      <c r="D73" s="380">
        <v>537.79200000000003</v>
      </c>
      <c r="E73" s="661">
        <f t="shared" ref="E73:AC73" si="126">D76</f>
        <v>609.43299999999999</v>
      </c>
      <c r="F73" s="661">
        <f t="shared" si="126"/>
        <v>647.80499999999995</v>
      </c>
      <c r="G73" s="661">
        <f t="shared" si="126"/>
        <v>761.12900000000002</v>
      </c>
      <c r="H73" s="661">
        <f t="shared" si="126"/>
        <v>837.64499999999998</v>
      </c>
      <c r="I73" s="661">
        <f t="shared" si="126"/>
        <v>957.16499999999996</v>
      </c>
      <c r="J73" s="661">
        <f t="shared" si="126"/>
        <v>1063.1210000000001</v>
      </c>
      <c r="K73" s="661">
        <f t="shared" si="126"/>
        <v>1205.578</v>
      </c>
      <c r="L73" s="661">
        <f t="shared" si="126"/>
        <v>1443.4140000000002</v>
      </c>
      <c r="M73" s="661">
        <f t="shared" si="126"/>
        <v>1691.431</v>
      </c>
      <c r="N73" s="661">
        <f t="shared" si="126"/>
        <v>1878.07</v>
      </c>
      <c r="O73" s="661">
        <f t="shared" si="126"/>
        <v>2063.3040000000001</v>
      </c>
      <c r="P73" s="661">
        <f t="shared" si="126"/>
        <v>2409.1109999999999</v>
      </c>
      <c r="Q73" s="661">
        <f t="shared" si="126"/>
        <v>2600.7860000000001</v>
      </c>
      <c r="R73" s="661">
        <f t="shared" si="126"/>
        <v>2779.5630000000001</v>
      </c>
      <c r="S73" s="661">
        <f t="shared" si="126"/>
        <v>3137.134</v>
      </c>
      <c r="T73" s="661">
        <f t="shared" si="126"/>
        <v>3504.8359999999998</v>
      </c>
      <c r="U73" s="661">
        <f t="shared" si="126"/>
        <v>3599.7820000000002</v>
      </c>
      <c r="V73" s="661">
        <f t="shared" si="126"/>
        <v>4395.615529770409</v>
      </c>
      <c r="W73" s="661">
        <f t="shared" si="126"/>
        <v>5285.3344656979752</v>
      </c>
      <c r="X73" s="661">
        <f t="shared" si="126"/>
        <v>5365.8055399606383</v>
      </c>
      <c r="Y73" s="661">
        <f>X76</f>
        <v>5378.9652101620277</v>
      </c>
      <c r="Z73" s="661">
        <f>Y76</f>
        <v>5425.5287886416418</v>
      </c>
      <c r="AA73" s="661">
        <f t="shared" si="126"/>
        <v>5508.1678843813224</v>
      </c>
      <c r="AB73" s="661">
        <f t="shared" si="126"/>
        <v>5629.5427701180388</v>
      </c>
      <c r="AC73" s="661">
        <f t="shared" si="126"/>
        <v>5792.7409732092037</v>
      </c>
      <c r="AD73" s="661">
        <f t="shared" ref="AD73" si="127">AC76</f>
        <v>6000.2348337189651</v>
      </c>
      <c r="AE73" s="661">
        <f t="shared" ref="AE73" si="128">AD76</f>
        <v>6253.9555336113817</v>
      </c>
      <c r="AF73" s="661">
        <f t="shared" ref="AF73:AG73" si="129">AE76</f>
        <v>6555.3522514672659</v>
      </c>
      <c r="AG73" s="661">
        <f t="shared" si="129"/>
        <v>6905.4392905870745</v>
      </c>
    </row>
    <row r="74" spans="1:33" x14ac:dyDescent="0.25">
      <c r="A74" s="601" t="s">
        <v>1637</v>
      </c>
      <c r="B74" s="1659" t="s">
        <v>3009</v>
      </c>
      <c r="C74" s="660"/>
      <c r="D74" s="380">
        <v>91.628000000000014</v>
      </c>
      <c r="E74" s="380">
        <f>'CF（org）'!D111</f>
        <v>9.7409999999999997</v>
      </c>
      <c r="F74" s="380">
        <f>'CF（org）'!E111</f>
        <v>11.218999999999999</v>
      </c>
      <c r="G74" s="380">
        <f>'CF（org）'!F111</f>
        <v>84.754000000000005</v>
      </c>
      <c r="H74" s="380">
        <f>'CF（org）'!G111</f>
        <v>76.659000000000006</v>
      </c>
      <c r="I74" s="380">
        <f>'CF（org）'!H111</f>
        <v>83.858999999999995</v>
      </c>
      <c r="J74" s="380">
        <f>'CF（org）'!I111</f>
        <v>110.90600000000001</v>
      </c>
      <c r="K74" s="380">
        <f>'CF（org）'!J111</f>
        <v>129.13800000000001</v>
      </c>
      <c r="L74" s="380">
        <f>'CF（org）'!K111</f>
        <v>145.084</v>
      </c>
      <c r="M74" s="380">
        <f>'CF（org）'!L111</f>
        <v>139.11000000000001</v>
      </c>
      <c r="N74" s="380">
        <f>'CF（org）'!M111</f>
        <v>132.65299999999999</v>
      </c>
      <c r="O74" s="380">
        <f>'CF（org）'!N111</f>
        <v>131.786</v>
      </c>
      <c r="P74" s="380">
        <f>'CF（org）'!O111</f>
        <v>144.91</v>
      </c>
      <c r="Q74" s="380">
        <f>'CF（org）'!P111</f>
        <v>193.262</v>
      </c>
      <c r="R74" s="380">
        <f>'CF（org）'!Q111</f>
        <v>197.03800000000001</v>
      </c>
      <c r="S74" s="380">
        <f>'CF（org）'!R111</f>
        <v>238.83699999999999</v>
      </c>
      <c r="T74" s="380">
        <f>'CF（org）'!S111</f>
        <v>402.00700000000001</v>
      </c>
      <c r="U74" s="380">
        <f>'CF（org）'!T111</f>
        <v>552.54300000000001</v>
      </c>
      <c r="V74" s="380">
        <f>'CF（org）'!U111</f>
        <v>590.24300000000005</v>
      </c>
      <c r="W74" s="380">
        <f>'CF（org）'!V111</f>
        <v>839</v>
      </c>
      <c r="X74" s="661">
        <f>(X67+X70)/2*X64</f>
        <v>794.44446371084621</v>
      </c>
      <c r="Y74" s="661">
        <f t="shared" ref="Y74:AC74" si="130">(Y67+Y70)/2*Y64</f>
        <v>851.28691579435474</v>
      </c>
      <c r="Z74" s="661">
        <f>(Z67+Z70)/2*Z64</f>
        <v>911.50413317386437</v>
      </c>
      <c r="AA74" s="661">
        <f t="shared" si="130"/>
        <v>975.10587429392456</v>
      </c>
      <c r="AB74" s="661">
        <f t="shared" si="130"/>
        <v>1042.5411213050904</v>
      </c>
      <c r="AC74" s="661">
        <f t="shared" si="130"/>
        <v>1113.2170662701035</v>
      </c>
      <c r="AD74" s="661">
        <f t="shared" ref="AD74:AF74" si="131">(AD67+AD70)/2*AD64</f>
        <v>1186.6156018255701</v>
      </c>
      <c r="AE74" s="661">
        <f t="shared" si="131"/>
        <v>1262.2784668470322</v>
      </c>
      <c r="AF74" s="661">
        <f t="shared" si="131"/>
        <v>1339.7952405806911</v>
      </c>
      <c r="AG74" s="661">
        <f t="shared" ref="AG74" si="132">(AG67+AG70)/2*AG64</f>
        <v>1418.7936580811595</v>
      </c>
    </row>
    <row r="75" spans="1:33" x14ac:dyDescent="0.25">
      <c r="A75" s="601" t="s">
        <v>2045</v>
      </c>
      <c r="B75" s="1659" t="s">
        <v>3010</v>
      </c>
      <c r="C75" s="660"/>
      <c r="D75" s="380">
        <f t="shared" ref="D75:S75" si="133">D76-D73-D74</f>
        <v>-19.987000000000052</v>
      </c>
      <c r="E75" s="380">
        <f t="shared" si="133"/>
        <v>28.630999999999958</v>
      </c>
      <c r="F75" s="380">
        <f t="shared" si="133"/>
        <v>102.10500000000008</v>
      </c>
      <c r="G75" s="380">
        <f t="shared" si="133"/>
        <v>-8.2380000000000422</v>
      </c>
      <c r="H75" s="380">
        <f t="shared" si="133"/>
        <v>42.860999999999976</v>
      </c>
      <c r="I75" s="380">
        <f t="shared" si="133"/>
        <v>22.097000000000136</v>
      </c>
      <c r="J75" s="380">
        <f t="shared" si="133"/>
        <v>31.550999999999874</v>
      </c>
      <c r="K75" s="380">
        <f t="shared" si="133"/>
        <v>108.69800000000023</v>
      </c>
      <c r="L75" s="380">
        <f t="shared" si="133"/>
        <v>102.93299999999982</v>
      </c>
      <c r="M75" s="380">
        <f t="shared" si="133"/>
        <v>47.528999999999883</v>
      </c>
      <c r="N75" s="380">
        <f t="shared" si="133"/>
        <v>52.581000000000159</v>
      </c>
      <c r="O75" s="380">
        <f t="shared" si="133"/>
        <v>214.02099999999979</v>
      </c>
      <c r="P75" s="380">
        <f t="shared" si="133"/>
        <v>46.765000000000185</v>
      </c>
      <c r="Q75" s="380">
        <f t="shared" si="133"/>
        <v>-14.484999999999957</v>
      </c>
      <c r="R75" s="380">
        <f t="shared" si="133"/>
        <v>160.5329999999999</v>
      </c>
      <c r="S75" s="380">
        <f t="shared" si="133"/>
        <v>128.86499999999978</v>
      </c>
      <c r="T75" s="380">
        <f t="shared" ref="T75:U75" si="134">T76-T73-T74</f>
        <v>-307.06099999999964</v>
      </c>
      <c r="U75" s="380">
        <f t="shared" si="134"/>
        <v>243.29052977040885</v>
      </c>
      <c r="V75" s="380">
        <f t="shared" ref="V75" si="135">V76-V73-V74</f>
        <v>299.47593592756618</v>
      </c>
      <c r="W75" s="380">
        <f t="shared" ref="W75" si="136">W76-W73-W74</f>
        <v>-758.52892573733698</v>
      </c>
      <c r="X75" s="662">
        <f>W75*1.03</f>
        <v>-781.28479350945713</v>
      </c>
      <c r="Y75" s="662">
        <f t="shared" ref="Y75:AG75" si="137">X75*1.03</f>
        <v>-804.72333731474089</v>
      </c>
      <c r="Z75" s="662">
        <f t="shared" si="137"/>
        <v>-828.86503743418314</v>
      </c>
      <c r="AA75" s="662">
        <f t="shared" si="137"/>
        <v>-853.73098855720866</v>
      </c>
      <c r="AB75" s="662">
        <f t="shared" si="137"/>
        <v>-879.34291821392492</v>
      </c>
      <c r="AC75" s="662">
        <f t="shared" si="137"/>
        <v>-905.72320576034269</v>
      </c>
      <c r="AD75" s="662">
        <f t="shared" si="137"/>
        <v>-932.89490193315305</v>
      </c>
      <c r="AE75" s="662">
        <f t="shared" si="137"/>
        <v>-960.88174899114767</v>
      </c>
      <c r="AF75" s="662">
        <f t="shared" si="137"/>
        <v>-989.70820146088215</v>
      </c>
      <c r="AG75" s="662">
        <f t="shared" si="137"/>
        <v>-1019.3994475047086</v>
      </c>
    </row>
    <row r="76" spans="1:33" x14ac:dyDescent="0.25">
      <c r="A76" s="601" t="s">
        <v>2046</v>
      </c>
      <c r="B76" s="1659" t="s">
        <v>3007</v>
      </c>
      <c r="C76" s="660"/>
      <c r="D76" s="380">
        <v>609.43299999999999</v>
      </c>
      <c r="E76" s="661">
        <f>'CF（org）'!D150</f>
        <v>647.80499999999995</v>
      </c>
      <c r="F76" s="661">
        <f>'CF（org）'!E150</f>
        <v>761.12900000000002</v>
      </c>
      <c r="G76" s="661">
        <f>'CF（org）'!F150</f>
        <v>837.64499999999998</v>
      </c>
      <c r="H76" s="661">
        <f>'CF（org）'!G150</f>
        <v>957.16499999999996</v>
      </c>
      <c r="I76" s="661">
        <f>'CF（org）'!H150</f>
        <v>1063.1210000000001</v>
      </c>
      <c r="J76" s="661">
        <f>'CF（org）'!I150</f>
        <v>1205.578</v>
      </c>
      <c r="K76" s="661">
        <f>'CF（org）'!J150</f>
        <v>1443.4140000000002</v>
      </c>
      <c r="L76" s="661">
        <f>'CF（org）'!K150</f>
        <v>1691.431</v>
      </c>
      <c r="M76" s="661">
        <f>'CF（org）'!L150</f>
        <v>1878.07</v>
      </c>
      <c r="N76" s="661">
        <f>'CF（org）'!M150</f>
        <v>2063.3040000000001</v>
      </c>
      <c r="O76" s="661">
        <f>'CF（org）'!N150</f>
        <v>2409.1109999999999</v>
      </c>
      <c r="P76" s="661">
        <f>'CF（org）'!O150</f>
        <v>2600.7860000000001</v>
      </c>
      <c r="Q76" s="661">
        <f>'CF（org）'!P150</f>
        <v>2779.5630000000001</v>
      </c>
      <c r="R76" s="661">
        <f>'CF（org）'!Q150</f>
        <v>3137.134</v>
      </c>
      <c r="S76" s="661">
        <f>'CF（org）'!R150</f>
        <v>3504.8359999999998</v>
      </c>
      <c r="T76" s="661">
        <f>'CF（org）'!S150</f>
        <v>3599.7820000000002</v>
      </c>
      <c r="U76" s="661">
        <f>U70-U78</f>
        <v>4395.615529770409</v>
      </c>
      <c r="V76" s="661">
        <f>V70-V78</f>
        <v>5285.3344656979752</v>
      </c>
      <c r="W76" s="661">
        <f>W70-W78</f>
        <v>5365.8055399606383</v>
      </c>
      <c r="X76" s="661">
        <f>X73+X74+X75</f>
        <v>5378.9652101620277</v>
      </c>
      <c r="Y76" s="661">
        <f t="shared" ref="Y76:AC76" si="138">Y73+Y74+Y75</f>
        <v>5425.5287886416418</v>
      </c>
      <c r="Z76" s="661">
        <f>Z73+Z74+Z75</f>
        <v>5508.1678843813224</v>
      </c>
      <c r="AA76" s="661">
        <f t="shared" si="138"/>
        <v>5629.5427701180388</v>
      </c>
      <c r="AB76" s="661">
        <f t="shared" si="138"/>
        <v>5792.7409732092037</v>
      </c>
      <c r="AC76" s="661">
        <f t="shared" si="138"/>
        <v>6000.2348337189651</v>
      </c>
      <c r="AD76" s="661">
        <f t="shared" ref="AD76:AF76" si="139">AD73+AD74+AD75</f>
        <v>6253.9555336113817</v>
      </c>
      <c r="AE76" s="661">
        <f t="shared" si="139"/>
        <v>6555.3522514672659</v>
      </c>
      <c r="AF76" s="661">
        <f t="shared" si="139"/>
        <v>6905.4392905870745</v>
      </c>
      <c r="AG76" s="661">
        <f t="shared" ref="AG76" si="140">AG73+AG74+AG75</f>
        <v>7304.8335011635254</v>
      </c>
    </row>
    <row r="77" spans="1:33" x14ac:dyDescent="0.25">
      <c r="A77" s="601"/>
      <c r="B77" s="1659"/>
      <c r="C77" s="663"/>
      <c r="D77" s="663"/>
      <c r="E77" s="632"/>
      <c r="F77" s="632"/>
      <c r="G77" s="632"/>
      <c r="H77" s="632"/>
      <c r="I77" s="632"/>
      <c r="J77" s="632"/>
      <c r="K77" s="632"/>
      <c r="L77" s="632"/>
      <c r="M77" s="632"/>
      <c r="N77" s="632"/>
      <c r="O77" s="632"/>
      <c r="P77" s="632"/>
      <c r="Q77" s="632"/>
      <c r="R77" s="632"/>
      <c r="S77" s="632"/>
      <c r="T77" s="632"/>
      <c r="U77" s="632"/>
      <c r="V77" s="632"/>
      <c r="W77" s="632"/>
      <c r="X77" s="632"/>
      <c r="Y77" s="632"/>
      <c r="Z77" s="632"/>
      <c r="AA77" s="632"/>
      <c r="AB77" s="632"/>
      <c r="AC77" s="632"/>
      <c r="AD77" s="632"/>
      <c r="AE77" s="632"/>
      <c r="AF77" s="632"/>
      <c r="AG77" s="632"/>
    </row>
    <row r="78" spans="1:33" x14ac:dyDescent="0.25">
      <c r="A78" s="569" t="s">
        <v>2331</v>
      </c>
      <c r="B78" s="1670" t="s">
        <v>3011</v>
      </c>
      <c r="C78" s="664"/>
      <c r="D78" s="634">
        <f>BS!D4</f>
        <v>96.578999999999994</v>
      </c>
      <c r="E78" s="634">
        <f>BS!E4</f>
        <v>971.95299999999997</v>
      </c>
      <c r="F78" s="634">
        <f>BS!F4</f>
        <v>1107.2750000000001</v>
      </c>
      <c r="G78" s="634">
        <f>BS!G4</f>
        <v>1121.3240000000001</v>
      </c>
      <c r="H78" s="634">
        <f>BS!H4</f>
        <v>1454.4449999999999</v>
      </c>
      <c r="I78" s="634">
        <f>BS!I4</f>
        <v>1870.0329999999999</v>
      </c>
      <c r="J78" s="634">
        <f>BS!J4</f>
        <v>2190.951</v>
      </c>
      <c r="K78" s="634">
        <f>BS!K4</f>
        <v>2672.357</v>
      </c>
      <c r="L78" s="634">
        <f>BS!L4</f>
        <v>2827.3</v>
      </c>
      <c r="M78" s="634">
        <f>BS!M4</f>
        <v>2786.9160000000002</v>
      </c>
      <c r="N78" s="634">
        <f>BS!N4</f>
        <v>2493.761</v>
      </c>
      <c r="O78" s="634">
        <f>BS!O4</f>
        <v>3818.806</v>
      </c>
      <c r="P78" s="634">
        <f>BS!P4</f>
        <v>4149.8060000000005</v>
      </c>
      <c r="Q78" s="634">
        <f>BS!Q4</f>
        <v>4726.3779999999997</v>
      </c>
      <c r="R78" s="634">
        <f>BS!R4</f>
        <v>5390.5469999999996</v>
      </c>
      <c r="S78" s="634">
        <f>BS!S4</f>
        <v>5698.3360000000002</v>
      </c>
      <c r="T78" s="634">
        <f>BS!T4</f>
        <v>5439.8409999999994</v>
      </c>
      <c r="U78" s="634">
        <f>BS!U4</f>
        <v>5664.826</v>
      </c>
      <c r="V78" s="634">
        <f>BS!V4</f>
        <v>5747.1190000000006</v>
      </c>
      <c r="W78" s="634">
        <f>BS!W4</f>
        <v>6505.4290000000001</v>
      </c>
      <c r="X78" s="634">
        <f t="shared" ref="X78:AC78" si="141">X70-X76</f>
        <v>7340.016184924546</v>
      </c>
      <c r="Y78" s="634">
        <f t="shared" si="141"/>
        <v>8205.1341756572838</v>
      </c>
      <c r="Z78" s="634">
        <f t="shared" si="141"/>
        <v>9074.7000956192223</v>
      </c>
      <c r="AA78" s="634">
        <f t="shared" si="141"/>
        <v>9969.7669900587352</v>
      </c>
      <c r="AB78" s="634">
        <f t="shared" si="141"/>
        <v>10877.431231799283</v>
      </c>
      <c r="AC78" s="634">
        <f t="shared" si="141"/>
        <v>11786.687563325195</v>
      </c>
      <c r="AD78" s="634">
        <f t="shared" ref="AD78:AF78" si="142">AD70-AD76</f>
        <v>12688.100888696019</v>
      </c>
      <c r="AE78" s="634">
        <f t="shared" si="142"/>
        <v>13573.541515672903</v>
      </c>
      <c r="AF78" s="634">
        <f t="shared" si="142"/>
        <v>14435.972016510168</v>
      </c>
      <c r="AG78" s="634">
        <f t="shared" ref="AG78" si="143">AG70-AG76</f>
        <v>15269.276053358073</v>
      </c>
    </row>
    <row r="79" spans="1:33" x14ac:dyDescent="0.25">
      <c r="A79" s="601"/>
      <c r="B79" s="1659"/>
      <c r="C79" s="663"/>
      <c r="D79" s="663"/>
      <c r="E79" s="663"/>
      <c r="F79" s="663"/>
      <c r="G79" s="663"/>
      <c r="H79" s="663"/>
      <c r="I79" s="663"/>
      <c r="J79" s="663"/>
      <c r="K79" s="663"/>
      <c r="L79" s="663"/>
      <c r="M79" s="663"/>
      <c r="N79" s="634"/>
      <c r="O79" s="634"/>
      <c r="P79" s="663"/>
      <c r="Q79" s="663"/>
      <c r="R79" s="663"/>
      <c r="S79" s="663"/>
      <c r="T79" s="663"/>
      <c r="U79" s="663"/>
      <c r="V79" s="663"/>
      <c r="W79" s="663"/>
      <c r="X79" s="663"/>
      <c r="Y79" s="663"/>
      <c r="Z79" s="663"/>
      <c r="AA79" s="663"/>
      <c r="AB79" s="663"/>
      <c r="AC79" s="663"/>
      <c r="AD79" s="663"/>
      <c r="AE79" s="663"/>
      <c r="AF79" s="663"/>
      <c r="AG79" s="663"/>
    </row>
    <row r="80" spans="1:33" x14ac:dyDescent="0.25">
      <c r="A80" s="635" t="s">
        <v>2332</v>
      </c>
      <c r="B80" s="1676" t="s">
        <v>3012</v>
      </c>
      <c r="C80" s="497"/>
      <c r="D80" s="497">
        <f>D74/D70</f>
        <v>6.0778200825163518E-2</v>
      </c>
      <c r="E80" s="497">
        <f>E74/E70</f>
        <v>6.0138613299023681E-3</v>
      </c>
      <c r="F80" s="497">
        <f t="shared" ref="F80:AC80" si="144">F65/F70</f>
        <v>6.0045900137229418E-3</v>
      </c>
      <c r="G80" s="497">
        <f t="shared" si="144"/>
        <v>4.322805227924769E-2</v>
      </c>
      <c r="H80" s="497">
        <f t="shared" si="144"/>
        <v>3.1787478074813094E-2</v>
      </c>
      <c r="I80" s="497">
        <f t="shared" si="144"/>
        <v>2.8590043345831824E-2</v>
      </c>
      <c r="J80" s="497">
        <f t="shared" si="144"/>
        <v>3.2652746377257492E-2</v>
      </c>
      <c r="K80" s="497">
        <f t="shared" si="144"/>
        <v>3.4113161613143782E-2</v>
      </c>
      <c r="L80" s="497">
        <f t="shared" si="144"/>
        <v>3.2107244268357649E-2</v>
      </c>
      <c r="M80" s="497">
        <f t="shared" si="144"/>
        <v>2.9915743022670676E-2</v>
      </c>
      <c r="N80" s="497">
        <f t="shared" si="144"/>
        <v>2.9109306099430226E-2</v>
      </c>
      <c r="O80" s="497">
        <f t="shared" si="144"/>
        <v>2.1160526063529746E-2</v>
      </c>
      <c r="P80" s="497">
        <f t="shared" si="144"/>
        <v>2.1466265477161114E-2</v>
      </c>
      <c r="Q80" s="497">
        <f t="shared" si="144"/>
        <v>2.5747870919848693E-2</v>
      </c>
      <c r="R80" s="497">
        <f t="shared" si="144"/>
        <v>2.3105695440530667E-2</v>
      </c>
      <c r="S80" s="497">
        <f t="shared" si="144"/>
        <v>2.595159581935446E-2</v>
      </c>
      <c r="T80" s="497">
        <f t="shared" ref="T80" si="145">T65/T70</f>
        <v>4.4471655510412329E-2</v>
      </c>
      <c r="U80" s="497">
        <f t="shared" si="144"/>
        <v>5.4922340969324204E-2</v>
      </c>
      <c r="V80" s="497">
        <f t="shared" ref="V80" si="146">V65/V70</f>
        <v>5.3500610887249993E-2</v>
      </c>
      <c r="W80" s="497">
        <f t="shared" ref="W80" si="147">W65/W70</f>
        <v>7.0675042024970547E-2</v>
      </c>
      <c r="X80" s="497">
        <f t="shared" si="144"/>
        <v>6.2461327604248669E-2</v>
      </c>
      <c r="Y80" s="497">
        <f t="shared" si="144"/>
        <v>6.2453815931332396E-2</v>
      </c>
      <c r="Z80" s="497">
        <f t="shared" si="144"/>
        <v>6.2505135095780401E-2</v>
      </c>
      <c r="AA80" s="497">
        <f t="shared" si="144"/>
        <v>6.2509552620286873E-2</v>
      </c>
      <c r="AB80" s="497">
        <f t="shared" si="144"/>
        <v>6.2539313240679253E-2</v>
      </c>
      <c r="AC80" s="497">
        <f t="shared" si="144"/>
        <v>6.2586266551379263E-2</v>
      </c>
      <c r="AD80" s="497">
        <f t="shared" ref="AD80:AF80" si="148">AD65/AD70</f>
        <v>6.2644497269479904E-2</v>
      </c>
      <c r="AE80" s="497">
        <f t="shared" si="148"/>
        <v>6.2709778363859464E-2</v>
      </c>
      <c r="AF80" s="497">
        <f t="shared" si="148"/>
        <v>6.2779130269380659E-2</v>
      </c>
      <c r="AG80" s="497">
        <f t="shared" ref="AG80" si="149">AG65/AG70</f>
        <v>6.2850481639351086E-2</v>
      </c>
    </row>
    <row r="81" spans="1:33" ht="14.25" customHeight="1" x14ac:dyDescent="0.25">
      <c r="B81" s="1645"/>
      <c r="C81" s="624"/>
      <c r="D81" s="624"/>
      <c r="E81" s="624"/>
      <c r="F81" s="624"/>
      <c r="G81" s="624"/>
      <c r="H81" s="624"/>
      <c r="I81" s="624"/>
      <c r="J81" s="624"/>
      <c r="K81" s="624"/>
      <c r="L81" s="624"/>
      <c r="M81" s="624"/>
      <c r="N81" s="624"/>
      <c r="O81" s="624"/>
      <c r="P81" s="624"/>
      <c r="Q81" s="624"/>
      <c r="R81" s="624"/>
      <c r="S81" s="624"/>
      <c r="T81" s="624"/>
      <c r="U81" s="624"/>
      <c r="V81" s="624"/>
      <c r="W81" s="624"/>
      <c r="X81" s="624"/>
      <c r="Y81" s="624"/>
      <c r="Z81" s="624"/>
      <c r="AA81" s="624"/>
      <c r="AB81" s="624"/>
      <c r="AC81" s="624"/>
      <c r="AD81" s="624"/>
      <c r="AE81" s="624"/>
      <c r="AF81" s="624"/>
      <c r="AG81" s="624"/>
    </row>
    <row r="82" spans="1:33" ht="12" x14ac:dyDescent="0.35">
      <c r="A82" s="620" t="s">
        <v>2333</v>
      </c>
      <c r="B82" s="1669" t="s">
        <v>3013</v>
      </c>
      <c r="C82" s="665"/>
      <c r="D82" s="665"/>
      <c r="E82" s="665"/>
      <c r="F82" s="665"/>
      <c r="G82" s="665"/>
      <c r="H82" s="665"/>
      <c r="I82" s="665"/>
      <c r="J82" s="665"/>
      <c r="K82" s="665"/>
      <c r="L82" s="665"/>
      <c r="M82" s="665"/>
      <c r="N82" s="665"/>
      <c r="O82" s="665"/>
      <c r="P82" s="665"/>
      <c r="Q82" s="665"/>
      <c r="R82" s="665"/>
      <c r="S82" s="665"/>
      <c r="T82" s="665"/>
      <c r="U82" s="665"/>
      <c r="V82" s="665"/>
      <c r="W82" s="665"/>
      <c r="X82" s="665"/>
      <c r="Y82" s="665"/>
      <c r="Z82" s="665"/>
      <c r="AA82" s="665"/>
      <c r="AB82" s="665"/>
      <c r="AC82" s="665"/>
      <c r="AD82" s="665"/>
      <c r="AE82" s="665"/>
      <c r="AF82" s="665"/>
      <c r="AG82" s="665"/>
    </row>
    <row r="83" spans="1:33" x14ac:dyDescent="0.25">
      <c r="A83" s="334" t="s">
        <v>2328</v>
      </c>
      <c r="B83" s="1643" t="s">
        <v>3014</v>
      </c>
      <c r="C83" s="624"/>
      <c r="D83" s="624">
        <f t="shared" ref="D83:L83" si="150">D84*2/(D86+D89)</f>
        <v>3.9926268563280347E-2</v>
      </c>
      <c r="E83" s="624">
        <f t="shared" si="150"/>
        <v>3.7614553412665848E-2</v>
      </c>
      <c r="F83" s="624">
        <f t="shared" si="150"/>
        <v>2.6608378870673955E-2</v>
      </c>
      <c r="G83" s="624">
        <f t="shared" si="150"/>
        <v>3.0925824456476313E-2</v>
      </c>
      <c r="H83" s="624">
        <f t="shared" si="150"/>
        <v>1.9501886232817671E-2</v>
      </c>
      <c r="I83" s="624">
        <f t="shared" si="150"/>
        <v>1.9522636478544474E-2</v>
      </c>
      <c r="J83" s="624">
        <f t="shared" si="150"/>
        <v>1.8751437640888807E-2</v>
      </c>
      <c r="K83" s="624">
        <f t="shared" si="150"/>
        <v>1.8549188473004307E-2</v>
      </c>
      <c r="L83" s="624">
        <f t="shared" si="150"/>
        <v>1.8501166657480386E-2</v>
      </c>
      <c r="M83" s="624"/>
      <c r="N83" s="624"/>
      <c r="O83" s="624"/>
      <c r="P83" s="656"/>
      <c r="Q83" s="656"/>
      <c r="R83" s="656"/>
      <c r="S83" s="656"/>
      <c r="T83" s="656"/>
      <c r="U83" s="656"/>
      <c r="V83" s="656"/>
      <c r="W83" s="656"/>
      <c r="X83" s="656"/>
      <c r="Y83" s="656"/>
      <c r="Z83" s="656"/>
      <c r="AA83" s="656"/>
      <c r="AB83" s="656"/>
      <c r="AC83" s="656"/>
      <c r="AD83" s="656"/>
      <c r="AE83" s="656"/>
      <c r="AF83" s="656"/>
      <c r="AG83" s="656"/>
    </row>
    <row r="84" spans="1:33" x14ac:dyDescent="0.25">
      <c r="A84" s="567" t="s">
        <v>2329</v>
      </c>
      <c r="B84" s="1645" t="s">
        <v>3002</v>
      </c>
      <c r="C84" s="657"/>
      <c r="D84" s="658">
        <f t="shared" ref="D84:L84" si="151">D93</f>
        <v>0.57399999999999995</v>
      </c>
      <c r="E84" s="658">
        <f t="shared" si="151"/>
        <v>0.55000000000000004</v>
      </c>
      <c r="F84" s="658">
        <f t="shared" si="151"/>
        <v>0.91300000000000003</v>
      </c>
      <c r="G84" s="658">
        <f t="shared" si="151"/>
        <v>1.665</v>
      </c>
      <c r="H84" s="658">
        <f t="shared" si="151"/>
        <v>1.052</v>
      </c>
      <c r="I84" s="658">
        <f t="shared" si="151"/>
        <v>1.0580000000000001</v>
      </c>
      <c r="J84" s="658">
        <f t="shared" si="151"/>
        <v>1.0189999999999999</v>
      </c>
      <c r="K84" s="658">
        <f t="shared" si="151"/>
        <v>1.008</v>
      </c>
      <c r="L84" s="658">
        <f t="shared" si="151"/>
        <v>1.0069999999999999</v>
      </c>
      <c r="M84" s="658"/>
      <c r="N84" s="658"/>
      <c r="O84" s="658"/>
      <c r="P84" s="658"/>
      <c r="Q84" s="658"/>
      <c r="R84" s="658"/>
      <c r="S84" s="658"/>
      <c r="T84" s="658"/>
      <c r="U84" s="658"/>
      <c r="V84" s="658"/>
      <c r="W84" s="658"/>
      <c r="X84" s="658"/>
      <c r="Y84" s="658"/>
      <c r="Z84" s="658"/>
      <c r="AA84" s="658"/>
      <c r="AB84" s="658"/>
      <c r="AC84" s="658"/>
      <c r="AD84" s="658"/>
      <c r="AE84" s="658"/>
      <c r="AF84" s="658"/>
      <c r="AG84" s="658"/>
    </row>
    <row r="85" spans="1:33" x14ac:dyDescent="0.25">
      <c r="A85" s="593" t="s">
        <v>2330</v>
      </c>
      <c r="B85" s="1650" t="s">
        <v>3015</v>
      </c>
      <c r="C85" s="666"/>
      <c r="D85" s="666"/>
      <c r="E85" s="667"/>
      <c r="F85" s="667"/>
      <c r="G85" s="667"/>
      <c r="H85" s="667"/>
      <c r="I85" s="667"/>
      <c r="J85" s="667"/>
      <c r="K85" s="667"/>
      <c r="L85" s="667"/>
      <c r="M85" s="667"/>
      <c r="N85" s="667"/>
      <c r="O85" s="667"/>
      <c r="P85" s="667"/>
      <c r="Q85" s="667"/>
      <c r="R85" s="667"/>
      <c r="S85" s="667"/>
      <c r="T85" s="667"/>
      <c r="U85" s="667"/>
      <c r="V85" s="667"/>
      <c r="W85" s="667"/>
      <c r="X85" s="667"/>
      <c r="Y85" s="667"/>
      <c r="Z85" s="667"/>
      <c r="AA85" s="667"/>
      <c r="AB85" s="667"/>
      <c r="AC85" s="667"/>
      <c r="AD85" s="667"/>
      <c r="AE85" s="667"/>
      <c r="AF85" s="667"/>
      <c r="AG85" s="667"/>
    </row>
    <row r="86" spans="1:33" x14ac:dyDescent="0.25">
      <c r="A86" s="601" t="s">
        <v>1841</v>
      </c>
      <c r="B86" s="1659" t="s">
        <v>3004</v>
      </c>
      <c r="C86" s="668"/>
      <c r="D86" s="661">
        <v>14.3</v>
      </c>
      <c r="E86" s="661">
        <f t="shared" ref="E86:L86" si="152">D89</f>
        <v>14.453000000000001</v>
      </c>
      <c r="F86" s="661">
        <f t="shared" si="152"/>
        <v>14.791</v>
      </c>
      <c r="G86" s="661">
        <f t="shared" si="152"/>
        <v>53.834000000000003</v>
      </c>
      <c r="H86" s="661">
        <f t="shared" si="152"/>
        <v>53.843000000000004</v>
      </c>
      <c r="I86" s="661">
        <f t="shared" si="152"/>
        <v>54.043999999999997</v>
      </c>
      <c r="J86" s="661">
        <f t="shared" si="152"/>
        <v>54.343000000000004</v>
      </c>
      <c r="K86" s="661">
        <f t="shared" si="152"/>
        <v>54.341999999999999</v>
      </c>
      <c r="L86" s="661">
        <f t="shared" si="152"/>
        <v>54.341999999999999</v>
      </c>
      <c r="M86" s="661"/>
      <c r="N86" s="661"/>
      <c r="O86" s="661"/>
      <c r="P86" s="661"/>
      <c r="Q86" s="661"/>
      <c r="R86" s="661"/>
      <c r="S86" s="661"/>
      <c r="T86" s="661"/>
      <c r="U86" s="661"/>
      <c r="V86" s="661"/>
      <c r="W86" s="661"/>
      <c r="X86" s="661"/>
      <c r="Y86" s="661"/>
      <c r="Z86" s="661"/>
      <c r="AA86" s="661"/>
      <c r="AB86" s="661"/>
      <c r="AC86" s="661"/>
      <c r="AD86" s="661"/>
      <c r="AE86" s="661"/>
      <c r="AF86" s="661"/>
      <c r="AG86" s="661"/>
    </row>
    <row r="87" spans="1:33" x14ac:dyDescent="0.25">
      <c r="A87" s="601" t="s">
        <v>1637</v>
      </c>
      <c r="B87" s="1659" t="s">
        <v>3005</v>
      </c>
      <c r="C87" s="668"/>
      <c r="D87" s="661">
        <v>0</v>
      </c>
      <c r="E87" s="661">
        <f t="shared" ref="E87:L87" si="153">E89-E86</f>
        <v>0.33799999999999919</v>
      </c>
      <c r="F87" s="661">
        <f t="shared" si="153"/>
        <v>39.043000000000006</v>
      </c>
      <c r="G87" s="661">
        <f t="shared" si="153"/>
        <v>9.0000000000003411E-3</v>
      </c>
      <c r="H87" s="661">
        <f t="shared" si="153"/>
        <v>0.20099999999999341</v>
      </c>
      <c r="I87" s="661">
        <f t="shared" si="153"/>
        <v>0.29900000000000659</v>
      </c>
      <c r="J87" s="661">
        <f t="shared" si="153"/>
        <v>-1.0000000000047748E-3</v>
      </c>
      <c r="K87" s="661">
        <f t="shared" si="153"/>
        <v>0</v>
      </c>
      <c r="L87" s="661">
        <f t="shared" si="153"/>
        <v>0.17399999999999949</v>
      </c>
      <c r="M87" s="661"/>
      <c r="N87" s="661"/>
      <c r="O87" s="661"/>
      <c r="P87" s="669"/>
      <c r="Q87" s="669"/>
      <c r="R87" s="669"/>
      <c r="S87" s="669"/>
      <c r="T87" s="669"/>
      <c r="U87" s="669"/>
      <c r="V87" s="669"/>
      <c r="W87" s="669"/>
      <c r="X87" s="669"/>
      <c r="Y87" s="669"/>
      <c r="Z87" s="669"/>
      <c r="AA87" s="669"/>
      <c r="AB87" s="669"/>
      <c r="AC87" s="669"/>
      <c r="AD87" s="669"/>
      <c r="AE87" s="669"/>
      <c r="AF87" s="669"/>
      <c r="AG87" s="669"/>
    </row>
    <row r="88" spans="1:33" x14ac:dyDescent="0.25">
      <c r="A88" s="601" t="s">
        <v>2045</v>
      </c>
      <c r="B88" s="1659" t="s">
        <v>3016</v>
      </c>
      <c r="C88" s="660"/>
      <c r="D88" s="380">
        <v>0.153</v>
      </c>
      <c r="E88" s="380"/>
      <c r="F88" s="380"/>
      <c r="G88" s="380"/>
      <c r="H88" s="380"/>
      <c r="I88" s="380"/>
      <c r="J88" s="380"/>
      <c r="K88" s="380"/>
      <c r="L88" s="661"/>
      <c r="M88" s="661"/>
      <c r="N88" s="661"/>
      <c r="O88" s="661"/>
      <c r="P88" s="661"/>
      <c r="Q88" s="661"/>
      <c r="R88" s="661"/>
      <c r="S88" s="661"/>
      <c r="T88" s="661"/>
      <c r="U88" s="661"/>
      <c r="V88" s="661"/>
      <c r="W88" s="661"/>
      <c r="X88" s="661"/>
      <c r="Y88" s="661"/>
      <c r="Z88" s="661"/>
      <c r="AA88" s="661"/>
      <c r="AB88" s="661"/>
      <c r="AC88" s="661"/>
      <c r="AD88" s="661"/>
      <c r="AE88" s="661"/>
      <c r="AF88" s="661"/>
      <c r="AG88" s="661"/>
    </row>
    <row r="89" spans="1:33" x14ac:dyDescent="0.25">
      <c r="A89" s="601" t="s">
        <v>2046</v>
      </c>
      <c r="B89" s="1659" t="s">
        <v>3007</v>
      </c>
      <c r="C89" s="668"/>
      <c r="D89" s="661">
        <f>SUM(D86:D88)</f>
        <v>14.453000000000001</v>
      </c>
      <c r="E89" s="661">
        <f>'CF（org）'!D157</f>
        <v>14.791</v>
      </c>
      <c r="F89" s="661">
        <f>'CF（org）'!E157</f>
        <v>53.834000000000003</v>
      </c>
      <c r="G89" s="661">
        <f>'CF（org）'!F157</f>
        <v>53.843000000000004</v>
      </c>
      <c r="H89" s="661">
        <f>'CF（org）'!G157</f>
        <v>54.043999999999997</v>
      </c>
      <c r="I89" s="661">
        <f>'CF（org）'!H157</f>
        <v>54.343000000000004</v>
      </c>
      <c r="J89" s="661">
        <f>'CF（org）'!I157</f>
        <v>54.341999999999999</v>
      </c>
      <c r="K89" s="661">
        <f>'CF（org）'!J157</f>
        <v>54.341999999999999</v>
      </c>
      <c r="L89" s="661">
        <f>'CF（org）'!K157</f>
        <v>54.515999999999998</v>
      </c>
      <c r="M89" s="661">
        <f>'CF（org）'!L157</f>
        <v>2726.6759999999999</v>
      </c>
      <c r="N89" s="661">
        <f>'CF（org）'!M157</f>
        <v>3050.4679999999998</v>
      </c>
      <c r="O89" s="661">
        <f>'CF（org）'!N157</f>
        <v>4249.5200000000004</v>
      </c>
      <c r="P89" s="661">
        <f>'CF（org）'!O157</f>
        <v>4750.2650000000003</v>
      </c>
      <c r="Q89" s="661">
        <f>'CF（org）'!P157</f>
        <v>4680.7759999999998</v>
      </c>
      <c r="R89" s="661">
        <f>'CF（org）'!Q157</f>
        <v>5067.3329999999996</v>
      </c>
      <c r="S89" s="661">
        <f>'CF（org）'!R157</f>
        <v>4643.3310000000001</v>
      </c>
      <c r="T89" s="661">
        <f>'CF（org）'!S157</f>
        <v>5126.232</v>
      </c>
      <c r="U89" s="661">
        <f t="shared" ref="U89:AC89" si="154">T99</f>
        <v>7080.2719999999999</v>
      </c>
      <c r="V89" s="661">
        <f t="shared" si="154"/>
        <v>6923.8490000000002</v>
      </c>
      <c r="W89" s="661">
        <f t="shared" si="154"/>
        <v>6437.4530000000004</v>
      </c>
      <c r="X89" s="661">
        <f t="shared" si="154"/>
        <v>6738.116</v>
      </c>
      <c r="Y89" s="661">
        <f t="shared" si="154"/>
        <v>6737.116</v>
      </c>
      <c r="Z89" s="661">
        <f t="shared" si="154"/>
        <v>6736.116</v>
      </c>
      <c r="AA89" s="661">
        <f t="shared" si="154"/>
        <v>6735.116</v>
      </c>
      <c r="AB89" s="661">
        <f t="shared" si="154"/>
        <v>6734.116</v>
      </c>
      <c r="AC89" s="661">
        <f t="shared" si="154"/>
        <v>6733.116</v>
      </c>
      <c r="AD89" s="661">
        <f t="shared" ref="AD89" si="155">AC99</f>
        <v>6732.116</v>
      </c>
      <c r="AE89" s="661">
        <f t="shared" ref="AE89" si="156">AD99</f>
        <v>6731.116</v>
      </c>
      <c r="AF89" s="661">
        <f t="shared" ref="AF89:AG89" si="157">AE99</f>
        <v>6730.116</v>
      </c>
      <c r="AG89" s="661">
        <f t="shared" si="157"/>
        <v>6729.116</v>
      </c>
    </row>
    <row r="90" spans="1:33" x14ac:dyDescent="0.25">
      <c r="A90" s="601"/>
      <c r="B90" s="1670"/>
      <c r="C90" s="668"/>
      <c r="D90" s="668"/>
      <c r="E90" s="668"/>
      <c r="F90" s="668"/>
      <c r="G90" s="668"/>
      <c r="H90" s="668"/>
      <c r="I90" s="668"/>
      <c r="J90" s="668"/>
      <c r="K90" s="668"/>
      <c r="L90" s="670"/>
      <c r="M90" s="670"/>
      <c r="N90" s="670"/>
      <c r="O90" s="670"/>
      <c r="P90" s="670"/>
      <c r="Q90" s="670"/>
      <c r="R90" s="670"/>
      <c r="S90" s="670"/>
      <c r="T90" s="670"/>
      <c r="U90" s="670"/>
      <c r="V90" s="670"/>
      <c r="W90" s="670"/>
      <c r="X90" s="670"/>
      <c r="Y90" s="670"/>
      <c r="Z90" s="670"/>
      <c r="AA90" s="670"/>
      <c r="AB90" s="670"/>
      <c r="AC90" s="670"/>
      <c r="AD90" s="670"/>
      <c r="AE90" s="670"/>
      <c r="AF90" s="670"/>
      <c r="AG90" s="670"/>
    </row>
    <row r="91" spans="1:33" x14ac:dyDescent="0.25">
      <c r="A91" s="569" t="s">
        <v>2334</v>
      </c>
      <c r="B91" s="1670" t="s">
        <v>3017</v>
      </c>
      <c r="C91" s="668"/>
      <c r="D91" s="668"/>
      <c r="E91" s="668"/>
      <c r="F91" s="668"/>
      <c r="G91" s="668"/>
      <c r="H91" s="668"/>
      <c r="I91" s="668"/>
      <c r="J91" s="668"/>
      <c r="K91" s="668"/>
      <c r="L91" s="670"/>
      <c r="M91" s="670"/>
      <c r="N91" s="670"/>
      <c r="O91" s="670"/>
      <c r="P91" s="670"/>
      <c r="Q91" s="670"/>
      <c r="R91" s="670"/>
      <c r="S91" s="670"/>
      <c r="T91" s="670"/>
      <c r="U91" s="670"/>
      <c r="V91" s="670"/>
      <c r="W91" s="670"/>
      <c r="X91" s="670"/>
      <c r="Y91" s="670"/>
      <c r="Z91" s="670"/>
      <c r="AA91" s="670"/>
      <c r="AB91" s="670"/>
      <c r="AC91" s="670"/>
      <c r="AD91" s="670"/>
      <c r="AE91" s="670"/>
      <c r="AF91" s="670"/>
      <c r="AG91" s="670"/>
    </row>
    <row r="92" spans="1:33" x14ac:dyDescent="0.25">
      <c r="A92" s="601" t="s">
        <v>1841</v>
      </c>
      <c r="B92" s="1659" t="s">
        <v>3004</v>
      </c>
      <c r="C92" s="668"/>
      <c r="D92" s="661">
        <v>3.766</v>
      </c>
      <c r="E92" s="661">
        <f t="shared" ref="E92:L92" si="158">D95</f>
        <v>4.3879999999999999</v>
      </c>
      <c r="F92" s="661">
        <f t="shared" si="158"/>
        <v>5.0860000000000003</v>
      </c>
      <c r="G92" s="661">
        <f t="shared" si="158"/>
        <v>9.1419999999999995</v>
      </c>
      <c r="H92" s="661">
        <f t="shared" si="158"/>
        <v>10.811999999999999</v>
      </c>
      <c r="I92" s="661">
        <f t="shared" si="158"/>
        <v>12.006</v>
      </c>
      <c r="J92" s="661">
        <f t="shared" si="158"/>
        <v>13.279</v>
      </c>
      <c r="K92" s="661">
        <f t="shared" si="158"/>
        <v>14.298</v>
      </c>
      <c r="L92" s="661">
        <f t="shared" si="158"/>
        <v>15.306000000000001</v>
      </c>
      <c r="M92" s="661"/>
      <c r="N92" s="661"/>
      <c r="O92" s="661"/>
      <c r="P92" s="661"/>
      <c r="Q92" s="661"/>
      <c r="R92" s="661"/>
      <c r="S92" s="661"/>
      <c r="T92" s="661"/>
      <c r="U92" s="661"/>
      <c r="V92" s="661"/>
      <c r="W92" s="661"/>
      <c r="X92" s="661"/>
      <c r="Y92" s="661"/>
      <c r="Z92" s="661"/>
      <c r="AA92" s="661"/>
      <c r="AB92" s="661"/>
      <c r="AC92" s="661"/>
      <c r="AD92" s="661"/>
      <c r="AE92" s="661"/>
      <c r="AF92" s="661"/>
      <c r="AG92" s="661"/>
    </row>
    <row r="93" spans="1:33" x14ac:dyDescent="0.25">
      <c r="A93" s="601" t="s">
        <v>1637</v>
      </c>
      <c r="B93" s="1659" t="s">
        <v>3009</v>
      </c>
      <c r="C93" s="668"/>
      <c r="D93" s="661">
        <v>0.57399999999999995</v>
      </c>
      <c r="E93" s="661">
        <f>'CF（org）'!D112</f>
        <v>0.55000000000000004</v>
      </c>
      <c r="F93" s="661">
        <f>'CF（org）'!E112</f>
        <v>0.91300000000000003</v>
      </c>
      <c r="G93" s="661">
        <f>'CF（org）'!F112</f>
        <v>1.665</v>
      </c>
      <c r="H93" s="661">
        <f>'CF（org）'!G112</f>
        <v>1.052</v>
      </c>
      <c r="I93" s="661">
        <f>'CF（org）'!H112</f>
        <v>1.0580000000000001</v>
      </c>
      <c r="J93" s="661">
        <f>'CF（org）'!I112</f>
        <v>1.0189999999999999</v>
      </c>
      <c r="K93" s="661">
        <f>'CF（org）'!J112</f>
        <v>1.008</v>
      </c>
      <c r="L93" s="661">
        <f>'CF（org）'!K112</f>
        <v>1.0069999999999999</v>
      </c>
      <c r="M93" s="661"/>
      <c r="N93" s="661"/>
      <c r="O93" s="661"/>
      <c r="P93" s="661"/>
      <c r="Q93" s="661"/>
      <c r="R93" s="661"/>
      <c r="S93" s="661"/>
      <c r="T93" s="661"/>
      <c r="U93" s="661"/>
      <c r="V93" s="661"/>
      <c r="W93" s="661"/>
      <c r="X93" s="661"/>
      <c r="Y93" s="661"/>
      <c r="Z93" s="661"/>
      <c r="AA93" s="661"/>
      <c r="AB93" s="661"/>
      <c r="AC93" s="661"/>
      <c r="AD93" s="661"/>
      <c r="AE93" s="661"/>
      <c r="AF93" s="661"/>
      <c r="AG93" s="661"/>
    </row>
    <row r="94" spans="1:33" x14ac:dyDescent="0.25">
      <c r="A94" s="601" t="s">
        <v>2045</v>
      </c>
      <c r="B94" s="1659" t="s">
        <v>3018</v>
      </c>
      <c r="C94" s="660"/>
      <c r="D94" s="380">
        <v>4.8000000000000001E-2</v>
      </c>
      <c r="E94" s="380">
        <f t="shared" ref="E94:L94" si="159">E95-E93-E92</f>
        <v>0.14800000000000058</v>
      </c>
      <c r="F94" s="380">
        <f t="shared" si="159"/>
        <v>3.1429999999999989</v>
      </c>
      <c r="G94" s="380">
        <f t="shared" si="159"/>
        <v>4.9999999999990052E-3</v>
      </c>
      <c r="H94" s="380">
        <f t="shared" si="159"/>
        <v>0.14200000000000124</v>
      </c>
      <c r="I94" s="380">
        <f t="shared" si="159"/>
        <v>0.21499999999999986</v>
      </c>
      <c r="J94" s="380">
        <f t="shared" si="159"/>
        <v>0</v>
      </c>
      <c r="K94" s="380">
        <f t="shared" si="159"/>
        <v>0</v>
      </c>
      <c r="L94" s="380">
        <f t="shared" si="159"/>
        <v>0.13000000000000078</v>
      </c>
      <c r="M94" s="380"/>
      <c r="N94" s="380"/>
      <c r="O94" s="380"/>
      <c r="P94" s="380"/>
      <c r="Q94" s="380"/>
      <c r="R94" s="380"/>
      <c r="S94" s="380"/>
      <c r="T94" s="380"/>
      <c r="U94" s="380"/>
      <c r="V94" s="380"/>
      <c r="W94" s="380"/>
      <c r="X94" s="380"/>
      <c r="Y94" s="380"/>
      <c r="Z94" s="380"/>
      <c r="AA94" s="380"/>
      <c r="AB94" s="380"/>
      <c r="AC94" s="380"/>
      <c r="AD94" s="380"/>
      <c r="AE94" s="380"/>
      <c r="AF94" s="380"/>
      <c r="AG94" s="380"/>
    </row>
    <row r="95" spans="1:33" x14ac:dyDescent="0.25">
      <c r="A95" s="601" t="s">
        <v>2046</v>
      </c>
      <c r="B95" s="1659" t="s">
        <v>3007</v>
      </c>
      <c r="C95" s="668"/>
      <c r="D95" s="661">
        <f>SUM(D92:D94)</f>
        <v>4.3879999999999999</v>
      </c>
      <c r="E95" s="661">
        <f>'CF（org）'!D158</f>
        <v>5.0860000000000003</v>
      </c>
      <c r="F95" s="661">
        <f>'CF（org）'!E158</f>
        <v>9.1419999999999995</v>
      </c>
      <c r="G95" s="661">
        <f>'CF（org）'!F158</f>
        <v>10.811999999999999</v>
      </c>
      <c r="H95" s="661">
        <f>'CF（org）'!G158</f>
        <v>12.006</v>
      </c>
      <c r="I95" s="661">
        <f>'CF（org）'!H158</f>
        <v>13.279</v>
      </c>
      <c r="J95" s="661">
        <f>'CF（org）'!I158</f>
        <v>14.298</v>
      </c>
      <c r="K95" s="661">
        <f>'CF（org）'!J158</f>
        <v>15.306000000000001</v>
      </c>
      <c r="L95" s="661">
        <f>'CF（org）'!K158</f>
        <v>16.443000000000001</v>
      </c>
      <c r="M95" s="661">
        <f>'CF（org）'!L158</f>
        <v>323.79199999999997</v>
      </c>
      <c r="N95" s="661">
        <f>'CF（org）'!M158</f>
        <v>1199.0519999999999</v>
      </c>
      <c r="O95" s="661">
        <f>'CF（org）'!N158</f>
        <v>500.745</v>
      </c>
      <c r="P95" s="661">
        <f>'CF（org）'!O158</f>
        <v>-69.489000000000004</v>
      </c>
      <c r="Q95" s="661">
        <f>'CF（org）'!P158</f>
        <v>386.55700000000002</v>
      </c>
      <c r="R95" s="661">
        <f>'CF（org）'!Q158</f>
        <v>-424.00199999999995</v>
      </c>
      <c r="S95" s="661">
        <f>'CF（org）'!R158</f>
        <v>482.90099999999995</v>
      </c>
      <c r="T95" s="661">
        <f>'CF（org）'!S158</f>
        <v>1954.04</v>
      </c>
      <c r="U95" s="661">
        <f>U89-U99</f>
        <v>156.42299999999977</v>
      </c>
      <c r="V95" s="661">
        <f>V89-V99</f>
        <v>486.39599999999973</v>
      </c>
      <c r="W95" s="661">
        <f>W89-W99</f>
        <v>-300.66299999999956</v>
      </c>
      <c r="X95" s="671">
        <f>PL!X116</f>
        <v>1</v>
      </c>
      <c r="Y95" s="671">
        <f>PL!Y116</f>
        <v>1</v>
      </c>
      <c r="Z95" s="671">
        <f>PL!Z116</f>
        <v>1</v>
      </c>
      <c r="AA95" s="671">
        <f>PL!AA116</f>
        <v>1</v>
      </c>
      <c r="AB95" s="671">
        <f>PL!AB116</f>
        <v>1</v>
      </c>
      <c r="AC95" s="671">
        <f>PL!AC116</f>
        <v>1</v>
      </c>
      <c r="AD95" s="671">
        <f>PL!AD116</f>
        <v>1</v>
      </c>
      <c r="AE95" s="671">
        <f>PL!AE116</f>
        <v>1</v>
      </c>
      <c r="AF95" s="671">
        <f>PL!AF116</f>
        <v>1</v>
      </c>
      <c r="AG95" s="671">
        <f>PL!AG116</f>
        <v>1</v>
      </c>
    </row>
    <row r="96" spans="1:33" ht="12" x14ac:dyDescent="0.35">
      <c r="A96" s="631"/>
      <c r="B96" s="1659"/>
      <c r="C96" s="668"/>
      <c r="D96" s="668"/>
      <c r="E96" s="668"/>
      <c r="F96" s="668"/>
      <c r="G96" s="668"/>
      <c r="H96" s="668"/>
      <c r="I96" s="668"/>
      <c r="J96" s="668"/>
      <c r="K96" s="668"/>
      <c r="L96" s="668"/>
      <c r="M96" s="668"/>
      <c r="N96" s="668"/>
      <c r="O96" s="668"/>
      <c r="P96" s="668"/>
      <c r="Q96" s="668"/>
      <c r="R96" s="668"/>
      <c r="S96" s="668"/>
      <c r="T96" s="668"/>
      <c r="U96" s="668"/>
      <c r="V96" s="668"/>
      <c r="W96" s="668"/>
      <c r="X96" s="668"/>
      <c r="Y96" s="668"/>
      <c r="Z96" s="668"/>
      <c r="AA96" s="668"/>
      <c r="AB96" s="668"/>
      <c r="AC96" s="668"/>
      <c r="AD96" s="668"/>
      <c r="AE96" s="668"/>
      <c r="AF96" s="668"/>
      <c r="AG96" s="668"/>
    </row>
    <row r="97" spans="1:33" s="346" customFormat="1" x14ac:dyDescent="0.25">
      <c r="A97" s="569" t="s">
        <v>378</v>
      </c>
      <c r="B97" s="1670" t="s">
        <v>3019</v>
      </c>
      <c r="C97" s="672"/>
      <c r="D97" s="633">
        <f>'CF（org）'!C159</f>
        <v>0</v>
      </c>
      <c r="E97" s="633">
        <f>'CF（org）'!D159</f>
        <v>0</v>
      </c>
      <c r="F97" s="633">
        <f>'CF（org）'!E159</f>
        <v>0</v>
      </c>
      <c r="G97" s="633">
        <f>'CF（org）'!F159</f>
        <v>0</v>
      </c>
      <c r="H97" s="633">
        <f>'CF（org）'!G159</f>
        <v>0</v>
      </c>
      <c r="I97" s="633">
        <f>'CF（org）'!H159</f>
        <v>0</v>
      </c>
      <c r="J97" s="633">
        <f>'CF（org）'!I159</f>
        <v>0</v>
      </c>
      <c r="K97" s="633">
        <f>'CF（org）'!J159</f>
        <v>0</v>
      </c>
      <c r="L97" s="633">
        <f>'CF（org）'!K159</f>
        <v>0</v>
      </c>
      <c r="M97" s="633"/>
      <c r="N97" s="633"/>
      <c r="O97" s="633"/>
      <c r="P97" s="673"/>
      <c r="Q97" s="673"/>
      <c r="R97" s="673"/>
      <c r="S97" s="673"/>
      <c r="T97" s="673"/>
      <c r="U97" s="673"/>
      <c r="V97" s="673"/>
      <c r="W97" s="673"/>
      <c r="X97" s="673"/>
      <c r="Y97" s="673"/>
      <c r="Z97" s="673"/>
      <c r="AA97" s="673"/>
      <c r="AB97" s="673"/>
      <c r="AC97" s="673"/>
      <c r="AD97" s="673"/>
      <c r="AE97" s="673"/>
      <c r="AF97" s="673"/>
      <c r="AG97" s="673"/>
    </row>
    <row r="98" spans="1:33" x14ac:dyDescent="0.25">
      <c r="A98" s="601"/>
      <c r="B98" s="1659"/>
      <c r="C98" s="668"/>
      <c r="D98" s="668"/>
      <c r="E98" s="668"/>
      <c r="F98" s="668"/>
      <c r="G98" s="668"/>
      <c r="H98" s="668"/>
      <c r="I98" s="668"/>
      <c r="J98" s="668"/>
      <c r="K98" s="668"/>
      <c r="L98" s="670"/>
      <c r="M98" s="670"/>
      <c r="N98" s="670"/>
      <c r="O98" s="670"/>
      <c r="P98" s="670"/>
      <c r="Q98" s="670"/>
      <c r="R98" s="670"/>
      <c r="S98" s="670"/>
      <c r="T98" s="670"/>
      <c r="U98" s="670"/>
      <c r="V98" s="670"/>
      <c r="W98" s="670"/>
      <c r="X98" s="670"/>
      <c r="Y98" s="670"/>
      <c r="Z98" s="670"/>
      <c r="AA98" s="670"/>
      <c r="AB98" s="670"/>
      <c r="AC98" s="670"/>
      <c r="AD98" s="670"/>
      <c r="AE98" s="670"/>
      <c r="AF98" s="670"/>
      <c r="AG98" s="670"/>
    </row>
    <row r="99" spans="1:33" s="346" customFormat="1" x14ac:dyDescent="0.25">
      <c r="A99" s="569" t="s">
        <v>2331</v>
      </c>
      <c r="B99" s="1670" t="s">
        <v>3011</v>
      </c>
      <c r="C99" s="672"/>
      <c r="D99" s="633">
        <f>D89-D95-D97</f>
        <v>10.065000000000001</v>
      </c>
      <c r="E99" s="633">
        <f>E89-E95-E97</f>
        <v>9.7050000000000001</v>
      </c>
      <c r="F99" s="633">
        <f>F89-F95-F97</f>
        <v>44.692000000000007</v>
      </c>
      <c r="G99" s="633">
        <f>BS!G5</f>
        <v>43.030999999999999</v>
      </c>
      <c r="H99" s="633">
        <f>BS!H5</f>
        <v>42.037999999999997</v>
      </c>
      <c r="I99" s="633">
        <f>BS!I5</f>
        <v>41.063000000000002</v>
      </c>
      <c r="J99" s="633">
        <f>BS!J5</f>
        <v>40.043999999999997</v>
      </c>
      <c r="K99" s="633">
        <f>BS!K5</f>
        <v>39.085000000000001</v>
      </c>
      <c r="L99" s="633">
        <f>BS!L5</f>
        <v>38.073</v>
      </c>
      <c r="M99" s="633">
        <f>BS!M5</f>
        <v>3050.4679999999998</v>
      </c>
      <c r="N99" s="633">
        <f>BS!N5</f>
        <v>4249.5200000000004</v>
      </c>
      <c r="O99" s="633">
        <f>BS!O5</f>
        <v>4750.2650000000003</v>
      </c>
      <c r="P99" s="633">
        <f>BS!P5</f>
        <v>4680.7759999999998</v>
      </c>
      <c r="Q99" s="633">
        <f>BS!Q5</f>
        <v>5067.3330000000005</v>
      </c>
      <c r="R99" s="633">
        <f>BS!R5</f>
        <v>4643.3310000000001</v>
      </c>
      <c r="S99" s="633">
        <f>BS!S5</f>
        <v>5126.232</v>
      </c>
      <c r="T99" s="633">
        <f>BS!T5</f>
        <v>7080.2719999999999</v>
      </c>
      <c r="U99" s="633">
        <f>BS!U5</f>
        <v>6923.8490000000002</v>
      </c>
      <c r="V99" s="633">
        <f>BS!V5</f>
        <v>6437.4530000000004</v>
      </c>
      <c r="W99" s="633">
        <f>BS!W5</f>
        <v>6738.116</v>
      </c>
      <c r="X99" s="633">
        <f t="shared" ref="X99:AC99" si="160">X89-X95-X97</f>
        <v>6737.116</v>
      </c>
      <c r="Y99" s="633">
        <f t="shared" si="160"/>
        <v>6736.116</v>
      </c>
      <c r="Z99" s="633">
        <f t="shared" si="160"/>
        <v>6735.116</v>
      </c>
      <c r="AA99" s="633">
        <f t="shared" si="160"/>
        <v>6734.116</v>
      </c>
      <c r="AB99" s="633">
        <f t="shared" si="160"/>
        <v>6733.116</v>
      </c>
      <c r="AC99" s="633">
        <f t="shared" si="160"/>
        <v>6732.116</v>
      </c>
      <c r="AD99" s="633">
        <f t="shared" ref="AD99:AF99" si="161">AD89-AD95-AD97</f>
        <v>6731.116</v>
      </c>
      <c r="AE99" s="633">
        <f t="shared" si="161"/>
        <v>6730.116</v>
      </c>
      <c r="AF99" s="633">
        <f t="shared" si="161"/>
        <v>6729.116</v>
      </c>
      <c r="AG99" s="633">
        <f t="shared" ref="AG99" si="162">AG89-AG95-AG97</f>
        <v>6728.116</v>
      </c>
    </row>
    <row r="100" spans="1:33" x14ac:dyDescent="0.25">
      <c r="A100" s="601"/>
      <c r="B100" s="1659"/>
      <c r="C100" s="670"/>
      <c r="D100" s="670"/>
      <c r="E100" s="670"/>
      <c r="F100" s="670"/>
      <c r="G100" s="670"/>
      <c r="H100" s="670"/>
      <c r="I100" s="670"/>
      <c r="J100" s="670"/>
      <c r="K100" s="670"/>
      <c r="L100" s="670"/>
      <c r="M100" s="670"/>
      <c r="N100" s="661"/>
      <c r="O100" s="661"/>
      <c r="P100" s="670"/>
      <c r="Q100" s="670"/>
      <c r="R100" s="670"/>
      <c r="S100" s="670"/>
      <c r="T100" s="670"/>
      <c r="U100" s="670"/>
      <c r="V100" s="670"/>
      <c r="W100" s="670"/>
      <c r="X100" s="670"/>
      <c r="Y100" s="670"/>
      <c r="Z100" s="670"/>
      <c r="AA100" s="670"/>
      <c r="AB100" s="670"/>
      <c r="AC100" s="670"/>
      <c r="AD100" s="670"/>
      <c r="AE100" s="670"/>
      <c r="AF100" s="670"/>
      <c r="AG100" s="670"/>
    </row>
    <row r="101" spans="1:33" x14ac:dyDescent="0.25">
      <c r="A101" s="635" t="s">
        <v>2332</v>
      </c>
      <c r="B101" s="1676" t="s">
        <v>3020</v>
      </c>
      <c r="C101" s="497"/>
      <c r="D101" s="497">
        <f t="shared" ref="D101:AC101" si="163">D93/D89</f>
        <v>3.9714938075140101E-2</v>
      </c>
      <c r="E101" s="497">
        <f t="shared" si="163"/>
        <v>3.7184774525049015E-2</v>
      </c>
      <c r="F101" s="497">
        <f t="shared" si="163"/>
        <v>1.6959542296689823E-2</v>
      </c>
      <c r="G101" s="497">
        <f t="shared" si="163"/>
        <v>3.0923239789759114E-2</v>
      </c>
      <c r="H101" s="497">
        <f t="shared" si="163"/>
        <v>1.9465620605432613E-2</v>
      </c>
      <c r="I101" s="497">
        <f t="shared" si="163"/>
        <v>1.946892884088107E-2</v>
      </c>
      <c r="J101" s="497">
        <f t="shared" si="163"/>
        <v>1.8751610172610504E-2</v>
      </c>
      <c r="K101" s="497">
        <f t="shared" si="163"/>
        <v>1.8549188473004307E-2</v>
      </c>
      <c r="L101" s="497">
        <f t="shared" si="163"/>
        <v>1.8471641352997285E-2</v>
      </c>
      <c r="M101" s="497">
        <f t="shared" si="163"/>
        <v>0</v>
      </c>
      <c r="N101" s="497">
        <f t="shared" si="163"/>
        <v>0</v>
      </c>
      <c r="O101" s="497">
        <f t="shared" si="163"/>
        <v>0</v>
      </c>
      <c r="P101" s="497">
        <f t="shared" si="163"/>
        <v>0</v>
      </c>
      <c r="Q101" s="497">
        <f t="shared" si="163"/>
        <v>0</v>
      </c>
      <c r="R101" s="497">
        <f t="shared" si="163"/>
        <v>0</v>
      </c>
      <c r="S101" s="497">
        <f t="shared" si="163"/>
        <v>0</v>
      </c>
      <c r="T101" s="497">
        <f t="shared" ref="T101" si="164">T93/T89</f>
        <v>0</v>
      </c>
      <c r="U101" s="497">
        <f t="shared" si="163"/>
        <v>0</v>
      </c>
      <c r="V101" s="497">
        <f t="shared" ref="V101" si="165">V93/V89</f>
        <v>0</v>
      </c>
      <c r="W101" s="497">
        <f t="shared" ref="W101" si="166">W93/W89</f>
        <v>0</v>
      </c>
      <c r="X101" s="497">
        <f t="shared" si="163"/>
        <v>0</v>
      </c>
      <c r="Y101" s="497">
        <f t="shared" si="163"/>
        <v>0</v>
      </c>
      <c r="Z101" s="497">
        <f t="shared" si="163"/>
        <v>0</v>
      </c>
      <c r="AA101" s="497">
        <f t="shared" si="163"/>
        <v>0</v>
      </c>
      <c r="AB101" s="497">
        <f t="shared" si="163"/>
        <v>0</v>
      </c>
      <c r="AC101" s="497">
        <f t="shared" si="163"/>
        <v>0</v>
      </c>
      <c r="AD101" s="497">
        <f t="shared" ref="AD101:AF101" si="167">AD93/AD89</f>
        <v>0</v>
      </c>
      <c r="AE101" s="497">
        <f t="shared" si="167"/>
        <v>0</v>
      </c>
      <c r="AF101" s="497">
        <f t="shared" si="167"/>
        <v>0</v>
      </c>
      <c r="AG101" s="497">
        <f t="shared" ref="AG101" si="168">AG93/AG89</f>
        <v>0</v>
      </c>
    </row>
    <row r="102" spans="1:33" s="625" customFormat="1" ht="12" x14ac:dyDescent="0.35">
      <c r="A102" s="674"/>
      <c r="B102" s="1643"/>
      <c r="L102" s="636"/>
      <c r="M102" s="636"/>
      <c r="N102" s="636"/>
      <c r="O102" s="636"/>
      <c r="P102" s="636"/>
      <c r="Q102" s="636"/>
      <c r="R102" s="636"/>
      <c r="S102" s="636"/>
      <c r="T102" s="636"/>
      <c r="U102" s="636"/>
      <c r="V102" s="636"/>
      <c r="W102" s="636"/>
      <c r="X102" s="636"/>
      <c r="Y102" s="636"/>
      <c r="Z102" s="636"/>
      <c r="AA102" s="636"/>
      <c r="AB102" s="636"/>
      <c r="AC102" s="636"/>
      <c r="AD102" s="636"/>
      <c r="AE102" s="636"/>
      <c r="AF102" s="636"/>
      <c r="AG102" s="636"/>
    </row>
    <row r="103" spans="1:33" ht="12" x14ac:dyDescent="0.35">
      <c r="A103" s="620" t="s">
        <v>2325</v>
      </c>
      <c r="B103" s="1669" t="s">
        <v>3147</v>
      </c>
      <c r="C103" s="665"/>
      <c r="D103" s="665"/>
      <c r="E103" s="665" t="s">
        <v>2335</v>
      </c>
      <c r="F103" s="665" t="s">
        <v>2336</v>
      </c>
      <c r="G103" s="665"/>
      <c r="H103" s="665"/>
      <c r="I103" s="665"/>
      <c r="J103" s="665"/>
      <c r="K103" s="665"/>
      <c r="L103" s="665"/>
      <c r="M103" s="665"/>
      <c r="N103" s="665"/>
      <c r="O103" s="665"/>
      <c r="P103" s="665"/>
      <c r="Q103" s="665"/>
      <c r="R103" s="665"/>
      <c r="S103" s="665"/>
      <c r="T103" s="665"/>
      <c r="U103" s="665"/>
      <c r="V103" s="665"/>
      <c r="W103" s="665"/>
      <c r="X103" s="665"/>
      <c r="Y103" s="665"/>
      <c r="Z103" s="665"/>
      <c r="AA103" s="665"/>
      <c r="AB103" s="665"/>
      <c r="AC103" s="665"/>
      <c r="AD103" s="665"/>
      <c r="AE103" s="665"/>
      <c r="AF103" s="665"/>
      <c r="AG103" s="665"/>
    </row>
    <row r="104" spans="1:33" x14ac:dyDescent="0.25">
      <c r="A104" s="334" t="s">
        <v>2328</v>
      </c>
      <c r="B104" s="1643" t="s">
        <v>3021</v>
      </c>
      <c r="C104" s="624"/>
      <c r="D104" s="624"/>
      <c r="E104" s="624" t="s">
        <v>2337</v>
      </c>
      <c r="F104" s="624" t="s">
        <v>2338</v>
      </c>
      <c r="G104" s="624"/>
      <c r="H104" s="624"/>
      <c r="I104" s="624">
        <f t="shared" ref="I104:T104" si="169">I105*2/(I107+I110)</f>
        <v>1.9915633188485878E-2</v>
      </c>
      <c r="J104" s="624">
        <f t="shared" si="169"/>
        <v>2.5809010273267385E-2</v>
      </c>
      <c r="K104" s="624">
        <f t="shared" si="169"/>
        <v>2.253465546655245E-2</v>
      </c>
      <c r="L104" s="624">
        <f t="shared" si="169"/>
        <v>2.0634385100922924E-2</v>
      </c>
      <c r="M104" s="624">
        <f t="shared" si="169"/>
        <v>2.6278471625504132E-2</v>
      </c>
      <c r="N104" s="624">
        <f t="shared" si="169"/>
        <v>3.2416777954651747E-2</v>
      </c>
      <c r="O104" s="624">
        <f t="shared" si="169"/>
        <v>3.1743100395525241E-2</v>
      </c>
      <c r="P104" s="624">
        <f t="shared" si="169"/>
        <v>3.2087362603371403E-2</v>
      </c>
      <c r="Q104" s="624">
        <f t="shared" si="169"/>
        <v>4.2089669940558738E-2</v>
      </c>
      <c r="R104" s="624">
        <f t="shared" si="169"/>
        <v>3.0860971804062262E-2</v>
      </c>
      <c r="S104" s="624">
        <f t="shared" si="169"/>
        <v>2.5895737778572965E-2</v>
      </c>
      <c r="T104" s="624">
        <f t="shared" si="169"/>
        <v>2.543254153710724E-2</v>
      </c>
      <c r="U104" s="624">
        <f>U105*2/(U107+U110)</f>
        <v>2.5804070915627621E-2</v>
      </c>
      <c r="V104" s="624">
        <f>V105*2/(V107+V110)</f>
        <v>2.5915125192428789E-2</v>
      </c>
      <c r="W104" s="624">
        <f>W105*2/(W107+W110)</f>
        <v>2.7472751391640422E-2</v>
      </c>
      <c r="X104" s="656">
        <f t="shared" ref="X104:AC104" si="170">AVERAGE(V104:W104)</f>
        <v>2.6693938292034605E-2</v>
      </c>
      <c r="Y104" s="656">
        <f t="shared" si="170"/>
        <v>2.7083344841837512E-2</v>
      </c>
      <c r="Z104" s="656">
        <f t="shared" si="170"/>
        <v>2.6888641566936058E-2</v>
      </c>
      <c r="AA104" s="656">
        <f t="shared" si="170"/>
        <v>2.6985993204386785E-2</v>
      </c>
      <c r="AB104" s="656">
        <f t="shared" si="170"/>
        <v>2.6937317385661422E-2</v>
      </c>
      <c r="AC104" s="656">
        <f t="shared" si="170"/>
        <v>2.6961655295024103E-2</v>
      </c>
      <c r="AD104" s="656">
        <f t="shared" ref="AD104" si="171">AVERAGE(AB104:AC104)</f>
        <v>2.6949486340342763E-2</v>
      </c>
      <c r="AE104" s="656">
        <f t="shared" ref="AE104" si="172">AVERAGE(AC104:AD104)</f>
        <v>2.6955570817683433E-2</v>
      </c>
      <c r="AF104" s="656">
        <f t="shared" ref="AF104:AG104" si="173">AVERAGE(AD104:AE104)</f>
        <v>2.6952528579013098E-2</v>
      </c>
      <c r="AG104" s="656">
        <f t="shared" si="173"/>
        <v>2.6954049698348265E-2</v>
      </c>
    </row>
    <row r="105" spans="1:33" x14ac:dyDescent="0.25">
      <c r="A105" s="567" t="s">
        <v>2339</v>
      </c>
      <c r="B105" s="1645" t="s">
        <v>3022</v>
      </c>
      <c r="C105" s="657"/>
      <c r="D105" s="657"/>
      <c r="E105" s="657"/>
      <c r="F105" s="657"/>
      <c r="G105" s="657"/>
      <c r="H105" s="657"/>
      <c r="I105" s="657">
        <f t="shared" ref="I105:AC105" si="174">I114</f>
        <v>90.266999999999996</v>
      </c>
      <c r="J105" s="657">
        <f t="shared" si="174"/>
        <v>138.744</v>
      </c>
      <c r="K105" s="657">
        <f t="shared" si="174"/>
        <v>140.47800000000001</v>
      </c>
      <c r="L105" s="657">
        <f t="shared" si="174"/>
        <v>142.25700000000001</v>
      </c>
      <c r="M105" s="657">
        <f t="shared" si="174"/>
        <v>180.863</v>
      </c>
      <c r="N105" s="657">
        <f t="shared" si="174"/>
        <v>210.625</v>
      </c>
      <c r="O105" s="657">
        <f t="shared" si="174"/>
        <v>206.95099999999999</v>
      </c>
      <c r="P105" s="657">
        <f t="shared" si="174"/>
        <v>211.87899999999999</v>
      </c>
      <c r="Q105" s="657">
        <f t="shared" si="174"/>
        <v>270.065</v>
      </c>
      <c r="R105" s="657">
        <f t="shared" si="174"/>
        <v>201.02799999999999</v>
      </c>
      <c r="S105" s="657">
        <f t="shared" si="174"/>
        <v>174.98400000000001</v>
      </c>
      <c r="T105" s="657">
        <f t="shared" si="174"/>
        <v>168.262</v>
      </c>
      <c r="U105" s="657">
        <f t="shared" si="174"/>
        <v>161.67400000000001</v>
      </c>
      <c r="V105" s="657">
        <f t="shared" ref="V105" si="175">V114</f>
        <v>157.964</v>
      </c>
      <c r="W105" s="657">
        <f>W114</f>
        <v>163.47499999999999</v>
      </c>
      <c r="X105" s="657">
        <f t="shared" si="174"/>
        <v>154.97023062870832</v>
      </c>
      <c r="Y105" s="657">
        <f t="shared" si="174"/>
        <v>153.30395993499647</v>
      </c>
      <c r="Z105" s="657">
        <f t="shared" si="174"/>
        <v>148.30313290652774</v>
      </c>
      <c r="AA105" s="657">
        <f t="shared" si="174"/>
        <v>144.92723754342094</v>
      </c>
      <c r="AB105" s="657">
        <f t="shared" si="174"/>
        <v>140.76004959864139</v>
      </c>
      <c r="AC105" s="657">
        <f t="shared" si="174"/>
        <v>136.97792131919414</v>
      </c>
      <c r="AD105" s="657">
        <f t="shared" ref="AD105:AF105" si="176">AD114</f>
        <v>133.00855651983278</v>
      </c>
      <c r="AE105" s="657">
        <f t="shared" si="176"/>
        <v>129.13016332405246</v>
      </c>
      <c r="AF105" s="657">
        <f t="shared" si="176"/>
        <v>125.2076076546696</v>
      </c>
      <c r="AG105" s="657">
        <f t="shared" ref="AG105" si="177">AG114</f>
        <v>121.30647155799403</v>
      </c>
    </row>
    <row r="106" spans="1:33" x14ac:dyDescent="0.25">
      <c r="A106" s="593" t="s">
        <v>2330</v>
      </c>
      <c r="B106" s="1650" t="s">
        <v>3023</v>
      </c>
      <c r="C106" s="666"/>
      <c r="D106" s="666"/>
      <c r="E106" s="667"/>
      <c r="F106" s="667"/>
      <c r="G106" s="667"/>
      <c r="H106" s="667"/>
      <c r="I106" s="667"/>
      <c r="J106" s="667"/>
      <c r="K106" s="667"/>
      <c r="L106" s="667"/>
      <c r="M106" s="667"/>
      <c r="N106" s="667"/>
      <c r="O106" s="667"/>
      <c r="P106" s="667"/>
      <c r="Q106" s="667"/>
      <c r="R106" s="667"/>
      <c r="S106" s="667"/>
      <c r="T106" s="667"/>
      <c r="U106" s="667"/>
      <c r="V106" s="667"/>
      <c r="W106" s="667"/>
      <c r="X106" s="667"/>
      <c r="Y106" s="667"/>
      <c r="Z106" s="667"/>
      <c r="AA106" s="667"/>
      <c r="AB106" s="667"/>
      <c r="AC106" s="667"/>
      <c r="AD106" s="667"/>
      <c r="AE106" s="667"/>
      <c r="AF106" s="667"/>
      <c r="AG106" s="667"/>
    </row>
    <row r="107" spans="1:33" x14ac:dyDescent="0.25">
      <c r="A107" s="601" t="s">
        <v>1841</v>
      </c>
      <c r="B107" s="1659" t="s">
        <v>3004</v>
      </c>
      <c r="C107" s="668"/>
      <c r="D107" s="668"/>
      <c r="E107" s="668"/>
      <c r="F107" s="668"/>
      <c r="G107" s="661">
        <v>32.698</v>
      </c>
      <c r="H107" s="661">
        <f t="shared" ref="H107:AC107" si="178">G110</f>
        <v>1058.73</v>
      </c>
      <c r="I107" s="661">
        <f t="shared" si="178"/>
        <v>4046.058</v>
      </c>
      <c r="J107" s="661">
        <f t="shared" si="178"/>
        <v>5018.8810000000003</v>
      </c>
      <c r="K107" s="661">
        <f t="shared" si="178"/>
        <v>5732.7130000000006</v>
      </c>
      <c r="L107" s="661">
        <f t="shared" si="178"/>
        <v>6735.0170000000007</v>
      </c>
      <c r="M107" s="661">
        <f t="shared" si="178"/>
        <v>7053.3270000000011</v>
      </c>
      <c r="N107" s="661">
        <f t="shared" si="178"/>
        <v>6711.7810000000009</v>
      </c>
      <c r="O107" s="661">
        <f t="shared" si="178"/>
        <v>6283.0330000000013</v>
      </c>
      <c r="P107" s="661">
        <f t="shared" si="178"/>
        <v>6756.0840000000017</v>
      </c>
      <c r="Q107" s="661">
        <f t="shared" si="178"/>
        <v>6450.2990000000018</v>
      </c>
      <c r="R107" s="661">
        <f t="shared" si="178"/>
        <v>6382.541000000002</v>
      </c>
      <c r="S107" s="661">
        <f t="shared" si="178"/>
        <v>6645.4350000000022</v>
      </c>
      <c r="T107" s="661">
        <f t="shared" si="178"/>
        <v>6869.0670000000018</v>
      </c>
      <c r="U107" s="661">
        <f t="shared" si="178"/>
        <v>6362.9570000000022</v>
      </c>
      <c r="V107" s="661">
        <f t="shared" si="178"/>
        <v>6167.934000000002</v>
      </c>
      <c r="W107" s="661">
        <f t="shared" si="178"/>
        <v>6022.9390000000021</v>
      </c>
      <c r="X107" s="661">
        <f t="shared" si="178"/>
        <v>5877.9440000000022</v>
      </c>
      <c r="Y107" s="661">
        <f t="shared" si="178"/>
        <v>5732.9490000000023</v>
      </c>
      <c r="Z107" s="661">
        <f t="shared" si="178"/>
        <v>5587.9540000000025</v>
      </c>
      <c r="AA107" s="661">
        <f t="shared" si="178"/>
        <v>5442.9590000000026</v>
      </c>
      <c r="AB107" s="661">
        <f t="shared" si="178"/>
        <v>5297.9640000000027</v>
      </c>
      <c r="AC107" s="661">
        <f t="shared" si="178"/>
        <v>5152.9690000000028</v>
      </c>
      <c r="AD107" s="661">
        <f t="shared" ref="AD107" si="179">AC110</f>
        <v>5007.9740000000029</v>
      </c>
      <c r="AE107" s="661">
        <f t="shared" ref="AE107" si="180">AD110</f>
        <v>4862.979000000003</v>
      </c>
      <c r="AF107" s="661">
        <f t="shared" ref="AF107:AG107" si="181">AE110</f>
        <v>4717.9840000000031</v>
      </c>
      <c r="AG107" s="661">
        <f t="shared" si="181"/>
        <v>4572.9890000000032</v>
      </c>
    </row>
    <row r="108" spans="1:33" x14ac:dyDescent="0.25">
      <c r="A108" s="601" t="s">
        <v>1637</v>
      </c>
      <c r="B108" s="1659" t="s">
        <v>3005</v>
      </c>
      <c r="C108" s="668"/>
      <c r="D108" s="668"/>
      <c r="E108" s="668"/>
      <c r="F108" s="668"/>
      <c r="G108" s="675">
        <v>1025.98</v>
      </c>
      <c r="H108" s="675">
        <v>2950.498</v>
      </c>
      <c r="I108" s="675">
        <v>754.23699999999997</v>
      </c>
      <c r="J108" s="675">
        <v>715.13099999999997</v>
      </c>
      <c r="K108" s="675">
        <f>809993/1000</f>
        <v>809.99300000000005</v>
      </c>
      <c r="L108" s="675">
        <f>340733/1000</f>
        <v>340.733</v>
      </c>
      <c r="M108" s="675">
        <f>38263/1000</f>
        <v>38.262999999999998</v>
      </c>
      <c r="N108" s="675">
        <v>0</v>
      </c>
      <c r="O108" s="675">
        <v>0</v>
      </c>
      <c r="P108" s="675">
        <v>0</v>
      </c>
      <c r="Q108" s="675">
        <v>0</v>
      </c>
      <c r="R108" s="675">
        <v>0</v>
      </c>
      <c r="S108" s="675">
        <v>0</v>
      </c>
      <c r="T108" s="675">
        <v>0</v>
      </c>
      <c r="U108" s="675">
        <v>0</v>
      </c>
      <c r="V108" s="675">
        <v>0</v>
      </c>
      <c r="W108" s="675">
        <v>0</v>
      </c>
      <c r="X108" s="669">
        <f t="shared" ref="X108:AC108" si="182">W108*1.1</f>
        <v>0</v>
      </c>
      <c r="Y108" s="669">
        <f t="shared" si="182"/>
        <v>0</v>
      </c>
      <c r="Z108" s="669">
        <f t="shared" si="182"/>
        <v>0</v>
      </c>
      <c r="AA108" s="669">
        <f t="shared" si="182"/>
        <v>0</v>
      </c>
      <c r="AB108" s="669">
        <f t="shared" si="182"/>
        <v>0</v>
      </c>
      <c r="AC108" s="669">
        <f t="shared" si="182"/>
        <v>0</v>
      </c>
      <c r="AD108" s="669">
        <f t="shared" ref="AD108" si="183">AC108*1.1</f>
        <v>0</v>
      </c>
      <c r="AE108" s="669">
        <f t="shared" ref="AE108" si="184">AD108*1.1</f>
        <v>0</v>
      </c>
      <c r="AF108" s="669">
        <f t="shared" ref="AF108:AG108" si="185">AE108*1.1</f>
        <v>0</v>
      </c>
      <c r="AG108" s="669">
        <f t="shared" si="185"/>
        <v>0</v>
      </c>
    </row>
    <row r="109" spans="1:33" x14ac:dyDescent="0.25">
      <c r="A109" s="601" t="s">
        <v>2045</v>
      </c>
      <c r="B109" s="1659" t="s">
        <v>3016</v>
      </c>
      <c r="C109" s="660"/>
      <c r="D109" s="660"/>
      <c r="E109" s="660"/>
      <c r="F109" s="660"/>
      <c r="G109" s="489">
        <v>5.1999999999999998E-2</v>
      </c>
      <c r="H109" s="489">
        <v>36.83</v>
      </c>
      <c r="I109" s="489">
        <v>218.58600000000001</v>
      </c>
      <c r="J109" s="489">
        <v>-1.2989999999999999</v>
      </c>
      <c r="K109" s="489">
        <f>192311/1000</f>
        <v>192.31100000000001</v>
      </c>
      <c r="L109" s="675">
        <f>-22423/1000</f>
        <v>-22.422999999999998</v>
      </c>
      <c r="M109" s="675">
        <f>-379809/1000</f>
        <v>-379.80900000000003</v>
      </c>
      <c r="N109" s="675">
        <f>-428748/1000</f>
        <v>-428.74799999999999</v>
      </c>
      <c r="O109" s="675">
        <v>473.05099999999999</v>
      </c>
      <c r="P109" s="675">
        <f>-(305785)/1000</f>
        <v>-305.78500000000003</v>
      </c>
      <c r="Q109" s="675">
        <v>-67.757999999999996</v>
      </c>
      <c r="R109" s="675">
        <v>262.89400000000001</v>
      </c>
      <c r="S109" s="675">
        <v>223.63200000000001</v>
      </c>
      <c r="T109" s="675">
        <v>-506.11</v>
      </c>
      <c r="U109" s="675">
        <v>-195.023</v>
      </c>
      <c r="V109" s="675">
        <v>-144.995</v>
      </c>
      <c r="W109" s="675">
        <v>-144.995</v>
      </c>
      <c r="X109" s="671">
        <f t="shared" ref="X109:AC109" si="186">W109</f>
        <v>-144.995</v>
      </c>
      <c r="Y109" s="671">
        <f t="shared" si="186"/>
        <v>-144.995</v>
      </c>
      <c r="Z109" s="671">
        <f t="shared" si="186"/>
        <v>-144.995</v>
      </c>
      <c r="AA109" s="671">
        <f t="shared" si="186"/>
        <v>-144.995</v>
      </c>
      <c r="AB109" s="671">
        <f t="shared" si="186"/>
        <v>-144.995</v>
      </c>
      <c r="AC109" s="671">
        <f t="shared" si="186"/>
        <v>-144.995</v>
      </c>
      <c r="AD109" s="671">
        <f t="shared" ref="AD109" si="187">AC109</f>
        <v>-144.995</v>
      </c>
      <c r="AE109" s="671">
        <f t="shared" ref="AE109" si="188">AD109</f>
        <v>-144.995</v>
      </c>
      <c r="AF109" s="671">
        <f t="shared" ref="AF109:AG109" si="189">AE109</f>
        <v>-144.995</v>
      </c>
      <c r="AG109" s="671">
        <f t="shared" si="189"/>
        <v>-144.995</v>
      </c>
    </row>
    <row r="110" spans="1:33" x14ac:dyDescent="0.25">
      <c r="A110" s="601" t="s">
        <v>2046</v>
      </c>
      <c r="B110" s="1659" t="s">
        <v>3007</v>
      </c>
      <c r="C110" s="668"/>
      <c r="D110" s="668"/>
      <c r="E110" s="668"/>
      <c r="F110" s="668"/>
      <c r="G110" s="661">
        <f t="shared" ref="G110:AC110" si="190">SUM(G107:G109)</f>
        <v>1058.73</v>
      </c>
      <c r="H110" s="661">
        <f t="shared" si="190"/>
        <v>4046.058</v>
      </c>
      <c r="I110" s="661">
        <f t="shared" si="190"/>
        <v>5018.8810000000003</v>
      </c>
      <c r="J110" s="661">
        <f t="shared" si="190"/>
        <v>5732.7130000000006</v>
      </c>
      <c r="K110" s="661">
        <f t="shared" si="190"/>
        <v>6735.0170000000007</v>
      </c>
      <c r="L110" s="661">
        <f t="shared" si="190"/>
        <v>7053.3270000000011</v>
      </c>
      <c r="M110" s="661">
        <f t="shared" si="190"/>
        <v>6711.7810000000009</v>
      </c>
      <c r="N110" s="661">
        <f t="shared" si="190"/>
        <v>6283.0330000000013</v>
      </c>
      <c r="O110" s="661">
        <f t="shared" si="190"/>
        <v>6756.0840000000017</v>
      </c>
      <c r="P110" s="661">
        <f t="shared" si="190"/>
        <v>6450.2990000000018</v>
      </c>
      <c r="Q110" s="661">
        <f t="shared" si="190"/>
        <v>6382.541000000002</v>
      </c>
      <c r="R110" s="661">
        <f t="shared" si="190"/>
        <v>6645.4350000000022</v>
      </c>
      <c r="S110" s="661">
        <f t="shared" si="190"/>
        <v>6869.0670000000018</v>
      </c>
      <c r="T110" s="661">
        <f t="shared" si="190"/>
        <v>6362.9570000000022</v>
      </c>
      <c r="U110" s="661">
        <f t="shared" si="190"/>
        <v>6167.934000000002</v>
      </c>
      <c r="V110" s="661">
        <f>SUM(V107:V109)</f>
        <v>6022.9390000000021</v>
      </c>
      <c r="W110" s="661">
        <f>SUM(W107:W109)</f>
        <v>5877.9440000000022</v>
      </c>
      <c r="X110" s="661">
        <f t="shared" si="190"/>
        <v>5732.9490000000023</v>
      </c>
      <c r="Y110" s="661">
        <f t="shared" si="190"/>
        <v>5587.9540000000025</v>
      </c>
      <c r="Z110" s="661">
        <f t="shared" si="190"/>
        <v>5442.9590000000026</v>
      </c>
      <c r="AA110" s="661">
        <f t="shared" si="190"/>
        <v>5297.9640000000027</v>
      </c>
      <c r="AB110" s="661">
        <f t="shared" si="190"/>
        <v>5152.9690000000028</v>
      </c>
      <c r="AC110" s="661">
        <f t="shared" si="190"/>
        <v>5007.9740000000029</v>
      </c>
      <c r="AD110" s="661">
        <f t="shared" ref="AD110:AF110" si="191">SUM(AD107:AD109)</f>
        <v>4862.979000000003</v>
      </c>
      <c r="AE110" s="661">
        <f t="shared" si="191"/>
        <v>4717.9840000000031</v>
      </c>
      <c r="AF110" s="661">
        <f t="shared" si="191"/>
        <v>4572.9890000000032</v>
      </c>
      <c r="AG110" s="661">
        <f t="shared" ref="AG110" si="192">SUM(AG107:AG109)</f>
        <v>4427.9940000000033</v>
      </c>
    </row>
    <row r="111" spans="1:33" x14ac:dyDescent="0.25">
      <c r="A111" s="601"/>
      <c r="B111" s="1670"/>
      <c r="C111" s="668"/>
      <c r="D111" s="668"/>
      <c r="E111" s="668"/>
      <c r="F111" s="668"/>
      <c r="G111" s="668"/>
      <c r="H111" s="668"/>
      <c r="I111" s="668"/>
      <c r="J111" s="668"/>
      <c r="K111" s="668"/>
      <c r="L111" s="670"/>
      <c r="M111" s="670"/>
      <c r="N111" s="670"/>
      <c r="O111" s="670"/>
      <c r="P111" s="670"/>
      <c r="Q111" s="670"/>
      <c r="R111" s="670"/>
      <c r="S111" s="670"/>
      <c r="T111" s="670"/>
      <c r="U111" s="670"/>
      <c r="V111" s="670"/>
      <c r="W111" s="670"/>
      <c r="X111" s="670"/>
      <c r="Y111" s="670"/>
      <c r="Z111" s="670"/>
      <c r="AA111" s="670"/>
      <c r="AB111" s="670"/>
      <c r="AC111" s="670"/>
      <c r="AD111" s="670"/>
      <c r="AE111" s="670"/>
      <c r="AF111" s="670"/>
      <c r="AG111" s="670"/>
    </row>
    <row r="112" spans="1:33" x14ac:dyDescent="0.25">
      <c r="A112" s="569" t="s">
        <v>1842</v>
      </c>
      <c r="B112" s="1670" t="s">
        <v>3024</v>
      </c>
      <c r="C112" s="668"/>
      <c r="D112" s="668"/>
      <c r="E112" s="668"/>
      <c r="F112" s="668"/>
      <c r="G112" s="668"/>
      <c r="H112" s="668"/>
      <c r="I112" s="668"/>
      <c r="J112" s="668"/>
      <c r="K112" s="668"/>
      <c r="L112" s="670"/>
      <c r="M112" s="670"/>
      <c r="N112" s="670"/>
      <c r="O112" s="670"/>
      <c r="P112" s="670"/>
      <c r="Q112" s="670"/>
      <c r="R112" s="670"/>
      <c r="S112" s="670"/>
      <c r="T112" s="670"/>
      <c r="U112" s="670"/>
      <c r="V112" s="670"/>
      <c r="W112" s="670"/>
      <c r="X112" s="670"/>
      <c r="Y112" s="670"/>
      <c r="Z112" s="670"/>
      <c r="AA112" s="670"/>
      <c r="AB112" s="670"/>
      <c r="AC112" s="670"/>
      <c r="AD112" s="670"/>
      <c r="AE112" s="670"/>
      <c r="AF112" s="670"/>
      <c r="AG112" s="670"/>
    </row>
    <row r="113" spans="1:33" x14ac:dyDescent="0.25">
      <c r="A113" s="601" t="s">
        <v>1841</v>
      </c>
      <c r="B113" s="1659" t="s">
        <v>3004</v>
      </c>
      <c r="C113" s="668"/>
      <c r="D113" s="668"/>
      <c r="E113" s="668"/>
      <c r="F113" s="668"/>
      <c r="G113" s="668"/>
      <c r="H113" s="668"/>
      <c r="I113" s="661">
        <v>0</v>
      </c>
      <c r="J113" s="661">
        <f t="shared" ref="J113:AC113" si="193">I116</f>
        <v>92.415999999999997</v>
      </c>
      <c r="K113" s="661">
        <f t="shared" si="193"/>
        <v>231.012</v>
      </c>
      <c r="L113" s="661">
        <f t="shared" si="193"/>
        <v>381.18400000000003</v>
      </c>
      <c r="M113" s="661">
        <f t="shared" si="193"/>
        <v>522.33500000000004</v>
      </c>
      <c r="N113" s="661">
        <f t="shared" si="193"/>
        <v>667.57900000000006</v>
      </c>
      <c r="O113" s="661">
        <f t="shared" si="193"/>
        <v>1048.693</v>
      </c>
      <c r="P113" s="661">
        <f t="shared" si="193"/>
        <v>1341.8019999999999</v>
      </c>
      <c r="Q113" s="661">
        <f t="shared" si="193"/>
        <v>2295.4989999999998</v>
      </c>
      <c r="R113" s="661">
        <f t="shared" si="193"/>
        <v>2544.6949999999997</v>
      </c>
      <c r="S113" s="661">
        <f>R116</f>
        <v>2832.9089999999997</v>
      </c>
      <c r="T113" s="661">
        <f t="shared" ref="T113:W113" si="194">S116</f>
        <v>3083.8929999999996</v>
      </c>
      <c r="U113" s="661">
        <f t="shared" si="194"/>
        <v>3034.4889999999996</v>
      </c>
      <c r="V113" s="661">
        <f t="shared" si="194"/>
        <v>3101.2749999999996</v>
      </c>
      <c r="W113" s="661">
        <f t="shared" si="194"/>
        <v>3184.2319999999995</v>
      </c>
      <c r="X113" s="661">
        <f t="shared" si="193"/>
        <v>3273.6999999999994</v>
      </c>
      <c r="Y113" s="661">
        <f t="shared" si="193"/>
        <v>3354.6632306287074</v>
      </c>
      <c r="Z113" s="661">
        <f t="shared" si="193"/>
        <v>3433.9601905637037</v>
      </c>
      <c r="AA113" s="661">
        <f t="shared" si="193"/>
        <v>3508.2563234702316</v>
      </c>
      <c r="AB113" s="661">
        <f t="shared" si="193"/>
        <v>3579.1765610136526</v>
      </c>
      <c r="AC113" s="661">
        <f t="shared" si="193"/>
        <v>3645.9296106122938</v>
      </c>
      <c r="AD113" s="661">
        <f t="shared" ref="AD113" si="195">AC116</f>
        <v>3708.9005319314879</v>
      </c>
      <c r="AE113" s="661">
        <f t="shared" ref="AE113" si="196">AD116</f>
        <v>3767.9020884513207</v>
      </c>
      <c r="AF113" s="661">
        <f t="shared" ref="AF113:AG113" si="197">AE116</f>
        <v>3823.0252517753729</v>
      </c>
      <c r="AG113" s="661">
        <f t="shared" si="197"/>
        <v>3874.2258594300424</v>
      </c>
    </row>
    <row r="114" spans="1:33" x14ac:dyDescent="0.25">
      <c r="A114" s="601" t="s">
        <v>1637</v>
      </c>
      <c r="B114" s="1659" t="s">
        <v>3009</v>
      </c>
      <c r="C114" s="668"/>
      <c r="D114" s="668"/>
      <c r="E114" s="668"/>
      <c r="F114" s="668"/>
      <c r="G114" s="668"/>
      <c r="H114" s="668"/>
      <c r="I114" s="661">
        <f>'CF（org）'!H114</f>
        <v>90.266999999999996</v>
      </c>
      <c r="J114" s="661">
        <f>'CF（org）'!I114</f>
        <v>138.744</v>
      </c>
      <c r="K114" s="661">
        <f>'CF（org）'!J114</f>
        <v>140.47800000000001</v>
      </c>
      <c r="L114" s="661">
        <f>'CF（org）'!K114</f>
        <v>142.25700000000001</v>
      </c>
      <c r="M114" s="661">
        <f>'CF（org）'!L114</f>
        <v>180.863</v>
      </c>
      <c r="N114" s="661">
        <f>'CF（org）'!M114</f>
        <v>210.625</v>
      </c>
      <c r="O114" s="661">
        <f>'CF（org）'!N114</f>
        <v>206.95099999999999</v>
      </c>
      <c r="P114" s="661">
        <f>'CF（org）'!O114</f>
        <v>211.87899999999999</v>
      </c>
      <c r="Q114" s="661">
        <f>'CF（org）'!P114</f>
        <v>270.065</v>
      </c>
      <c r="R114" s="661">
        <f>'CF（org）'!Q114</f>
        <v>201.02799999999999</v>
      </c>
      <c r="S114" s="661">
        <f>'CF（org）'!R114</f>
        <v>174.98400000000001</v>
      </c>
      <c r="T114" s="661">
        <f>'CF（org）'!S114</f>
        <v>168.262</v>
      </c>
      <c r="U114" s="661">
        <f>'CF（org）'!T114</f>
        <v>161.67400000000001</v>
      </c>
      <c r="V114" s="661">
        <f>'CF（org）'!U114</f>
        <v>157.964</v>
      </c>
      <c r="W114" s="661">
        <f>'CF（org）'!V114</f>
        <v>163.47499999999999</v>
      </c>
      <c r="X114" s="661">
        <f t="shared" ref="X114:AC114" si="198">(X107+X110)/2*X104</f>
        <v>154.97023062870832</v>
      </c>
      <c r="Y114" s="661">
        <f t="shared" si="198"/>
        <v>153.30395993499647</v>
      </c>
      <c r="Z114" s="661">
        <f t="shared" si="198"/>
        <v>148.30313290652774</v>
      </c>
      <c r="AA114" s="661">
        <f t="shared" si="198"/>
        <v>144.92723754342094</v>
      </c>
      <c r="AB114" s="661">
        <f t="shared" si="198"/>
        <v>140.76004959864139</v>
      </c>
      <c r="AC114" s="661">
        <f t="shared" si="198"/>
        <v>136.97792131919414</v>
      </c>
      <c r="AD114" s="661">
        <f t="shared" ref="AD114:AF114" si="199">(AD107+AD110)/2*AD104</f>
        <v>133.00855651983278</v>
      </c>
      <c r="AE114" s="661">
        <f t="shared" si="199"/>
        <v>129.13016332405246</v>
      </c>
      <c r="AF114" s="661">
        <f t="shared" si="199"/>
        <v>125.2076076546696</v>
      </c>
      <c r="AG114" s="661">
        <f t="shared" ref="AG114" si="200">(AG107+AG110)/2*AG104</f>
        <v>121.30647155799403</v>
      </c>
    </row>
    <row r="115" spans="1:33" x14ac:dyDescent="0.25">
      <c r="A115" s="601" t="s">
        <v>2045</v>
      </c>
      <c r="B115" s="1659" t="s">
        <v>3018</v>
      </c>
      <c r="C115" s="660"/>
      <c r="D115" s="660"/>
      <c r="E115" s="660"/>
      <c r="F115" s="660"/>
      <c r="G115" s="660"/>
      <c r="H115" s="660"/>
      <c r="I115" s="489">
        <v>2.149</v>
      </c>
      <c r="J115" s="489">
        <v>-0.14799999999999999</v>
      </c>
      <c r="K115" s="489">
        <f>9694/1000</f>
        <v>9.6940000000000008</v>
      </c>
      <c r="L115" s="489">
        <f>-1106/1000</f>
        <v>-1.1060000000000001</v>
      </c>
      <c r="M115" s="489">
        <f>-35619/1000</f>
        <v>-35.619</v>
      </c>
      <c r="N115" s="489">
        <f>(-55428+225917)/1000</f>
        <v>170.489</v>
      </c>
      <c r="O115" s="489">
        <v>86.158000000000001</v>
      </c>
      <c r="P115" s="489">
        <f>(-75182+817000)/1000</f>
        <v>741.81799999999998</v>
      </c>
      <c r="Q115" s="489">
        <v>-20.869</v>
      </c>
      <c r="R115" s="489">
        <v>87.186000000000007</v>
      </c>
      <c r="S115" s="489">
        <v>76</v>
      </c>
      <c r="T115" s="489">
        <v>-217.666</v>
      </c>
      <c r="U115" s="489">
        <v>-94.888000000000005</v>
      </c>
      <c r="V115" s="489">
        <v>-75.007000000000005</v>
      </c>
      <c r="W115" s="489">
        <v>-74.007000000000005</v>
      </c>
      <c r="X115" s="669">
        <f t="shared" ref="X115:AG115" si="201">W115</f>
        <v>-74.007000000000005</v>
      </c>
      <c r="Y115" s="669">
        <f t="shared" si="201"/>
        <v>-74.007000000000005</v>
      </c>
      <c r="Z115" s="669">
        <f t="shared" si="201"/>
        <v>-74.007000000000005</v>
      </c>
      <c r="AA115" s="669">
        <f t="shared" si="201"/>
        <v>-74.007000000000005</v>
      </c>
      <c r="AB115" s="669">
        <f t="shared" si="201"/>
        <v>-74.007000000000005</v>
      </c>
      <c r="AC115" s="669">
        <f t="shared" si="201"/>
        <v>-74.007000000000005</v>
      </c>
      <c r="AD115" s="669">
        <f t="shared" si="201"/>
        <v>-74.007000000000005</v>
      </c>
      <c r="AE115" s="669">
        <f t="shared" si="201"/>
        <v>-74.007000000000005</v>
      </c>
      <c r="AF115" s="669">
        <f t="shared" si="201"/>
        <v>-74.007000000000005</v>
      </c>
      <c r="AG115" s="669">
        <f t="shared" si="201"/>
        <v>-74.007000000000005</v>
      </c>
    </row>
    <row r="116" spans="1:33" x14ac:dyDescent="0.25">
      <c r="A116" s="601" t="s">
        <v>2046</v>
      </c>
      <c r="B116" s="1659" t="s">
        <v>3007</v>
      </c>
      <c r="C116" s="668"/>
      <c r="D116" s="668"/>
      <c r="E116" s="668"/>
      <c r="F116" s="668"/>
      <c r="G116" s="668"/>
      <c r="H116" s="668"/>
      <c r="I116" s="661">
        <f t="shared" ref="I116:AC116" si="202">SUM(I113:I115)</f>
        <v>92.415999999999997</v>
      </c>
      <c r="J116" s="661">
        <f t="shared" si="202"/>
        <v>231.012</v>
      </c>
      <c r="K116" s="661">
        <f t="shared" si="202"/>
        <v>381.18400000000003</v>
      </c>
      <c r="L116" s="661">
        <f t="shared" si="202"/>
        <v>522.33500000000004</v>
      </c>
      <c r="M116" s="661">
        <f t="shared" si="202"/>
        <v>667.57900000000006</v>
      </c>
      <c r="N116" s="661">
        <f t="shared" si="202"/>
        <v>1048.693</v>
      </c>
      <c r="O116" s="661">
        <f t="shared" ref="O116:V116" si="203">SUM(O113:O115)</f>
        <v>1341.8019999999999</v>
      </c>
      <c r="P116" s="661">
        <f t="shared" si="203"/>
        <v>2295.4989999999998</v>
      </c>
      <c r="Q116" s="661">
        <f t="shared" si="203"/>
        <v>2544.6949999999997</v>
      </c>
      <c r="R116" s="661">
        <f t="shared" si="203"/>
        <v>2832.9089999999997</v>
      </c>
      <c r="S116" s="661">
        <f t="shared" si="203"/>
        <v>3083.8929999999996</v>
      </c>
      <c r="T116" s="661">
        <f t="shared" si="203"/>
        <v>3034.4889999999996</v>
      </c>
      <c r="U116" s="661">
        <f t="shared" si="203"/>
        <v>3101.2749999999996</v>
      </c>
      <c r="V116" s="661">
        <f t="shared" si="203"/>
        <v>3184.2319999999995</v>
      </c>
      <c r="W116" s="661">
        <f t="shared" ref="W116" si="204">SUM(W113:W115)</f>
        <v>3273.6999999999994</v>
      </c>
      <c r="X116" s="661">
        <f t="shared" si="202"/>
        <v>3354.6632306287074</v>
      </c>
      <c r="Y116" s="661">
        <f t="shared" si="202"/>
        <v>3433.9601905637037</v>
      </c>
      <c r="Z116" s="661">
        <f t="shared" si="202"/>
        <v>3508.2563234702316</v>
      </c>
      <c r="AA116" s="661">
        <f>SUM(AA113:AA115)</f>
        <v>3579.1765610136526</v>
      </c>
      <c r="AB116" s="661">
        <f t="shared" si="202"/>
        <v>3645.9296106122938</v>
      </c>
      <c r="AC116" s="661">
        <f t="shared" si="202"/>
        <v>3708.9005319314879</v>
      </c>
      <c r="AD116" s="661">
        <f t="shared" ref="AD116:AF116" si="205">SUM(AD113:AD115)</f>
        <v>3767.9020884513207</v>
      </c>
      <c r="AE116" s="661">
        <f t="shared" si="205"/>
        <v>3823.0252517753729</v>
      </c>
      <c r="AF116" s="661">
        <f t="shared" si="205"/>
        <v>3874.2258594300424</v>
      </c>
      <c r="AG116" s="661">
        <f t="shared" ref="AG116" si="206">SUM(AG113:AG115)</f>
        <v>3921.5253309880363</v>
      </c>
    </row>
    <row r="117" spans="1:33" ht="12" x14ac:dyDescent="0.35">
      <c r="A117" s="631"/>
      <c r="B117" s="1659"/>
      <c r="C117" s="668"/>
      <c r="D117" s="668"/>
      <c r="E117" s="668"/>
      <c r="F117" s="668"/>
      <c r="G117" s="668"/>
      <c r="H117" s="668"/>
      <c r="I117" s="668"/>
      <c r="J117" s="668"/>
      <c r="K117" s="668"/>
      <c r="L117" s="668"/>
      <c r="M117" s="668"/>
      <c r="N117" s="668"/>
      <c r="O117" s="668"/>
      <c r="P117" s="668"/>
      <c r="Q117" s="668"/>
      <c r="R117" s="668"/>
      <c r="S117" s="668"/>
      <c r="T117" s="668"/>
      <c r="U117" s="668"/>
      <c r="V117" s="668"/>
      <c r="W117" s="668"/>
      <c r="X117" s="668"/>
      <c r="Y117" s="668"/>
      <c r="Z117" s="668"/>
      <c r="AA117" s="668"/>
      <c r="AB117" s="668"/>
      <c r="AC117" s="668"/>
      <c r="AD117" s="668"/>
      <c r="AE117" s="668"/>
      <c r="AF117" s="668"/>
      <c r="AG117" s="668"/>
    </row>
    <row r="118" spans="1:33" x14ac:dyDescent="0.25">
      <c r="A118" s="569" t="s">
        <v>2331</v>
      </c>
      <c r="B118" s="1670" t="s">
        <v>3011</v>
      </c>
      <c r="C118" s="668"/>
      <c r="D118" s="668"/>
      <c r="E118" s="668"/>
      <c r="F118" s="668"/>
      <c r="G118" s="668">
        <f>BS!G20</f>
        <v>0</v>
      </c>
      <c r="H118" s="668">
        <f>BS!H20</f>
        <v>4046.058</v>
      </c>
      <c r="I118" s="668">
        <f>BS!I20</f>
        <v>4926.4650000000001</v>
      </c>
      <c r="J118" s="668">
        <f>BS!J20</f>
        <v>5501.701</v>
      </c>
      <c r="K118" s="668">
        <f>BS!K20</f>
        <v>6353.8329999999996</v>
      </c>
      <c r="L118" s="668">
        <f>BS!L20</f>
        <v>6530.9920000000002</v>
      </c>
      <c r="M118" s="668">
        <f>BS!M20</f>
        <v>6044.2020000000002</v>
      </c>
      <c r="N118" s="668">
        <f>BS!N20</f>
        <v>5234.34</v>
      </c>
      <c r="O118" s="668">
        <f>BS!O20</f>
        <v>5414.2820000000002</v>
      </c>
      <c r="P118" s="668">
        <f>BS!P20</f>
        <v>4154.8</v>
      </c>
      <c r="Q118" s="668">
        <f>BS!Q20</f>
        <v>3837.846</v>
      </c>
      <c r="R118" s="668">
        <f>BS!R20</f>
        <v>3812.5259999999998</v>
      </c>
      <c r="S118" s="668">
        <f>BS!S20</f>
        <v>3784.7719999999999</v>
      </c>
      <c r="T118" s="668">
        <f>BS!T20</f>
        <v>3328.0659999999998</v>
      </c>
      <c r="U118" s="668">
        <f>BS!U20</f>
        <v>3066.2570000000001</v>
      </c>
      <c r="V118" s="668">
        <f>BS!V20</f>
        <v>2639.6239999999998</v>
      </c>
      <c r="W118" s="668">
        <f>BS!W20</f>
        <v>2411.087</v>
      </c>
      <c r="X118" s="668">
        <f t="shared" ref="X118:AC118" si="207">X110-X116</f>
        <v>2378.2857693712949</v>
      </c>
      <c r="Y118" s="668">
        <f t="shared" si="207"/>
        <v>2153.9938094362988</v>
      </c>
      <c r="Z118" s="668">
        <f t="shared" si="207"/>
        <v>1934.702676529771</v>
      </c>
      <c r="AA118" s="668">
        <f t="shared" si="207"/>
        <v>1718.78743898635</v>
      </c>
      <c r="AB118" s="668">
        <f t="shared" si="207"/>
        <v>1507.039389387709</v>
      </c>
      <c r="AC118" s="668">
        <f t="shared" si="207"/>
        <v>1299.073468068515</v>
      </c>
      <c r="AD118" s="668">
        <f t="shared" ref="AD118:AF118" si="208">AD110-AD116</f>
        <v>1095.0769115486823</v>
      </c>
      <c r="AE118" s="668">
        <f t="shared" si="208"/>
        <v>894.9587482246302</v>
      </c>
      <c r="AF118" s="668">
        <f t="shared" si="208"/>
        <v>698.7631405699608</v>
      </c>
      <c r="AG118" s="668">
        <f t="shared" ref="AG118" si="209">AG110-AG116</f>
        <v>506.46866901196699</v>
      </c>
    </row>
    <row r="119" spans="1:33" x14ac:dyDescent="0.25">
      <c r="A119" s="601"/>
      <c r="B119" s="1659"/>
      <c r="C119" s="670"/>
      <c r="D119" s="670"/>
      <c r="E119" s="670"/>
      <c r="F119" s="670"/>
      <c r="G119" s="670"/>
      <c r="H119" s="670"/>
      <c r="I119" s="670"/>
      <c r="J119" s="670"/>
      <c r="K119" s="670"/>
      <c r="L119" s="670"/>
      <c r="M119" s="670"/>
      <c r="N119" s="661"/>
      <c r="O119" s="670"/>
      <c r="P119" s="670"/>
      <c r="Q119" s="670"/>
      <c r="R119" s="670"/>
      <c r="S119" s="670"/>
      <c r="T119" s="670"/>
      <c r="U119" s="670"/>
      <c r="V119" s="670"/>
      <c r="W119" s="670"/>
      <c r="X119" s="670"/>
      <c r="Y119" s="670"/>
      <c r="Z119" s="670"/>
      <c r="AA119" s="670"/>
      <c r="AB119" s="670"/>
      <c r="AC119" s="670"/>
      <c r="AD119" s="670"/>
      <c r="AE119" s="670"/>
      <c r="AF119" s="670"/>
      <c r="AG119" s="670"/>
    </row>
    <row r="120" spans="1:33" x14ac:dyDescent="0.25">
      <c r="A120" s="635" t="s">
        <v>2340</v>
      </c>
      <c r="B120" s="1676" t="s">
        <v>3025</v>
      </c>
      <c r="C120" s="497"/>
      <c r="D120" s="497"/>
      <c r="E120" s="497"/>
      <c r="F120" s="497"/>
      <c r="G120" s="497">
        <f t="shared" ref="G120:AC120" si="210">G114/G110</f>
        <v>0</v>
      </c>
      <c r="H120" s="497">
        <f t="shared" si="210"/>
        <v>0</v>
      </c>
      <c r="I120" s="497">
        <f t="shared" si="210"/>
        <v>1.7985483218271162E-2</v>
      </c>
      <c r="J120" s="497">
        <f t="shared" si="210"/>
        <v>2.4202153500445599E-2</v>
      </c>
      <c r="K120" s="497">
        <f t="shared" si="210"/>
        <v>2.0857853810910945E-2</v>
      </c>
      <c r="L120" s="497">
        <f t="shared" si="210"/>
        <v>2.0168779924707871E-2</v>
      </c>
      <c r="M120" s="497">
        <f t="shared" si="210"/>
        <v>2.6947094966298806E-2</v>
      </c>
      <c r="N120" s="497">
        <f t="shared" si="210"/>
        <v>3.3522822496714559E-2</v>
      </c>
      <c r="O120" s="497">
        <f t="shared" si="210"/>
        <v>3.0631797946857966E-2</v>
      </c>
      <c r="P120" s="497">
        <f t="shared" si="210"/>
        <v>3.2847934646130346E-2</v>
      </c>
      <c r="Q120" s="497">
        <f t="shared" si="210"/>
        <v>4.2313085023660622E-2</v>
      </c>
      <c r="R120" s="497">
        <f t="shared" si="210"/>
        <v>3.025054040856617E-2</v>
      </c>
      <c r="S120" s="497">
        <f t="shared" si="210"/>
        <v>2.5474201954937981E-2</v>
      </c>
      <c r="T120" s="497">
        <f t="shared" si="210"/>
        <v>2.6443994513871451E-2</v>
      </c>
      <c r="U120" s="497">
        <f t="shared" si="210"/>
        <v>2.6212018481391007E-2</v>
      </c>
      <c r="V120" s="497">
        <f t="shared" si="210"/>
        <v>2.6227062900686847E-2</v>
      </c>
      <c r="W120" s="497">
        <f t="shared" ref="W120" si="211">W114/W110</f>
        <v>2.781159534694443E-2</v>
      </c>
      <c r="X120" s="497">
        <f t="shared" si="210"/>
        <v>2.703150344241825E-2</v>
      </c>
      <c r="Y120" s="497">
        <f t="shared" si="210"/>
        <v>2.7434721176122136E-2</v>
      </c>
      <c r="Z120" s="497">
        <f t="shared" si="210"/>
        <v>2.7246784865828984E-2</v>
      </c>
      <c r="AA120" s="497">
        <f t="shared" si="210"/>
        <v>2.7355270353558624E-2</v>
      </c>
      <c r="AB120" s="497">
        <f t="shared" si="210"/>
        <v>2.7316300485922061E-2</v>
      </c>
      <c r="AC120" s="497">
        <f t="shared" si="210"/>
        <v>2.7351963352683951E-2</v>
      </c>
      <c r="AD120" s="497">
        <f t="shared" ref="AD120:AF120" si="212">AD114/AD110</f>
        <v>2.7351250441310294E-2</v>
      </c>
      <c r="AE120" s="497">
        <f t="shared" si="212"/>
        <v>2.7369775591450155E-2</v>
      </c>
      <c r="AF120" s="497">
        <f t="shared" si="212"/>
        <v>2.7379818244625018E-2</v>
      </c>
      <c r="AG120" s="497">
        <f t="shared" ref="AG120" si="213">AG114/AG110</f>
        <v>2.7395355901113222E-2</v>
      </c>
    </row>
    <row r="121" spans="1:33" x14ac:dyDescent="0.4">
      <c r="C121" s="636"/>
      <c r="D121" s="636"/>
      <c r="E121" s="636"/>
      <c r="F121" s="636"/>
      <c r="G121" s="636"/>
      <c r="H121" s="636"/>
      <c r="I121" s="636"/>
      <c r="J121" s="636"/>
      <c r="K121" s="636"/>
      <c r="L121" s="636"/>
      <c r="M121" s="636"/>
      <c r="N121" s="636"/>
      <c r="O121" s="636"/>
      <c r="P121" s="636"/>
      <c r="Q121" s="636"/>
      <c r="R121" s="636"/>
      <c r="S121" s="636"/>
      <c r="T121" s="636"/>
      <c r="U121" s="636"/>
      <c r="V121" s="636"/>
      <c r="W121" s="636"/>
      <c r="X121" s="636"/>
      <c r="Y121" s="636"/>
      <c r="Z121" s="636"/>
      <c r="AA121" s="636"/>
      <c r="AB121" s="636"/>
      <c r="AC121" s="636"/>
      <c r="AD121" s="636"/>
      <c r="AE121" s="636"/>
      <c r="AF121" s="636"/>
      <c r="AG121" s="636"/>
    </row>
    <row r="122" spans="1:33" x14ac:dyDescent="0.25">
      <c r="A122" s="554" t="s">
        <v>2341</v>
      </c>
      <c r="B122" s="1669" t="s">
        <v>3145</v>
      </c>
      <c r="C122" s="665"/>
      <c r="D122" s="665"/>
      <c r="E122" s="665"/>
      <c r="F122" s="665"/>
      <c r="G122" s="665"/>
      <c r="H122" s="665"/>
      <c r="I122" s="665"/>
      <c r="J122" s="665"/>
      <c r="K122" s="665"/>
      <c r="L122" s="665"/>
      <c r="M122" s="665"/>
      <c r="N122" s="665"/>
      <c r="O122" s="665"/>
      <c r="P122" s="665"/>
      <c r="Q122" s="665"/>
      <c r="R122" s="665"/>
      <c r="S122" s="665"/>
      <c r="T122" s="665"/>
      <c r="U122" s="665"/>
      <c r="V122" s="665"/>
      <c r="W122" s="665"/>
      <c r="X122" s="665"/>
      <c r="Y122" s="665"/>
      <c r="Z122" s="665"/>
      <c r="AA122" s="665"/>
      <c r="AB122" s="665"/>
      <c r="AC122" s="665"/>
      <c r="AD122" s="665"/>
      <c r="AE122" s="665"/>
      <c r="AF122" s="665"/>
      <c r="AG122" s="665"/>
    </row>
    <row r="123" spans="1:33" x14ac:dyDescent="0.25">
      <c r="A123" s="334" t="s">
        <v>2328</v>
      </c>
      <c r="B123" s="1643" t="s">
        <v>3014</v>
      </c>
      <c r="C123" s="624"/>
      <c r="D123" s="624"/>
      <c r="E123" s="624"/>
      <c r="F123" s="624"/>
      <c r="G123" s="624"/>
      <c r="H123" s="624"/>
      <c r="I123" s="624"/>
      <c r="J123" s="624">
        <f t="shared" ref="J123:S123" si="214">J124/J128</f>
        <v>7.1561703864096729E-2</v>
      </c>
      <c r="K123" s="624">
        <f t="shared" si="214"/>
        <v>9.5416830565736702E-2</v>
      </c>
      <c r="L123" s="624">
        <f t="shared" si="214"/>
        <v>9.542050680655989E-2</v>
      </c>
      <c r="M123" s="624">
        <f t="shared" si="214"/>
        <v>5.3728259630831901E-2</v>
      </c>
      <c r="N123" s="624">
        <f t="shared" si="214"/>
        <v>3.9832069319196965E-2</v>
      </c>
      <c r="O123" s="624">
        <f t="shared" si="214"/>
        <v>3.9348529853485963E-2</v>
      </c>
      <c r="P123" s="624">
        <f t="shared" si="214"/>
        <v>3.9711199368109552E-2</v>
      </c>
      <c r="Q123" s="624">
        <f t="shared" si="214"/>
        <v>3.9948968473049531E-2</v>
      </c>
      <c r="R123" s="624">
        <f t="shared" si="214"/>
        <v>3.9811321615444623E-2</v>
      </c>
      <c r="S123" s="624">
        <f t="shared" si="214"/>
        <v>4.0786630103152685E-2</v>
      </c>
      <c r="T123" s="624">
        <f t="shared" ref="T123:V123" si="215">T124/T128</f>
        <v>4.0269571471490608E-2</v>
      </c>
      <c r="U123" s="624">
        <f t="shared" si="215"/>
        <v>4.0128695564056446E-2</v>
      </c>
      <c r="V123" s="624">
        <f t="shared" si="215"/>
        <v>4.0135512248848079E-2</v>
      </c>
      <c r="W123" s="624">
        <f t="shared" ref="W123" si="216">W124/W128</f>
        <v>0</v>
      </c>
      <c r="X123" s="656">
        <f>W123</f>
        <v>0</v>
      </c>
      <c r="Y123" s="656">
        <f t="shared" ref="Y123:AC123" si="217">X123</f>
        <v>0</v>
      </c>
      <c r="Z123" s="656">
        <f t="shared" si="217"/>
        <v>0</v>
      </c>
      <c r="AA123" s="656">
        <f t="shared" si="217"/>
        <v>0</v>
      </c>
      <c r="AB123" s="656">
        <f t="shared" si="217"/>
        <v>0</v>
      </c>
      <c r="AC123" s="656">
        <f t="shared" si="217"/>
        <v>0</v>
      </c>
      <c r="AD123" s="656">
        <f t="shared" ref="AD123" si="218">AC123</f>
        <v>0</v>
      </c>
      <c r="AE123" s="656">
        <f t="shared" ref="AE123" si="219">AD123</f>
        <v>0</v>
      </c>
      <c r="AF123" s="656">
        <f t="shared" ref="AF123:AG123" si="220">AE123</f>
        <v>0</v>
      </c>
      <c r="AG123" s="656">
        <f t="shared" si="220"/>
        <v>0</v>
      </c>
    </row>
    <row r="124" spans="1:33" x14ac:dyDescent="0.25">
      <c r="A124" s="567" t="s">
        <v>2342</v>
      </c>
      <c r="B124" s="1645" t="s">
        <v>3146</v>
      </c>
      <c r="C124" s="657"/>
      <c r="D124" s="657"/>
      <c r="E124" s="657"/>
      <c r="F124" s="657"/>
      <c r="G124" s="657"/>
      <c r="H124" s="657"/>
      <c r="I124" s="657"/>
      <c r="J124" s="657">
        <f t="shared" ref="J124:AC124" si="221">J132</f>
        <v>19.466000000000001</v>
      </c>
      <c r="K124" s="657">
        <f t="shared" si="221"/>
        <v>25.954999999999998</v>
      </c>
      <c r="L124" s="657">
        <f t="shared" si="221"/>
        <v>25.956</v>
      </c>
      <c r="M124" s="657">
        <f t="shared" si="221"/>
        <v>14.615</v>
      </c>
      <c r="N124" s="657">
        <f t="shared" si="221"/>
        <v>10.835000000000001</v>
      </c>
      <c r="O124" s="657">
        <f t="shared" si="221"/>
        <v>17.684999999999999</v>
      </c>
      <c r="P124" s="657">
        <f t="shared" si="221"/>
        <v>17.847999999999999</v>
      </c>
      <c r="Q124" s="657">
        <f t="shared" si="221"/>
        <v>17.597999999999999</v>
      </c>
      <c r="R124" s="657">
        <f t="shared" si="221"/>
        <v>17.454000000000001</v>
      </c>
      <c r="S124" s="657">
        <f t="shared" si="221"/>
        <v>17.966999999999999</v>
      </c>
      <c r="T124" s="657">
        <f t="shared" ref="T124:U124" si="222">T132</f>
        <v>17.693000000000001</v>
      </c>
      <c r="U124" s="657">
        <f t="shared" si="222"/>
        <v>17.423999999999999</v>
      </c>
      <c r="V124" s="657">
        <f t="shared" si="221"/>
        <v>17.273</v>
      </c>
      <c r="W124" s="657">
        <f t="shared" ref="W124" si="223">W132</f>
        <v>0</v>
      </c>
      <c r="X124" s="657">
        <f t="shared" si="221"/>
        <v>0</v>
      </c>
      <c r="Y124" s="657">
        <f t="shared" si="221"/>
        <v>0</v>
      </c>
      <c r="Z124" s="657">
        <f t="shared" si="221"/>
        <v>0</v>
      </c>
      <c r="AA124" s="657">
        <f t="shared" si="221"/>
        <v>0</v>
      </c>
      <c r="AB124" s="657">
        <f t="shared" si="221"/>
        <v>0</v>
      </c>
      <c r="AC124" s="657">
        <f t="shared" si="221"/>
        <v>0</v>
      </c>
      <c r="AD124" s="657">
        <f t="shared" ref="AD124:AF124" si="224">AD132</f>
        <v>0</v>
      </c>
      <c r="AE124" s="657">
        <f t="shared" si="224"/>
        <v>0</v>
      </c>
      <c r="AF124" s="657">
        <f t="shared" si="224"/>
        <v>0</v>
      </c>
      <c r="AG124" s="657">
        <f t="shared" ref="AG124" si="225">AG132</f>
        <v>0</v>
      </c>
    </row>
    <row r="125" spans="1:33" x14ac:dyDescent="0.25">
      <c r="A125" s="593" t="s">
        <v>2330</v>
      </c>
      <c r="B125" s="1650" t="s">
        <v>3023</v>
      </c>
      <c r="C125" s="666"/>
      <c r="D125" s="666"/>
      <c r="E125" s="667"/>
      <c r="F125" s="667"/>
      <c r="G125" s="667"/>
      <c r="H125" s="667"/>
      <c r="I125" s="667"/>
      <c r="J125" s="667"/>
      <c r="K125" s="667"/>
      <c r="L125" s="667"/>
      <c r="M125" s="667"/>
      <c r="N125" s="667"/>
      <c r="O125" s="667"/>
      <c r="P125" s="667"/>
      <c r="Q125" s="667"/>
      <c r="R125" s="667"/>
      <c r="S125" s="667"/>
      <c r="T125" s="667"/>
      <c r="U125" s="667"/>
      <c r="V125" s="667"/>
      <c r="W125" s="667"/>
      <c r="X125" s="667"/>
      <c r="Y125" s="667"/>
      <c r="Z125" s="667"/>
      <c r="AA125" s="667"/>
      <c r="AB125" s="667"/>
      <c r="AC125" s="667"/>
      <c r="AD125" s="667"/>
      <c r="AE125" s="667"/>
      <c r="AF125" s="667"/>
      <c r="AG125" s="667"/>
    </row>
    <row r="126" spans="1:33" x14ac:dyDescent="0.25">
      <c r="A126" s="601" t="s">
        <v>1841</v>
      </c>
      <c r="B126" s="1659" t="s">
        <v>3004</v>
      </c>
      <c r="C126" s="668"/>
      <c r="D126" s="668"/>
      <c r="E126" s="668"/>
      <c r="F126" s="668"/>
      <c r="G126" s="668"/>
      <c r="H126" s="668"/>
      <c r="I126" s="668"/>
      <c r="J126" s="668">
        <v>9.9499999999999993</v>
      </c>
      <c r="K126" s="668">
        <f t="shared" ref="K126:AC126" si="226">J128</f>
        <v>272.017</v>
      </c>
      <c r="L126" s="668">
        <f t="shared" si="226"/>
        <v>272.017</v>
      </c>
      <c r="M126" s="668">
        <f t="shared" si="226"/>
        <v>272.017</v>
      </c>
      <c r="N126" s="668">
        <f t="shared" si="226"/>
        <v>272.017</v>
      </c>
      <c r="O126" s="668">
        <f t="shared" si="226"/>
        <v>272.017</v>
      </c>
      <c r="P126" s="668">
        <f t="shared" si="226"/>
        <v>449.44499999999999</v>
      </c>
      <c r="Q126" s="668">
        <f t="shared" si="226"/>
        <v>449.44499999999999</v>
      </c>
      <c r="R126" s="668">
        <f t="shared" si="226"/>
        <v>440.51200000000006</v>
      </c>
      <c r="S126" s="668">
        <f t="shared" si="226"/>
        <v>438.41800000000001</v>
      </c>
      <c r="T126" s="668">
        <f t="shared" si="226"/>
        <v>440.51200000000006</v>
      </c>
      <c r="U126" s="668">
        <f t="shared" ref="U126" si="227">T128</f>
        <v>439.36400000000003</v>
      </c>
      <c r="V126" s="668">
        <f t="shared" ref="V126:W126" si="228">U128</f>
        <v>434.20299999999997</v>
      </c>
      <c r="W126" s="668">
        <f t="shared" si="228"/>
        <v>430.36699999999996</v>
      </c>
      <c r="X126" s="668">
        <f t="shared" si="226"/>
        <v>430.36699999999996</v>
      </c>
      <c r="Y126" s="668">
        <f t="shared" si="226"/>
        <v>430.36699999999996</v>
      </c>
      <c r="Z126" s="668">
        <f t="shared" si="226"/>
        <v>430.36699999999996</v>
      </c>
      <c r="AA126" s="668">
        <f t="shared" si="226"/>
        <v>430.36699999999996</v>
      </c>
      <c r="AB126" s="668">
        <f t="shared" si="226"/>
        <v>430.36699999999996</v>
      </c>
      <c r="AC126" s="668">
        <f t="shared" si="226"/>
        <v>430.36699999999996</v>
      </c>
      <c r="AD126" s="668">
        <f t="shared" ref="AD126" si="229">AC128</f>
        <v>430.36699999999996</v>
      </c>
      <c r="AE126" s="668">
        <f t="shared" ref="AE126" si="230">AD128</f>
        <v>430.36699999999996</v>
      </c>
      <c r="AF126" s="668">
        <f t="shared" ref="AF126:AG126" si="231">AE128</f>
        <v>430.36699999999996</v>
      </c>
      <c r="AG126" s="668">
        <f t="shared" si="231"/>
        <v>430.36699999999996</v>
      </c>
    </row>
    <row r="127" spans="1:33" s="334" customFormat="1" x14ac:dyDescent="0.25">
      <c r="A127" s="601" t="s">
        <v>1637</v>
      </c>
      <c r="B127" s="1659" t="s">
        <v>3005</v>
      </c>
      <c r="C127" s="668"/>
      <c r="D127" s="668"/>
      <c r="E127" s="668"/>
      <c r="F127" s="668"/>
      <c r="G127" s="668"/>
      <c r="H127" s="668"/>
      <c r="I127" s="668"/>
      <c r="J127" s="661">
        <f t="shared" ref="J127:T127" si="232">J128-J126</f>
        <v>262.06700000000001</v>
      </c>
      <c r="K127" s="661">
        <f t="shared" si="232"/>
        <v>0</v>
      </c>
      <c r="L127" s="661">
        <f t="shared" si="232"/>
        <v>0</v>
      </c>
      <c r="M127" s="661">
        <f t="shared" si="232"/>
        <v>0</v>
      </c>
      <c r="N127" s="661">
        <f t="shared" si="232"/>
        <v>0</v>
      </c>
      <c r="O127" s="661">
        <f t="shared" si="232"/>
        <v>177.428</v>
      </c>
      <c r="P127" s="661">
        <f t="shared" si="232"/>
        <v>0</v>
      </c>
      <c r="Q127" s="661">
        <f t="shared" si="232"/>
        <v>-8.9329999999999359</v>
      </c>
      <c r="R127" s="661">
        <f t="shared" si="232"/>
        <v>-2.0940000000000509</v>
      </c>
      <c r="S127" s="661">
        <f t="shared" si="232"/>
        <v>2.0940000000000509</v>
      </c>
      <c r="T127" s="661">
        <f t="shared" si="232"/>
        <v>-1.1480000000000246</v>
      </c>
      <c r="U127" s="661">
        <f t="shared" ref="U127:V127" si="233">U128-U126</f>
        <v>-5.1610000000000582</v>
      </c>
      <c r="V127" s="661">
        <f t="shared" si="233"/>
        <v>-3.8360000000000127</v>
      </c>
      <c r="W127" s="661">
        <f t="shared" ref="W127" si="234">W128-W126</f>
        <v>0</v>
      </c>
      <c r="X127" s="669">
        <v>0</v>
      </c>
      <c r="Y127" s="669">
        <v>0</v>
      </c>
      <c r="Z127" s="669">
        <v>0</v>
      </c>
      <c r="AA127" s="669">
        <v>0</v>
      </c>
      <c r="AB127" s="669">
        <v>0</v>
      </c>
      <c r="AC127" s="669">
        <v>0</v>
      </c>
      <c r="AD127" s="669">
        <v>0</v>
      </c>
      <c r="AE127" s="669">
        <v>0</v>
      </c>
      <c r="AF127" s="669">
        <v>0</v>
      </c>
      <c r="AG127" s="669">
        <v>0</v>
      </c>
    </row>
    <row r="128" spans="1:33" x14ac:dyDescent="0.25">
      <c r="A128" s="601" t="s">
        <v>2046</v>
      </c>
      <c r="B128" s="1659" t="s">
        <v>3007</v>
      </c>
      <c r="C128" s="668"/>
      <c r="D128" s="668"/>
      <c r="E128" s="668"/>
      <c r="F128" s="668"/>
      <c r="G128" s="668"/>
      <c r="H128" s="668"/>
      <c r="I128" s="668"/>
      <c r="J128" s="676">
        <f>(849681-577664)/1000</f>
        <v>272.017</v>
      </c>
      <c r="K128" s="676">
        <v>272.017</v>
      </c>
      <c r="L128" s="676">
        <v>272.017</v>
      </c>
      <c r="M128" s="676">
        <v>272.017</v>
      </c>
      <c r="N128" s="676">
        <v>272.017</v>
      </c>
      <c r="O128" s="676">
        <v>449.44499999999999</v>
      </c>
      <c r="P128" s="676">
        <f>(1027109-577664)/1000</f>
        <v>449.44499999999999</v>
      </c>
      <c r="Q128" s="676">
        <f>1018.176-577.664</f>
        <v>440.51200000000006</v>
      </c>
      <c r="R128" s="676">
        <f>1016.082-577.664</f>
        <v>438.41800000000001</v>
      </c>
      <c r="S128" s="676">
        <f>1018.176-577.664</f>
        <v>440.51200000000006</v>
      </c>
      <c r="T128" s="676">
        <f>1017.028-577.664</f>
        <v>439.36400000000003</v>
      </c>
      <c r="U128" s="676">
        <f>1011.867-577.664</f>
        <v>434.20299999999997</v>
      </c>
      <c r="V128" s="676">
        <f>1008.031-577.664</f>
        <v>430.36699999999996</v>
      </c>
      <c r="W128" s="676">
        <f>1008.031-577.664</f>
        <v>430.36699999999996</v>
      </c>
      <c r="X128" s="668">
        <f t="shared" ref="X128:AC128" si="235">SUM(X126:X127)</f>
        <v>430.36699999999996</v>
      </c>
      <c r="Y128" s="668">
        <f t="shared" si="235"/>
        <v>430.36699999999996</v>
      </c>
      <c r="Z128" s="668">
        <f t="shared" si="235"/>
        <v>430.36699999999996</v>
      </c>
      <c r="AA128" s="668">
        <f t="shared" si="235"/>
        <v>430.36699999999996</v>
      </c>
      <c r="AB128" s="668">
        <f t="shared" si="235"/>
        <v>430.36699999999996</v>
      </c>
      <c r="AC128" s="668">
        <f t="shared" si="235"/>
        <v>430.36699999999996</v>
      </c>
      <c r="AD128" s="668">
        <f t="shared" ref="AD128:AF128" si="236">SUM(AD126:AD127)</f>
        <v>430.36699999999996</v>
      </c>
      <c r="AE128" s="668">
        <f t="shared" si="236"/>
        <v>430.36699999999996</v>
      </c>
      <c r="AF128" s="668">
        <f t="shared" si="236"/>
        <v>430.36699999999996</v>
      </c>
      <c r="AG128" s="668">
        <f t="shared" ref="AG128" si="237">SUM(AG126:AG127)</f>
        <v>430.36699999999996</v>
      </c>
    </row>
    <row r="129" spans="1:33" x14ac:dyDescent="0.25">
      <c r="A129" s="601"/>
      <c r="B129" s="1670"/>
      <c r="C129" s="668"/>
      <c r="D129" s="668"/>
      <c r="E129" s="668"/>
      <c r="F129" s="668"/>
      <c r="G129" s="668"/>
      <c r="H129" s="668"/>
      <c r="I129" s="668"/>
      <c r="J129" s="668"/>
      <c r="K129" s="668"/>
      <c r="L129" s="670"/>
      <c r="M129" s="670"/>
      <c r="N129" s="670"/>
      <c r="O129" s="670"/>
      <c r="P129" s="670"/>
      <c r="Q129" s="670"/>
      <c r="R129" s="670"/>
      <c r="S129" s="670"/>
      <c r="T129" s="670"/>
      <c r="U129" s="670"/>
      <c r="V129" s="670"/>
      <c r="W129" s="670"/>
      <c r="X129" s="670"/>
      <c r="Y129" s="670"/>
      <c r="Z129" s="670"/>
      <c r="AA129" s="670"/>
      <c r="AB129" s="670"/>
      <c r="AC129" s="670"/>
      <c r="AD129" s="670"/>
      <c r="AE129" s="670"/>
      <c r="AF129" s="670"/>
      <c r="AG129" s="670"/>
    </row>
    <row r="130" spans="1:33" x14ac:dyDescent="0.25">
      <c r="A130" s="569" t="s">
        <v>2343</v>
      </c>
      <c r="B130" s="1670" t="s">
        <v>3024</v>
      </c>
      <c r="C130" s="668"/>
      <c r="D130" s="668"/>
      <c r="E130" s="668"/>
      <c r="F130" s="668"/>
      <c r="G130" s="668"/>
      <c r="H130" s="668"/>
      <c r="I130" s="668"/>
      <c r="J130" s="668"/>
      <c r="K130" s="668"/>
      <c r="L130" s="670"/>
      <c r="M130" s="670"/>
      <c r="N130" s="670"/>
      <c r="O130" s="670"/>
      <c r="P130" s="670"/>
      <c r="Q130" s="670"/>
      <c r="R130" s="670"/>
      <c r="S130" s="670"/>
      <c r="T130" s="670"/>
      <c r="U130" s="670"/>
      <c r="V130" s="670"/>
      <c r="W130" s="670"/>
      <c r="X130" s="670"/>
      <c r="Y130" s="670"/>
      <c r="Z130" s="670"/>
      <c r="AA130" s="670"/>
      <c r="AB130" s="670"/>
      <c r="AC130" s="670"/>
      <c r="AD130" s="670"/>
      <c r="AE130" s="670"/>
      <c r="AF130" s="670"/>
      <c r="AG130" s="670"/>
    </row>
    <row r="131" spans="1:33" x14ac:dyDescent="0.25">
      <c r="A131" s="601" t="s">
        <v>1841</v>
      </c>
      <c r="B131" s="1659" t="s">
        <v>3004</v>
      </c>
      <c r="C131" s="668"/>
      <c r="D131" s="668"/>
      <c r="E131" s="668"/>
      <c r="F131" s="668"/>
      <c r="G131" s="668"/>
      <c r="H131" s="668"/>
      <c r="I131" s="668"/>
      <c r="J131" s="661">
        <v>0</v>
      </c>
      <c r="K131" s="661">
        <f t="shared" ref="K131:AC131" si="238">J134</f>
        <v>19.466000000000001</v>
      </c>
      <c r="L131" s="661">
        <f t="shared" si="238"/>
        <v>45.420999999999999</v>
      </c>
      <c r="M131" s="661">
        <f t="shared" si="238"/>
        <v>71.376999999999995</v>
      </c>
      <c r="N131" s="661">
        <f t="shared" si="238"/>
        <v>85.99199999999999</v>
      </c>
      <c r="O131" s="661">
        <f t="shared" si="238"/>
        <v>96.826999999999998</v>
      </c>
      <c r="P131" s="661">
        <f t="shared" si="238"/>
        <v>114.75900000000001</v>
      </c>
      <c r="Q131" s="661">
        <f t="shared" si="238"/>
        <v>140.90999999999997</v>
      </c>
      <c r="R131" s="661">
        <f t="shared" si="238"/>
        <v>151.39500000000004</v>
      </c>
      <c r="S131" s="661">
        <f t="shared" si="238"/>
        <v>160.00200000000001</v>
      </c>
      <c r="T131" s="661">
        <f t="shared" si="238"/>
        <v>174.41000000000008</v>
      </c>
      <c r="U131" s="661">
        <f t="shared" ref="U131" si="239">T134</f>
        <v>202.00300000000004</v>
      </c>
      <c r="V131" s="661">
        <f t="shared" ref="V131:W131" si="240">U134</f>
        <v>218.08699999999996</v>
      </c>
      <c r="W131" s="661">
        <f t="shared" ca="1" si="240"/>
        <v>235.4340331619081</v>
      </c>
      <c r="X131" s="661">
        <f t="shared" ca="1" si="238"/>
        <v>235.4340331619081</v>
      </c>
      <c r="Y131" s="661">
        <f t="shared" ca="1" si="238"/>
        <v>235.4340331619081</v>
      </c>
      <c r="Z131" s="661">
        <f t="shared" ca="1" si="238"/>
        <v>235.4340331619081</v>
      </c>
      <c r="AA131" s="661">
        <f t="shared" ca="1" si="238"/>
        <v>235.4340331619081</v>
      </c>
      <c r="AB131" s="661">
        <f t="shared" ca="1" si="238"/>
        <v>235.4340331619081</v>
      </c>
      <c r="AC131" s="661">
        <f t="shared" ca="1" si="238"/>
        <v>235.4340331619081</v>
      </c>
      <c r="AD131" s="661">
        <f t="shared" ref="AD131" ca="1" si="241">AC134</f>
        <v>235.4340331619081</v>
      </c>
      <c r="AE131" s="661">
        <f t="shared" ref="AE131" ca="1" si="242">AD134</f>
        <v>235.4340331619081</v>
      </c>
      <c r="AF131" s="661">
        <f t="shared" ref="AF131:AG131" ca="1" si="243">AE134</f>
        <v>235.4340331619081</v>
      </c>
      <c r="AG131" s="661">
        <f t="shared" ca="1" si="243"/>
        <v>235.4340331619081</v>
      </c>
    </row>
    <row r="132" spans="1:33" x14ac:dyDescent="0.25">
      <c r="A132" s="601" t="s">
        <v>1637</v>
      </c>
      <c r="B132" s="1659" t="s">
        <v>3009</v>
      </c>
      <c r="C132" s="668"/>
      <c r="D132" s="668"/>
      <c r="E132" s="668"/>
      <c r="F132" s="668"/>
      <c r="G132" s="668"/>
      <c r="H132" s="668"/>
      <c r="I132" s="668"/>
      <c r="J132" s="661">
        <f>'CF（org）'!I115</f>
        <v>19.466000000000001</v>
      </c>
      <c r="K132" s="661">
        <f>'CF（org）'!J115</f>
        <v>25.954999999999998</v>
      </c>
      <c r="L132" s="661">
        <f>'CF（org）'!K115</f>
        <v>25.956</v>
      </c>
      <c r="M132" s="661">
        <f>'CF（org）'!L115</f>
        <v>14.615</v>
      </c>
      <c r="N132" s="661">
        <f>'CF（org）'!M115</f>
        <v>10.835000000000001</v>
      </c>
      <c r="O132" s="661">
        <f>'CF（org）'!N115</f>
        <v>17.684999999999999</v>
      </c>
      <c r="P132" s="661">
        <f>'CF（org）'!O115</f>
        <v>17.847999999999999</v>
      </c>
      <c r="Q132" s="661">
        <f>'CF（org）'!P115</f>
        <v>17.597999999999999</v>
      </c>
      <c r="R132" s="661">
        <f>'CF（org）'!Q115</f>
        <v>17.454000000000001</v>
      </c>
      <c r="S132" s="661">
        <f>'CF（org）'!R115</f>
        <v>17.966999999999999</v>
      </c>
      <c r="T132" s="661">
        <f>'CF（org）'!S115</f>
        <v>17.693000000000001</v>
      </c>
      <c r="U132" s="661">
        <f>'CF（org）'!T115</f>
        <v>17.423999999999999</v>
      </c>
      <c r="V132" s="661">
        <f>'CF（org）'!U115</f>
        <v>17.273</v>
      </c>
      <c r="W132" s="661">
        <f>'CF（org）'!V115</f>
        <v>0</v>
      </c>
      <c r="X132" s="661">
        <f t="shared" ref="X132:AC132" si="244">(X126+X128)/2*X123</f>
        <v>0</v>
      </c>
      <c r="Y132" s="661">
        <f t="shared" si="244"/>
        <v>0</v>
      </c>
      <c r="Z132" s="661">
        <f t="shared" si="244"/>
        <v>0</v>
      </c>
      <c r="AA132" s="661">
        <f t="shared" si="244"/>
        <v>0</v>
      </c>
      <c r="AB132" s="661">
        <f t="shared" si="244"/>
        <v>0</v>
      </c>
      <c r="AC132" s="661">
        <f t="shared" si="244"/>
        <v>0</v>
      </c>
      <c r="AD132" s="661">
        <f t="shared" ref="AD132:AF132" si="245">(AD126+AD128)/2*AD123</f>
        <v>0</v>
      </c>
      <c r="AE132" s="661">
        <f t="shared" si="245"/>
        <v>0</v>
      </c>
      <c r="AF132" s="661">
        <f t="shared" si="245"/>
        <v>0</v>
      </c>
      <c r="AG132" s="661">
        <f t="shared" ref="AG132" si="246">(AG126+AG128)/2*AG123</f>
        <v>0</v>
      </c>
    </row>
    <row r="133" spans="1:33" x14ac:dyDescent="0.25">
      <c r="A133" s="601" t="s">
        <v>2045</v>
      </c>
      <c r="B133" s="1659" t="s">
        <v>3018</v>
      </c>
      <c r="C133" s="660"/>
      <c r="D133" s="660"/>
      <c r="E133" s="660"/>
      <c r="F133" s="660"/>
      <c r="G133" s="660"/>
      <c r="H133" s="660"/>
      <c r="I133" s="660"/>
      <c r="J133" s="380">
        <f t="shared" ref="J133:T133" si="247">J134-J131-J132</f>
        <v>0</v>
      </c>
      <c r="K133" s="380">
        <f t="shared" si="247"/>
        <v>0</v>
      </c>
      <c r="L133" s="380">
        <f t="shared" si="247"/>
        <v>0</v>
      </c>
      <c r="M133" s="380">
        <f t="shared" si="247"/>
        <v>0</v>
      </c>
      <c r="N133" s="380">
        <f t="shared" si="247"/>
        <v>0</v>
      </c>
      <c r="O133" s="380">
        <f t="shared" si="247"/>
        <v>0.24700000000001765</v>
      </c>
      <c r="P133" s="380">
        <f t="shared" si="247"/>
        <v>8.3029999999999546</v>
      </c>
      <c r="Q133" s="380">
        <f t="shared" si="247"/>
        <v>-7.1129999999999285</v>
      </c>
      <c r="R133" s="380">
        <f t="shared" si="247"/>
        <v>-8.8470000000000297</v>
      </c>
      <c r="S133" s="380">
        <f t="shared" si="247"/>
        <v>-3.5589999999999264</v>
      </c>
      <c r="T133" s="380">
        <f t="shared" si="247"/>
        <v>9.8999999999999595</v>
      </c>
      <c r="U133" s="380">
        <f t="shared" ref="U133:V133" si="248">U134-U131-U132</f>
        <v>-1.3400000000000816</v>
      </c>
      <c r="V133" s="380">
        <f t="shared" ca="1" si="248"/>
        <v>7.4033161908143796E-2</v>
      </c>
      <c r="W133" s="380">
        <f t="shared" ref="W133" ca="1" si="249">W134-W131-W132</f>
        <v>0</v>
      </c>
      <c r="X133" s="662">
        <v>0</v>
      </c>
      <c r="Y133" s="662">
        <v>0</v>
      </c>
      <c r="Z133" s="662">
        <v>0</v>
      </c>
      <c r="AA133" s="662">
        <v>0</v>
      </c>
      <c r="AB133" s="662">
        <v>0</v>
      </c>
      <c r="AC133" s="662">
        <v>0</v>
      </c>
      <c r="AD133" s="662">
        <v>0</v>
      </c>
      <c r="AE133" s="662">
        <v>0</v>
      </c>
      <c r="AF133" s="662">
        <v>0</v>
      </c>
      <c r="AG133" s="662">
        <v>0</v>
      </c>
    </row>
    <row r="134" spans="1:33" x14ac:dyDescent="0.25">
      <c r="A134" s="601" t="s">
        <v>2046</v>
      </c>
      <c r="B134" s="1659" t="s">
        <v>3007</v>
      </c>
      <c r="C134" s="668"/>
      <c r="D134" s="668"/>
      <c r="E134" s="668"/>
      <c r="F134" s="668"/>
      <c r="G134" s="668"/>
      <c r="H134" s="668"/>
      <c r="I134" s="668"/>
      <c r="J134" s="675">
        <f>19466/1000</f>
        <v>19.466000000000001</v>
      </c>
      <c r="K134" s="675">
        <f>45421/1000</f>
        <v>45.420999999999999</v>
      </c>
      <c r="L134" s="675">
        <f>71377/1000</f>
        <v>71.376999999999995</v>
      </c>
      <c r="M134" s="661">
        <f t="shared" ref="M134:T134" si="250">M128-M136</f>
        <v>85.99199999999999</v>
      </c>
      <c r="N134" s="661">
        <f t="shared" si="250"/>
        <v>96.826999999999998</v>
      </c>
      <c r="O134" s="661">
        <f t="shared" si="250"/>
        <v>114.75900000000001</v>
      </c>
      <c r="P134" s="661">
        <f t="shared" si="250"/>
        <v>140.90999999999997</v>
      </c>
      <c r="Q134" s="661">
        <f t="shared" si="250"/>
        <v>151.39500000000004</v>
      </c>
      <c r="R134" s="661">
        <f t="shared" si="250"/>
        <v>160.00200000000001</v>
      </c>
      <c r="S134" s="661">
        <f t="shared" si="250"/>
        <v>174.41000000000008</v>
      </c>
      <c r="T134" s="661">
        <f t="shared" si="250"/>
        <v>202.00300000000004</v>
      </c>
      <c r="U134" s="661">
        <f t="shared" ref="U134:V134" si="251">U128-U136</f>
        <v>218.08699999999996</v>
      </c>
      <c r="V134" s="661">
        <f t="shared" ca="1" si="251"/>
        <v>235.4340331619081</v>
      </c>
      <c r="W134" s="661">
        <f t="shared" ref="W134" ca="1" si="252">W128-W136</f>
        <v>235.4340331619081</v>
      </c>
      <c r="X134" s="661">
        <f t="shared" ref="X134:AC134" ca="1" si="253">SUM(X131:X133)</f>
        <v>235.4340331619081</v>
      </c>
      <c r="Y134" s="661">
        <f t="shared" ca="1" si="253"/>
        <v>235.4340331619081</v>
      </c>
      <c r="Z134" s="661">
        <f t="shared" ca="1" si="253"/>
        <v>235.4340331619081</v>
      </c>
      <c r="AA134" s="661">
        <f t="shared" ca="1" si="253"/>
        <v>235.4340331619081</v>
      </c>
      <c r="AB134" s="661">
        <f t="shared" ca="1" si="253"/>
        <v>235.4340331619081</v>
      </c>
      <c r="AC134" s="661">
        <f t="shared" ca="1" si="253"/>
        <v>235.4340331619081</v>
      </c>
      <c r="AD134" s="661">
        <f t="shared" ref="AD134:AF134" ca="1" si="254">SUM(AD131:AD133)</f>
        <v>235.4340331619081</v>
      </c>
      <c r="AE134" s="661">
        <f t="shared" ca="1" si="254"/>
        <v>235.4340331619081</v>
      </c>
      <c r="AF134" s="661">
        <f t="shared" ca="1" si="254"/>
        <v>235.4340331619081</v>
      </c>
      <c r="AG134" s="661">
        <f t="shared" ref="AG134" ca="1" si="255">SUM(AG131:AG133)</f>
        <v>235.4340331619081</v>
      </c>
    </row>
    <row r="135" spans="1:33" ht="12" x14ac:dyDescent="0.35">
      <c r="A135" s="631"/>
      <c r="B135" s="1659"/>
      <c r="C135" s="668"/>
      <c r="D135" s="668"/>
      <c r="E135" s="668"/>
      <c r="F135" s="668"/>
      <c r="G135" s="668"/>
      <c r="H135" s="668"/>
      <c r="I135" s="668"/>
      <c r="J135" s="668"/>
      <c r="K135" s="668"/>
      <c r="L135" s="668"/>
      <c r="M135" s="668"/>
      <c r="N135" s="668"/>
      <c r="O135" s="668"/>
      <c r="P135" s="668"/>
      <c r="Q135" s="668"/>
      <c r="R135" s="668"/>
      <c r="S135" s="668"/>
      <c r="T135" s="668"/>
      <c r="U135" s="668"/>
      <c r="V135" s="668"/>
      <c r="W135" s="668"/>
      <c r="X135" s="668"/>
      <c r="Y135" s="668"/>
      <c r="Z135" s="668"/>
      <c r="AA135" s="668"/>
      <c r="AB135" s="668"/>
      <c r="AC135" s="668"/>
      <c r="AD135" s="668"/>
      <c r="AE135" s="668"/>
      <c r="AF135" s="668"/>
      <c r="AG135" s="668"/>
    </row>
    <row r="136" spans="1:33" x14ac:dyDescent="0.25">
      <c r="A136" s="569" t="s">
        <v>2331</v>
      </c>
      <c r="B136" s="1670" t="s">
        <v>3011</v>
      </c>
      <c r="C136" s="668"/>
      <c r="D136" s="668"/>
      <c r="E136" s="668"/>
      <c r="F136" s="668"/>
      <c r="G136" s="668"/>
      <c r="H136" s="668"/>
      <c r="I136" s="668"/>
      <c r="J136" s="661">
        <f>J128-J134</f>
        <v>252.55099999999999</v>
      </c>
      <c r="K136" s="661">
        <f>K128-K134</f>
        <v>226.596</v>
      </c>
      <c r="L136" s="661">
        <f>L128-L134</f>
        <v>200.64</v>
      </c>
      <c r="M136" s="661">
        <f>BS!M9</f>
        <v>186.02500000000001</v>
      </c>
      <c r="N136" s="661">
        <f>BS!N9</f>
        <v>175.19</v>
      </c>
      <c r="O136" s="661">
        <f>BS!O9</f>
        <v>334.68599999999998</v>
      </c>
      <c r="P136" s="661">
        <f>BS!P9</f>
        <v>308.53500000000003</v>
      </c>
      <c r="Q136" s="661">
        <f>BS!Q9</f>
        <v>289.11700000000002</v>
      </c>
      <c r="R136" s="661">
        <f>BS!R9</f>
        <v>278.416</v>
      </c>
      <c r="S136" s="661">
        <f>BS!S9</f>
        <v>266.10199999999998</v>
      </c>
      <c r="T136" s="661">
        <f>BS!T9</f>
        <v>237.36099999999999</v>
      </c>
      <c r="U136" s="661">
        <f>BS!U9</f>
        <v>216.11600000000001</v>
      </c>
      <c r="V136" s="661">
        <f t="shared" ref="V136:AC136" ca="1" si="256">V128-V134</f>
        <v>194.93296683809186</v>
      </c>
      <c r="W136" s="661">
        <f t="shared" ref="W136" ca="1" si="257">W128-W134</f>
        <v>194.93296683809186</v>
      </c>
      <c r="X136" s="661">
        <f t="shared" ca="1" si="256"/>
        <v>194.93296683809186</v>
      </c>
      <c r="Y136" s="661">
        <f t="shared" ca="1" si="256"/>
        <v>194.93296683809186</v>
      </c>
      <c r="Z136" s="661">
        <f t="shared" ca="1" si="256"/>
        <v>194.93296683809186</v>
      </c>
      <c r="AA136" s="661">
        <f t="shared" ca="1" si="256"/>
        <v>194.93296683809186</v>
      </c>
      <c r="AB136" s="661">
        <f t="shared" ca="1" si="256"/>
        <v>194.93296683809186</v>
      </c>
      <c r="AC136" s="661">
        <f t="shared" ca="1" si="256"/>
        <v>194.93296683809186</v>
      </c>
      <c r="AD136" s="661">
        <f t="shared" ref="AD136:AF136" ca="1" si="258">AD128-AD134</f>
        <v>194.93296683809186</v>
      </c>
      <c r="AE136" s="661">
        <f t="shared" ca="1" si="258"/>
        <v>194.93296683809186</v>
      </c>
      <c r="AF136" s="661">
        <f t="shared" ca="1" si="258"/>
        <v>194.93296683809186</v>
      </c>
      <c r="AG136" s="661">
        <f t="shared" ref="AG136" ca="1" si="259">AG128-AG134</f>
        <v>194.93296683809186</v>
      </c>
    </row>
    <row r="137" spans="1:33" x14ac:dyDescent="0.25">
      <c r="A137" s="601"/>
      <c r="B137" s="1659"/>
      <c r="C137" s="670"/>
      <c r="D137" s="670"/>
      <c r="E137" s="670"/>
      <c r="F137" s="670"/>
      <c r="G137" s="670"/>
      <c r="H137" s="670"/>
      <c r="I137" s="670"/>
      <c r="J137" s="670"/>
      <c r="K137" s="670"/>
      <c r="L137" s="670"/>
      <c r="M137" s="670"/>
      <c r="N137" s="670"/>
      <c r="O137" s="661"/>
      <c r="P137" s="670"/>
      <c r="Q137" s="670"/>
      <c r="R137" s="670"/>
      <c r="S137" s="670"/>
      <c r="T137" s="670"/>
      <c r="U137" s="670"/>
      <c r="V137" s="670"/>
      <c r="W137" s="670"/>
      <c r="X137" s="670"/>
      <c r="Y137" s="670"/>
      <c r="Z137" s="670"/>
      <c r="AA137" s="670"/>
      <c r="AB137" s="670"/>
      <c r="AC137" s="670"/>
      <c r="AD137" s="670"/>
      <c r="AE137" s="670"/>
      <c r="AF137" s="670"/>
      <c r="AG137" s="670"/>
    </row>
    <row r="138" spans="1:33" x14ac:dyDescent="0.25">
      <c r="A138" s="677" t="s">
        <v>2344</v>
      </c>
      <c r="B138" s="1676" t="s">
        <v>3025</v>
      </c>
      <c r="C138" s="497"/>
      <c r="D138" s="497"/>
      <c r="E138" s="497"/>
      <c r="F138" s="497"/>
      <c r="G138" s="497"/>
      <c r="H138" s="497"/>
      <c r="I138" s="497"/>
      <c r="J138" s="497">
        <f t="shared" ref="J138:AC138" si="260">J132/J128</f>
        <v>7.1561703864096729E-2</v>
      </c>
      <c r="K138" s="497">
        <f t="shared" si="260"/>
        <v>9.5416830565736702E-2</v>
      </c>
      <c r="L138" s="497">
        <f t="shared" si="260"/>
        <v>9.542050680655989E-2</v>
      </c>
      <c r="M138" s="497">
        <f t="shared" si="260"/>
        <v>5.3728259630831901E-2</v>
      </c>
      <c r="N138" s="497">
        <f t="shared" si="260"/>
        <v>3.9832069319196965E-2</v>
      </c>
      <c r="O138" s="497">
        <f t="shared" si="260"/>
        <v>3.9348529853485963E-2</v>
      </c>
      <c r="P138" s="497">
        <f t="shared" si="260"/>
        <v>3.9711199368109552E-2</v>
      </c>
      <c r="Q138" s="497">
        <f t="shared" si="260"/>
        <v>3.9948968473049531E-2</v>
      </c>
      <c r="R138" s="497">
        <f t="shared" si="260"/>
        <v>3.9811321615444623E-2</v>
      </c>
      <c r="S138" s="497">
        <f t="shared" si="260"/>
        <v>4.0786630103152685E-2</v>
      </c>
      <c r="T138" s="497">
        <f t="shared" si="260"/>
        <v>4.0269571471490608E-2</v>
      </c>
      <c r="U138" s="497">
        <f t="shared" si="260"/>
        <v>4.0128695564056446E-2</v>
      </c>
      <c r="V138" s="497">
        <f t="shared" si="260"/>
        <v>4.0135512248848079E-2</v>
      </c>
      <c r="W138" s="497">
        <f t="shared" ref="W138" si="261">W132/W128</f>
        <v>0</v>
      </c>
      <c r="X138" s="497">
        <f t="shared" si="260"/>
        <v>0</v>
      </c>
      <c r="Y138" s="497">
        <f t="shared" si="260"/>
        <v>0</v>
      </c>
      <c r="Z138" s="497">
        <f t="shared" si="260"/>
        <v>0</v>
      </c>
      <c r="AA138" s="497">
        <f t="shared" si="260"/>
        <v>0</v>
      </c>
      <c r="AB138" s="497">
        <f t="shared" si="260"/>
        <v>0</v>
      </c>
      <c r="AC138" s="497">
        <f t="shared" si="260"/>
        <v>0</v>
      </c>
      <c r="AD138" s="497">
        <f t="shared" ref="AD138:AF138" si="262">AD132/AD128</f>
        <v>0</v>
      </c>
      <c r="AE138" s="497">
        <f t="shared" si="262"/>
        <v>0</v>
      </c>
      <c r="AF138" s="497">
        <f t="shared" si="262"/>
        <v>0</v>
      </c>
      <c r="AG138" s="497">
        <f t="shared" ref="AG138" si="263">AG132/AG128</f>
        <v>0</v>
      </c>
    </row>
    <row r="139" spans="1:33" x14ac:dyDescent="0.25">
      <c r="B139" s="1645"/>
      <c r="C139" s="624"/>
      <c r="D139" s="624"/>
      <c r="E139" s="636"/>
      <c r="F139" s="636"/>
      <c r="G139" s="636"/>
      <c r="H139" s="636"/>
      <c r="I139" s="636"/>
      <c r="J139" s="636"/>
      <c r="K139" s="636"/>
      <c r="L139" s="636"/>
      <c r="M139" s="636"/>
      <c r="N139" s="636"/>
      <c r="O139" s="636"/>
      <c r="P139" s="636"/>
      <c r="Q139" s="636"/>
      <c r="R139" s="636"/>
      <c r="S139" s="636"/>
      <c r="T139" s="636"/>
      <c r="U139" s="636"/>
      <c r="V139" s="636"/>
      <c r="W139" s="636"/>
      <c r="X139" s="636"/>
    </row>
  </sheetData>
  <phoneticPr fontId="51" type="noConversion"/>
  <pageMargins left="0.75" right="0.75" top="1" bottom="1" header="0.5" footer="0.5"/>
  <pageSetup paperSize="9" scale="52"/>
  <headerFooter alignWithMargins="0">
    <oddHeader>&amp;A</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G82"/>
  <sheetViews>
    <sheetView showGridLines="0" zoomScale="145" zoomScaleNormal="145" workbookViewId="0">
      <pane xSplit="2" ySplit="2" topLeftCell="N3" activePane="bottomRight" state="frozen"/>
      <selection pane="topRight"/>
      <selection pane="bottomLeft"/>
      <selection pane="bottomRight" activeCell="AA20" sqref="AA20"/>
    </sheetView>
  </sheetViews>
  <sheetFormatPr defaultColWidth="9" defaultRowHeight="11.65" outlineLevelCol="1" x14ac:dyDescent="0.35"/>
  <cols>
    <col min="1" max="1" width="31.0625" style="674" hidden="1" customWidth="1" outlineLevel="1"/>
    <col min="2" max="2" width="25" style="674" customWidth="1" collapsed="1"/>
    <col min="3" max="13" width="8.0625" style="625" hidden="1" customWidth="1" outlineLevel="1"/>
    <col min="14" max="14" width="8.0625" style="625" customWidth="1" collapsed="1"/>
    <col min="15" max="23" width="8.0625" style="625" customWidth="1"/>
    <col min="24" max="33" width="8.0625" style="625" customWidth="1" outlineLevel="1"/>
    <col min="34" max="16384" width="9" style="625"/>
  </cols>
  <sheetData>
    <row r="1" spans="1:33" s="312" customFormat="1" x14ac:dyDescent="0.4">
      <c r="A1" s="314" t="s">
        <v>2011</v>
      </c>
      <c r="B1" s="314" t="s">
        <v>1763</v>
      </c>
      <c r="D1" s="619">
        <f>BS!D1</f>
        <v>0</v>
      </c>
      <c r="E1" s="619">
        <f>BS!E1</f>
        <v>0</v>
      </c>
      <c r="F1" s="619">
        <f>BS!F1</f>
        <v>0</v>
      </c>
      <c r="G1" s="619">
        <f>BS!G1</f>
        <v>0</v>
      </c>
      <c r="H1" s="619">
        <f>BS!H1</f>
        <v>0</v>
      </c>
      <c r="I1" s="619">
        <f>BS!I1</f>
        <v>0</v>
      </c>
      <c r="J1" s="619">
        <f>BS!J1</f>
        <v>0</v>
      </c>
      <c r="K1" s="619">
        <f>BS!K1</f>
        <v>0</v>
      </c>
      <c r="L1" s="619">
        <f>BS!L1</f>
        <v>0</v>
      </c>
      <c r="M1" s="619">
        <f>BS!M1</f>
        <v>0</v>
      </c>
      <c r="N1" s="619">
        <f>BS!N1</f>
        <v>0</v>
      </c>
      <c r="O1" s="619">
        <f>BS!O1</f>
        <v>0</v>
      </c>
      <c r="P1" s="619">
        <f>BS!P1</f>
        <v>0</v>
      </c>
      <c r="Q1" s="619">
        <f>BS!Q1</f>
        <v>0</v>
      </c>
      <c r="R1" s="619">
        <f>BS!R1</f>
        <v>0</v>
      </c>
      <c r="S1" s="619">
        <f>BS!S1</f>
        <v>0</v>
      </c>
      <c r="T1" s="619">
        <f>BS!T1</f>
        <v>0</v>
      </c>
      <c r="U1" s="619">
        <f>BS!U1</f>
        <v>0</v>
      </c>
      <c r="V1" s="619">
        <f>BS!V1</f>
        <v>0</v>
      </c>
      <c r="W1" s="619">
        <f>BS!W1</f>
        <v>0</v>
      </c>
      <c r="X1" s="619">
        <f ca="1">BS!X1</f>
        <v>0</v>
      </c>
      <c r="Y1" s="619">
        <f ca="1">BS!Y1</f>
        <v>0</v>
      </c>
      <c r="Z1" s="619">
        <f ca="1">BS!Z1</f>
        <v>0</v>
      </c>
      <c r="AA1" s="619">
        <f ca="1">BS!AA1</f>
        <v>0</v>
      </c>
      <c r="AB1" s="619">
        <f ca="1">BS!AB1</f>
        <v>0</v>
      </c>
      <c r="AC1" s="619">
        <f ca="1">BS!AC1</f>
        <v>0</v>
      </c>
      <c r="AD1" s="619">
        <f ca="1">BS!AD1</f>
        <v>0</v>
      </c>
      <c r="AE1" s="619">
        <f ca="1">BS!AE1</f>
        <v>0</v>
      </c>
      <c r="AF1" s="619">
        <f ca="1">BS!AF1</f>
        <v>0</v>
      </c>
      <c r="AG1" s="619">
        <f ca="1">BS!AG1</f>
        <v>0</v>
      </c>
    </row>
    <row r="2" spans="1:33" s="322" customFormat="1" x14ac:dyDescent="0.4">
      <c r="A2" s="318" t="s">
        <v>759</v>
      </c>
      <c r="B2" s="319" t="s">
        <v>1766</v>
      </c>
      <c r="C2" s="678"/>
      <c r="D2" s="678" t="s">
        <v>494</v>
      </c>
      <c r="E2" s="678" t="s">
        <v>198</v>
      </c>
      <c r="F2" s="678" t="s">
        <v>2345</v>
      </c>
      <c r="G2" s="678" t="s">
        <v>56</v>
      </c>
      <c r="H2" s="678" t="s">
        <v>721</v>
      </c>
      <c r="I2" s="678" t="s">
        <v>747</v>
      </c>
      <c r="J2" s="678" t="s">
        <v>1748</v>
      </c>
      <c r="K2" s="321" t="s">
        <v>2042</v>
      </c>
      <c r="L2" s="321" t="s">
        <v>1510</v>
      </c>
      <c r="M2" s="321" t="s">
        <v>1587</v>
      </c>
      <c r="N2" s="321" t="s">
        <v>1739</v>
      </c>
      <c r="O2" s="321" t="s">
        <v>1810</v>
      </c>
      <c r="P2" s="321" t="s">
        <v>1818</v>
      </c>
      <c r="Q2" s="321" t="str">
        <f>PL!Q3</f>
        <v>2019A</v>
      </c>
      <c r="R2" s="321" t="str">
        <f>PL!R3</f>
        <v>2020A</v>
      </c>
      <c r="S2" s="321" t="str">
        <f>PL!S3</f>
        <v>2021A</v>
      </c>
      <c r="T2" s="321" t="str">
        <f>PL!T3</f>
        <v>2022A</v>
      </c>
      <c r="U2" s="321" t="str">
        <f>PL!U3</f>
        <v>2023A</v>
      </c>
      <c r="V2" s="321" t="str">
        <f>PL!V3</f>
        <v>2024A</v>
      </c>
      <c r="W2" s="321" t="str">
        <f>PL!W3</f>
        <v>2025A</v>
      </c>
      <c r="X2" s="321" t="str">
        <f>PL!X3</f>
        <v>2026E</v>
      </c>
      <c r="Y2" s="321" t="str">
        <f>PL!Y3</f>
        <v>2027E</v>
      </c>
      <c r="Z2" s="321" t="str">
        <f>PL!Z3</f>
        <v>2028E</v>
      </c>
      <c r="AA2" s="321" t="str">
        <f>PL!AA3</f>
        <v>2029E</v>
      </c>
      <c r="AB2" s="321" t="str">
        <f>PL!AB3</f>
        <v>2030E</v>
      </c>
      <c r="AC2" s="321" t="str">
        <f>PL!AC3</f>
        <v>2031E</v>
      </c>
      <c r="AD2" s="321" t="str">
        <f>PL!AD3</f>
        <v>2032E</v>
      </c>
      <c r="AE2" s="321" t="str">
        <f>PL!AE3</f>
        <v>2033E</v>
      </c>
      <c r="AF2" s="321" t="str">
        <f>PL!AF3</f>
        <v>2034E</v>
      </c>
      <c r="AG2" s="321" t="str">
        <f>PL!AG3</f>
        <v>2035E</v>
      </c>
    </row>
    <row r="3" spans="1:33" ht="12" x14ac:dyDescent="0.35">
      <c r="A3" s="535"/>
      <c r="B3" s="620" t="s">
        <v>2047</v>
      </c>
      <c r="C3" s="679"/>
      <c r="D3" s="679"/>
      <c r="E3" s="679"/>
      <c r="F3" s="679"/>
      <c r="G3" s="679"/>
      <c r="H3" s="679"/>
      <c r="I3" s="679"/>
      <c r="J3" s="679"/>
      <c r="K3" s="679"/>
      <c r="L3" s="679"/>
      <c r="M3" s="679"/>
      <c r="N3" s="679"/>
      <c r="O3" s="679"/>
      <c r="P3" s="679"/>
      <c r="Q3" s="679"/>
      <c r="R3" s="679"/>
      <c r="S3" s="679"/>
      <c r="T3" s="679"/>
      <c r="U3" s="679"/>
      <c r="V3" s="679"/>
      <c r="W3" s="679"/>
      <c r="X3" s="679"/>
      <c r="Y3" s="679"/>
      <c r="Z3" s="679"/>
      <c r="AA3" s="679"/>
      <c r="AB3" s="679"/>
      <c r="AC3" s="679"/>
      <c r="AD3" s="679"/>
      <c r="AE3" s="679"/>
      <c r="AF3" s="679"/>
      <c r="AG3" s="679"/>
    </row>
    <row r="4" spans="1:33" ht="12" x14ac:dyDescent="0.35">
      <c r="A4" s="680" t="s">
        <v>2048</v>
      </c>
      <c r="B4" s="651" t="s">
        <v>1525</v>
      </c>
      <c r="C4" s="681"/>
      <c r="D4" s="681"/>
      <c r="E4" s="681"/>
      <c r="F4" s="681"/>
      <c r="G4" s="681"/>
      <c r="H4" s="681"/>
      <c r="I4" s="681"/>
      <c r="J4" s="681"/>
      <c r="K4" s="681"/>
      <c r="L4" s="681"/>
      <c r="M4" s="636"/>
      <c r="N4" s="636"/>
      <c r="O4" s="636"/>
      <c r="P4" s="636"/>
      <c r="Q4" s="636"/>
      <c r="R4" s="636"/>
      <c r="S4" s="636"/>
      <c r="T4" s="636"/>
      <c r="U4" s="636"/>
      <c r="V4" s="636"/>
      <c r="W4" s="636"/>
      <c r="X4" s="636"/>
      <c r="Y4" s="636"/>
      <c r="Z4" s="636"/>
      <c r="AA4" s="636"/>
      <c r="AB4" s="636"/>
      <c r="AC4" s="636"/>
      <c r="AD4" s="636"/>
      <c r="AE4" s="636"/>
      <c r="AF4" s="636"/>
      <c r="AG4" s="636"/>
    </row>
    <row r="5" spans="1:33" ht="12" x14ac:dyDescent="0.35">
      <c r="A5" s="682" t="s">
        <v>1862</v>
      </c>
      <c r="B5" s="674" t="s">
        <v>1526</v>
      </c>
      <c r="C5" s="681"/>
      <c r="D5" s="648">
        <v>50</v>
      </c>
      <c r="E5" s="648">
        <f t="shared" ref="E5:AC5" si="0">D8</f>
        <v>0</v>
      </c>
      <c r="F5" s="648">
        <f t="shared" si="0"/>
        <v>21.164999999999999</v>
      </c>
      <c r="G5" s="658">
        <f t="shared" si="0"/>
        <v>1000</v>
      </c>
      <c r="H5" s="658">
        <f t="shared" si="0"/>
        <v>1601.931</v>
      </c>
      <c r="I5" s="658">
        <f t="shared" si="0"/>
        <v>2880.3620000000001</v>
      </c>
      <c r="J5" s="658">
        <f t="shared" si="0"/>
        <v>4961.268</v>
      </c>
      <c r="K5" s="658">
        <f t="shared" si="0"/>
        <v>9996.3590000000004</v>
      </c>
      <c r="L5" s="658">
        <f t="shared" si="0"/>
        <v>8600.2579999999998</v>
      </c>
      <c r="M5" s="658">
        <f t="shared" si="0"/>
        <v>10361.804</v>
      </c>
      <c r="N5" s="658">
        <f t="shared" si="0"/>
        <v>13085.694</v>
      </c>
      <c r="O5" s="658">
        <f t="shared" si="0"/>
        <v>15849.056</v>
      </c>
      <c r="P5" s="658">
        <f t="shared" si="0"/>
        <v>20592.442999999999</v>
      </c>
      <c r="Q5" s="658">
        <f t="shared" si="0"/>
        <v>32033.95</v>
      </c>
      <c r="R5" s="658">
        <f t="shared" si="0"/>
        <v>29347.618000000002</v>
      </c>
      <c r="S5" s="658">
        <f t="shared" si="0"/>
        <v>35488.760999999999</v>
      </c>
      <c r="T5" s="658">
        <f t="shared" si="0"/>
        <v>47848.334999999999</v>
      </c>
      <c r="U5" s="658">
        <f t="shared" si="0"/>
        <v>45457.207000000002</v>
      </c>
      <c r="V5" s="658">
        <f t="shared" si="0"/>
        <v>51310.455999999998</v>
      </c>
      <c r="W5" s="658">
        <f t="shared" si="0"/>
        <v>54780.475999999995</v>
      </c>
      <c r="X5" s="658">
        <f t="shared" si="0"/>
        <v>57061.599999999999</v>
      </c>
      <c r="Y5" s="658">
        <f t="shared" si="0"/>
        <v>59388.34648</v>
      </c>
      <c r="Z5" s="658">
        <f t="shared" si="0"/>
        <v>61761.6278896</v>
      </c>
      <c r="AA5" s="658">
        <f t="shared" si="0"/>
        <v>64182.374927392004</v>
      </c>
      <c r="AB5" s="658">
        <f t="shared" si="0"/>
        <v>66651.536905939851</v>
      </c>
      <c r="AC5" s="658">
        <f t="shared" si="0"/>
        <v>69170.082124058652</v>
      </c>
      <c r="AD5" s="658">
        <f t="shared" ref="AD5" si="1">AC8</f>
        <v>71738.998246539835</v>
      </c>
      <c r="AE5" s="658">
        <f t="shared" ref="AE5" si="2">AD8</f>
        <v>74359.292691470633</v>
      </c>
      <c r="AF5" s="658">
        <f t="shared" ref="AF5:AG5" si="3">AE8</f>
        <v>77031.993025300049</v>
      </c>
      <c r="AG5" s="658">
        <f t="shared" si="3"/>
        <v>79758.147365806057</v>
      </c>
    </row>
    <row r="6" spans="1:33" ht="12" x14ac:dyDescent="0.35">
      <c r="A6" s="682" t="s">
        <v>2049</v>
      </c>
      <c r="B6" s="674" t="s">
        <v>2050</v>
      </c>
      <c r="C6" s="681"/>
      <c r="D6" s="648"/>
      <c r="E6" s="648"/>
      <c r="F6" s="648">
        <v>-21</v>
      </c>
      <c r="G6" s="658">
        <v>-500</v>
      </c>
      <c r="H6" s="658">
        <v>-499</v>
      </c>
      <c r="I6" s="658">
        <v>0</v>
      </c>
      <c r="J6" s="658">
        <v>0</v>
      </c>
      <c r="K6" s="658">
        <v>0</v>
      </c>
      <c r="L6" s="658">
        <v>0</v>
      </c>
      <c r="M6" s="658">
        <v>0</v>
      </c>
      <c r="N6" s="683">
        <v>0</v>
      </c>
      <c r="O6" s="683">
        <v>0</v>
      </c>
      <c r="P6" s="683">
        <v>0</v>
      </c>
      <c r="Q6" s="683">
        <v>0</v>
      </c>
      <c r="R6" s="683">
        <v>0</v>
      </c>
      <c r="S6" s="683">
        <v>0</v>
      </c>
      <c r="T6" s="683">
        <v>0</v>
      </c>
      <c r="U6" s="683">
        <v>0</v>
      </c>
      <c r="V6" s="683">
        <v>0</v>
      </c>
      <c r="W6" s="683">
        <v>0</v>
      </c>
      <c r="X6" s="684"/>
      <c r="Y6" s="684"/>
      <c r="Z6" s="684"/>
      <c r="AA6" s="684"/>
      <c r="AB6" s="684"/>
      <c r="AC6" s="684"/>
      <c r="AD6" s="684"/>
      <c r="AE6" s="684"/>
      <c r="AF6" s="684"/>
      <c r="AG6" s="684"/>
    </row>
    <row r="7" spans="1:33" ht="12" x14ac:dyDescent="0.35">
      <c r="A7" s="682" t="s">
        <v>1863</v>
      </c>
      <c r="B7" s="674" t="s">
        <v>1527</v>
      </c>
      <c r="C7" s="685"/>
      <c r="D7" s="648">
        <f>D8-D5</f>
        <v>-50</v>
      </c>
      <c r="E7" s="648">
        <f>E8-E5</f>
        <v>21.164999999999999</v>
      </c>
      <c r="F7" s="648">
        <f t="shared" ref="F7:T7" si="4">F8-F5-F6</f>
        <v>999.83500000000004</v>
      </c>
      <c r="G7" s="658">
        <f t="shared" si="4"/>
        <v>1101.931</v>
      </c>
      <c r="H7" s="658">
        <f t="shared" si="4"/>
        <v>1777.431</v>
      </c>
      <c r="I7" s="658">
        <f t="shared" si="4"/>
        <v>2080.9059999999999</v>
      </c>
      <c r="J7" s="658">
        <f t="shared" si="4"/>
        <v>5035.0910000000003</v>
      </c>
      <c r="K7" s="658">
        <f t="shared" si="4"/>
        <v>-1396.1010000000006</v>
      </c>
      <c r="L7" s="658">
        <f t="shared" si="4"/>
        <v>1761.5460000000003</v>
      </c>
      <c r="M7" s="658">
        <f t="shared" si="4"/>
        <v>2723.8899999999994</v>
      </c>
      <c r="N7" s="658">
        <f t="shared" si="4"/>
        <v>2763.362000000001</v>
      </c>
      <c r="O7" s="658">
        <f t="shared" si="4"/>
        <v>4743.3869999999988</v>
      </c>
      <c r="P7" s="658">
        <f t="shared" si="4"/>
        <v>11441.507000000001</v>
      </c>
      <c r="Q7" s="658">
        <f t="shared" si="4"/>
        <v>-2686.3319999999985</v>
      </c>
      <c r="R7" s="658">
        <f t="shared" si="4"/>
        <v>6141.1429999999964</v>
      </c>
      <c r="S7" s="658">
        <f t="shared" si="4"/>
        <v>12359.574000000001</v>
      </c>
      <c r="T7" s="658">
        <f t="shared" si="4"/>
        <v>-2391.127999999997</v>
      </c>
      <c r="U7" s="658">
        <f t="shared" ref="U7" si="5">U8-U5-U6</f>
        <v>5853.2489999999962</v>
      </c>
      <c r="V7" s="658">
        <f>V8-V5-V6</f>
        <v>3470.0199999999968</v>
      </c>
      <c r="W7" s="658">
        <f>W8-W5-W6</f>
        <v>2281.1240000000034</v>
      </c>
      <c r="X7" s="686">
        <f>W7*1.02</f>
        <v>2326.7464800000034</v>
      </c>
      <c r="Y7" s="686">
        <f t="shared" ref="Y7:AG7" si="6">X7*1.02</f>
        <v>2373.2814096000034</v>
      </c>
      <c r="Z7" s="686">
        <f t="shared" si="6"/>
        <v>2420.7470377920035</v>
      </c>
      <c r="AA7" s="686">
        <f t="shared" si="6"/>
        <v>2469.1619785478438</v>
      </c>
      <c r="AB7" s="686">
        <f t="shared" si="6"/>
        <v>2518.5452181188007</v>
      </c>
      <c r="AC7" s="686">
        <f t="shared" si="6"/>
        <v>2568.9161224811769</v>
      </c>
      <c r="AD7" s="686">
        <f t="shared" si="6"/>
        <v>2620.2944449308006</v>
      </c>
      <c r="AE7" s="686">
        <f t="shared" si="6"/>
        <v>2672.7003338294166</v>
      </c>
      <c r="AF7" s="686">
        <f t="shared" si="6"/>
        <v>2726.1543405060052</v>
      </c>
      <c r="AG7" s="686">
        <f t="shared" si="6"/>
        <v>2780.6774273161254</v>
      </c>
    </row>
    <row r="8" spans="1:33" s="646" customFormat="1" ht="12" x14ac:dyDescent="0.35">
      <c r="A8" s="680" t="s">
        <v>2051</v>
      </c>
      <c r="B8" s="651" t="s">
        <v>1528</v>
      </c>
      <c r="C8" s="681"/>
      <c r="D8" s="648">
        <f>BS!D50</f>
        <v>0</v>
      </c>
      <c r="E8" s="648">
        <f>BS!E50</f>
        <v>21.164999999999999</v>
      </c>
      <c r="F8" s="648">
        <f>BS!F50</f>
        <v>1000</v>
      </c>
      <c r="G8" s="648">
        <f>BS!G50</f>
        <v>1601.931</v>
      </c>
      <c r="H8" s="648">
        <f>BS!H50</f>
        <v>2880.3620000000001</v>
      </c>
      <c r="I8" s="648">
        <f>BS!I50</f>
        <v>4961.268</v>
      </c>
      <c r="J8" s="648">
        <f>BS!J50</f>
        <v>9996.3590000000004</v>
      </c>
      <c r="K8" s="648">
        <f>BS!K50</f>
        <v>8600.2579999999998</v>
      </c>
      <c r="L8" s="648">
        <f>BS!L50</f>
        <v>10361.804</v>
      </c>
      <c r="M8" s="648">
        <f>BS!M50</f>
        <v>13085.694</v>
      </c>
      <c r="N8" s="648">
        <f>BS!N50</f>
        <v>15849.056</v>
      </c>
      <c r="O8" s="648">
        <f>BS!O50</f>
        <v>20592.442999999999</v>
      </c>
      <c r="P8" s="648">
        <f>BS!P50</f>
        <v>32033.95</v>
      </c>
      <c r="Q8" s="648">
        <f>BS!Q50</f>
        <v>29347.618000000002</v>
      </c>
      <c r="R8" s="648">
        <f>BS!R50</f>
        <v>35488.760999999999</v>
      </c>
      <c r="S8" s="648">
        <f>BS!S50</f>
        <v>47848.334999999999</v>
      </c>
      <c r="T8" s="648">
        <f>BS!T50</f>
        <v>45457.207000000002</v>
      </c>
      <c r="U8" s="648">
        <f>BS!U50</f>
        <v>51310.455999999998</v>
      </c>
      <c r="V8" s="648">
        <f>BS!V50</f>
        <v>54780.475999999995</v>
      </c>
      <c r="W8" s="648">
        <f>BS!W50</f>
        <v>57061.599999999999</v>
      </c>
      <c r="X8" s="648">
        <f t="shared" ref="X8:AC8" si="7">SUM(X5:X7)</f>
        <v>59388.34648</v>
      </c>
      <c r="Y8" s="648">
        <f t="shared" si="7"/>
        <v>61761.6278896</v>
      </c>
      <c r="Z8" s="648">
        <f t="shared" si="7"/>
        <v>64182.374927392004</v>
      </c>
      <c r="AA8" s="648">
        <f t="shared" si="7"/>
        <v>66651.536905939851</v>
      </c>
      <c r="AB8" s="648">
        <f t="shared" si="7"/>
        <v>69170.082124058652</v>
      </c>
      <c r="AC8" s="648">
        <f t="shared" si="7"/>
        <v>71738.998246539835</v>
      </c>
      <c r="AD8" s="648">
        <f t="shared" ref="AD8:AF8" si="8">SUM(AD5:AD7)</f>
        <v>74359.292691470633</v>
      </c>
      <c r="AE8" s="648">
        <f t="shared" si="8"/>
        <v>77031.993025300049</v>
      </c>
      <c r="AF8" s="648">
        <f t="shared" si="8"/>
        <v>79758.147365806057</v>
      </c>
      <c r="AG8" s="648">
        <f t="shared" ref="AG8" si="9">SUM(AG5:AG7)</f>
        <v>82538.824793122185</v>
      </c>
    </row>
    <row r="9" spans="1:33" x14ac:dyDescent="0.35">
      <c r="A9" s="682"/>
      <c r="C9" s="687"/>
      <c r="D9" s="687"/>
      <c r="E9" s="687"/>
      <c r="F9" s="681"/>
      <c r="G9" s="657"/>
      <c r="H9" s="657"/>
      <c r="I9" s="657"/>
      <c r="J9" s="657"/>
      <c r="K9" s="657"/>
      <c r="L9" s="657"/>
      <c r="M9" s="688"/>
      <c r="N9" s="688"/>
      <c r="O9" s="688"/>
      <c r="P9" s="688"/>
      <c r="Q9" s="688"/>
      <c r="R9" s="688"/>
      <c r="S9" s="688"/>
      <c r="T9" s="688"/>
      <c r="U9" s="688"/>
      <c r="V9" s="688"/>
      <c r="W9" s="688"/>
      <c r="X9" s="688"/>
      <c r="Y9" s="688"/>
      <c r="Z9" s="688"/>
      <c r="AA9" s="688"/>
      <c r="AB9" s="688"/>
      <c r="AC9" s="688"/>
      <c r="AD9" s="688"/>
      <c r="AE9" s="688"/>
      <c r="AF9" s="688"/>
      <c r="AG9" s="688"/>
    </row>
    <row r="10" spans="1:33" ht="12" x14ac:dyDescent="0.35">
      <c r="A10" s="682" t="s">
        <v>1864</v>
      </c>
      <c r="B10" s="651" t="s">
        <v>1529</v>
      </c>
      <c r="C10" s="681"/>
      <c r="D10" s="681"/>
      <c r="E10" s="681"/>
      <c r="F10" s="681"/>
      <c r="G10" s="657"/>
      <c r="H10" s="657"/>
      <c r="I10" s="657"/>
      <c r="J10" s="657"/>
      <c r="K10" s="657"/>
      <c r="L10" s="657"/>
      <c r="M10" s="688"/>
      <c r="N10" s="688"/>
      <c r="O10" s="688"/>
      <c r="P10" s="688"/>
      <c r="Q10" s="688"/>
      <c r="R10" s="688"/>
      <c r="S10" s="688"/>
      <c r="T10" s="688"/>
      <c r="U10" s="688"/>
      <c r="V10" s="688"/>
      <c r="W10" s="688"/>
      <c r="X10" s="688"/>
      <c r="Y10" s="688"/>
      <c r="Z10" s="688"/>
      <c r="AA10" s="688"/>
      <c r="AB10" s="688"/>
      <c r="AC10" s="688"/>
      <c r="AD10" s="688"/>
      <c r="AE10" s="688"/>
      <c r="AF10" s="688"/>
      <c r="AG10" s="688"/>
    </row>
    <row r="11" spans="1:33" ht="12" x14ac:dyDescent="0.35">
      <c r="A11" s="682" t="s">
        <v>1862</v>
      </c>
      <c r="B11" s="674" t="s">
        <v>1526</v>
      </c>
      <c r="C11" s="657"/>
      <c r="D11" s="658">
        <v>3.47</v>
      </c>
      <c r="E11" s="658">
        <f t="shared" ref="E11:AC11" si="10">D14</f>
        <v>0</v>
      </c>
      <c r="F11" s="658">
        <f t="shared" si="10"/>
        <v>29.728999999999999</v>
      </c>
      <c r="G11" s="658">
        <f t="shared" si="10"/>
        <v>37.128</v>
      </c>
      <c r="H11" s="658">
        <f t="shared" si="10"/>
        <v>21.956</v>
      </c>
      <c r="I11" s="658">
        <f t="shared" si="10"/>
        <v>0</v>
      </c>
      <c r="J11" s="658">
        <f t="shared" si="10"/>
        <v>357.71600000000001</v>
      </c>
      <c r="K11" s="658">
        <f t="shared" si="10"/>
        <v>48.78</v>
      </c>
      <c r="L11" s="658">
        <f t="shared" si="10"/>
        <v>261.88900000000001</v>
      </c>
      <c r="M11" s="658">
        <f t="shared" si="10"/>
        <v>587.26900000000001</v>
      </c>
      <c r="N11" s="658">
        <f t="shared" si="10"/>
        <v>808.197</v>
      </c>
      <c r="O11" s="658">
        <f t="shared" si="10"/>
        <v>1455.62</v>
      </c>
      <c r="P11" s="658">
        <f t="shared" si="10"/>
        <v>2580.59</v>
      </c>
      <c r="Q11" s="658">
        <f t="shared" si="10"/>
        <v>2795.8319999999999</v>
      </c>
      <c r="R11" s="658">
        <f t="shared" si="10"/>
        <v>10040.968000000001</v>
      </c>
      <c r="S11" s="658">
        <f t="shared" si="10"/>
        <v>9707.491</v>
      </c>
      <c r="T11" s="658">
        <f t="shared" si="10"/>
        <v>10104.945</v>
      </c>
      <c r="U11" s="658">
        <f t="shared" si="10"/>
        <v>13719.656999999999</v>
      </c>
      <c r="V11" s="658">
        <f t="shared" si="10"/>
        <v>16515.007000000001</v>
      </c>
      <c r="W11" s="658">
        <f t="shared" si="10"/>
        <v>13295.755999999999</v>
      </c>
      <c r="X11" s="658">
        <f t="shared" si="10"/>
        <v>15096.37</v>
      </c>
      <c r="Y11" s="658">
        <f t="shared" si="10"/>
        <v>16932.996280000003</v>
      </c>
      <c r="Z11" s="658">
        <f t="shared" si="10"/>
        <v>18806.355085600004</v>
      </c>
      <c r="AA11" s="658">
        <f t="shared" si="10"/>
        <v>20717.181067312005</v>
      </c>
      <c r="AB11" s="658">
        <f t="shared" si="10"/>
        <v>22666.223568658246</v>
      </c>
      <c r="AC11" s="658">
        <f t="shared" si="10"/>
        <v>24654.246920031412</v>
      </c>
      <c r="AD11" s="658">
        <f t="shared" ref="AD11" si="11">AC14</f>
        <v>26682.03073843204</v>
      </c>
      <c r="AE11" s="658">
        <f t="shared" ref="AE11" si="12">AD14</f>
        <v>28750.370233200683</v>
      </c>
      <c r="AF11" s="658">
        <f t="shared" ref="AF11:AG11" si="13">AE14</f>
        <v>30860.076517864698</v>
      </c>
      <c r="AG11" s="658">
        <f t="shared" si="13"/>
        <v>33011.976928221993</v>
      </c>
    </row>
    <row r="12" spans="1:33" ht="12" x14ac:dyDescent="0.35">
      <c r="A12" s="682" t="s">
        <v>2049</v>
      </c>
      <c r="B12" s="674" t="s">
        <v>2050</v>
      </c>
      <c r="C12" s="657"/>
      <c r="D12" s="658"/>
      <c r="E12" s="658"/>
      <c r="F12" s="658"/>
      <c r="G12" s="658"/>
      <c r="H12" s="658"/>
      <c r="I12" s="658">
        <v>0</v>
      </c>
      <c r="J12" s="658">
        <v>0</v>
      </c>
      <c r="K12" s="658">
        <v>0</v>
      </c>
      <c r="L12" s="658">
        <v>0</v>
      </c>
      <c r="M12" s="658">
        <v>0</v>
      </c>
      <c r="N12" s="683">
        <v>0</v>
      </c>
      <c r="O12" s="683">
        <v>0</v>
      </c>
      <c r="P12" s="683">
        <v>0</v>
      </c>
      <c r="Q12" s="683">
        <v>0</v>
      </c>
      <c r="R12" s="683">
        <v>0</v>
      </c>
      <c r="S12" s="683">
        <v>0</v>
      </c>
      <c r="T12" s="683">
        <v>0</v>
      </c>
      <c r="U12" s="683">
        <v>0</v>
      </c>
      <c r="V12" s="683">
        <v>0</v>
      </c>
      <c r="W12" s="683">
        <v>0</v>
      </c>
      <c r="X12" s="684"/>
      <c r="Y12" s="684"/>
      <c r="Z12" s="684"/>
      <c r="AA12" s="684"/>
      <c r="AB12" s="684"/>
      <c r="AC12" s="684"/>
      <c r="AD12" s="684"/>
      <c r="AE12" s="684"/>
      <c r="AF12" s="684"/>
      <c r="AG12" s="684"/>
    </row>
    <row r="13" spans="1:33" ht="12" x14ac:dyDescent="0.35">
      <c r="A13" s="682" t="s">
        <v>1863</v>
      </c>
      <c r="B13" s="674" t="s">
        <v>1527</v>
      </c>
      <c r="C13" s="689"/>
      <c r="D13" s="658">
        <f t="shared" ref="D13:T13" si="14">D14-D11</f>
        <v>-3.47</v>
      </c>
      <c r="E13" s="658">
        <f t="shared" si="14"/>
        <v>29.728999999999999</v>
      </c>
      <c r="F13" s="658">
        <f t="shared" si="14"/>
        <v>7.3990000000000009</v>
      </c>
      <c r="G13" s="658">
        <f t="shared" si="14"/>
        <v>-15.172000000000001</v>
      </c>
      <c r="H13" s="658">
        <f t="shared" si="14"/>
        <v>-21.956</v>
      </c>
      <c r="I13" s="658">
        <f t="shared" si="14"/>
        <v>357.71600000000001</v>
      </c>
      <c r="J13" s="658">
        <f t="shared" si="14"/>
        <v>-308.93600000000004</v>
      </c>
      <c r="K13" s="658">
        <f t="shared" si="14"/>
        <v>213.10900000000001</v>
      </c>
      <c r="L13" s="658">
        <f t="shared" si="14"/>
        <v>325.38</v>
      </c>
      <c r="M13" s="658">
        <f t="shared" si="14"/>
        <v>220.928</v>
      </c>
      <c r="N13" s="658">
        <f t="shared" si="14"/>
        <v>647.42299999999989</v>
      </c>
      <c r="O13" s="658">
        <f t="shared" si="14"/>
        <v>1124.9700000000003</v>
      </c>
      <c r="P13" s="658">
        <f t="shared" si="14"/>
        <v>215.24199999999973</v>
      </c>
      <c r="Q13" s="658">
        <f t="shared" si="14"/>
        <v>7245.1360000000004</v>
      </c>
      <c r="R13" s="658">
        <f t="shared" si="14"/>
        <v>-333.47700000000077</v>
      </c>
      <c r="S13" s="658">
        <f t="shared" si="14"/>
        <v>397.45399999999972</v>
      </c>
      <c r="T13" s="658">
        <f t="shared" si="14"/>
        <v>3614.7119999999995</v>
      </c>
      <c r="U13" s="658">
        <f t="shared" ref="U13:V13" si="15">U14-U11</f>
        <v>2795.3500000000022</v>
      </c>
      <c r="V13" s="658">
        <f t="shared" si="15"/>
        <v>-3219.251000000002</v>
      </c>
      <c r="W13" s="658">
        <f t="shared" ref="W13" si="16">W14-W11</f>
        <v>1800.6140000000014</v>
      </c>
      <c r="X13" s="686">
        <f>W13*1.02</f>
        <v>1836.6262800000015</v>
      </c>
      <c r="Y13" s="686">
        <f t="shared" ref="Y13:AG13" si="17">X13*1.02</f>
        <v>1873.3588056000017</v>
      </c>
      <c r="Z13" s="686">
        <f t="shared" si="17"/>
        <v>1910.8259817120017</v>
      </c>
      <c r="AA13" s="686">
        <f t="shared" si="17"/>
        <v>1949.0425013462418</v>
      </c>
      <c r="AB13" s="686">
        <f t="shared" si="17"/>
        <v>1988.0233513731666</v>
      </c>
      <c r="AC13" s="686">
        <f t="shared" si="17"/>
        <v>2027.78381840063</v>
      </c>
      <c r="AD13" s="686">
        <f t="shared" si="17"/>
        <v>2068.3394947686425</v>
      </c>
      <c r="AE13" s="686">
        <f t="shared" si="17"/>
        <v>2109.7062846640151</v>
      </c>
      <c r="AF13" s="686">
        <f t="shared" si="17"/>
        <v>2151.9004103572956</v>
      </c>
      <c r="AG13" s="686">
        <f t="shared" si="17"/>
        <v>2194.9384185644417</v>
      </c>
    </row>
    <row r="14" spans="1:33" s="646" customFormat="1" ht="12" x14ac:dyDescent="0.35">
      <c r="A14" s="680" t="s">
        <v>2051</v>
      </c>
      <c r="B14" s="651" t="s">
        <v>1528</v>
      </c>
      <c r="C14" s="681"/>
      <c r="D14" s="648">
        <f>BS!D66</f>
        <v>0</v>
      </c>
      <c r="E14" s="648">
        <f>BS!E66</f>
        <v>29.728999999999999</v>
      </c>
      <c r="F14" s="648">
        <f>BS!F66</f>
        <v>37.128</v>
      </c>
      <c r="G14" s="648">
        <f>BS!G66</f>
        <v>21.956</v>
      </c>
      <c r="H14" s="648">
        <f>BS!H66</f>
        <v>0</v>
      </c>
      <c r="I14" s="648">
        <f>BS!I66</f>
        <v>357.71600000000001</v>
      </c>
      <c r="J14" s="648">
        <f>BS!J66</f>
        <v>48.78</v>
      </c>
      <c r="K14" s="648">
        <f>BS!K66</f>
        <v>261.88900000000001</v>
      </c>
      <c r="L14" s="648">
        <f>BS!L66</f>
        <v>587.26900000000001</v>
      </c>
      <c r="M14" s="648">
        <f>BS!M66</f>
        <v>808.197</v>
      </c>
      <c r="N14" s="648">
        <f>BS!N66</f>
        <v>1455.62</v>
      </c>
      <c r="O14" s="648">
        <f>BS!O66</f>
        <v>2580.59</v>
      </c>
      <c r="P14" s="648">
        <f>BS!P66</f>
        <v>2795.8319999999999</v>
      </c>
      <c r="Q14" s="648">
        <f>BS!Q66</f>
        <v>10040.968000000001</v>
      </c>
      <c r="R14" s="648">
        <f>BS!R66</f>
        <v>9707.491</v>
      </c>
      <c r="S14" s="648">
        <f>BS!S66</f>
        <v>10104.945</v>
      </c>
      <c r="T14" s="648">
        <f>BS!T66</f>
        <v>13719.656999999999</v>
      </c>
      <c r="U14" s="648">
        <f>BS!U66</f>
        <v>16515.007000000001</v>
      </c>
      <c r="V14" s="648">
        <f>BS!V66</f>
        <v>13295.755999999999</v>
      </c>
      <c r="W14" s="648">
        <f>BS!W66</f>
        <v>15096.37</v>
      </c>
      <c r="X14" s="648">
        <f t="shared" ref="X14:AC14" si="18">SUM(X11:X13)</f>
        <v>16932.996280000003</v>
      </c>
      <c r="Y14" s="648">
        <f t="shared" si="18"/>
        <v>18806.355085600004</v>
      </c>
      <c r="Z14" s="648">
        <f t="shared" si="18"/>
        <v>20717.181067312005</v>
      </c>
      <c r="AA14" s="648">
        <f t="shared" si="18"/>
        <v>22666.223568658246</v>
      </c>
      <c r="AB14" s="648">
        <f t="shared" si="18"/>
        <v>24654.246920031412</v>
      </c>
      <c r="AC14" s="648">
        <f t="shared" si="18"/>
        <v>26682.03073843204</v>
      </c>
      <c r="AD14" s="648">
        <f t="shared" ref="AD14:AF14" si="19">SUM(AD11:AD13)</f>
        <v>28750.370233200683</v>
      </c>
      <c r="AE14" s="648">
        <f t="shared" si="19"/>
        <v>30860.076517864698</v>
      </c>
      <c r="AF14" s="648">
        <f t="shared" si="19"/>
        <v>33011.976928221993</v>
      </c>
      <c r="AG14" s="648">
        <f t="shared" ref="AG14" si="20">SUM(AG11:AG13)</f>
        <v>35206.915346786438</v>
      </c>
    </row>
    <row r="15" spans="1:33" x14ac:dyDescent="0.35">
      <c r="A15" s="682"/>
      <c r="C15" s="687"/>
      <c r="D15" s="687"/>
      <c r="E15" s="687"/>
      <c r="F15" s="681"/>
      <c r="G15" s="657"/>
      <c r="H15" s="657"/>
      <c r="I15" s="657"/>
      <c r="J15" s="657"/>
      <c r="K15" s="657"/>
      <c r="L15" s="657"/>
      <c r="M15" s="688"/>
      <c r="N15" s="688"/>
      <c r="O15" s="688"/>
      <c r="P15" s="688"/>
      <c r="Q15" s="688"/>
      <c r="R15" s="688"/>
      <c r="S15" s="688"/>
      <c r="T15" s="688"/>
      <c r="U15" s="688"/>
      <c r="V15" s="688"/>
      <c r="W15" s="688"/>
      <c r="X15" s="688"/>
      <c r="Y15" s="688"/>
      <c r="Z15" s="688"/>
      <c r="AA15" s="688"/>
      <c r="AB15" s="688"/>
      <c r="AC15" s="688"/>
      <c r="AD15" s="688"/>
      <c r="AE15" s="688"/>
      <c r="AF15" s="688"/>
      <c r="AG15" s="688"/>
    </row>
    <row r="16" spans="1:33" s="646" customFormat="1" ht="12" x14ac:dyDescent="0.35">
      <c r="A16" s="680" t="s">
        <v>2052</v>
      </c>
      <c r="B16" s="651" t="s">
        <v>2053</v>
      </c>
      <c r="C16" s="687"/>
      <c r="D16" s="690">
        <f t="shared" ref="D16:AC16" si="21">D8+D14</f>
        <v>0</v>
      </c>
      <c r="E16" s="690">
        <f t="shared" si="21"/>
        <v>50.893999999999998</v>
      </c>
      <c r="F16" s="690">
        <f t="shared" si="21"/>
        <v>1037.1279999999999</v>
      </c>
      <c r="G16" s="690">
        <f t="shared" si="21"/>
        <v>1623.8869999999999</v>
      </c>
      <c r="H16" s="690">
        <f t="shared" si="21"/>
        <v>2880.3620000000001</v>
      </c>
      <c r="I16" s="690">
        <f t="shared" si="21"/>
        <v>5318.9840000000004</v>
      </c>
      <c r="J16" s="690">
        <f t="shared" si="21"/>
        <v>10045.139000000001</v>
      </c>
      <c r="K16" s="690">
        <f t="shared" si="21"/>
        <v>8862.146999999999</v>
      </c>
      <c r="L16" s="690">
        <f t="shared" si="21"/>
        <v>10949.073</v>
      </c>
      <c r="M16" s="690">
        <f t="shared" si="21"/>
        <v>13893.891</v>
      </c>
      <c r="N16" s="690">
        <f t="shared" si="21"/>
        <v>17304.675999999999</v>
      </c>
      <c r="O16" s="690">
        <f t="shared" si="21"/>
        <v>23173.032999999999</v>
      </c>
      <c r="P16" s="690">
        <f t="shared" si="21"/>
        <v>34829.781999999999</v>
      </c>
      <c r="Q16" s="690">
        <f t="shared" si="21"/>
        <v>39388.586000000003</v>
      </c>
      <c r="R16" s="690">
        <f t="shared" si="21"/>
        <v>45196.252</v>
      </c>
      <c r="S16" s="690">
        <f t="shared" si="21"/>
        <v>57953.279999999999</v>
      </c>
      <c r="T16" s="690">
        <f t="shared" si="21"/>
        <v>59176.864000000001</v>
      </c>
      <c r="U16" s="690">
        <f t="shared" ref="U16:V16" si="22">U8+U14</f>
        <v>67825.463000000003</v>
      </c>
      <c r="V16" s="690">
        <f t="shared" si="22"/>
        <v>68076.231999999989</v>
      </c>
      <c r="W16" s="690">
        <f t="shared" si="21"/>
        <v>72157.97</v>
      </c>
      <c r="X16" s="690">
        <f t="shared" si="21"/>
        <v>76321.34276</v>
      </c>
      <c r="Y16" s="690">
        <f t="shared" si="21"/>
        <v>80567.982975200008</v>
      </c>
      <c r="Z16" s="690">
        <f t="shared" si="21"/>
        <v>84899.555994704016</v>
      </c>
      <c r="AA16" s="690">
        <f t="shared" si="21"/>
        <v>89317.760474598093</v>
      </c>
      <c r="AB16" s="690">
        <f t="shared" si="21"/>
        <v>93824.32904409006</v>
      </c>
      <c r="AC16" s="690">
        <f t="shared" si="21"/>
        <v>98421.028984971868</v>
      </c>
      <c r="AD16" s="690">
        <f t="shared" ref="AD16:AF16" si="23">AD8+AD14</f>
        <v>103109.66292467131</v>
      </c>
      <c r="AE16" s="690">
        <f t="shared" si="23"/>
        <v>107892.06954316475</v>
      </c>
      <c r="AF16" s="690">
        <f t="shared" si="23"/>
        <v>112770.12429402805</v>
      </c>
      <c r="AG16" s="690">
        <f t="shared" ref="AG16" si="24">AG8+AG14</f>
        <v>117745.74013990862</v>
      </c>
    </row>
    <row r="17" spans="1:33" ht="12" x14ac:dyDescent="0.35">
      <c r="A17" s="682" t="s">
        <v>1638</v>
      </c>
      <c r="B17" s="674" t="s">
        <v>1816</v>
      </c>
      <c r="C17" s="624"/>
      <c r="D17" s="342"/>
      <c r="E17" s="342">
        <f t="shared" ref="E17:AC17" si="25">E64</f>
        <v>1.7929999999999999</v>
      </c>
      <c r="F17" s="342">
        <f t="shared" si="25"/>
        <v>14.182</v>
      </c>
      <c r="G17" s="342">
        <f t="shared" si="25"/>
        <v>21.905999999999999</v>
      </c>
      <c r="H17" s="342">
        <f t="shared" si="25"/>
        <v>106.386</v>
      </c>
      <c r="I17" s="342">
        <f t="shared" si="25"/>
        <v>183.755</v>
      </c>
      <c r="J17" s="342">
        <f t="shared" si="25"/>
        <v>319.61599999999999</v>
      </c>
      <c r="K17" s="342">
        <f t="shared" si="25"/>
        <v>556.34</v>
      </c>
      <c r="L17" s="342">
        <f t="shared" si="25"/>
        <v>700.73</v>
      </c>
      <c r="M17" s="342">
        <f t="shared" si="25"/>
        <v>426.68299999999999</v>
      </c>
      <c r="N17" s="342">
        <f t="shared" si="25"/>
        <v>501.11</v>
      </c>
      <c r="O17" s="342">
        <f t="shared" si="25"/>
        <v>873.16</v>
      </c>
      <c r="P17" s="342">
        <f t="shared" si="25"/>
        <v>1482.1980000000001</v>
      </c>
      <c r="Q17" s="342">
        <f t="shared" si="25"/>
        <v>1810.3320000000001</v>
      </c>
      <c r="R17" s="342">
        <f t="shared" si="25"/>
        <v>2060.71</v>
      </c>
      <c r="S17" s="342">
        <f t="shared" si="25"/>
        <v>2066.86</v>
      </c>
      <c r="T17" s="342">
        <f t="shared" si="25"/>
        <v>2319.4720000000002</v>
      </c>
      <c r="U17" s="342">
        <f t="shared" ref="U17:V17" si="26">U64</f>
        <v>2727.07</v>
      </c>
      <c r="V17" s="342">
        <f t="shared" si="26"/>
        <v>2555.002</v>
      </c>
      <c r="W17" s="342">
        <f t="shared" si="25"/>
        <v>2112.6570000000002</v>
      </c>
      <c r="X17" s="342">
        <f t="shared" si="25"/>
        <v>2236.8712837799967</v>
      </c>
      <c r="Y17" s="342">
        <f t="shared" si="25"/>
        <v>2363.5698532355932</v>
      </c>
      <c r="Z17" s="342">
        <f t="shared" si="25"/>
        <v>2492.8023940803009</v>
      </c>
      <c r="AA17" s="342">
        <f t="shared" si="25"/>
        <v>2624.6195857419038</v>
      </c>
      <c r="AB17" s="342">
        <f t="shared" si="25"/>
        <v>2759.0731212367382</v>
      </c>
      <c r="AC17" s="342">
        <f t="shared" si="25"/>
        <v>2896.2157274414694</v>
      </c>
      <c r="AD17" s="342">
        <f t="shared" ref="AD17:AF17" si="27">AD64</f>
        <v>3036.1011857702952</v>
      </c>
      <c r="AE17" s="342">
        <f t="shared" si="27"/>
        <v>3178.7843532656975</v>
      </c>
      <c r="AF17" s="342">
        <f t="shared" si="27"/>
        <v>3324.3211841110078</v>
      </c>
      <c r="AG17" s="342">
        <f t="shared" ref="AG17" si="28">AG64</f>
        <v>3472.7687515732246</v>
      </c>
    </row>
    <row r="18" spans="1:33" s="623" customFormat="1" ht="12" x14ac:dyDescent="0.35">
      <c r="A18" s="691" t="s">
        <v>2054</v>
      </c>
      <c r="B18" s="622" t="s">
        <v>2055</v>
      </c>
      <c r="C18" s="692"/>
      <c r="D18" s="693"/>
      <c r="E18" s="692">
        <f t="shared" ref="E18:W18" si="29">E64/AVERAGE(D16:E16)</f>
        <v>7.0460172122450579E-2</v>
      </c>
      <c r="F18" s="692">
        <f t="shared" si="29"/>
        <v>2.6069325804073815E-2</v>
      </c>
      <c r="G18" s="692">
        <f t="shared" si="29"/>
        <v>1.6464394225511693E-2</v>
      </c>
      <c r="H18" s="692">
        <f t="shared" si="29"/>
        <v>4.7238063437434301E-2</v>
      </c>
      <c r="I18" s="692">
        <f t="shared" si="29"/>
        <v>4.482186750016403E-2</v>
      </c>
      <c r="J18" s="692">
        <f t="shared" si="29"/>
        <v>4.1605498732338965E-2</v>
      </c>
      <c r="K18" s="692">
        <f t="shared" si="29"/>
        <v>5.8849271122254146E-2</v>
      </c>
      <c r="L18" s="692">
        <f t="shared" si="29"/>
        <v>7.0740721671860685E-2</v>
      </c>
      <c r="M18" s="692">
        <f t="shared" si="29"/>
        <v>3.4350410039639394E-2</v>
      </c>
      <c r="N18" s="692">
        <f t="shared" si="29"/>
        <v>3.2123911332209584E-2</v>
      </c>
      <c r="O18" s="692">
        <f t="shared" si="29"/>
        <v>4.3142757906580134E-2</v>
      </c>
      <c r="P18" s="692">
        <f t="shared" si="29"/>
        <v>5.1107795371655669E-2</v>
      </c>
      <c r="Q18" s="692">
        <f t="shared" si="29"/>
        <v>4.8783934456764128E-2</v>
      </c>
      <c r="R18" s="692">
        <f t="shared" si="29"/>
        <v>4.8725281001306638E-2</v>
      </c>
      <c r="S18" s="692">
        <f t="shared" si="29"/>
        <v>4.0075024286101463E-2</v>
      </c>
      <c r="T18" s="692">
        <f t="shared" si="29"/>
        <v>3.9605039672793371E-2</v>
      </c>
      <c r="U18" s="692">
        <f t="shared" si="29"/>
        <v>4.2945197374218189E-2</v>
      </c>
      <c r="V18" s="692">
        <f t="shared" si="29"/>
        <v>3.7600737798009064E-2</v>
      </c>
      <c r="W18" s="692">
        <f t="shared" si="29"/>
        <v>3.0130409983721379E-2</v>
      </c>
      <c r="X18" s="694">
        <f t="shared" ref="X18:AC18" si="30">W18</f>
        <v>3.0130409983721379E-2</v>
      </c>
      <c r="Y18" s="694">
        <f t="shared" si="30"/>
        <v>3.0130409983721379E-2</v>
      </c>
      <c r="Z18" s="694">
        <f t="shared" si="30"/>
        <v>3.0130409983721379E-2</v>
      </c>
      <c r="AA18" s="694">
        <f t="shared" si="30"/>
        <v>3.0130409983721379E-2</v>
      </c>
      <c r="AB18" s="694">
        <f t="shared" si="30"/>
        <v>3.0130409983721379E-2</v>
      </c>
      <c r="AC18" s="694">
        <f t="shared" si="30"/>
        <v>3.0130409983721379E-2</v>
      </c>
      <c r="AD18" s="694">
        <f t="shared" ref="AD18" si="31">AC18</f>
        <v>3.0130409983721379E-2</v>
      </c>
      <c r="AE18" s="694">
        <f t="shared" ref="AE18" si="32">AD18</f>
        <v>3.0130409983721379E-2</v>
      </c>
      <c r="AF18" s="694">
        <f t="shared" ref="AF18:AG18" si="33">AE18</f>
        <v>3.0130409983721379E-2</v>
      </c>
      <c r="AG18" s="694">
        <f t="shared" si="33"/>
        <v>3.0130409983721379E-2</v>
      </c>
    </row>
    <row r="19" spans="1:33" x14ac:dyDescent="0.35">
      <c r="A19" s="682"/>
      <c r="C19" s="687"/>
      <c r="D19" s="687"/>
      <c r="E19" s="687"/>
      <c r="F19" s="681"/>
      <c r="G19" s="657"/>
      <c r="H19" s="657"/>
      <c r="I19" s="657"/>
      <c r="J19" s="657"/>
      <c r="K19" s="657"/>
      <c r="L19" s="657"/>
      <c r="M19" s="688"/>
      <c r="N19" s="688"/>
      <c r="O19" s="688"/>
      <c r="P19" s="688"/>
      <c r="Q19" s="688"/>
      <c r="R19" s="688"/>
      <c r="S19" s="688"/>
      <c r="T19" s="688"/>
      <c r="U19" s="688"/>
      <c r="V19" s="688"/>
      <c r="W19" s="688"/>
      <c r="X19" s="688"/>
      <c r="Y19" s="688"/>
      <c r="Z19" s="688"/>
      <c r="AA19" s="688"/>
      <c r="AB19" s="688"/>
      <c r="AC19" s="688"/>
      <c r="AD19" s="688"/>
      <c r="AE19" s="688"/>
      <c r="AF19" s="688"/>
      <c r="AG19" s="688"/>
    </row>
    <row r="20" spans="1:33" ht="12" x14ac:dyDescent="0.35">
      <c r="A20" s="682"/>
      <c r="B20" s="695" t="s">
        <v>2691</v>
      </c>
      <c r="C20" s="687"/>
      <c r="D20" s="687"/>
      <c r="E20" s="687"/>
      <c r="F20" s="681"/>
      <c r="G20" s="657"/>
      <c r="H20" s="657"/>
      <c r="I20" s="657"/>
      <c r="J20" s="657"/>
      <c r="K20" s="657"/>
      <c r="L20" s="657"/>
      <c r="M20" s="688"/>
      <c r="N20" s="688"/>
      <c r="O20" s="688"/>
      <c r="P20" s="688"/>
      <c r="Q20" s="688"/>
      <c r="R20" s="688"/>
      <c r="S20" s="688"/>
      <c r="T20" s="688"/>
      <c r="U20" s="688"/>
      <c r="V20" s="688"/>
      <c r="W20" s="688"/>
      <c r="X20" s="688"/>
      <c r="Y20" s="688"/>
      <c r="Z20" s="688"/>
      <c r="AA20" s="688"/>
      <c r="AB20" s="688"/>
      <c r="AC20" s="688"/>
      <c r="AD20" s="688"/>
      <c r="AE20" s="688"/>
      <c r="AF20" s="688"/>
      <c r="AG20" s="688"/>
    </row>
    <row r="21" spans="1:33" ht="12" x14ac:dyDescent="0.35">
      <c r="A21" s="682"/>
      <c r="B21" s="696" t="s">
        <v>2692</v>
      </c>
      <c r="C21" s="687"/>
      <c r="D21" s="687"/>
      <c r="E21" s="687"/>
      <c r="F21" s="681"/>
      <c r="G21" s="657"/>
      <c r="H21" s="657"/>
      <c r="I21" s="657"/>
      <c r="J21" s="657"/>
      <c r="K21" s="657"/>
      <c r="L21" s="657"/>
      <c r="M21" s="485">
        <v>0.19</v>
      </c>
      <c r="N21" s="485">
        <v>0.24</v>
      </c>
      <c r="O21" s="485">
        <v>0.45</v>
      </c>
      <c r="P21" s="485">
        <v>0.59</v>
      </c>
      <c r="Q21" s="485">
        <v>0.68</v>
      </c>
      <c r="R21" s="485">
        <v>0.78</v>
      </c>
      <c r="S21" s="485">
        <v>0.81</v>
      </c>
      <c r="T21" s="485">
        <v>0.81</v>
      </c>
      <c r="U21" s="485">
        <v>0.84</v>
      </c>
      <c r="V21" s="485">
        <v>0.81</v>
      </c>
      <c r="W21" s="485">
        <v>0.81</v>
      </c>
      <c r="X21" s="688"/>
      <c r="Y21" s="688"/>
      <c r="Z21" s="688"/>
      <c r="AA21" s="688"/>
      <c r="AB21" s="688"/>
      <c r="AC21" s="688"/>
      <c r="AD21" s="688"/>
      <c r="AE21" s="688"/>
      <c r="AF21" s="688"/>
      <c r="AG21" s="688"/>
    </row>
    <row r="22" spans="1:33" ht="12" x14ac:dyDescent="0.35">
      <c r="A22" s="682"/>
      <c r="B22" s="696" t="s">
        <v>2693</v>
      </c>
      <c r="C22" s="687"/>
      <c r="D22" s="687"/>
      <c r="E22" s="687"/>
      <c r="F22" s="681"/>
      <c r="G22" s="657"/>
      <c r="H22" s="657"/>
      <c r="I22" s="657"/>
      <c r="J22" s="657"/>
      <c r="K22" s="657"/>
      <c r="L22" s="657"/>
      <c r="M22" s="485">
        <f t="shared" ref="M22:T22" si="34">1-M21</f>
        <v>0.81</v>
      </c>
      <c r="N22" s="485">
        <f t="shared" si="34"/>
        <v>0.76</v>
      </c>
      <c r="O22" s="485">
        <f t="shared" si="34"/>
        <v>0.55000000000000004</v>
      </c>
      <c r="P22" s="485">
        <f t="shared" si="34"/>
        <v>0.41000000000000003</v>
      </c>
      <c r="Q22" s="485">
        <f t="shared" si="34"/>
        <v>0.31999999999999995</v>
      </c>
      <c r="R22" s="485">
        <f t="shared" si="34"/>
        <v>0.21999999999999997</v>
      </c>
      <c r="S22" s="485">
        <f t="shared" si="34"/>
        <v>0.18999999999999995</v>
      </c>
      <c r="T22" s="485">
        <f t="shared" si="34"/>
        <v>0.18999999999999995</v>
      </c>
      <c r="U22" s="485">
        <f t="shared" ref="U22:V22" si="35">1-U21</f>
        <v>0.16000000000000003</v>
      </c>
      <c r="V22" s="485">
        <f t="shared" si="35"/>
        <v>0.18999999999999995</v>
      </c>
      <c r="W22" s="485">
        <f t="shared" ref="W22" si="36">1-W21</f>
        <v>0.18999999999999995</v>
      </c>
      <c r="X22" s="688"/>
      <c r="Y22" s="688"/>
      <c r="Z22" s="688"/>
      <c r="AA22" s="688"/>
      <c r="AB22" s="688"/>
      <c r="AC22" s="688"/>
      <c r="AD22" s="688"/>
      <c r="AE22" s="688"/>
      <c r="AF22" s="688"/>
      <c r="AG22" s="688"/>
    </row>
    <row r="23" spans="1:33" x14ac:dyDescent="0.35">
      <c r="A23" s="682"/>
      <c r="C23" s="687"/>
      <c r="D23" s="687"/>
      <c r="E23" s="687"/>
      <c r="F23" s="681"/>
      <c r="G23" s="657"/>
      <c r="H23" s="657"/>
      <c r="I23" s="657"/>
      <c r="J23" s="657"/>
      <c r="K23" s="657"/>
      <c r="L23" s="657"/>
      <c r="M23" s="688"/>
      <c r="N23" s="688"/>
      <c r="O23" s="688"/>
      <c r="P23" s="688"/>
      <c r="Q23" s="688"/>
      <c r="R23" s="688"/>
      <c r="S23" s="688"/>
      <c r="T23" s="688"/>
      <c r="U23" s="688"/>
      <c r="V23" s="688"/>
      <c r="W23" s="688"/>
      <c r="X23" s="688"/>
      <c r="Y23" s="688"/>
      <c r="Z23" s="688"/>
      <c r="AA23" s="688"/>
      <c r="AB23" s="688"/>
      <c r="AC23" s="688"/>
      <c r="AD23" s="688"/>
      <c r="AE23" s="688"/>
      <c r="AF23" s="688"/>
      <c r="AG23" s="688"/>
    </row>
    <row r="24" spans="1:33" ht="12" x14ac:dyDescent="0.35">
      <c r="A24" s="680" t="s">
        <v>2056</v>
      </c>
      <c r="B24" s="651" t="s">
        <v>2057</v>
      </c>
      <c r="C24" s="681"/>
      <c r="D24" s="681"/>
      <c r="E24" s="681"/>
      <c r="F24" s="681"/>
      <c r="G24" s="657"/>
      <c r="H24" s="657"/>
      <c r="I24" s="657"/>
      <c r="J24" s="657"/>
      <c r="K24" s="657"/>
      <c r="L24" s="657"/>
      <c r="M24" s="688"/>
      <c r="N24" s="688"/>
      <c r="O24" s="688"/>
      <c r="P24" s="688"/>
      <c r="Q24" s="688"/>
      <c r="R24" s="688"/>
      <c r="S24" s="688"/>
      <c r="T24" s="688"/>
      <c r="U24" s="688"/>
      <c r="V24" s="688"/>
      <c r="W24" s="688"/>
      <c r="X24" s="688"/>
      <c r="Y24" s="688"/>
      <c r="Z24" s="688"/>
      <c r="AA24" s="688"/>
      <c r="AB24" s="688"/>
      <c r="AC24" s="688"/>
      <c r="AD24" s="688"/>
      <c r="AE24" s="688"/>
      <c r="AF24" s="688"/>
      <c r="AG24" s="688"/>
    </row>
    <row r="25" spans="1:33" ht="12" x14ac:dyDescent="0.35">
      <c r="A25" s="682" t="s">
        <v>1841</v>
      </c>
      <c r="B25" s="674" t="s">
        <v>1526</v>
      </c>
      <c r="C25" s="657"/>
      <c r="D25" s="658"/>
      <c r="E25" s="658">
        <f t="shared" ref="E25:AC25" si="37">D27</f>
        <v>0</v>
      </c>
      <c r="F25" s="658">
        <f t="shared" si="37"/>
        <v>0</v>
      </c>
      <c r="G25" s="658">
        <f t="shared" si="37"/>
        <v>0</v>
      </c>
      <c r="H25" s="658">
        <f t="shared" si="37"/>
        <v>0</v>
      </c>
      <c r="I25" s="658">
        <f t="shared" si="37"/>
        <v>0</v>
      </c>
      <c r="J25" s="658">
        <f t="shared" si="37"/>
        <v>0</v>
      </c>
      <c r="K25" s="658">
        <f t="shared" si="37"/>
        <v>0</v>
      </c>
      <c r="L25" s="658">
        <f t="shared" si="37"/>
        <v>3860.2860000000001</v>
      </c>
      <c r="M25" s="658">
        <f t="shared" si="37"/>
        <v>3869.8040000000001</v>
      </c>
      <c r="N25" s="658">
        <f t="shared" si="37"/>
        <v>3879.3220000000001</v>
      </c>
      <c r="O25" s="658">
        <f t="shared" si="37"/>
        <v>3888.8389999999999</v>
      </c>
      <c r="P25" s="658">
        <f t="shared" si="37"/>
        <v>6206.0529999999999</v>
      </c>
      <c r="Q25" s="658">
        <f t="shared" si="37"/>
        <v>6210.9629999999997</v>
      </c>
      <c r="R25" s="658">
        <f t="shared" si="37"/>
        <v>6216.049</v>
      </c>
      <c r="S25" s="658">
        <f t="shared" si="37"/>
        <v>9179</v>
      </c>
      <c r="T25" s="658">
        <f t="shared" si="37"/>
        <v>12381.573</v>
      </c>
      <c r="U25" s="658">
        <f t="shared" si="37"/>
        <v>11740.436000000002</v>
      </c>
      <c r="V25" s="658">
        <f t="shared" si="37"/>
        <v>9761.8950000000004</v>
      </c>
      <c r="W25" s="658">
        <f t="shared" si="37"/>
        <v>12802.598</v>
      </c>
      <c r="X25" s="658">
        <f t="shared" si="37"/>
        <v>13244.4</v>
      </c>
      <c r="Y25" s="658">
        <f t="shared" si="37"/>
        <v>13686.201999999999</v>
      </c>
      <c r="Z25" s="658">
        <f t="shared" si="37"/>
        <v>14128.003999999999</v>
      </c>
      <c r="AA25" s="658">
        <f t="shared" si="37"/>
        <v>14569.805999999999</v>
      </c>
      <c r="AB25" s="658">
        <f t="shared" si="37"/>
        <v>15011.607999999998</v>
      </c>
      <c r="AC25" s="658">
        <f t="shared" si="37"/>
        <v>15453.409999999998</v>
      </c>
      <c r="AD25" s="658">
        <f t="shared" ref="AD25" si="38">AC27</f>
        <v>15895.211999999998</v>
      </c>
      <c r="AE25" s="658">
        <f t="shared" ref="AE25" si="39">AD27</f>
        <v>16337.013999999997</v>
      </c>
      <c r="AF25" s="658">
        <f t="shared" ref="AF25:AG25" si="40">AE27</f>
        <v>16778.815999999999</v>
      </c>
      <c r="AG25" s="658">
        <f t="shared" si="40"/>
        <v>17220.617999999999</v>
      </c>
    </row>
    <row r="26" spans="1:33" ht="12" x14ac:dyDescent="0.35">
      <c r="A26" s="682" t="s">
        <v>1465</v>
      </c>
      <c r="B26" s="674" t="s">
        <v>2058</v>
      </c>
      <c r="C26" s="657"/>
      <c r="D26" s="658"/>
      <c r="E26" s="658">
        <f t="shared" ref="E26:T26" si="41">E27-E25</f>
        <v>0</v>
      </c>
      <c r="F26" s="658">
        <f t="shared" si="41"/>
        <v>0</v>
      </c>
      <c r="G26" s="658">
        <f t="shared" si="41"/>
        <v>0</v>
      </c>
      <c r="H26" s="658">
        <f t="shared" si="41"/>
        <v>0</v>
      </c>
      <c r="I26" s="658">
        <f t="shared" si="41"/>
        <v>0</v>
      </c>
      <c r="J26" s="658">
        <f t="shared" si="41"/>
        <v>0</v>
      </c>
      <c r="K26" s="658">
        <f t="shared" si="41"/>
        <v>3860.2860000000001</v>
      </c>
      <c r="L26" s="658">
        <f t="shared" si="41"/>
        <v>9.5180000000000291</v>
      </c>
      <c r="M26" s="658">
        <f t="shared" si="41"/>
        <v>9.5180000000000291</v>
      </c>
      <c r="N26" s="658">
        <f t="shared" si="41"/>
        <v>9.5169999999998254</v>
      </c>
      <c r="O26" s="658">
        <f t="shared" si="41"/>
        <v>2317.2139999999999</v>
      </c>
      <c r="P26" s="658">
        <f t="shared" si="41"/>
        <v>4.9099999999998545</v>
      </c>
      <c r="Q26" s="658">
        <f t="shared" si="41"/>
        <v>5.0860000000002401</v>
      </c>
      <c r="R26" s="658">
        <f t="shared" si="41"/>
        <v>2962.951</v>
      </c>
      <c r="S26" s="658">
        <f t="shared" si="41"/>
        <v>3202.5730000000003</v>
      </c>
      <c r="T26" s="658">
        <f t="shared" si="41"/>
        <v>-641.13699999999881</v>
      </c>
      <c r="U26" s="658">
        <f t="shared" ref="U26:W26" si="42">U27-U25</f>
        <v>-1978.5410000000011</v>
      </c>
      <c r="V26" s="658">
        <f t="shared" si="42"/>
        <v>3040.7029999999995</v>
      </c>
      <c r="W26" s="658">
        <f t="shared" si="42"/>
        <v>441.80199999999968</v>
      </c>
      <c r="X26" s="684">
        <f>W26</f>
        <v>441.80199999999968</v>
      </c>
      <c r="Y26" s="684">
        <f t="shared" ref="Y26:AG26" si="43">X26</f>
        <v>441.80199999999968</v>
      </c>
      <c r="Z26" s="684">
        <f t="shared" si="43"/>
        <v>441.80199999999968</v>
      </c>
      <c r="AA26" s="684">
        <f t="shared" si="43"/>
        <v>441.80199999999968</v>
      </c>
      <c r="AB26" s="684">
        <f t="shared" si="43"/>
        <v>441.80199999999968</v>
      </c>
      <c r="AC26" s="684">
        <f t="shared" si="43"/>
        <v>441.80199999999968</v>
      </c>
      <c r="AD26" s="684">
        <f t="shared" si="43"/>
        <v>441.80199999999968</v>
      </c>
      <c r="AE26" s="684">
        <f t="shared" si="43"/>
        <v>441.80199999999968</v>
      </c>
      <c r="AF26" s="684">
        <f t="shared" si="43"/>
        <v>441.80199999999968</v>
      </c>
      <c r="AG26" s="684">
        <f t="shared" si="43"/>
        <v>441.80199999999968</v>
      </c>
    </row>
    <row r="27" spans="1:33" s="646" customFormat="1" ht="12" x14ac:dyDescent="0.35">
      <c r="A27" s="680" t="s">
        <v>2051</v>
      </c>
      <c r="B27" s="651" t="s">
        <v>1528</v>
      </c>
      <c r="C27" s="681"/>
      <c r="D27" s="648">
        <f>BS!D53</f>
        <v>0</v>
      </c>
      <c r="E27" s="648">
        <f>BS!E53</f>
        <v>0</v>
      </c>
      <c r="F27" s="648">
        <f>BS!F53</f>
        <v>0</v>
      </c>
      <c r="G27" s="648">
        <f>BS!G53</f>
        <v>0</v>
      </c>
      <c r="H27" s="648">
        <f>BS!H53</f>
        <v>0</v>
      </c>
      <c r="I27" s="648">
        <f>BS!I53</f>
        <v>0</v>
      </c>
      <c r="J27" s="648">
        <f>BS!J53</f>
        <v>0</v>
      </c>
      <c r="K27" s="648">
        <f>BS!K53</f>
        <v>3860.2860000000001</v>
      </c>
      <c r="L27" s="648">
        <f>BS!L53</f>
        <v>3869.8040000000001</v>
      </c>
      <c r="M27" s="648">
        <f>BS!M53</f>
        <v>3879.3220000000001</v>
      </c>
      <c r="N27" s="648">
        <f>BS!N53</f>
        <v>3888.8389999999999</v>
      </c>
      <c r="O27" s="648">
        <f>BS!O53</f>
        <v>6206.0529999999999</v>
      </c>
      <c r="P27" s="648">
        <f>BS!P53</f>
        <v>6210.9629999999997</v>
      </c>
      <c r="Q27" s="648">
        <f>BS!Q53</f>
        <v>6216.049</v>
      </c>
      <c r="R27" s="648">
        <f>BS!R53</f>
        <v>9179</v>
      </c>
      <c r="S27" s="648">
        <f>BS!S53+BS!S67</f>
        <v>12381.573</v>
      </c>
      <c r="T27" s="648">
        <f>BS!T53+BS!T67</f>
        <v>11740.436000000002</v>
      </c>
      <c r="U27" s="648">
        <f>BS!U53+BS!U67</f>
        <v>9761.8950000000004</v>
      </c>
      <c r="V27" s="648">
        <f>BS!V53+BS!V67</f>
        <v>12802.598</v>
      </c>
      <c r="W27" s="648">
        <f>BS!W53+BS!W67</f>
        <v>13244.4</v>
      </c>
      <c r="X27" s="648">
        <f t="shared" ref="X27:AC27" si="44">X25+X26</f>
        <v>13686.201999999999</v>
      </c>
      <c r="Y27" s="648">
        <f t="shared" si="44"/>
        <v>14128.003999999999</v>
      </c>
      <c r="Z27" s="648">
        <f t="shared" si="44"/>
        <v>14569.805999999999</v>
      </c>
      <c r="AA27" s="648">
        <f t="shared" si="44"/>
        <v>15011.607999999998</v>
      </c>
      <c r="AB27" s="648">
        <f t="shared" si="44"/>
        <v>15453.409999999998</v>
      </c>
      <c r="AC27" s="648">
        <f t="shared" si="44"/>
        <v>15895.211999999998</v>
      </c>
      <c r="AD27" s="648">
        <f t="shared" ref="AD27:AF27" si="45">AD25+AD26</f>
        <v>16337.013999999997</v>
      </c>
      <c r="AE27" s="648">
        <f t="shared" si="45"/>
        <v>16778.815999999999</v>
      </c>
      <c r="AF27" s="648">
        <f t="shared" si="45"/>
        <v>17220.617999999999</v>
      </c>
      <c r="AG27" s="648">
        <f t="shared" ref="AG27" si="46">AG25+AG26</f>
        <v>17662.419999999998</v>
      </c>
    </row>
    <row r="28" spans="1:33" ht="12" x14ac:dyDescent="0.35">
      <c r="A28" s="682" t="s">
        <v>1638</v>
      </c>
      <c r="B28" s="674" t="s">
        <v>1816</v>
      </c>
      <c r="C28" s="657"/>
      <c r="D28" s="658"/>
      <c r="E28" s="658"/>
      <c r="F28" s="658"/>
      <c r="G28" s="658"/>
      <c r="H28" s="658"/>
      <c r="I28" s="658"/>
      <c r="J28" s="658"/>
      <c r="K28" s="658">
        <f t="shared" ref="K28:T28" si="47">K66</f>
        <v>99.540999999999997</v>
      </c>
      <c r="L28" s="658">
        <f t="shared" si="47"/>
        <v>133.08500000000001</v>
      </c>
      <c r="M28" s="658">
        <f t="shared" si="47"/>
        <v>133.08500000000001</v>
      </c>
      <c r="N28" s="658">
        <f t="shared" si="47"/>
        <v>131.393</v>
      </c>
      <c r="O28" s="658">
        <f t="shared" si="47"/>
        <v>151.32599999999999</v>
      </c>
      <c r="P28" s="658">
        <f t="shared" si="47"/>
        <v>252.97399999999999</v>
      </c>
      <c r="Q28" s="658">
        <f t="shared" si="47"/>
        <v>225.32900000000001</v>
      </c>
      <c r="R28" s="658">
        <f t="shared" si="47"/>
        <v>263.18099999999998</v>
      </c>
      <c r="S28" s="658">
        <f t="shared" si="47"/>
        <v>357.74400000000003</v>
      </c>
      <c r="T28" s="658">
        <f t="shared" si="47"/>
        <v>485.98200000000003</v>
      </c>
      <c r="U28" s="658">
        <f t="shared" ref="U28" si="48">U66</f>
        <v>357.04500000000002</v>
      </c>
      <c r="V28" s="658">
        <f>V66</f>
        <v>357.74099999999999</v>
      </c>
      <c r="W28" s="658">
        <f>W66</f>
        <v>384.26100000000002</v>
      </c>
      <c r="X28" s="658">
        <f t="shared" ref="X28:AC28" si="49">X25*X29</f>
        <v>390.77872915719502</v>
      </c>
      <c r="Y28" s="658">
        <f t="shared" si="49"/>
        <v>403.814187471585</v>
      </c>
      <c r="Z28" s="658">
        <f t="shared" si="49"/>
        <v>416.84964578597504</v>
      </c>
      <c r="AA28" s="658">
        <f t="shared" si="49"/>
        <v>429.88510410036503</v>
      </c>
      <c r="AB28" s="658">
        <f t="shared" si="49"/>
        <v>442.92056241475501</v>
      </c>
      <c r="AC28" s="658">
        <f t="shared" si="49"/>
        <v>455.95602072914505</v>
      </c>
      <c r="AD28" s="658">
        <f t="shared" ref="AD28:AF28" si="50">AD25*AD29</f>
        <v>468.99147904353504</v>
      </c>
      <c r="AE28" s="658">
        <f t="shared" si="50"/>
        <v>482.02693735792502</v>
      </c>
      <c r="AF28" s="658">
        <f t="shared" si="50"/>
        <v>495.06239567231506</v>
      </c>
      <c r="AG28" s="658">
        <f t="shared" ref="AG28" si="51">AG25*AG29</f>
        <v>508.0978539867051</v>
      </c>
    </row>
    <row r="29" spans="1:33" ht="12" x14ac:dyDescent="0.35">
      <c r="A29" s="682" t="s">
        <v>2059</v>
      </c>
      <c r="B29" s="674" t="s">
        <v>1814</v>
      </c>
      <c r="C29" s="697"/>
      <c r="D29" s="624"/>
      <c r="E29" s="624"/>
      <c r="F29" s="624"/>
      <c r="G29" s="624"/>
      <c r="H29" s="624"/>
      <c r="I29" s="624"/>
      <c r="J29" s="624"/>
      <c r="K29" s="624"/>
      <c r="L29" s="624">
        <f t="shared" ref="L29:T29" si="52">L28/AVERAGE(L27,L25)</f>
        <v>3.4432975553971561E-2</v>
      </c>
      <c r="M29" s="624">
        <f t="shared" si="52"/>
        <v>3.4348389740984982E-2</v>
      </c>
      <c r="N29" s="624">
        <f t="shared" si="52"/>
        <v>3.3828598557625156E-2</v>
      </c>
      <c r="O29" s="624">
        <f t="shared" si="52"/>
        <v>2.9980707074429326E-2</v>
      </c>
      <c r="P29" s="624">
        <f t="shared" si="52"/>
        <v>4.0746343565958194E-2</v>
      </c>
      <c r="Q29" s="624">
        <f t="shared" si="52"/>
        <v>3.6264389219226638E-2</v>
      </c>
      <c r="R29" s="624">
        <f t="shared" si="52"/>
        <v>3.4190342622488566E-2</v>
      </c>
      <c r="S29" s="624">
        <f t="shared" si="52"/>
        <v>3.3185017856436377E-2</v>
      </c>
      <c r="T29" s="624">
        <f t="shared" si="52"/>
        <v>4.0293658791023583E-2</v>
      </c>
      <c r="U29" s="624">
        <f t="shared" ref="U29:W29" si="53">U28/AVERAGE(U27,U25)</f>
        <v>3.3209887802396865E-2</v>
      </c>
      <c r="V29" s="624">
        <f t="shared" si="53"/>
        <v>3.17083127017301E-2</v>
      </c>
      <c r="W29" s="624">
        <f t="shared" si="53"/>
        <v>2.9505204400138551E-2</v>
      </c>
      <c r="X29" s="697">
        <f t="shared" ref="X29:AC29" si="54">W29</f>
        <v>2.9505204400138551E-2</v>
      </c>
      <c r="Y29" s="697">
        <f t="shared" si="54"/>
        <v>2.9505204400138551E-2</v>
      </c>
      <c r="Z29" s="697">
        <f t="shared" si="54"/>
        <v>2.9505204400138551E-2</v>
      </c>
      <c r="AA29" s="697">
        <f t="shared" si="54"/>
        <v>2.9505204400138551E-2</v>
      </c>
      <c r="AB29" s="697">
        <f t="shared" si="54"/>
        <v>2.9505204400138551E-2</v>
      </c>
      <c r="AC29" s="697">
        <f t="shared" si="54"/>
        <v>2.9505204400138551E-2</v>
      </c>
      <c r="AD29" s="697">
        <f t="shared" ref="AD29" si="55">AC29</f>
        <v>2.9505204400138551E-2</v>
      </c>
      <c r="AE29" s="697">
        <f t="shared" ref="AE29" si="56">AD29</f>
        <v>2.9505204400138551E-2</v>
      </c>
      <c r="AF29" s="697">
        <f t="shared" ref="AF29:AG29" si="57">AE29</f>
        <v>2.9505204400138551E-2</v>
      </c>
      <c r="AG29" s="697">
        <f t="shared" si="57"/>
        <v>2.9505204400138551E-2</v>
      </c>
    </row>
    <row r="30" spans="1:33" x14ac:dyDescent="0.35">
      <c r="A30" s="682"/>
      <c r="C30" s="687"/>
      <c r="D30" s="687"/>
      <c r="E30" s="687"/>
      <c r="F30" s="681"/>
      <c r="G30" s="657"/>
      <c r="H30" s="657"/>
      <c r="I30" s="657"/>
      <c r="J30" s="657"/>
      <c r="K30" s="657"/>
      <c r="L30" s="657"/>
      <c r="M30" s="688"/>
      <c r="N30" s="688"/>
      <c r="O30" s="688"/>
      <c r="P30" s="688"/>
      <c r="Q30" s="688"/>
      <c r="R30" s="688"/>
      <c r="S30" s="688"/>
      <c r="T30" s="688"/>
      <c r="U30" s="688"/>
      <c r="V30" s="688"/>
      <c r="W30" s="688"/>
      <c r="X30" s="688"/>
      <c r="Y30" s="688"/>
      <c r="Z30" s="688"/>
      <c r="AA30" s="688"/>
      <c r="AB30" s="688"/>
      <c r="AC30" s="688"/>
      <c r="AD30" s="688"/>
      <c r="AE30" s="688"/>
      <c r="AF30" s="688"/>
      <c r="AG30" s="688"/>
    </row>
    <row r="31" spans="1:33" ht="12" x14ac:dyDescent="0.35">
      <c r="A31" s="680" t="s">
        <v>2060</v>
      </c>
      <c r="B31" s="651" t="s">
        <v>2061</v>
      </c>
      <c r="C31" s="681"/>
      <c r="D31" s="681"/>
      <c r="E31" s="681"/>
      <c r="F31" s="681"/>
      <c r="G31" s="657"/>
      <c r="H31" s="657"/>
      <c r="I31" s="657"/>
      <c r="J31" s="657"/>
      <c r="K31" s="657"/>
      <c r="L31" s="657"/>
      <c r="M31" s="688"/>
      <c r="N31" s="688"/>
      <c r="O31" s="688"/>
      <c r="P31" s="688"/>
      <c r="Q31" s="688"/>
      <c r="R31" s="688"/>
      <c r="S31" s="688"/>
      <c r="T31" s="688"/>
      <c r="U31" s="688"/>
      <c r="V31" s="688"/>
      <c r="W31" s="688"/>
      <c r="X31" s="688"/>
      <c r="Y31" s="688"/>
      <c r="Z31" s="688"/>
      <c r="AA31" s="688"/>
      <c r="AB31" s="688"/>
      <c r="AC31" s="688"/>
      <c r="AD31" s="688"/>
      <c r="AE31" s="688"/>
      <c r="AF31" s="688"/>
      <c r="AG31" s="688"/>
    </row>
    <row r="32" spans="1:33" ht="12" x14ac:dyDescent="0.35">
      <c r="A32" s="682" t="s">
        <v>1841</v>
      </c>
      <c r="B32" s="674" t="s">
        <v>1526</v>
      </c>
      <c r="C32" s="681"/>
      <c r="D32" s="648"/>
      <c r="E32" s="648"/>
      <c r="F32" s="648"/>
      <c r="G32" s="658"/>
      <c r="H32" s="658">
        <v>0</v>
      </c>
      <c r="I32" s="658">
        <f t="shared" ref="I32:AC32" si="58">H35</f>
        <v>2470.5369999999998</v>
      </c>
      <c r="J32" s="658">
        <f t="shared" si="58"/>
        <v>940.15099999999995</v>
      </c>
      <c r="K32" s="658">
        <f t="shared" si="58"/>
        <v>0</v>
      </c>
      <c r="L32" s="658">
        <f t="shared" si="58"/>
        <v>0</v>
      </c>
      <c r="M32" s="658">
        <f t="shared" si="58"/>
        <v>0</v>
      </c>
      <c r="N32" s="658">
        <f t="shared" si="58"/>
        <v>0</v>
      </c>
      <c r="O32" s="658">
        <f t="shared" si="58"/>
        <v>0</v>
      </c>
      <c r="P32" s="658">
        <f t="shared" si="58"/>
        <v>0</v>
      </c>
      <c r="Q32" s="658">
        <f t="shared" si="58"/>
        <v>0</v>
      </c>
      <c r="R32" s="658">
        <f t="shared" si="58"/>
        <v>0</v>
      </c>
      <c r="S32" s="658">
        <f t="shared" si="58"/>
        <v>0</v>
      </c>
      <c r="T32" s="658">
        <f t="shared" si="58"/>
        <v>0</v>
      </c>
      <c r="U32" s="658">
        <f t="shared" si="58"/>
        <v>0</v>
      </c>
      <c r="V32" s="658">
        <f t="shared" si="58"/>
        <v>0</v>
      </c>
      <c r="W32" s="658">
        <f t="shared" si="58"/>
        <v>0</v>
      </c>
      <c r="X32" s="658">
        <f t="shared" si="58"/>
        <v>0</v>
      </c>
      <c r="Y32" s="658">
        <f t="shared" si="58"/>
        <v>0</v>
      </c>
      <c r="Z32" s="658">
        <f t="shared" si="58"/>
        <v>0</v>
      </c>
      <c r="AA32" s="658">
        <f t="shared" si="58"/>
        <v>0</v>
      </c>
      <c r="AB32" s="658">
        <f t="shared" si="58"/>
        <v>0</v>
      </c>
      <c r="AC32" s="658">
        <f t="shared" si="58"/>
        <v>0</v>
      </c>
      <c r="AD32" s="658">
        <f t="shared" ref="AD32" si="59">AC35</f>
        <v>0</v>
      </c>
      <c r="AE32" s="658">
        <f t="shared" ref="AE32" si="60">AD35</f>
        <v>0</v>
      </c>
      <c r="AF32" s="658">
        <f t="shared" ref="AF32:AG32" si="61">AE35</f>
        <v>0</v>
      </c>
      <c r="AG32" s="658">
        <f t="shared" si="61"/>
        <v>0</v>
      </c>
    </row>
    <row r="33" spans="1:33" ht="12" x14ac:dyDescent="0.35">
      <c r="A33" s="682" t="s">
        <v>2062</v>
      </c>
      <c r="B33" s="674" t="s">
        <v>2050</v>
      </c>
      <c r="C33" s="681"/>
      <c r="D33" s="648"/>
      <c r="E33" s="648"/>
      <c r="F33" s="648"/>
      <c r="G33" s="658"/>
      <c r="H33" s="658">
        <v>0</v>
      </c>
      <c r="I33" s="658">
        <f t="shared" ref="I33:T33" si="62">I35-I32</f>
        <v>-1530.386</v>
      </c>
      <c r="J33" s="658">
        <f t="shared" si="62"/>
        <v>-940.15099999999995</v>
      </c>
      <c r="K33" s="658">
        <f t="shared" si="62"/>
        <v>0</v>
      </c>
      <c r="L33" s="658">
        <f t="shared" si="62"/>
        <v>0</v>
      </c>
      <c r="M33" s="658">
        <f t="shared" si="62"/>
        <v>0</v>
      </c>
      <c r="N33" s="658">
        <f t="shared" si="62"/>
        <v>0</v>
      </c>
      <c r="O33" s="658">
        <f t="shared" si="62"/>
        <v>0</v>
      </c>
      <c r="P33" s="658">
        <f t="shared" si="62"/>
        <v>0</v>
      </c>
      <c r="Q33" s="658">
        <f t="shared" si="62"/>
        <v>0</v>
      </c>
      <c r="R33" s="658">
        <f t="shared" si="62"/>
        <v>0</v>
      </c>
      <c r="S33" s="658">
        <f t="shared" si="62"/>
        <v>0</v>
      </c>
      <c r="T33" s="658">
        <f t="shared" si="62"/>
        <v>0</v>
      </c>
      <c r="U33" s="658">
        <f t="shared" ref="U33" si="63">U35-U32</f>
        <v>0</v>
      </c>
      <c r="V33" s="658">
        <v>0</v>
      </c>
      <c r="W33" s="658">
        <v>0</v>
      </c>
      <c r="X33" s="658">
        <v>0</v>
      </c>
      <c r="Y33" s="658">
        <v>0</v>
      </c>
      <c r="Z33" s="658">
        <v>0</v>
      </c>
      <c r="AA33" s="658">
        <v>0</v>
      </c>
      <c r="AB33" s="658">
        <v>0</v>
      </c>
      <c r="AC33" s="658">
        <v>0</v>
      </c>
      <c r="AD33" s="658">
        <v>0</v>
      </c>
      <c r="AE33" s="658">
        <v>0</v>
      </c>
      <c r="AF33" s="658">
        <v>0</v>
      </c>
      <c r="AG33" s="658">
        <v>0</v>
      </c>
    </row>
    <row r="34" spans="1:33" ht="12" x14ac:dyDescent="0.35">
      <c r="A34" s="682" t="s">
        <v>2063</v>
      </c>
      <c r="B34" s="674" t="s">
        <v>1527</v>
      </c>
      <c r="C34" s="685"/>
      <c r="D34" s="648"/>
      <c r="E34" s="648"/>
      <c r="F34" s="648"/>
      <c r="G34" s="658"/>
      <c r="H34" s="658">
        <f>H35-H32</f>
        <v>2470.5369999999998</v>
      </c>
      <c r="I34" s="658"/>
      <c r="J34" s="658"/>
      <c r="K34" s="658"/>
      <c r="L34" s="658"/>
      <c r="M34" s="658"/>
      <c r="N34" s="658"/>
      <c r="O34" s="658"/>
      <c r="P34" s="658"/>
      <c r="Q34" s="658"/>
      <c r="R34" s="658"/>
      <c r="S34" s="658"/>
      <c r="T34" s="658"/>
      <c r="U34" s="658"/>
      <c r="V34" s="686"/>
      <c r="W34" s="686"/>
      <c r="X34" s="686">
        <v>0</v>
      </c>
      <c r="Y34" s="686">
        <v>0</v>
      </c>
      <c r="Z34" s="686">
        <v>0</v>
      </c>
      <c r="AA34" s="686">
        <v>0</v>
      </c>
      <c r="AB34" s="686">
        <v>0</v>
      </c>
      <c r="AC34" s="686">
        <v>0</v>
      </c>
      <c r="AD34" s="686">
        <v>0</v>
      </c>
      <c r="AE34" s="686">
        <v>0</v>
      </c>
      <c r="AF34" s="686">
        <v>0</v>
      </c>
      <c r="AG34" s="686">
        <v>0</v>
      </c>
    </row>
    <row r="35" spans="1:33" s="646" customFormat="1" ht="12" x14ac:dyDescent="0.35">
      <c r="A35" s="680" t="s">
        <v>2046</v>
      </c>
      <c r="B35" s="651" t="s">
        <v>1528</v>
      </c>
      <c r="C35" s="681"/>
      <c r="D35" s="648"/>
      <c r="E35" s="648"/>
      <c r="F35" s="648"/>
      <c r="G35" s="648"/>
      <c r="H35" s="648">
        <f>BS!H52</f>
        <v>2470.5369999999998</v>
      </c>
      <c r="I35" s="648">
        <f>BS!I68</f>
        <v>940.15099999999995</v>
      </c>
      <c r="J35" s="648">
        <f>BS!J68</f>
        <v>0</v>
      </c>
      <c r="K35" s="648">
        <f>BS!K68</f>
        <v>0</v>
      </c>
      <c r="L35" s="648">
        <f>BS!L68</f>
        <v>0</v>
      </c>
      <c r="M35" s="648">
        <f>BS!M68</f>
        <v>0</v>
      </c>
      <c r="N35" s="648">
        <f>BS!N68</f>
        <v>0</v>
      </c>
      <c r="O35" s="648">
        <f>BS!O68</f>
        <v>0</v>
      </c>
      <c r="P35" s="648">
        <f>BS!P68</f>
        <v>0</v>
      </c>
      <c r="Q35" s="648">
        <f>BS!Q68</f>
        <v>0</v>
      </c>
      <c r="R35" s="648">
        <f>BS!R68</f>
        <v>0</v>
      </c>
      <c r="S35" s="648">
        <f>BS!S68</f>
        <v>0</v>
      </c>
      <c r="T35" s="648">
        <f>BS!T68</f>
        <v>0</v>
      </c>
      <c r="U35" s="648">
        <f>BS!U68</f>
        <v>0</v>
      </c>
      <c r="V35" s="648">
        <f>BS!V68</f>
        <v>0</v>
      </c>
      <c r="W35" s="648">
        <f>BS!W68</f>
        <v>0</v>
      </c>
      <c r="X35" s="648">
        <f t="shared" ref="X35:AC35" si="64">SUM(X32:X34)</f>
        <v>0</v>
      </c>
      <c r="Y35" s="648">
        <f t="shared" si="64"/>
        <v>0</v>
      </c>
      <c r="Z35" s="648">
        <f t="shared" si="64"/>
        <v>0</v>
      </c>
      <c r="AA35" s="648">
        <f t="shared" si="64"/>
        <v>0</v>
      </c>
      <c r="AB35" s="648">
        <f t="shared" si="64"/>
        <v>0</v>
      </c>
      <c r="AC35" s="648">
        <f t="shared" si="64"/>
        <v>0</v>
      </c>
      <c r="AD35" s="648">
        <f t="shared" ref="AD35:AF35" si="65">SUM(AD32:AD34)</f>
        <v>0</v>
      </c>
      <c r="AE35" s="648">
        <f t="shared" si="65"/>
        <v>0</v>
      </c>
      <c r="AF35" s="648">
        <f t="shared" si="65"/>
        <v>0</v>
      </c>
      <c r="AG35" s="648">
        <f t="shared" ref="AG35" si="66">SUM(AG32:AG34)</f>
        <v>0</v>
      </c>
    </row>
    <row r="36" spans="1:33" ht="12" x14ac:dyDescent="0.35">
      <c r="A36" s="682" t="s">
        <v>2064</v>
      </c>
      <c r="B36" s="674" t="s">
        <v>2065</v>
      </c>
      <c r="C36" s="681"/>
      <c r="D36" s="648"/>
      <c r="E36" s="648"/>
      <c r="F36" s="648"/>
      <c r="G36" s="658"/>
      <c r="H36" s="658">
        <v>99.995000000000005</v>
      </c>
      <c r="I36" s="658">
        <v>85.165999999999997</v>
      </c>
      <c r="J36" s="658"/>
      <c r="K36" s="658"/>
      <c r="L36" s="658"/>
      <c r="M36" s="658"/>
      <c r="N36" s="658"/>
      <c r="O36" s="658"/>
      <c r="P36" s="658"/>
      <c r="Q36" s="658"/>
      <c r="R36" s="658"/>
      <c r="S36" s="658"/>
      <c r="T36" s="658"/>
      <c r="U36" s="658"/>
      <c r="V36" s="658"/>
      <c r="W36" s="658"/>
      <c r="X36" s="658"/>
      <c r="Y36" s="658"/>
      <c r="Z36" s="658"/>
      <c r="AA36" s="658"/>
      <c r="AB36" s="658"/>
      <c r="AC36" s="658"/>
      <c r="AD36" s="658"/>
      <c r="AE36" s="658"/>
      <c r="AF36" s="658"/>
      <c r="AG36" s="658"/>
    </row>
    <row r="37" spans="1:33" ht="12" x14ac:dyDescent="0.35">
      <c r="A37" s="682" t="s">
        <v>2059</v>
      </c>
      <c r="B37" s="674" t="s">
        <v>1814</v>
      </c>
      <c r="C37" s="698"/>
      <c r="D37" s="687"/>
      <c r="E37" s="687"/>
      <c r="F37" s="687"/>
      <c r="G37" s="624"/>
      <c r="H37" s="624">
        <f>H36*2/(H32+H35)</f>
        <v>8.0950012082393427E-2</v>
      </c>
      <c r="I37" s="624">
        <f>I36*2/(I32+I35)</f>
        <v>4.9940657134279066E-2</v>
      </c>
      <c r="J37" s="624"/>
      <c r="K37" s="624"/>
      <c r="L37" s="624"/>
      <c r="M37" s="697"/>
      <c r="N37" s="697"/>
      <c r="O37" s="697"/>
      <c r="P37" s="697"/>
      <c r="Q37" s="697"/>
      <c r="R37" s="697"/>
      <c r="S37" s="697"/>
      <c r="T37" s="697"/>
      <c r="U37" s="697"/>
      <c r="V37" s="697"/>
      <c r="W37" s="697"/>
      <c r="X37" s="697"/>
      <c r="Y37" s="697"/>
      <c r="Z37" s="697"/>
      <c r="AA37" s="697"/>
      <c r="AB37" s="697"/>
      <c r="AC37" s="697"/>
      <c r="AD37" s="697"/>
      <c r="AE37" s="697"/>
      <c r="AF37" s="697"/>
      <c r="AG37" s="697"/>
    </row>
    <row r="38" spans="1:33" x14ac:dyDescent="0.35">
      <c r="A38" s="682"/>
      <c r="C38" s="681"/>
      <c r="D38" s="681"/>
      <c r="E38" s="681"/>
      <c r="F38" s="681"/>
      <c r="G38" s="681"/>
      <c r="H38" s="681"/>
      <c r="I38" s="681"/>
      <c r="J38" s="681"/>
      <c r="K38" s="681"/>
      <c r="L38" s="681"/>
      <c r="M38" s="636"/>
      <c r="N38" s="636"/>
      <c r="O38" s="636"/>
      <c r="P38" s="636"/>
      <c r="Q38" s="636"/>
      <c r="R38" s="636"/>
      <c r="S38" s="636"/>
      <c r="T38" s="636"/>
      <c r="U38" s="636"/>
      <c r="V38" s="636"/>
      <c r="W38" s="636"/>
      <c r="X38" s="636"/>
      <c r="Y38" s="636"/>
      <c r="Z38" s="636"/>
      <c r="AA38" s="636"/>
      <c r="AB38" s="636"/>
      <c r="AC38" s="636"/>
      <c r="AD38" s="636"/>
      <c r="AE38" s="636"/>
      <c r="AF38" s="636"/>
      <c r="AG38" s="636"/>
    </row>
    <row r="39" spans="1:33" x14ac:dyDescent="0.35">
      <c r="A39" s="682"/>
      <c r="B39" s="363"/>
      <c r="C39" s="363"/>
      <c r="D39" s="363"/>
      <c r="E39" s="363">
        <v>2007</v>
      </c>
      <c r="F39" s="363">
        <v>2008</v>
      </c>
      <c r="G39" s="363">
        <v>2009</v>
      </c>
      <c r="H39" s="363">
        <v>2010</v>
      </c>
      <c r="I39" s="363">
        <v>2011</v>
      </c>
      <c r="J39" s="363">
        <v>2012</v>
      </c>
      <c r="K39" s="363">
        <v>2013</v>
      </c>
      <c r="L39" s="363">
        <v>2014</v>
      </c>
      <c r="M39" s="363">
        <v>2015</v>
      </c>
      <c r="N39" s="363">
        <v>2016</v>
      </c>
      <c r="O39" s="363">
        <v>2017</v>
      </c>
      <c r="P39" s="363">
        <v>2018</v>
      </c>
      <c r="Q39" s="363">
        <v>2019</v>
      </c>
      <c r="R39" s="363">
        <v>2020</v>
      </c>
      <c r="S39" s="363">
        <v>2021</v>
      </c>
      <c r="T39" s="363">
        <v>2022</v>
      </c>
      <c r="U39" s="363">
        <v>2023</v>
      </c>
      <c r="V39" s="363">
        <v>2024</v>
      </c>
      <c r="W39" s="363">
        <v>2025</v>
      </c>
      <c r="X39" s="636"/>
      <c r="Y39" s="636"/>
      <c r="Z39" s="636"/>
      <c r="AA39" s="636"/>
      <c r="AB39" s="636"/>
      <c r="AC39" s="636"/>
      <c r="AD39" s="636"/>
      <c r="AE39" s="636"/>
      <c r="AF39" s="636"/>
      <c r="AG39" s="636"/>
    </row>
    <row r="40" spans="1:33" ht="12" x14ac:dyDescent="0.35">
      <c r="A40" s="682"/>
      <c r="B40" s="699" t="s">
        <v>2676</v>
      </c>
      <c r="C40" s="681"/>
      <c r="D40" s="648"/>
      <c r="E40" s="648">
        <f t="shared" ref="E40:T40" si="67">SUM(E8,E14,E27,E35)</f>
        <v>50.893999999999998</v>
      </c>
      <c r="F40" s="648">
        <f t="shared" si="67"/>
        <v>1037.1279999999999</v>
      </c>
      <c r="G40" s="648">
        <f t="shared" si="67"/>
        <v>1623.8869999999999</v>
      </c>
      <c r="H40" s="648">
        <f t="shared" si="67"/>
        <v>5350.8989999999994</v>
      </c>
      <c r="I40" s="648">
        <f t="shared" si="67"/>
        <v>6259.1350000000002</v>
      </c>
      <c r="J40" s="648">
        <f t="shared" si="67"/>
        <v>10045.139000000001</v>
      </c>
      <c r="K40" s="648">
        <f t="shared" si="67"/>
        <v>12722.432999999999</v>
      </c>
      <c r="L40" s="648">
        <f t="shared" si="67"/>
        <v>14818.877</v>
      </c>
      <c r="M40" s="648">
        <f t="shared" si="67"/>
        <v>17773.213</v>
      </c>
      <c r="N40" s="648">
        <f t="shared" si="67"/>
        <v>21193.514999999999</v>
      </c>
      <c r="O40" s="648">
        <f t="shared" si="67"/>
        <v>29379.085999999999</v>
      </c>
      <c r="P40" s="648">
        <f t="shared" si="67"/>
        <v>41040.744999999995</v>
      </c>
      <c r="Q40" s="648">
        <f t="shared" si="67"/>
        <v>45604.635000000002</v>
      </c>
      <c r="R40" s="648">
        <f t="shared" si="67"/>
        <v>54375.252</v>
      </c>
      <c r="S40" s="648">
        <f t="shared" si="67"/>
        <v>70334.853000000003</v>
      </c>
      <c r="T40" s="648">
        <f t="shared" si="67"/>
        <v>70917.3</v>
      </c>
      <c r="U40" s="648">
        <f t="shared" ref="U40:V40" si="68">SUM(U8,U14,U27,U35)</f>
        <v>77587.358000000007</v>
      </c>
      <c r="V40" s="648">
        <f t="shared" si="68"/>
        <v>80878.829999999987</v>
      </c>
      <c r="W40" s="648">
        <f t="shared" ref="W40" si="69">SUM(W8,W14,W27,W35)</f>
        <v>85402.37</v>
      </c>
      <c r="X40" s="636"/>
      <c r="Y40" s="636"/>
      <c r="Z40" s="636"/>
      <c r="AA40" s="636"/>
      <c r="AB40" s="636"/>
      <c r="AC40" s="636"/>
      <c r="AD40" s="636"/>
      <c r="AE40" s="636"/>
      <c r="AF40" s="636"/>
      <c r="AG40" s="636"/>
    </row>
    <row r="41" spans="1:33" ht="12" x14ac:dyDescent="0.35">
      <c r="A41" s="682"/>
      <c r="B41" s="700" t="s">
        <v>2685</v>
      </c>
      <c r="C41" s="681"/>
      <c r="D41" s="648"/>
      <c r="E41" s="658">
        <f t="shared" ref="E41:T41" si="70">E8</f>
        <v>21.164999999999999</v>
      </c>
      <c r="F41" s="658">
        <f t="shared" si="70"/>
        <v>1000</v>
      </c>
      <c r="G41" s="658">
        <f t="shared" si="70"/>
        <v>1601.931</v>
      </c>
      <c r="H41" s="658">
        <f t="shared" si="70"/>
        <v>2880.3620000000001</v>
      </c>
      <c r="I41" s="658">
        <f t="shared" si="70"/>
        <v>4961.268</v>
      </c>
      <c r="J41" s="658">
        <f t="shared" si="70"/>
        <v>9996.3590000000004</v>
      </c>
      <c r="K41" s="658">
        <f t="shared" si="70"/>
        <v>8600.2579999999998</v>
      </c>
      <c r="L41" s="658">
        <f t="shared" si="70"/>
        <v>10361.804</v>
      </c>
      <c r="M41" s="658">
        <f t="shared" si="70"/>
        <v>13085.694</v>
      </c>
      <c r="N41" s="658">
        <f t="shared" si="70"/>
        <v>15849.056</v>
      </c>
      <c r="O41" s="658">
        <f t="shared" si="70"/>
        <v>20592.442999999999</v>
      </c>
      <c r="P41" s="658">
        <f t="shared" si="70"/>
        <v>32033.95</v>
      </c>
      <c r="Q41" s="658">
        <f t="shared" si="70"/>
        <v>29347.618000000002</v>
      </c>
      <c r="R41" s="658">
        <f t="shared" si="70"/>
        <v>35488.760999999999</v>
      </c>
      <c r="S41" s="658">
        <f t="shared" si="70"/>
        <v>47848.334999999999</v>
      </c>
      <c r="T41" s="658">
        <f t="shared" si="70"/>
        <v>45457.207000000002</v>
      </c>
      <c r="U41" s="658">
        <f t="shared" ref="U41:V41" si="71">U8</f>
        <v>51310.455999999998</v>
      </c>
      <c r="V41" s="658">
        <f t="shared" si="71"/>
        <v>54780.475999999995</v>
      </c>
      <c r="W41" s="658">
        <f t="shared" ref="W41" si="72">W8</f>
        <v>57061.599999999999</v>
      </c>
      <c r="X41" s="636"/>
      <c r="Y41" s="636"/>
      <c r="Z41" s="636"/>
      <c r="AA41" s="636"/>
      <c r="AB41" s="636"/>
      <c r="AC41" s="636"/>
      <c r="AD41" s="636"/>
      <c r="AE41" s="636"/>
      <c r="AF41" s="636"/>
      <c r="AG41" s="636"/>
    </row>
    <row r="42" spans="1:33" ht="12" x14ac:dyDescent="0.35">
      <c r="A42" s="682"/>
      <c r="B42" s="700" t="s">
        <v>2686</v>
      </c>
      <c r="C42" s="681"/>
      <c r="D42" s="648"/>
      <c r="E42" s="658">
        <f t="shared" ref="E42:T42" si="73">E14</f>
        <v>29.728999999999999</v>
      </c>
      <c r="F42" s="658">
        <f t="shared" si="73"/>
        <v>37.128</v>
      </c>
      <c r="G42" s="658">
        <f t="shared" si="73"/>
        <v>21.956</v>
      </c>
      <c r="H42" s="658">
        <f t="shared" si="73"/>
        <v>0</v>
      </c>
      <c r="I42" s="658">
        <f t="shared" si="73"/>
        <v>357.71600000000001</v>
      </c>
      <c r="J42" s="658">
        <f t="shared" si="73"/>
        <v>48.78</v>
      </c>
      <c r="K42" s="658">
        <f t="shared" si="73"/>
        <v>261.88900000000001</v>
      </c>
      <c r="L42" s="658">
        <f t="shared" si="73"/>
        <v>587.26900000000001</v>
      </c>
      <c r="M42" s="658">
        <f t="shared" si="73"/>
        <v>808.197</v>
      </c>
      <c r="N42" s="658">
        <f t="shared" si="73"/>
        <v>1455.62</v>
      </c>
      <c r="O42" s="658">
        <f t="shared" si="73"/>
        <v>2580.59</v>
      </c>
      <c r="P42" s="658">
        <f t="shared" si="73"/>
        <v>2795.8319999999999</v>
      </c>
      <c r="Q42" s="658">
        <f t="shared" si="73"/>
        <v>10040.968000000001</v>
      </c>
      <c r="R42" s="658">
        <f t="shared" si="73"/>
        <v>9707.491</v>
      </c>
      <c r="S42" s="658">
        <f t="shared" si="73"/>
        <v>10104.945</v>
      </c>
      <c r="T42" s="658">
        <f t="shared" si="73"/>
        <v>13719.656999999999</v>
      </c>
      <c r="U42" s="658">
        <f t="shared" ref="U42:V42" si="74">U14</f>
        <v>16515.007000000001</v>
      </c>
      <c r="V42" s="658">
        <f t="shared" si="74"/>
        <v>13295.755999999999</v>
      </c>
      <c r="W42" s="658">
        <f t="shared" ref="W42" si="75">W14</f>
        <v>15096.37</v>
      </c>
      <c r="X42" s="636"/>
      <c r="Y42" s="636"/>
      <c r="Z42" s="636"/>
      <c r="AA42" s="636"/>
      <c r="AB42" s="636"/>
      <c r="AC42" s="636"/>
      <c r="AD42" s="636"/>
      <c r="AE42" s="636"/>
      <c r="AF42" s="636"/>
      <c r="AG42" s="636"/>
    </row>
    <row r="43" spans="1:33" ht="12" x14ac:dyDescent="0.35">
      <c r="A43" s="682"/>
      <c r="B43" s="700" t="s">
        <v>2276</v>
      </c>
      <c r="C43" s="681"/>
      <c r="D43" s="648"/>
      <c r="E43" s="658">
        <f t="shared" ref="E43:R43" si="76">E27</f>
        <v>0</v>
      </c>
      <c r="F43" s="658">
        <f t="shared" si="76"/>
        <v>0</v>
      </c>
      <c r="G43" s="658">
        <f t="shared" si="76"/>
        <v>0</v>
      </c>
      <c r="H43" s="658">
        <f t="shared" si="76"/>
        <v>0</v>
      </c>
      <c r="I43" s="658">
        <f t="shared" si="76"/>
        <v>0</v>
      </c>
      <c r="J43" s="658">
        <f t="shared" si="76"/>
        <v>0</v>
      </c>
      <c r="K43" s="658">
        <f t="shared" si="76"/>
        <v>3860.2860000000001</v>
      </c>
      <c r="L43" s="658">
        <f t="shared" si="76"/>
        <v>3869.8040000000001</v>
      </c>
      <c r="M43" s="658">
        <f t="shared" si="76"/>
        <v>3879.3220000000001</v>
      </c>
      <c r="N43" s="658">
        <f t="shared" si="76"/>
        <v>3888.8389999999999</v>
      </c>
      <c r="O43" s="658">
        <f t="shared" si="76"/>
        <v>6206.0529999999999</v>
      </c>
      <c r="P43" s="658">
        <f t="shared" si="76"/>
        <v>6210.9629999999997</v>
      </c>
      <c r="Q43" s="658">
        <f t="shared" si="76"/>
        <v>6216.049</v>
      </c>
      <c r="R43" s="658">
        <f t="shared" si="76"/>
        <v>9179</v>
      </c>
      <c r="S43" s="658">
        <f>S27+BS!S67</f>
        <v>16667.727999999999</v>
      </c>
      <c r="T43" s="658">
        <f>T27+BS!T67</f>
        <v>14720.620000000003</v>
      </c>
      <c r="U43" s="658">
        <f>U27+BS!U67</f>
        <v>12515.199000000001</v>
      </c>
      <c r="V43" s="658">
        <f>V27+BS!V67</f>
        <v>15262.598</v>
      </c>
      <c r="W43" s="658">
        <f>W27+BS!W67</f>
        <v>14344.16</v>
      </c>
      <c r="X43" s="636"/>
      <c r="Y43" s="636"/>
      <c r="Z43" s="636"/>
      <c r="AA43" s="636"/>
      <c r="AB43" s="636"/>
      <c r="AC43" s="636"/>
      <c r="AD43" s="636"/>
      <c r="AE43" s="636"/>
      <c r="AF43" s="636"/>
      <c r="AG43" s="636"/>
    </row>
    <row r="44" spans="1:33" ht="12" x14ac:dyDescent="0.35">
      <c r="A44" s="682"/>
      <c r="B44" s="701" t="s">
        <v>293</v>
      </c>
      <c r="C44" s="681"/>
      <c r="D44" s="648"/>
      <c r="E44" s="648"/>
      <c r="F44" s="702">
        <f t="shared" ref="F44:W44" si="77">F40/E40-1</f>
        <v>19.378197822926079</v>
      </c>
      <c r="G44" s="702">
        <f t="shared" si="77"/>
        <v>0.56575369674717102</v>
      </c>
      <c r="H44" s="702">
        <f t="shared" si="77"/>
        <v>2.2951178253166629</v>
      </c>
      <c r="I44" s="702">
        <f t="shared" si="77"/>
        <v>0.16973521645615075</v>
      </c>
      <c r="J44" s="702">
        <f t="shared" si="77"/>
        <v>0.60487655243096694</v>
      </c>
      <c r="K44" s="702">
        <f t="shared" si="77"/>
        <v>0.26652632681339683</v>
      </c>
      <c r="L44" s="702">
        <f t="shared" si="77"/>
        <v>0.16478326118911379</v>
      </c>
      <c r="M44" s="702">
        <f t="shared" si="77"/>
        <v>0.1993630151596506</v>
      </c>
      <c r="N44" s="702">
        <f t="shared" si="77"/>
        <v>0.19244140043783875</v>
      </c>
      <c r="O44" s="702">
        <f t="shared" si="77"/>
        <v>0.38622998591786217</v>
      </c>
      <c r="P44" s="702">
        <f t="shared" si="77"/>
        <v>0.39693743365603673</v>
      </c>
      <c r="Q44" s="702">
        <f t="shared" si="77"/>
        <v>0.11120387799977816</v>
      </c>
      <c r="R44" s="702">
        <f t="shared" si="77"/>
        <v>0.19231854393747483</v>
      </c>
      <c r="S44" s="702">
        <f t="shared" si="77"/>
        <v>0.29350854318799291</v>
      </c>
      <c r="T44" s="702">
        <f t="shared" si="77"/>
        <v>8.2810580410255241E-3</v>
      </c>
      <c r="U44" s="702">
        <f t="shared" si="77"/>
        <v>9.4054031949891037E-2</v>
      </c>
      <c r="V44" s="702">
        <f t="shared" si="77"/>
        <v>4.2422787485558944E-2</v>
      </c>
      <c r="W44" s="702">
        <f t="shared" si="77"/>
        <v>5.5929839736801545E-2</v>
      </c>
      <c r="X44" s="636"/>
      <c r="Y44" s="636"/>
      <c r="Z44" s="636"/>
      <c r="AA44" s="636"/>
      <c r="AB44" s="636"/>
      <c r="AC44" s="636"/>
      <c r="AD44" s="636"/>
      <c r="AE44" s="636"/>
      <c r="AF44" s="636"/>
      <c r="AG44" s="636"/>
    </row>
    <row r="45" spans="1:33" ht="12" x14ac:dyDescent="0.35">
      <c r="A45" s="682"/>
      <c r="B45" s="701" t="s">
        <v>2680</v>
      </c>
      <c r="C45" s="681"/>
      <c r="D45" s="648"/>
      <c r="E45" s="648"/>
      <c r="F45" s="702">
        <f t="shared" ref="F45:T45" si="78">F69</f>
        <v>2.6069325804073815E-2</v>
      </c>
      <c r="G45" s="702">
        <f t="shared" si="78"/>
        <v>1.9578995233021985E-2</v>
      </c>
      <c r="H45" s="702">
        <f t="shared" si="78"/>
        <v>5.9209845291310736E-2</v>
      </c>
      <c r="I45" s="702">
        <f t="shared" si="78"/>
        <v>4.6325617995606215E-2</v>
      </c>
      <c r="J45" s="702">
        <f t="shared" si="78"/>
        <v>4.1042612507616094E-2</v>
      </c>
      <c r="K45" s="702">
        <f t="shared" si="78"/>
        <v>6.8425917352979052E-2</v>
      </c>
      <c r="L45" s="702">
        <f t="shared" si="78"/>
        <v>6.3011163956979546E-2</v>
      </c>
      <c r="M45" s="702">
        <f t="shared" si="78"/>
        <v>3.9272105593719214E-2</v>
      </c>
      <c r="N45" s="702">
        <f t="shared" si="78"/>
        <v>3.5531903012231358E-2</v>
      </c>
      <c r="O45" s="702">
        <f t="shared" si="78"/>
        <v>4.2305674568725464E-2</v>
      </c>
      <c r="P45" s="702">
        <f t="shared" si="78"/>
        <v>5.0602705933787323E-2</v>
      </c>
      <c r="Q45" s="702">
        <f t="shared" si="78"/>
        <v>5.2604882106812849E-2</v>
      </c>
      <c r="R45" s="702">
        <f t="shared" si="78"/>
        <v>5.3610322644193423E-2</v>
      </c>
      <c r="S45" s="702">
        <f t="shared" si="78"/>
        <v>4.3580429990015643E-2</v>
      </c>
      <c r="T45" s="702">
        <f t="shared" si="78"/>
        <v>4.3395331467974162E-2</v>
      </c>
      <c r="U45" s="702">
        <f t="shared" ref="U45:V45" si="79">U69</f>
        <v>4.4855145217061139E-2</v>
      </c>
      <c r="V45" s="702">
        <f t="shared" si="79"/>
        <v>3.7794485218512357E-2</v>
      </c>
      <c r="W45" s="702">
        <f t="shared" ref="W45" si="80">W69</f>
        <v>3.02275663153742E-2</v>
      </c>
      <c r="X45" s="636"/>
      <c r="Y45" s="636"/>
      <c r="Z45" s="636"/>
      <c r="AA45" s="636"/>
      <c r="AB45" s="636"/>
      <c r="AC45" s="636"/>
      <c r="AD45" s="636"/>
      <c r="AE45" s="636"/>
      <c r="AF45" s="636"/>
      <c r="AG45" s="636"/>
    </row>
    <row r="46" spans="1:33" ht="12" x14ac:dyDescent="0.35">
      <c r="A46" s="682"/>
      <c r="B46" s="701" t="s">
        <v>2689</v>
      </c>
      <c r="C46" s="681"/>
      <c r="D46" s="648"/>
      <c r="E46" s="648"/>
      <c r="F46" s="702">
        <f t="shared" ref="F46:T46" si="81">F18</f>
        <v>2.6069325804073815E-2</v>
      </c>
      <c r="G46" s="702">
        <f t="shared" si="81"/>
        <v>1.6464394225511693E-2</v>
      </c>
      <c r="H46" s="702">
        <f t="shared" si="81"/>
        <v>4.7238063437434301E-2</v>
      </c>
      <c r="I46" s="702">
        <f t="shared" si="81"/>
        <v>4.482186750016403E-2</v>
      </c>
      <c r="J46" s="702">
        <f t="shared" si="81"/>
        <v>4.1605498732338965E-2</v>
      </c>
      <c r="K46" s="702">
        <f t="shared" si="81"/>
        <v>5.8849271122254146E-2</v>
      </c>
      <c r="L46" s="702">
        <f t="shared" si="81"/>
        <v>7.0740721671860685E-2</v>
      </c>
      <c r="M46" s="702">
        <f t="shared" si="81"/>
        <v>3.4350410039639394E-2</v>
      </c>
      <c r="N46" s="702">
        <f t="shared" si="81"/>
        <v>3.2123911332209584E-2</v>
      </c>
      <c r="O46" s="702">
        <f t="shared" si="81"/>
        <v>4.3142757906580134E-2</v>
      </c>
      <c r="P46" s="702">
        <f t="shared" si="81"/>
        <v>5.1107795371655669E-2</v>
      </c>
      <c r="Q46" s="702">
        <f t="shared" si="81"/>
        <v>4.8783934456764128E-2</v>
      </c>
      <c r="R46" s="702">
        <f t="shared" si="81"/>
        <v>4.8725281001306638E-2</v>
      </c>
      <c r="S46" s="702">
        <f t="shared" si="81"/>
        <v>4.0075024286101463E-2</v>
      </c>
      <c r="T46" s="702">
        <f t="shared" si="81"/>
        <v>3.9605039672793371E-2</v>
      </c>
      <c r="U46" s="702">
        <f t="shared" ref="U46:V46" si="82">U18</f>
        <v>4.2945197374218189E-2</v>
      </c>
      <c r="V46" s="702">
        <f t="shared" si="82"/>
        <v>3.7600737798009064E-2</v>
      </c>
      <c r="W46" s="702">
        <f t="shared" ref="W46" si="83">W18</f>
        <v>3.0130409983721379E-2</v>
      </c>
      <c r="X46" s="636"/>
      <c r="Y46" s="636"/>
      <c r="Z46" s="636"/>
      <c r="AA46" s="636"/>
      <c r="AB46" s="636"/>
      <c r="AC46" s="636"/>
      <c r="AD46" s="636"/>
      <c r="AE46" s="636"/>
      <c r="AF46" s="636"/>
      <c r="AG46" s="636"/>
    </row>
    <row r="47" spans="1:33" ht="12" x14ac:dyDescent="0.35">
      <c r="A47" s="682"/>
      <c r="B47" s="701" t="s">
        <v>2690</v>
      </c>
      <c r="C47" s="681"/>
      <c r="D47" s="648"/>
      <c r="E47" s="648"/>
      <c r="F47" s="702"/>
      <c r="G47" s="702"/>
      <c r="H47" s="702"/>
      <c r="I47" s="702"/>
      <c r="J47" s="702"/>
      <c r="K47" s="702"/>
      <c r="L47" s="702">
        <f t="shared" ref="L47:T47" si="84">L29</f>
        <v>3.4432975553971561E-2</v>
      </c>
      <c r="M47" s="702">
        <f t="shared" si="84"/>
        <v>3.4348389740984982E-2</v>
      </c>
      <c r="N47" s="702">
        <f t="shared" si="84"/>
        <v>3.3828598557625156E-2</v>
      </c>
      <c r="O47" s="702">
        <f t="shared" si="84"/>
        <v>2.9980707074429326E-2</v>
      </c>
      <c r="P47" s="702">
        <f t="shared" si="84"/>
        <v>4.0746343565958194E-2</v>
      </c>
      <c r="Q47" s="702">
        <f t="shared" si="84"/>
        <v>3.6264389219226638E-2</v>
      </c>
      <c r="R47" s="702">
        <f t="shared" si="84"/>
        <v>3.4190342622488566E-2</v>
      </c>
      <c r="S47" s="702">
        <f t="shared" si="84"/>
        <v>3.3185017856436377E-2</v>
      </c>
      <c r="T47" s="702">
        <f t="shared" si="84"/>
        <v>4.0293658791023583E-2</v>
      </c>
      <c r="U47" s="702">
        <f t="shared" ref="U47:V47" si="85">U29</f>
        <v>3.3209887802396865E-2</v>
      </c>
      <c r="V47" s="702">
        <f t="shared" si="85"/>
        <v>3.17083127017301E-2</v>
      </c>
      <c r="W47" s="702">
        <f t="shared" ref="W47" si="86">W29</f>
        <v>2.9505204400138551E-2</v>
      </c>
      <c r="X47" s="636"/>
      <c r="Y47" s="636"/>
      <c r="Z47" s="636"/>
      <c r="AA47" s="636"/>
      <c r="AB47" s="636"/>
      <c r="AC47" s="636"/>
      <c r="AD47" s="636"/>
      <c r="AE47" s="636"/>
      <c r="AF47" s="636"/>
      <c r="AG47" s="636"/>
    </row>
    <row r="48" spans="1:33" x14ac:dyDescent="0.35">
      <c r="A48" s="682"/>
      <c r="C48" s="681"/>
      <c r="D48" s="681"/>
      <c r="E48" s="681"/>
      <c r="F48" s="681"/>
      <c r="G48" s="681"/>
      <c r="H48" s="681"/>
      <c r="I48" s="681"/>
      <c r="J48" s="681"/>
      <c r="K48" s="681"/>
      <c r="L48" s="681"/>
      <c r="M48" s="636"/>
      <c r="N48" s="636"/>
      <c r="O48" s="636"/>
      <c r="P48" s="636"/>
      <c r="Q48" s="636"/>
      <c r="R48" s="636"/>
      <c r="S48" s="636"/>
      <c r="T48" s="636"/>
      <c r="U48" s="636"/>
      <c r="V48" s="636"/>
      <c r="W48" s="636"/>
      <c r="X48" s="636"/>
      <c r="Y48" s="636"/>
      <c r="Z48" s="636"/>
      <c r="AA48" s="636"/>
      <c r="AB48" s="636"/>
      <c r="AC48" s="636"/>
      <c r="AD48" s="636"/>
      <c r="AE48" s="636"/>
      <c r="AF48" s="636"/>
      <c r="AG48" s="636"/>
    </row>
    <row r="49" spans="1:33" ht="12" x14ac:dyDescent="0.35">
      <c r="A49" s="703"/>
      <c r="B49" s="620" t="s">
        <v>2066</v>
      </c>
      <c r="C49" s="679"/>
      <c r="D49" s="679"/>
      <c r="E49" s="679"/>
      <c r="F49" s="679"/>
      <c r="G49" s="679"/>
      <c r="H49" s="679"/>
      <c r="I49" s="679"/>
      <c r="J49" s="679"/>
      <c r="K49" s="679"/>
      <c r="L49" s="679"/>
      <c r="M49" s="655"/>
      <c r="N49" s="655"/>
      <c r="O49" s="655"/>
      <c r="P49" s="655"/>
      <c r="Q49" s="655"/>
      <c r="R49" s="655"/>
      <c r="S49" s="655"/>
      <c r="T49" s="655"/>
      <c r="U49" s="655"/>
      <c r="V49" s="655"/>
      <c r="W49" s="655"/>
      <c r="X49" s="655"/>
      <c r="Y49" s="655"/>
      <c r="Z49" s="655"/>
      <c r="AA49" s="655"/>
      <c r="AB49" s="655"/>
      <c r="AC49" s="655"/>
      <c r="AD49" s="655"/>
      <c r="AE49" s="655"/>
      <c r="AF49" s="655"/>
      <c r="AG49" s="655"/>
    </row>
    <row r="50" spans="1:33" ht="12" x14ac:dyDescent="0.35">
      <c r="A50" s="682" t="s">
        <v>2067</v>
      </c>
      <c r="B50" s="651" t="s">
        <v>2068</v>
      </c>
      <c r="C50" s="681"/>
      <c r="D50" s="681"/>
      <c r="E50" s="681"/>
      <c r="F50" s="681"/>
      <c r="G50" s="681"/>
      <c r="H50" s="681"/>
      <c r="I50" s="681"/>
      <c r="J50" s="681"/>
      <c r="K50" s="681"/>
      <c r="L50" s="681"/>
      <c r="M50" s="636"/>
      <c r="N50" s="636"/>
      <c r="O50" s="636"/>
      <c r="P50" s="636"/>
      <c r="Q50" s="636"/>
      <c r="R50" s="636"/>
      <c r="S50" s="636"/>
      <c r="T50" s="636"/>
      <c r="U50" s="636"/>
      <c r="V50" s="636"/>
      <c r="W50" s="636"/>
      <c r="X50" s="636"/>
      <c r="Y50" s="636"/>
      <c r="Z50" s="636"/>
      <c r="AA50" s="636"/>
      <c r="AB50" s="636"/>
      <c r="AC50" s="636"/>
      <c r="AD50" s="636"/>
      <c r="AE50" s="636"/>
      <c r="AF50" s="636"/>
      <c r="AG50" s="636"/>
    </row>
    <row r="51" spans="1:33" ht="12" x14ac:dyDescent="0.35">
      <c r="A51" s="682" t="s">
        <v>1862</v>
      </c>
      <c r="B51" s="674" t="s">
        <v>1526</v>
      </c>
      <c r="C51" s="681"/>
      <c r="D51" s="648">
        <v>30</v>
      </c>
      <c r="E51" s="648">
        <f t="shared" ref="E51:W51" si="87">D53</f>
        <v>41.783000000000001</v>
      </c>
      <c r="F51" s="648">
        <f t="shared" si="87"/>
        <v>17.654</v>
      </c>
      <c r="G51" s="658">
        <f t="shared" si="87"/>
        <v>16.690000000000001</v>
      </c>
      <c r="H51" s="658">
        <f t="shared" si="87"/>
        <v>14.904999999999999</v>
      </c>
      <c r="I51" s="658">
        <f t="shared" si="87"/>
        <v>6.42</v>
      </c>
      <c r="J51" s="658">
        <f t="shared" si="87"/>
        <v>4.992</v>
      </c>
      <c r="K51" s="658">
        <f t="shared" si="87"/>
        <v>1.2909999999999999</v>
      </c>
      <c r="L51" s="658">
        <f t="shared" si="87"/>
        <v>0.29099999999999998</v>
      </c>
      <c r="M51" s="658">
        <f t="shared" si="87"/>
        <v>0</v>
      </c>
      <c r="N51" s="658">
        <f t="shared" si="87"/>
        <v>0</v>
      </c>
      <c r="O51" s="658">
        <f t="shared" si="87"/>
        <v>0</v>
      </c>
      <c r="P51" s="658">
        <f t="shared" si="87"/>
        <v>0</v>
      </c>
      <c r="Q51" s="658">
        <f t="shared" si="87"/>
        <v>0</v>
      </c>
      <c r="R51" s="658">
        <f t="shared" si="87"/>
        <v>0</v>
      </c>
      <c r="S51" s="658">
        <f t="shared" si="87"/>
        <v>0</v>
      </c>
      <c r="T51" s="658">
        <f t="shared" si="87"/>
        <v>0</v>
      </c>
      <c r="U51" s="658">
        <f t="shared" si="87"/>
        <v>0</v>
      </c>
      <c r="V51" s="658">
        <f t="shared" si="87"/>
        <v>0</v>
      </c>
      <c r="W51" s="658">
        <f t="shared" si="87"/>
        <v>0</v>
      </c>
      <c r="X51" s="658">
        <f>W53</f>
        <v>0</v>
      </c>
      <c r="Y51" s="658">
        <f t="shared" ref="Y51:Z51" si="88">X53</f>
        <v>0</v>
      </c>
      <c r="Z51" s="658">
        <f t="shared" si="88"/>
        <v>0</v>
      </c>
      <c r="AA51" s="658">
        <f t="shared" ref="AA51:AB51" si="89">Z53</f>
        <v>0</v>
      </c>
      <c r="AB51" s="658">
        <f t="shared" si="89"/>
        <v>0</v>
      </c>
      <c r="AC51" s="658">
        <f t="shared" ref="AC51" si="90">AB53</f>
        <v>0</v>
      </c>
      <c r="AD51" s="658">
        <f t="shared" ref="AD51" si="91">AC53</f>
        <v>0</v>
      </c>
      <c r="AE51" s="658">
        <f t="shared" ref="AE51" si="92">AD53</f>
        <v>0</v>
      </c>
      <c r="AF51" s="658">
        <f t="shared" ref="AF51:AG51" si="93">AE53</f>
        <v>0</v>
      </c>
      <c r="AG51" s="658">
        <f t="shared" si="93"/>
        <v>0</v>
      </c>
    </row>
    <row r="52" spans="1:33" ht="12" x14ac:dyDescent="0.35">
      <c r="A52" s="682" t="s">
        <v>2069</v>
      </c>
      <c r="B52" s="674" t="s">
        <v>2058</v>
      </c>
      <c r="C52" s="681"/>
      <c r="D52" s="648">
        <f t="shared" ref="D52:S52" si="94">D53-D51</f>
        <v>11.783000000000001</v>
      </c>
      <c r="E52" s="648">
        <f t="shared" si="94"/>
        <v>-24.129000000000001</v>
      </c>
      <c r="F52" s="648">
        <f t="shared" si="94"/>
        <v>-0.96399999999999864</v>
      </c>
      <c r="G52" s="658">
        <f t="shared" si="94"/>
        <v>-1.7850000000000019</v>
      </c>
      <c r="H52" s="658">
        <f t="shared" si="94"/>
        <v>-8.4849999999999994</v>
      </c>
      <c r="I52" s="658">
        <f t="shared" si="94"/>
        <v>-1.4279999999999999</v>
      </c>
      <c r="J52" s="658">
        <f t="shared" si="94"/>
        <v>-3.7010000000000001</v>
      </c>
      <c r="K52" s="658">
        <f t="shared" si="94"/>
        <v>-1</v>
      </c>
      <c r="L52" s="658">
        <f t="shared" si="94"/>
        <v>-0.29099999999999998</v>
      </c>
      <c r="M52" s="658">
        <f t="shared" si="94"/>
        <v>0</v>
      </c>
      <c r="N52" s="658">
        <f t="shared" si="94"/>
        <v>0</v>
      </c>
      <c r="O52" s="658">
        <f t="shared" si="94"/>
        <v>0</v>
      </c>
      <c r="P52" s="658">
        <f t="shared" si="94"/>
        <v>0</v>
      </c>
      <c r="Q52" s="658">
        <f t="shared" si="94"/>
        <v>0</v>
      </c>
      <c r="R52" s="658">
        <f t="shared" si="94"/>
        <v>0</v>
      </c>
      <c r="S52" s="658">
        <f t="shared" si="94"/>
        <v>0</v>
      </c>
      <c r="T52" s="658">
        <v>0</v>
      </c>
      <c r="U52" s="658">
        <v>0</v>
      </c>
      <c r="V52" s="658">
        <v>0</v>
      </c>
      <c r="W52" s="658">
        <v>0</v>
      </c>
      <c r="X52" s="658">
        <v>0</v>
      </c>
      <c r="Y52" s="658">
        <v>0</v>
      </c>
      <c r="Z52" s="658">
        <v>0</v>
      </c>
      <c r="AA52" s="658">
        <v>0</v>
      </c>
      <c r="AB52" s="658">
        <v>0</v>
      </c>
      <c r="AC52" s="658">
        <v>0</v>
      </c>
      <c r="AD52" s="658">
        <v>0</v>
      </c>
      <c r="AE52" s="658">
        <v>0</v>
      </c>
      <c r="AF52" s="658">
        <v>0</v>
      </c>
      <c r="AG52" s="658">
        <v>0</v>
      </c>
    </row>
    <row r="53" spans="1:33" s="646" customFormat="1" ht="12" x14ac:dyDescent="0.35">
      <c r="A53" s="680" t="s">
        <v>2051</v>
      </c>
      <c r="B53" s="651" t="s">
        <v>1528</v>
      </c>
      <c r="C53" s="681"/>
      <c r="D53" s="648">
        <f>BS!D36</f>
        <v>41.783000000000001</v>
      </c>
      <c r="E53" s="648">
        <f>BS!E36</f>
        <v>17.654</v>
      </c>
      <c r="F53" s="648">
        <f>BS!F36</f>
        <v>16.690000000000001</v>
      </c>
      <c r="G53" s="648">
        <f>BS!G36</f>
        <v>14.904999999999999</v>
      </c>
      <c r="H53" s="648">
        <f>BS!H36</f>
        <v>6.42</v>
      </c>
      <c r="I53" s="648">
        <f>BS!I36</f>
        <v>4.992</v>
      </c>
      <c r="J53" s="648">
        <f>BS!J36</f>
        <v>1.2909999999999999</v>
      </c>
      <c r="K53" s="648">
        <f>BS!K36</f>
        <v>0.29099999999999998</v>
      </c>
      <c r="L53" s="648">
        <f>BS!L36</f>
        <v>0</v>
      </c>
      <c r="M53" s="648">
        <f>BS!M36</f>
        <v>0</v>
      </c>
      <c r="N53" s="648">
        <f>BS!N36</f>
        <v>0</v>
      </c>
      <c r="O53" s="648">
        <f>BS!O36</f>
        <v>0</v>
      </c>
      <c r="P53" s="648">
        <f>BS!P36</f>
        <v>0</v>
      </c>
      <c r="Q53" s="648">
        <f>BS!Q36</f>
        <v>0</v>
      </c>
      <c r="R53" s="648">
        <f>BS!R36</f>
        <v>0</v>
      </c>
      <c r="S53" s="648">
        <f>BS!S36</f>
        <v>0</v>
      </c>
      <c r="T53" s="648">
        <f t="shared" ref="T53:AC53" si="95">SUM(T51:T52)</f>
        <v>0</v>
      </c>
      <c r="U53" s="648">
        <f t="shared" ref="U53" si="96">SUM(U51:U52)</f>
        <v>0</v>
      </c>
      <c r="V53" s="648">
        <f t="shared" ref="V53:W53" si="97">SUM(V51:V52)</f>
        <v>0</v>
      </c>
      <c r="W53" s="648">
        <f t="shared" si="97"/>
        <v>0</v>
      </c>
      <c r="X53" s="648">
        <f t="shared" si="95"/>
        <v>0</v>
      </c>
      <c r="Y53" s="648">
        <f t="shared" si="95"/>
        <v>0</v>
      </c>
      <c r="Z53" s="648">
        <f t="shared" si="95"/>
        <v>0</v>
      </c>
      <c r="AA53" s="648">
        <f t="shared" si="95"/>
        <v>0</v>
      </c>
      <c r="AB53" s="648">
        <f t="shared" si="95"/>
        <v>0</v>
      </c>
      <c r="AC53" s="648">
        <f t="shared" si="95"/>
        <v>0</v>
      </c>
      <c r="AD53" s="648">
        <f t="shared" ref="AD53:AF53" si="98">SUM(AD51:AD52)</f>
        <v>0</v>
      </c>
      <c r="AE53" s="648">
        <f t="shared" si="98"/>
        <v>0</v>
      </c>
      <c r="AF53" s="648">
        <f t="shared" si="98"/>
        <v>0</v>
      </c>
      <c r="AG53" s="648">
        <f t="shared" ref="AG53" si="99">SUM(AG51:AG52)</f>
        <v>0</v>
      </c>
    </row>
    <row r="54" spans="1:33" x14ac:dyDescent="0.35">
      <c r="A54" s="682"/>
      <c r="C54" s="681"/>
      <c r="D54" s="681"/>
      <c r="E54" s="681"/>
      <c r="F54" s="681"/>
      <c r="G54" s="657"/>
      <c r="H54" s="657"/>
      <c r="I54" s="657"/>
      <c r="J54" s="657"/>
      <c r="K54" s="657"/>
      <c r="L54" s="657"/>
      <c r="M54" s="688"/>
      <c r="N54" s="688"/>
      <c r="O54" s="688"/>
      <c r="P54" s="688"/>
      <c r="Q54" s="688"/>
      <c r="R54" s="688"/>
      <c r="S54" s="688"/>
      <c r="T54" s="688"/>
      <c r="U54" s="688"/>
      <c r="V54" s="688"/>
      <c r="W54" s="688"/>
      <c r="X54" s="688"/>
      <c r="Y54" s="688"/>
      <c r="Z54" s="688"/>
      <c r="AA54" s="688"/>
      <c r="AB54" s="688"/>
      <c r="AC54" s="688"/>
      <c r="AD54" s="688"/>
      <c r="AE54" s="688"/>
      <c r="AF54" s="688"/>
      <c r="AG54" s="688"/>
    </row>
    <row r="55" spans="1:33" ht="12" x14ac:dyDescent="0.35">
      <c r="A55" s="682" t="s">
        <v>2070</v>
      </c>
      <c r="B55" s="651" t="s">
        <v>2071</v>
      </c>
      <c r="C55" s="681"/>
      <c r="D55" s="681"/>
      <c r="E55" s="681"/>
      <c r="F55" s="681"/>
      <c r="G55" s="657"/>
      <c r="H55" s="657"/>
      <c r="I55" s="657"/>
      <c r="J55" s="657"/>
      <c r="K55" s="657"/>
      <c r="L55" s="657"/>
      <c r="M55" s="688"/>
      <c r="N55" s="688"/>
      <c r="O55" s="688"/>
      <c r="P55" s="688"/>
      <c r="Q55" s="688"/>
      <c r="R55" s="688"/>
      <c r="S55" s="688"/>
      <c r="T55" s="688"/>
      <c r="U55" s="688"/>
      <c r="V55" s="688"/>
      <c r="W55" s="688"/>
      <c r="X55" s="688"/>
      <c r="Y55" s="688"/>
      <c r="Z55" s="688"/>
      <c r="AA55" s="688"/>
      <c r="AB55" s="688"/>
      <c r="AC55" s="688"/>
      <c r="AD55" s="688"/>
      <c r="AE55" s="688"/>
      <c r="AF55" s="688"/>
      <c r="AG55" s="688"/>
    </row>
    <row r="56" spans="1:33" ht="12" x14ac:dyDescent="0.35">
      <c r="A56" s="682" t="s">
        <v>1862</v>
      </c>
      <c r="B56" s="674" t="s">
        <v>1526</v>
      </c>
      <c r="C56" s="681"/>
      <c r="D56" s="648">
        <v>2000</v>
      </c>
      <c r="E56" s="648">
        <f t="shared" ref="E56:AC56" si="100">D58</f>
        <v>1701.104</v>
      </c>
      <c r="F56" s="648">
        <f t="shared" si="100"/>
        <v>1545</v>
      </c>
      <c r="G56" s="658">
        <f t="shared" si="100"/>
        <v>1900.1690000000001</v>
      </c>
      <c r="H56" s="658">
        <f t="shared" si="100"/>
        <v>5746.5730000000003</v>
      </c>
      <c r="I56" s="658">
        <f t="shared" si="100"/>
        <v>3728.1039999999998</v>
      </c>
      <c r="J56" s="658">
        <f t="shared" si="100"/>
        <v>5457.8119999999999</v>
      </c>
      <c r="K56" s="658">
        <f t="shared" si="100"/>
        <v>6716.9129999999996</v>
      </c>
      <c r="L56" s="658">
        <f t="shared" si="100"/>
        <v>8126.183</v>
      </c>
      <c r="M56" s="658">
        <f t="shared" si="100"/>
        <v>7452.4480000000003</v>
      </c>
      <c r="N56" s="658">
        <f t="shared" si="100"/>
        <v>8026.2240000000002</v>
      </c>
      <c r="O56" s="658">
        <f t="shared" si="100"/>
        <v>11484.652</v>
      </c>
      <c r="P56" s="658">
        <f t="shared" si="100"/>
        <v>17593.203000000001</v>
      </c>
      <c r="Q56" s="658">
        <f t="shared" si="100"/>
        <v>17925.707999999999</v>
      </c>
      <c r="R56" s="658">
        <f t="shared" si="100"/>
        <v>22623.620999999999</v>
      </c>
      <c r="S56" s="658">
        <f t="shared" si="100"/>
        <v>22455.362000000001</v>
      </c>
      <c r="T56" s="658">
        <f t="shared" si="100"/>
        <v>24407.419000000002</v>
      </c>
      <c r="U56" s="658">
        <f t="shared" si="100"/>
        <v>23568.61</v>
      </c>
      <c r="V56" s="658">
        <f t="shared" si="100"/>
        <v>28459.065999999999</v>
      </c>
      <c r="W56" s="658">
        <f t="shared" si="100"/>
        <v>30719.354000000007</v>
      </c>
      <c r="X56" s="658">
        <f t="shared" si="100"/>
        <v>31676.354000000007</v>
      </c>
      <c r="Y56" s="658">
        <f t="shared" ca="1" si="100"/>
        <v>33114.321092227961</v>
      </c>
      <c r="Z56" s="658">
        <f t="shared" ca="1" si="100"/>
        <v>32677.989032460853</v>
      </c>
      <c r="AA56" s="658">
        <f t="shared" ca="1" si="100"/>
        <v>33802.351221129356</v>
      </c>
      <c r="AB56" s="658">
        <f t="shared" ca="1" si="100"/>
        <v>31890.949027620816</v>
      </c>
      <c r="AC56" s="658">
        <f t="shared" ca="1" si="100"/>
        <v>30913.002869291253</v>
      </c>
      <c r="AD56" s="658">
        <f t="shared" ref="AD56" ca="1" si="101">AC58</f>
        <v>30364.632187537853</v>
      </c>
      <c r="AE56" s="658">
        <f t="shared" ref="AE56" ca="1" si="102">AD58</f>
        <v>30518.363031906385</v>
      </c>
      <c r="AF56" s="658">
        <f t="shared" ref="AF56:AG56" ca="1" si="103">AE58</f>
        <v>32755.348164965984</v>
      </c>
      <c r="AG56" s="658">
        <f t="shared" ca="1" si="103"/>
        <v>35701.724887645367</v>
      </c>
    </row>
    <row r="57" spans="1:33" ht="12" x14ac:dyDescent="0.35">
      <c r="A57" s="682" t="s">
        <v>2069</v>
      </c>
      <c r="B57" s="674" t="s">
        <v>2058</v>
      </c>
      <c r="C57" s="681"/>
      <c r="D57" s="648">
        <f t="shared" ref="D57:S57" si="104">D58-D56</f>
        <v>-298.89599999999996</v>
      </c>
      <c r="E57" s="648">
        <f t="shared" si="104"/>
        <v>-156.10400000000004</v>
      </c>
      <c r="F57" s="648">
        <f t="shared" si="104"/>
        <v>355.1690000000001</v>
      </c>
      <c r="G57" s="658">
        <f t="shared" si="104"/>
        <v>3846.4040000000005</v>
      </c>
      <c r="H57" s="658">
        <f t="shared" si="104"/>
        <v>-2018.4690000000005</v>
      </c>
      <c r="I57" s="658">
        <f t="shared" si="104"/>
        <v>1729.7080000000001</v>
      </c>
      <c r="J57" s="658">
        <f t="shared" si="104"/>
        <v>1259.1009999999997</v>
      </c>
      <c r="K57" s="658">
        <f t="shared" si="104"/>
        <v>1409.2700000000004</v>
      </c>
      <c r="L57" s="658">
        <f t="shared" si="104"/>
        <v>-673.73499999999967</v>
      </c>
      <c r="M57" s="658">
        <f t="shared" si="104"/>
        <v>573.77599999999984</v>
      </c>
      <c r="N57" s="658">
        <f t="shared" si="104"/>
        <v>3458.4279999999999</v>
      </c>
      <c r="O57" s="658">
        <f t="shared" si="104"/>
        <v>6108.5510000000013</v>
      </c>
      <c r="P57" s="658">
        <f t="shared" si="104"/>
        <v>332.50499999999738</v>
      </c>
      <c r="Q57" s="658">
        <f t="shared" si="104"/>
        <v>4697.9130000000005</v>
      </c>
      <c r="R57" s="658">
        <f t="shared" si="104"/>
        <v>-168.2589999999982</v>
      </c>
      <c r="S57" s="658">
        <f t="shared" si="104"/>
        <v>1952.0570000000007</v>
      </c>
      <c r="T57" s="658">
        <f>CF!T31</f>
        <v>-838.8089999999994</v>
      </c>
      <c r="U57" s="658">
        <f>CF!U31</f>
        <v>4890.4559999999983</v>
      </c>
      <c r="V57" s="658">
        <f>CF!V31</f>
        <v>2260.2880000000077</v>
      </c>
      <c r="W57" s="658">
        <f>CF!W31</f>
        <v>957</v>
      </c>
      <c r="X57" s="658">
        <f ca="1">CF!X31</f>
        <v>1437.9670922279574</v>
      </c>
      <c r="Y57" s="658">
        <f ca="1">CF!Y31</f>
        <v>-436.33205976710974</v>
      </c>
      <c r="Z57" s="658">
        <f ca="1">CF!Z31</f>
        <v>1124.362188668506</v>
      </c>
      <c r="AA57" s="658">
        <f ca="1">CF!AA31</f>
        <v>-1911.4021935085402</v>
      </c>
      <c r="AB57" s="658">
        <f ca="1">CF!AB31</f>
        <v>-977.9461583295647</v>
      </c>
      <c r="AC57" s="658">
        <f ca="1">CF!AC31</f>
        <v>-548.37068175339982</v>
      </c>
      <c r="AD57" s="658">
        <f ca="1">CF!AD31</f>
        <v>153.73084436853333</v>
      </c>
      <c r="AE57" s="658">
        <f ca="1">CF!AE31</f>
        <v>2236.9851330595993</v>
      </c>
      <c r="AF57" s="658">
        <f ca="1">CF!AF31</f>
        <v>2946.3767226793825</v>
      </c>
      <c r="AG57" s="658">
        <f ca="1">CF!AG31</f>
        <v>3585.2055474782455</v>
      </c>
    </row>
    <row r="58" spans="1:33" s="646" customFormat="1" ht="12" x14ac:dyDescent="0.35">
      <c r="A58" s="680" t="s">
        <v>2051</v>
      </c>
      <c r="B58" s="651" t="s">
        <v>1528</v>
      </c>
      <c r="C58" s="681"/>
      <c r="D58" s="648">
        <f>BS!D39</f>
        <v>1701.104</v>
      </c>
      <c r="E58" s="648">
        <f>BS!E39</f>
        <v>1545</v>
      </c>
      <c r="F58" s="648">
        <f>BS!F39</f>
        <v>1900.1690000000001</v>
      </c>
      <c r="G58" s="648">
        <f>BS!G39</f>
        <v>5746.5730000000003</v>
      </c>
      <c r="H58" s="648">
        <f>BS!H39</f>
        <v>3728.1039999999998</v>
      </c>
      <c r="I58" s="648">
        <f>BS!I39</f>
        <v>5457.8119999999999</v>
      </c>
      <c r="J58" s="648">
        <f>BS!J39</f>
        <v>6716.9129999999996</v>
      </c>
      <c r="K58" s="648">
        <f>BS!K39</f>
        <v>8126.183</v>
      </c>
      <c r="L58" s="648">
        <f>BS!L39</f>
        <v>7452.4480000000003</v>
      </c>
      <c r="M58" s="648">
        <f>BS!M39</f>
        <v>8026.2240000000002</v>
      </c>
      <c r="N58" s="648">
        <f>BS!N39</f>
        <v>11484.652</v>
      </c>
      <c r="O58" s="648">
        <f>BS!O39</f>
        <v>17593.203000000001</v>
      </c>
      <c r="P58" s="648">
        <f>BS!P39</f>
        <v>17925.707999999999</v>
      </c>
      <c r="Q58" s="648">
        <f>BS!Q39</f>
        <v>22623.620999999999</v>
      </c>
      <c r="R58" s="648">
        <f>BS!R39</f>
        <v>22455.362000000001</v>
      </c>
      <c r="S58" s="648">
        <f>BS!S39</f>
        <v>24407.419000000002</v>
      </c>
      <c r="T58" s="648">
        <f t="shared" ref="T58:AC58" si="105">SUM(T56:T57)</f>
        <v>23568.61</v>
      </c>
      <c r="U58" s="648">
        <f t="shared" ref="U58:V58" si="106">SUM(U56:U57)</f>
        <v>28459.065999999999</v>
      </c>
      <c r="V58" s="648">
        <f t="shared" si="106"/>
        <v>30719.354000000007</v>
      </c>
      <c r="W58" s="648">
        <f t="shared" si="105"/>
        <v>31676.354000000007</v>
      </c>
      <c r="X58" s="648">
        <f t="shared" ca="1" si="105"/>
        <v>33114.321092227961</v>
      </c>
      <c r="Y58" s="648">
        <f t="shared" ca="1" si="105"/>
        <v>32677.989032460853</v>
      </c>
      <c r="Z58" s="648">
        <f t="shared" ca="1" si="105"/>
        <v>33802.351221129356</v>
      </c>
      <c r="AA58" s="648">
        <f t="shared" ca="1" si="105"/>
        <v>31890.949027620816</v>
      </c>
      <c r="AB58" s="648">
        <f t="shared" ca="1" si="105"/>
        <v>30913.002869291253</v>
      </c>
      <c r="AC58" s="648">
        <f t="shared" ca="1" si="105"/>
        <v>30364.632187537853</v>
      </c>
      <c r="AD58" s="648">
        <f t="shared" ref="AD58:AF58" ca="1" si="107">SUM(AD56:AD57)</f>
        <v>30518.363031906385</v>
      </c>
      <c r="AE58" s="648">
        <f t="shared" ca="1" si="107"/>
        <v>32755.348164965984</v>
      </c>
      <c r="AF58" s="648">
        <f t="shared" ca="1" si="107"/>
        <v>35701.724887645367</v>
      </c>
      <c r="AG58" s="648">
        <f t="shared" ref="AG58" ca="1" si="108">SUM(AG56:AG57)</f>
        <v>39286.930435123613</v>
      </c>
    </row>
    <row r="59" spans="1:33" x14ac:dyDescent="0.35">
      <c r="A59" s="334"/>
      <c r="B59" s="334"/>
      <c r="C59" s="636"/>
      <c r="D59" s="636"/>
      <c r="E59" s="636"/>
      <c r="F59" s="636"/>
      <c r="G59" s="688"/>
      <c r="H59" s="688"/>
      <c r="I59" s="688"/>
      <c r="J59" s="688"/>
      <c r="K59" s="688"/>
      <c r="L59" s="688"/>
      <c r="M59" s="688"/>
      <c r="N59" s="688"/>
      <c r="O59" s="688"/>
      <c r="P59" s="688"/>
      <c r="Q59" s="688"/>
      <c r="R59" s="688"/>
      <c r="S59" s="688"/>
      <c r="T59" s="688"/>
      <c r="U59" s="688"/>
      <c r="V59" s="688"/>
      <c r="W59" s="688"/>
      <c r="X59" s="688"/>
      <c r="Y59" s="688"/>
      <c r="Z59" s="688"/>
      <c r="AA59" s="688"/>
      <c r="AB59" s="688"/>
      <c r="AC59" s="688"/>
      <c r="AD59" s="688"/>
      <c r="AE59" s="688"/>
      <c r="AF59" s="688"/>
      <c r="AG59" s="688"/>
    </row>
    <row r="60" spans="1:33" ht="12" x14ac:dyDescent="0.35">
      <c r="A60" s="334"/>
      <c r="B60" s="699" t="s">
        <v>2679</v>
      </c>
      <c r="C60" s="636"/>
      <c r="D60" s="648">
        <f t="shared" ref="D60:T60" si="109">D40-D58</f>
        <v>-1701.104</v>
      </c>
      <c r="E60" s="648">
        <f t="shared" si="109"/>
        <v>-1494.106</v>
      </c>
      <c r="F60" s="648">
        <f t="shared" si="109"/>
        <v>-863.04100000000017</v>
      </c>
      <c r="G60" s="648">
        <f t="shared" si="109"/>
        <v>-4122.6860000000006</v>
      </c>
      <c r="H60" s="648">
        <f t="shared" si="109"/>
        <v>1622.7949999999996</v>
      </c>
      <c r="I60" s="648">
        <f t="shared" si="109"/>
        <v>801.32300000000032</v>
      </c>
      <c r="J60" s="648">
        <f t="shared" si="109"/>
        <v>3328.2260000000015</v>
      </c>
      <c r="K60" s="648">
        <f t="shared" si="109"/>
        <v>4596.2499999999991</v>
      </c>
      <c r="L60" s="648">
        <f t="shared" si="109"/>
        <v>7366.4290000000001</v>
      </c>
      <c r="M60" s="648">
        <f t="shared" si="109"/>
        <v>9746.9889999999996</v>
      </c>
      <c r="N60" s="648">
        <f t="shared" si="109"/>
        <v>9708.8629999999994</v>
      </c>
      <c r="O60" s="648">
        <f t="shared" si="109"/>
        <v>11785.882999999998</v>
      </c>
      <c r="P60" s="648">
        <f t="shared" si="109"/>
        <v>23115.036999999997</v>
      </c>
      <c r="Q60" s="648">
        <f t="shared" si="109"/>
        <v>22981.014000000003</v>
      </c>
      <c r="R60" s="648">
        <f t="shared" si="109"/>
        <v>31919.89</v>
      </c>
      <c r="S60" s="648">
        <f t="shared" si="109"/>
        <v>45927.434000000001</v>
      </c>
      <c r="T60" s="648">
        <f t="shared" si="109"/>
        <v>47348.69</v>
      </c>
      <c r="U60" s="648">
        <f t="shared" ref="U60:V60" si="110">U40-U58</f>
        <v>49128.292000000009</v>
      </c>
      <c r="V60" s="648">
        <f t="shared" si="110"/>
        <v>50159.475999999981</v>
      </c>
      <c r="W60" s="648">
        <f>W40-W58</f>
        <v>53726.015999999989</v>
      </c>
      <c r="X60" s="688"/>
      <c r="Y60" s="688"/>
      <c r="Z60" s="688"/>
      <c r="AA60" s="688"/>
      <c r="AB60" s="688"/>
      <c r="AC60" s="688"/>
      <c r="AD60" s="688"/>
      <c r="AE60" s="688"/>
      <c r="AF60" s="688"/>
      <c r="AG60" s="688"/>
    </row>
    <row r="61" spans="1:33" x14ac:dyDescent="0.35">
      <c r="A61" s="334"/>
      <c r="B61" s="334"/>
      <c r="C61" s="636"/>
      <c r="D61" s="636"/>
      <c r="E61" s="636"/>
      <c r="F61" s="636"/>
      <c r="G61" s="688"/>
      <c r="H61" s="688"/>
      <c r="I61" s="688"/>
      <c r="J61" s="688"/>
      <c r="K61" s="688"/>
      <c r="L61" s="688"/>
      <c r="M61" s="688"/>
      <c r="N61" s="688"/>
      <c r="O61" s="688"/>
      <c r="P61" s="688"/>
      <c r="Q61" s="688"/>
      <c r="R61" s="688"/>
      <c r="S61" s="688"/>
      <c r="T61" s="688"/>
      <c r="U61" s="688"/>
      <c r="V61" s="688"/>
      <c r="W61" s="688"/>
      <c r="X61" s="688"/>
      <c r="Y61" s="688"/>
      <c r="Z61" s="688"/>
      <c r="AA61" s="688"/>
      <c r="AB61" s="688"/>
      <c r="AC61" s="688"/>
      <c r="AD61" s="688"/>
      <c r="AE61" s="688"/>
      <c r="AF61" s="688"/>
      <c r="AG61" s="688"/>
    </row>
    <row r="62" spans="1:33" ht="12" x14ac:dyDescent="0.35">
      <c r="A62" s="704"/>
      <c r="B62" s="620" t="s">
        <v>1815</v>
      </c>
      <c r="C62" s="655"/>
      <c r="D62" s="655"/>
      <c r="E62" s="655"/>
      <c r="F62" s="655"/>
      <c r="G62" s="655"/>
      <c r="H62" s="655"/>
      <c r="I62" s="655"/>
      <c r="J62" s="655"/>
      <c r="K62" s="655"/>
      <c r="L62" s="655"/>
      <c r="M62" s="655"/>
      <c r="N62" s="655"/>
      <c r="O62" s="655"/>
      <c r="P62" s="655"/>
      <c r="Q62" s="655"/>
      <c r="R62" s="655"/>
      <c r="S62" s="655"/>
      <c r="T62" s="655"/>
      <c r="U62" s="655"/>
      <c r="V62" s="655"/>
      <c r="W62" s="655"/>
      <c r="X62" s="655"/>
      <c r="Y62" s="655"/>
      <c r="Z62" s="655"/>
      <c r="AA62" s="655"/>
      <c r="AB62" s="655"/>
      <c r="AC62" s="655"/>
      <c r="AD62" s="655"/>
      <c r="AE62" s="655"/>
      <c r="AF62" s="655"/>
      <c r="AG62" s="655"/>
    </row>
    <row r="63" spans="1:33" ht="12" x14ac:dyDescent="0.35">
      <c r="A63" s="682" t="s">
        <v>1638</v>
      </c>
      <c r="B63" s="674" t="s">
        <v>1816</v>
      </c>
      <c r="C63" s="681"/>
      <c r="D63" s="681"/>
      <c r="E63" s="705"/>
      <c r="F63" s="705"/>
      <c r="G63" s="705"/>
      <c r="H63" s="705"/>
      <c r="I63" s="705"/>
      <c r="J63" s="705"/>
      <c r="K63" s="705"/>
      <c r="L63" s="705"/>
      <c r="M63" s="705"/>
      <c r="N63" s="705"/>
      <c r="O63" s="705"/>
      <c r="P63" s="705"/>
      <c r="Q63" s="705"/>
      <c r="R63" s="705"/>
      <c r="S63" s="705"/>
      <c r="T63" s="705"/>
      <c r="U63" s="705"/>
      <c r="V63" s="705"/>
      <c r="W63" s="705"/>
      <c r="X63" s="705"/>
      <c r="Y63" s="705"/>
      <c r="Z63" s="705"/>
      <c r="AA63" s="705"/>
      <c r="AB63" s="705"/>
      <c r="AC63" s="705"/>
      <c r="AD63" s="705"/>
      <c r="AE63" s="705"/>
      <c r="AF63" s="705"/>
      <c r="AG63" s="705"/>
    </row>
    <row r="64" spans="1:33" ht="12" x14ac:dyDescent="0.35">
      <c r="A64" s="674" t="s">
        <v>1639</v>
      </c>
      <c r="B64" s="674" t="s">
        <v>1861</v>
      </c>
      <c r="C64" s="657"/>
      <c r="D64" s="683">
        <f>3.667+0.712</f>
        <v>4.3789999999999996</v>
      </c>
      <c r="E64" s="683">
        <f>0.146+1.647</f>
        <v>1.7929999999999999</v>
      </c>
      <c r="F64" s="683">
        <f>13.585+0.597</f>
        <v>14.182</v>
      </c>
      <c r="G64" s="683">
        <f>11.073+10.833</f>
        <v>21.905999999999999</v>
      </c>
      <c r="H64" s="683">
        <f>10.633+95.753</f>
        <v>106.386</v>
      </c>
      <c r="I64" s="683">
        <f>60.315+123.44</f>
        <v>183.755</v>
      </c>
      <c r="J64" s="683">
        <f>(162494+157122)/1000</f>
        <v>319.61599999999999</v>
      </c>
      <c r="K64" s="683">
        <f>(223373+332967)/1000</f>
        <v>556.34</v>
      </c>
      <c r="L64" s="683">
        <f>241.054+459.676</f>
        <v>700.73</v>
      </c>
      <c r="M64" s="683">
        <f>426683/1000</f>
        <v>426.68299999999999</v>
      </c>
      <c r="N64" s="683">
        <f>501110/1000</f>
        <v>501.11</v>
      </c>
      <c r="O64" s="683">
        <f>873160/1000</f>
        <v>873.16</v>
      </c>
      <c r="P64" s="683">
        <f>1482198/1000</f>
        <v>1482.1980000000001</v>
      </c>
      <c r="Q64" s="683">
        <v>1810.3320000000001</v>
      </c>
      <c r="R64" s="683">
        <v>2060.71</v>
      </c>
      <c r="S64" s="683">
        <v>2066.86</v>
      </c>
      <c r="T64" s="683">
        <v>2319.4720000000002</v>
      </c>
      <c r="U64" s="683">
        <v>2727.07</v>
      </c>
      <c r="V64" s="683">
        <v>2555.002</v>
      </c>
      <c r="W64" s="683">
        <v>2112.6570000000002</v>
      </c>
      <c r="X64" s="658">
        <f t="shared" ref="X64:AC64" si="111">AVERAGE(W16:X16)*X18</f>
        <v>2236.8712837799967</v>
      </c>
      <c r="Y64" s="658">
        <f t="shared" si="111"/>
        <v>2363.5698532355932</v>
      </c>
      <c r="Z64" s="658">
        <f t="shared" si="111"/>
        <v>2492.8023940803009</v>
      </c>
      <c r="AA64" s="658">
        <f t="shared" si="111"/>
        <v>2624.6195857419038</v>
      </c>
      <c r="AB64" s="658">
        <f t="shared" si="111"/>
        <v>2759.0731212367382</v>
      </c>
      <c r="AC64" s="658">
        <f t="shared" si="111"/>
        <v>2896.2157274414694</v>
      </c>
      <c r="AD64" s="658">
        <f t="shared" ref="AD64" si="112">AVERAGE(AC16:AD16)*AD18</f>
        <v>3036.1011857702952</v>
      </c>
      <c r="AE64" s="658">
        <f t="shared" ref="AE64" si="113">AVERAGE(AD16:AE16)*AE18</f>
        <v>3178.7843532656975</v>
      </c>
      <c r="AF64" s="658">
        <f t="shared" ref="AF64:AG64" si="114">AVERAGE(AE16:AF16)*AF18</f>
        <v>3324.3211841110078</v>
      </c>
      <c r="AG64" s="658">
        <f t="shared" si="114"/>
        <v>3472.7687515732246</v>
      </c>
    </row>
    <row r="65" spans="1:33" ht="12" x14ac:dyDescent="0.35">
      <c r="A65" s="674" t="s">
        <v>2072</v>
      </c>
      <c r="B65" s="674" t="s">
        <v>2072</v>
      </c>
      <c r="C65" s="657"/>
      <c r="D65" s="683">
        <v>0</v>
      </c>
      <c r="E65" s="683">
        <v>0</v>
      </c>
      <c r="F65" s="683">
        <v>0</v>
      </c>
      <c r="G65" s="683">
        <v>0</v>
      </c>
      <c r="H65" s="683">
        <v>0.107</v>
      </c>
      <c r="I65" s="683">
        <v>0</v>
      </c>
      <c r="J65" s="683">
        <v>0</v>
      </c>
      <c r="K65" s="683">
        <f>0.295+0.325</f>
        <v>0.62</v>
      </c>
      <c r="L65" s="683">
        <f>0.074+0.272</f>
        <v>0.34600000000000003</v>
      </c>
      <c r="M65" s="683">
        <f>(22023+257)/1000</f>
        <v>22.28</v>
      </c>
      <c r="N65" s="683">
        <f>(11799+219)/1000</f>
        <v>12.018000000000001</v>
      </c>
      <c r="O65" s="683">
        <f>174/1000</f>
        <v>0.17399999999999999</v>
      </c>
      <c r="P65" s="683">
        <v>0.182</v>
      </c>
      <c r="Q65" s="683">
        <v>0</v>
      </c>
      <c r="R65" s="683">
        <v>0</v>
      </c>
      <c r="S65" s="683">
        <v>0</v>
      </c>
      <c r="T65" s="683">
        <v>0</v>
      </c>
      <c r="U65" s="683">
        <v>0</v>
      </c>
      <c r="V65" s="683">
        <v>0</v>
      </c>
      <c r="W65" s="683">
        <v>0</v>
      </c>
      <c r="X65" s="686">
        <v>0</v>
      </c>
      <c r="Y65" s="686">
        <v>0</v>
      </c>
      <c r="Z65" s="686">
        <v>0</v>
      </c>
      <c r="AA65" s="686">
        <v>0</v>
      </c>
      <c r="AB65" s="686">
        <v>0</v>
      </c>
      <c r="AC65" s="686">
        <v>0</v>
      </c>
      <c r="AD65" s="686">
        <v>0</v>
      </c>
      <c r="AE65" s="686">
        <v>0</v>
      </c>
      <c r="AF65" s="686">
        <v>0</v>
      </c>
      <c r="AG65" s="686">
        <v>0</v>
      </c>
    </row>
    <row r="66" spans="1:33" ht="12" x14ac:dyDescent="0.35">
      <c r="A66" s="674" t="s">
        <v>2073</v>
      </c>
      <c r="B66" s="674" t="s">
        <v>2073</v>
      </c>
      <c r="C66" s="657"/>
      <c r="D66" s="683">
        <v>0</v>
      </c>
      <c r="E66" s="683">
        <v>0</v>
      </c>
      <c r="F66" s="683">
        <v>0</v>
      </c>
      <c r="G66" s="683">
        <v>0</v>
      </c>
      <c r="H66" s="683"/>
      <c r="I66" s="683"/>
      <c r="J66" s="683">
        <v>0</v>
      </c>
      <c r="K66" s="683">
        <v>99.540999999999997</v>
      </c>
      <c r="L66" s="683">
        <v>133.08500000000001</v>
      </c>
      <c r="M66" s="683">
        <f>133085/1000</f>
        <v>133.08500000000001</v>
      </c>
      <c r="N66" s="683">
        <f>131393/1000</f>
        <v>131.393</v>
      </c>
      <c r="O66" s="683">
        <f>151326/1000</f>
        <v>151.32599999999999</v>
      </c>
      <c r="P66" s="683">
        <f>252974/1000</f>
        <v>252.97399999999999</v>
      </c>
      <c r="Q66" s="683">
        <v>225.32900000000001</v>
      </c>
      <c r="R66" s="683">
        <v>263.18099999999998</v>
      </c>
      <c r="S66" s="683">
        <v>357.74400000000003</v>
      </c>
      <c r="T66" s="683">
        <v>485.98200000000003</v>
      </c>
      <c r="U66" s="683">
        <v>357.04500000000002</v>
      </c>
      <c r="V66" s="683">
        <v>357.74099999999999</v>
      </c>
      <c r="W66" s="683">
        <v>384.26100000000002</v>
      </c>
      <c r="X66" s="658">
        <f t="shared" ref="X66:AC66" si="115">X28</f>
        <v>390.77872915719502</v>
      </c>
      <c r="Y66" s="658">
        <f t="shared" si="115"/>
        <v>403.814187471585</v>
      </c>
      <c r="Z66" s="658">
        <f t="shared" si="115"/>
        <v>416.84964578597504</v>
      </c>
      <c r="AA66" s="658">
        <f t="shared" si="115"/>
        <v>429.88510410036503</v>
      </c>
      <c r="AB66" s="658">
        <f t="shared" si="115"/>
        <v>442.92056241475501</v>
      </c>
      <c r="AC66" s="658">
        <f t="shared" si="115"/>
        <v>455.95602072914505</v>
      </c>
      <c r="AD66" s="658">
        <f t="shared" ref="AD66:AF66" si="116">AD28</f>
        <v>468.99147904353504</v>
      </c>
      <c r="AE66" s="658">
        <f t="shared" si="116"/>
        <v>482.02693735792502</v>
      </c>
      <c r="AF66" s="658">
        <f t="shared" si="116"/>
        <v>495.06239567231506</v>
      </c>
      <c r="AG66" s="658">
        <f t="shared" ref="AG66" si="117">AG28</f>
        <v>508.0978539867051</v>
      </c>
    </row>
    <row r="67" spans="1:33" ht="12" x14ac:dyDescent="0.35">
      <c r="A67" s="674" t="s">
        <v>2346</v>
      </c>
      <c r="B67" s="674" t="s">
        <v>2346</v>
      </c>
      <c r="C67" s="657"/>
      <c r="D67" s="683"/>
      <c r="E67" s="683"/>
      <c r="F67" s="683"/>
      <c r="G67" s="683">
        <v>4.1440000000000001</v>
      </c>
      <c r="H67" s="683">
        <v>99.995000000000005</v>
      </c>
      <c r="I67" s="683">
        <v>85.165999999999997</v>
      </c>
      <c r="J67" s="683">
        <f>(388+14581)/1000</f>
        <v>14.968999999999999</v>
      </c>
      <c r="K67" s="683">
        <v>122.44499999999999</v>
      </c>
      <c r="L67" s="683">
        <v>33.543999999999997</v>
      </c>
      <c r="M67" s="683">
        <f>57932/1000</f>
        <v>57.932000000000002</v>
      </c>
      <c r="N67" s="683">
        <f>47760/1000</f>
        <v>47.76</v>
      </c>
      <c r="O67" s="683">
        <f>45094/1000</f>
        <v>45.094000000000001</v>
      </c>
      <c r="P67" s="683">
        <f>46363/1000</f>
        <v>46.363</v>
      </c>
      <c r="Q67" s="683">
        <f>179.823+4.08+1.502+3.02+54.899</f>
        <v>243.32400000000004</v>
      </c>
      <c r="R67" s="683">
        <f>210.634+92.322+3.664+49.466</f>
        <v>356.08600000000001</v>
      </c>
      <c r="S67" s="683">
        <f>(216983+29438+5341+41094)/1000</f>
        <v>292.85599999999999</v>
      </c>
      <c r="T67" s="683">
        <f>216.546+29.697+9.929+3.216</f>
        <v>259.38799999999998</v>
      </c>
      <c r="U67" s="683">
        <f>220.172+19.399+6.09+0.823</f>
        <v>246.48400000000001</v>
      </c>
      <c r="V67" s="683">
        <f>(34601+9633+9118+28479)/1000</f>
        <v>81.831000000000003</v>
      </c>
      <c r="W67" s="683">
        <f>(2053+11041+3126)/1000</f>
        <v>16.22</v>
      </c>
      <c r="X67" s="686">
        <f t="shared" ref="X67:AC67" si="118">W67</f>
        <v>16.22</v>
      </c>
      <c r="Y67" s="686">
        <f t="shared" si="118"/>
        <v>16.22</v>
      </c>
      <c r="Z67" s="686">
        <f t="shared" si="118"/>
        <v>16.22</v>
      </c>
      <c r="AA67" s="686">
        <f t="shared" si="118"/>
        <v>16.22</v>
      </c>
      <c r="AB67" s="686">
        <f t="shared" si="118"/>
        <v>16.22</v>
      </c>
      <c r="AC67" s="686">
        <f t="shared" si="118"/>
        <v>16.22</v>
      </c>
      <c r="AD67" s="686">
        <f t="shared" ref="AD67" si="119">AC67</f>
        <v>16.22</v>
      </c>
      <c r="AE67" s="686">
        <f t="shared" ref="AE67" si="120">AD67</f>
        <v>16.22</v>
      </c>
      <c r="AF67" s="686">
        <f t="shared" ref="AF67:AG67" si="121">AE67</f>
        <v>16.22</v>
      </c>
      <c r="AG67" s="686">
        <f t="shared" si="121"/>
        <v>16.22</v>
      </c>
    </row>
    <row r="68" spans="1:33" x14ac:dyDescent="0.35">
      <c r="C68" s="681"/>
      <c r="D68" s="648">
        <f t="shared" ref="D68:AC68" si="122">SUM(D64:D67)</f>
        <v>4.3789999999999996</v>
      </c>
      <c r="E68" s="648">
        <f t="shared" si="122"/>
        <v>1.7929999999999999</v>
      </c>
      <c r="F68" s="648">
        <f t="shared" si="122"/>
        <v>14.182</v>
      </c>
      <c r="G68" s="658">
        <f t="shared" si="122"/>
        <v>26.049999999999997</v>
      </c>
      <c r="H68" s="658">
        <f t="shared" si="122"/>
        <v>206.488</v>
      </c>
      <c r="I68" s="658">
        <f t="shared" si="122"/>
        <v>268.92099999999999</v>
      </c>
      <c r="J68" s="658">
        <f t="shared" si="122"/>
        <v>334.58499999999998</v>
      </c>
      <c r="K68" s="658">
        <f t="shared" si="122"/>
        <v>778.94599999999991</v>
      </c>
      <c r="L68" s="658">
        <f t="shared" si="122"/>
        <v>867.70500000000004</v>
      </c>
      <c r="M68" s="648">
        <f t="shared" si="122"/>
        <v>639.98</v>
      </c>
      <c r="N68" s="648">
        <f t="shared" si="122"/>
        <v>692.28100000000006</v>
      </c>
      <c r="O68" s="648">
        <f t="shared" si="122"/>
        <v>1069.7539999999999</v>
      </c>
      <c r="P68" s="648">
        <f t="shared" si="122"/>
        <v>1781.7170000000001</v>
      </c>
      <c r="Q68" s="648">
        <f t="shared" si="122"/>
        <v>2278.9850000000001</v>
      </c>
      <c r="R68" s="648">
        <f t="shared" si="122"/>
        <v>2679.9769999999999</v>
      </c>
      <c r="S68" s="648">
        <f t="shared" si="122"/>
        <v>2717.46</v>
      </c>
      <c r="T68" s="648">
        <f t="shared" si="122"/>
        <v>3064.8420000000001</v>
      </c>
      <c r="U68" s="648">
        <f t="shared" ref="U68" si="123">SUM(U64:U67)</f>
        <v>3330.5990000000002</v>
      </c>
      <c r="V68" s="648">
        <f>SUM(V64:V67)</f>
        <v>2994.5740000000001</v>
      </c>
      <c r="W68" s="648">
        <f>SUM(W64:W67)</f>
        <v>2513.1379999999999</v>
      </c>
      <c r="X68" s="648">
        <f t="shared" si="122"/>
        <v>2643.8700129371914</v>
      </c>
      <c r="Y68" s="648">
        <f t="shared" si="122"/>
        <v>2783.6040407071782</v>
      </c>
      <c r="Z68" s="648">
        <f t="shared" si="122"/>
        <v>2925.8720398662758</v>
      </c>
      <c r="AA68" s="648">
        <f t="shared" si="122"/>
        <v>3070.7246898422686</v>
      </c>
      <c r="AB68" s="648">
        <f t="shared" si="122"/>
        <v>3218.2136836514928</v>
      </c>
      <c r="AC68" s="648">
        <f t="shared" si="122"/>
        <v>3368.3917481706144</v>
      </c>
      <c r="AD68" s="648">
        <f t="shared" ref="AD68:AF68" si="124">SUM(AD64:AD67)</f>
        <v>3521.31266481383</v>
      </c>
      <c r="AE68" s="648">
        <f t="shared" si="124"/>
        <v>3677.0312906236222</v>
      </c>
      <c r="AF68" s="648">
        <f t="shared" si="124"/>
        <v>3835.6035797833229</v>
      </c>
      <c r="AG68" s="648">
        <f t="shared" ref="AG68" si="125">SUM(AG64:AG67)</f>
        <v>3997.0866055599295</v>
      </c>
    </row>
    <row r="69" spans="1:33" ht="12" x14ac:dyDescent="0.35">
      <c r="A69" s="682" t="s">
        <v>1857</v>
      </c>
      <c r="B69" s="674" t="s">
        <v>1860</v>
      </c>
      <c r="C69" s="697"/>
      <c r="D69" s="624">
        <f>D68*2/(D5+D8+D11+D14+D32+D35+D27+D25)</f>
        <v>0.16379278099869085</v>
      </c>
      <c r="E69" s="624">
        <f t="shared" ref="E69:W69" si="126">E68/AVERAGE(D40:E40)</f>
        <v>3.5230086061225289E-2</v>
      </c>
      <c r="F69" s="624">
        <f t="shared" si="126"/>
        <v>2.6069325804073815E-2</v>
      </c>
      <c r="G69" s="624">
        <f t="shared" si="126"/>
        <v>1.9578995233021985E-2</v>
      </c>
      <c r="H69" s="624">
        <f t="shared" si="126"/>
        <v>5.9209845291310736E-2</v>
      </c>
      <c r="I69" s="624">
        <f t="shared" si="126"/>
        <v>4.6325617995606215E-2</v>
      </c>
      <c r="J69" s="624">
        <f t="shared" si="126"/>
        <v>4.1042612507616094E-2</v>
      </c>
      <c r="K69" s="624">
        <f t="shared" si="126"/>
        <v>6.8425917352979052E-2</v>
      </c>
      <c r="L69" s="624">
        <f t="shared" si="126"/>
        <v>6.3011163956979546E-2</v>
      </c>
      <c r="M69" s="624">
        <f t="shared" si="126"/>
        <v>3.9272105593719214E-2</v>
      </c>
      <c r="N69" s="624">
        <f t="shared" si="126"/>
        <v>3.5531903012231358E-2</v>
      </c>
      <c r="O69" s="624">
        <f t="shared" si="126"/>
        <v>4.2305674568725464E-2</v>
      </c>
      <c r="P69" s="624">
        <f t="shared" si="126"/>
        <v>5.0602705933787323E-2</v>
      </c>
      <c r="Q69" s="624">
        <f t="shared" si="126"/>
        <v>5.2604882106812849E-2</v>
      </c>
      <c r="R69" s="624">
        <f t="shared" si="126"/>
        <v>5.3610322644193423E-2</v>
      </c>
      <c r="S69" s="624">
        <f t="shared" si="126"/>
        <v>4.3580429990015643E-2</v>
      </c>
      <c r="T69" s="624">
        <f t="shared" si="126"/>
        <v>4.3395331467974162E-2</v>
      </c>
      <c r="U69" s="624">
        <f t="shared" si="126"/>
        <v>4.4855145217061139E-2</v>
      </c>
      <c r="V69" s="624">
        <f t="shared" si="126"/>
        <v>3.7794485218512357E-2</v>
      </c>
      <c r="W69" s="624">
        <f t="shared" si="126"/>
        <v>3.02275663153742E-2</v>
      </c>
      <c r="X69" s="624">
        <f t="shared" ref="X69:AC69" si="127">X68*2/(X5+X8+X11+X14+X32+X35+X27+X25)</f>
        <v>3.0145046436566566E-2</v>
      </c>
      <c r="Y69" s="624">
        <f t="shared" si="127"/>
        <v>3.0141319059322474E-2</v>
      </c>
      <c r="Z69" s="624">
        <f t="shared" si="127"/>
        <v>3.0137942278462792E-2</v>
      </c>
      <c r="AA69" s="624">
        <f t="shared" si="127"/>
        <v>3.0134875548744465E-2</v>
      </c>
      <c r="AB69" s="624">
        <f t="shared" si="127"/>
        <v>3.0132084283477658E-2</v>
      </c>
      <c r="AC69" s="624">
        <f t="shared" si="127"/>
        <v>3.0129538798252111E-2</v>
      </c>
      <c r="AD69" s="624">
        <f t="shared" ref="AD69:AF69" si="128">AD68*2/(AD5+AD8+AD11+AD14+AD32+AD35+AD27+AD25)</f>
        <v>3.012721347168441E-2</v>
      </c>
      <c r="AE69" s="624">
        <f t="shared" si="128"/>
        <v>3.0125086072888288E-2</v>
      </c>
      <c r="AF69" s="624">
        <f t="shared" si="128"/>
        <v>3.0123137218265605E-2</v>
      </c>
      <c r="AG69" s="624">
        <f t="shared" ref="AG69" si="129">AG68*2/(AG5+AG8+AG11+AG14+AG32+AG35+AG27+AG25)</f>
        <v>3.0121349929507626E-2</v>
      </c>
    </row>
    <row r="70" spans="1:33" ht="12" x14ac:dyDescent="0.35">
      <c r="A70" s="682" t="s">
        <v>1859</v>
      </c>
      <c r="B70" s="674" t="s">
        <v>1858</v>
      </c>
      <c r="C70" s="657"/>
      <c r="D70" s="683">
        <v>1.7000000000000001E-2</v>
      </c>
      <c r="E70" s="683">
        <v>1.7000000000000001E-2</v>
      </c>
      <c r="F70" s="683">
        <v>2.4E-2</v>
      </c>
      <c r="G70" s="683">
        <v>0</v>
      </c>
      <c r="H70" s="683">
        <v>-194.15600000000001</v>
      </c>
      <c r="I70" s="683">
        <v>-85.165999999999997</v>
      </c>
      <c r="J70" s="683">
        <f>(-40075-60906-10300)/1000</f>
        <v>-111.28100000000001</v>
      </c>
      <c r="K70" s="683">
        <f>(-83336-275391-10889)/1000</f>
        <v>-369.61599999999999</v>
      </c>
      <c r="L70" s="683">
        <f>-87.197-313.934-10.745</f>
        <v>-411.87600000000003</v>
      </c>
      <c r="M70" s="683">
        <f>-10875/1000</f>
        <v>-10.875</v>
      </c>
      <c r="N70" s="683">
        <f>-4122/1000</f>
        <v>-4.1219999999999999</v>
      </c>
      <c r="O70" s="683">
        <v>0</v>
      </c>
      <c r="P70" s="683">
        <v>0</v>
      </c>
      <c r="Q70" s="683">
        <v>0</v>
      </c>
      <c r="R70" s="683">
        <v>0</v>
      </c>
      <c r="S70" s="683">
        <v>-49.258000000000003</v>
      </c>
      <c r="T70" s="683">
        <v>-73.423000000000002</v>
      </c>
      <c r="U70" s="683">
        <v>-126.29</v>
      </c>
      <c r="V70" s="683">
        <v>-46.262</v>
      </c>
      <c r="W70" s="683">
        <v>-43.47</v>
      </c>
      <c r="X70" s="684">
        <f t="shared" ref="X70:AC70" si="130">W70</f>
        <v>-43.47</v>
      </c>
      <c r="Y70" s="684">
        <f t="shared" si="130"/>
        <v>-43.47</v>
      </c>
      <c r="Z70" s="684">
        <f t="shared" si="130"/>
        <v>-43.47</v>
      </c>
      <c r="AA70" s="684">
        <f t="shared" si="130"/>
        <v>-43.47</v>
      </c>
      <c r="AB70" s="684">
        <f t="shared" si="130"/>
        <v>-43.47</v>
      </c>
      <c r="AC70" s="684">
        <f t="shared" si="130"/>
        <v>-43.47</v>
      </c>
      <c r="AD70" s="684">
        <f t="shared" ref="AD70:AD71" si="131">AC70</f>
        <v>-43.47</v>
      </c>
      <c r="AE70" s="684">
        <f t="shared" ref="AE70:AE71" si="132">AD70</f>
        <v>-43.47</v>
      </c>
      <c r="AF70" s="684">
        <f t="shared" ref="AF70:AG71" si="133">AE70</f>
        <v>-43.47</v>
      </c>
      <c r="AG70" s="684">
        <f t="shared" si="133"/>
        <v>-43.47</v>
      </c>
    </row>
    <row r="71" spans="1:33" ht="12" x14ac:dyDescent="0.35">
      <c r="A71" s="682" t="s">
        <v>2074</v>
      </c>
      <c r="B71" s="674" t="s">
        <v>2022</v>
      </c>
      <c r="C71" s="657"/>
      <c r="D71" s="658">
        <f t="shared" ref="D71:T71" si="134">D72-D70-D68</f>
        <v>-2.8429999999999995</v>
      </c>
      <c r="E71" s="658">
        <f t="shared" si="134"/>
        <v>1.3000000000000123E-2</v>
      </c>
      <c r="F71" s="658">
        <f t="shared" si="134"/>
        <v>5.859</v>
      </c>
      <c r="G71" s="658">
        <f t="shared" si="134"/>
        <v>8.6000000000002075E-2</v>
      </c>
      <c r="H71" s="658">
        <f t="shared" si="134"/>
        <v>3.2199999999999989</v>
      </c>
      <c r="I71" s="658">
        <f t="shared" si="134"/>
        <v>8.9350000000000023</v>
      </c>
      <c r="J71" s="658">
        <f t="shared" si="134"/>
        <v>16.071000000000026</v>
      </c>
      <c r="K71" s="658">
        <f t="shared" si="134"/>
        <v>9.1100000000001273</v>
      </c>
      <c r="L71" s="658">
        <f t="shared" si="134"/>
        <v>0</v>
      </c>
      <c r="M71" s="658">
        <f t="shared" si="134"/>
        <v>0</v>
      </c>
      <c r="N71" s="658">
        <f t="shared" si="134"/>
        <v>0</v>
      </c>
      <c r="O71" s="658">
        <f t="shared" si="134"/>
        <v>0</v>
      </c>
      <c r="P71" s="658">
        <f t="shared" si="134"/>
        <v>0</v>
      </c>
      <c r="Q71" s="658">
        <f t="shared" si="134"/>
        <v>0</v>
      </c>
      <c r="R71" s="658">
        <f t="shared" si="134"/>
        <v>0</v>
      </c>
      <c r="S71" s="658">
        <f t="shared" si="134"/>
        <v>0</v>
      </c>
      <c r="T71" s="658">
        <f t="shared" si="134"/>
        <v>0</v>
      </c>
      <c r="U71" s="658">
        <f t="shared" ref="U71:V71" si="135">U72-U70-U68</f>
        <v>0</v>
      </c>
      <c r="V71" s="658">
        <f t="shared" si="135"/>
        <v>0</v>
      </c>
      <c r="W71" s="658">
        <f t="shared" ref="W71" si="136">W72-W70-W68</f>
        <v>0</v>
      </c>
      <c r="X71" s="684">
        <f t="shared" ref="X71:AC71" si="137">W71</f>
        <v>0</v>
      </c>
      <c r="Y71" s="684">
        <f t="shared" si="137"/>
        <v>0</v>
      </c>
      <c r="Z71" s="684">
        <f t="shared" si="137"/>
        <v>0</v>
      </c>
      <c r="AA71" s="684">
        <f t="shared" si="137"/>
        <v>0</v>
      </c>
      <c r="AB71" s="684">
        <f t="shared" si="137"/>
        <v>0</v>
      </c>
      <c r="AC71" s="684">
        <f t="shared" si="137"/>
        <v>0</v>
      </c>
      <c r="AD71" s="684">
        <f t="shared" si="131"/>
        <v>0</v>
      </c>
      <c r="AE71" s="684">
        <f t="shared" si="132"/>
        <v>0</v>
      </c>
      <c r="AF71" s="684">
        <f t="shared" si="133"/>
        <v>0</v>
      </c>
      <c r="AG71" s="684">
        <f t="shared" si="133"/>
        <v>0</v>
      </c>
    </row>
    <row r="72" spans="1:33" s="646" customFormat="1" ht="12" x14ac:dyDescent="0.35">
      <c r="A72" s="680" t="s">
        <v>1851</v>
      </c>
      <c r="B72" s="651" t="s">
        <v>1850</v>
      </c>
      <c r="C72" s="681"/>
      <c r="D72" s="648">
        <f>-'PL（org）'!E19</f>
        <v>1.5529999999999999</v>
      </c>
      <c r="E72" s="648">
        <f>-'PL（org）'!F19</f>
        <v>1.823</v>
      </c>
      <c r="F72" s="648">
        <f>-'PL（org）'!G19</f>
        <v>20.065000000000001</v>
      </c>
      <c r="G72" s="648">
        <f>-'PL（org）'!H19</f>
        <v>26.135999999999999</v>
      </c>
      <c r="H72" s="648">
        <f>-'PL（org）'!I19</f>
        <v>15.552</v>
      </c>
      <c r="I72" s="648">
        <f>-'PL（org）'!J19</f>
        <v>192.69</v>
      </c>
      <c r="J72" s="648">
        <f>-'PL（org）'!K19</f>
        <v>239.375</v>
      </c>
      <c r="K72" s="648">
        <f>-'PL（org）'!L19</f>
        <v>418.44</v>
      </c>
      <c r="L72" s="648">
        <f>-'PL（org）'!M19</f>
        <v>455.82900000000001</v>
      </c>
      <c r="M72" s="648">
        <f>-'PL（org）'!N19</f>
        <v>629.10500000000002</v>
      </c>
      <c r="N72" s="648">
        <f>-'PL（org）'!O19</f>
        <v>688.15899999999999</v>
      </c>
      <c r="O72" s="648">
        <f>-'PL（org）'!P19</f>
        <v>1069.7540000000001</v>
      </c>
      <c r="P72" s="648">
        <f>-'PL（org）'!Q19</f>
        <v>1781.7170000000001</v>
      </c>
      <c r="Q72" s="648">
        <f>-'PL（org）'!R19</f>
        <v>2278.9850000000001</v>
      </c>
      <c r="R72" s="648">
        <f>-'PL（org）'!S19</f>
        <v>2679.9769999999999</v>
      </c>
      <c r="S72" s="648">
        <f>-'PL（org）'!T19</f>
        <v>2668.2020000000002</v>
      </c>
      <c r="T72" s="648">
        <f>-'PL（org）'!U19</f>
        <v>2991.4189999999999</v>
      </c>
      <c r="U72" s="648">
        <f>-'PL（org）'!V19</f>
        <v>3204.3090000000002</v>
      </c>
      <c r="V72" s="648">
        <f>-'PL（org）'!W19</f>
        <v>2948.3119999999999</v>
      </c>
      <c r="W72" s="648">
        <f>-'PL（org）'!X19</f>
        <v>2469.6680000000001</v>
      </c>
      <c r="X72" s="648">
        <f t="shared" ref="X72:AC72" si="138">X68+X70+X71</f>
        <v>2600.4000129371916</v>
      </c>
      <c r="Y72" s="648">
        <f t="shared" si="138"/>
        <v>2740.1340407071784</v>
      </c>
      <c r="Z72" s="648">
        <f t="shared" si="138"/>
        <v>2882.402039866276</v>
      </c>
      <c r="AA72" s="648">
        <f t="shared" si="138"/>
        <v>3027.2546898422688</v>
      </c>
      <c r="AB72" s="648">
        <f t="shared" si="138"/>
        <v>3174.743683651493</v>
      </c>
      <c r="AC72" s="648">
        <f t="shared" si="138"/>
        <v>3324.9217481706146</v>
      </c>
      <c r="AD72" s="648">
        <f t="shared" ref="AD72:AF72" si="139">AD68+AD70+AD71</f>
        <v>3477.8426648138302</v>
      </c>
      <c r="AE72" s="648">
        <f t="shared" si="139"/>
        <v>3633.5612906236224</v>
      </c>
      <c r="AF72" s="648">
        <f t="shared" si="139"/>
        <v>3792.1335797833231</v>
      </c>
      <c r="AG72" s="648">
        <f t="shared" ref="AG72" si="140">AG68+AG70+AG71</f>
        <v>3953.6166055599297</v>
      </c>
    </row>
    <row r="73" spans="1:33" x14ac:dyDescent="0.35">
      <c r="C73" s="657"/>
      <c r="D73" s="657"/>
      <c r="E73" s="657"/>
      <c r="F73" s="657"/>
      <c r="G73" s="657"/>
      <c r="H73" s="657"/>
      <c r="I73" s="657"/>
      <c r="J73" s="657"/>
      <c r="K73" s="657"/>
      <c r="L73" s="706"/>
      <c r="M73" s="706"/>
      <c r="N73" s="706"/>
      <c r="O73" s="707"/>
      <c r="P73" s="707"/>
      <c r="Q73" s="707"/>
      <c r="R73" s="707"/>
      <c r="S73" s="707"/>
      <c r="T73" s="707"/>
      <c r="U73" s="707"/>
      <c r="V73" s="707"/>
      <c r="W73" s="707"/>
      <c r="X73" s="707"/>
      <c r="Y73" s="707"/>
      <c r="Z73" s="707"/>
      <c r="AA73" s="707"/>
      <c r="AB73" s="707"/>
      <c r="AC73" s="707"/>
      <c r="AD73" s="707"/>
      <c r="AE73" s="707"/>
      <c r="AF73" s="707"/>
      <c r="AG73" s="707"/>
    </row>
    <row r="74" spans="1:33" ht="12" x14ac:dyDescent="0.35">
      <c r="A74" s="704"/>
      <c r="B74" s="620" t="s">
        <v>2347</v>
      </c>
      <c r="C74" s="708"/>
      <c r="D74" s="708"/>
      <c r="E74" s="708"/>
      <c r="F74" s="708"/>
      <c r="G74" s="708"/>
      <c r="H74" s="708"/>
      <c r="I74" s="708"/>
      <c r="J74" s="708"/>
      <c r="K74" s="708"/>
      <c r="L74" s="709"/>
      <c r="M74" s="709"/>
      <c r="N74" s="709"/>
      <c r="O74" s="710"/>
      <c r="P74" s="710"/>
      <c r="Q74" s="710"/>
      <c r="R74" s="710"/>
      <c r="S74" s="710"/>
      <c r="T74" s="710"/>
      <c r="U74" s="710"/>
      <c r="V74" s="710"/>
      <c r="W74" s="710"/>
      <c r="X74" s="710"/>
      <c r="Y74" s="710"/>
      <c r="Z74" s="710"/>
      <c r="AA74" s="710"/>
      <c r="AB74" s="710"/>
      <c r="AC74" s="710"/>
      <c r="AD74" s="710"/>
      <c r="AE74" s="710"/>
      <c r="AF74" s="710"/>
      <c r="AG74" s="710"/>
    </row>
    <row r="75" spans="1:33" ht="12" x14ac:dyDescent="0.35">
      <c r="A75" s="682" t="s">
        <v>2348</v>
      </c>
      <c r="B75" s="674" t="s">
        <v>2349</v>
      </c>
      <c r="C75" s="657"/>
      <c r="D75" s="683">
        <v>58.49</v>
      </c>
      <c r="E75" s="683">
        <v>59.945999999999998</v>
      </c>
      <c r="F75" s="683">
        <v>20.454999999999998</v>
      </c>
      <c r="G75" s="683">
        <v>18.489999999999998</v>
      </c>
      <c r="H75" s="683">
        <v>47.68</v>
      </c>
      <c r="I75" s="683">
        <v>54.2</v>
      </c>
      <c r="J75" s="683">
        <v>35.250999999999998</v>
      </c>
      <c r="K75" s="683">
        <v>92.128</v>
      </c>
      <c r="L75" s="683">
        <v>87.876000000000005</v>
      </c>
      <c r="M75" s="683">
        <f>67877/1000</f>
        <v>67.876999999999995</v>
      </c>
      <c r="N75" s="683">
        <f>69140/1000</f>
        <v>69.14</v>
      </c>
      <c r="O75" s="683">
        <f>83527/1000</f>
        <v>83.527000000000001</v>
      </c>
      <c r="P75" s="683">
        <f>136629/1000</f>
        <v>136.62899999999999</v>
      </c>
      <c r="Q75" s="683">
        <v>225.70400000000001</v>
      </c>
      <c r="R75" s="683">
        <v>247.89099999999999</v>
      </c>
      <c r="S75" s="683">
        <f>(157259+6573)/1000</f>
        <v>163.83199999999999</v>
      </c>
      <c r="T75" s="683">
        <f>209.136+4.112</f>
        <v>213.24799999999999</v>
      </c>
      <c r="U75" s="683">
        <f>266.932+1.159</f>
        <v>268.09100000000001</v>
      </c>
      <c r="V75" s="683">
        <f>(273959+2056)/1000</f>
        <v>276.01499999999999</v>
      </c>
      <c r="W75" s="683">
        <f>(281235+860)/1000</f>
        <v>282.09500000000003</v>
      </c>
      <c r="X75" s="658">
        <f t="shared" ref="X75:AC75" si="141">(X51+X56)*X76</f>
        <v>286.42165841374862</v>
      </c>
      <c r="Y75" s="658">
        <f t="shared" ca="1" si="141"/>
        <v>299.42394141956191</v>
      </c>
      <c r="Z75" s="658">
        <f t="shared" ca="1" si="141"/>
        <v>295.47857093350211</v>
      </c>
      <c r="AA75" s="658">
        <f t="shared" ca="1" si="141"/>
        <v>305.64519815127301</v>
      </c>
      <c r="AB75" s="658">
        <f t="shared" ca="1" si="141"/>
        <v>288.36205419599349</v>
      </c>
      <c r="AC75" s="658">
        <f t="shared" ca="1" si="141"/>
        <v>279.5193395165166</v>
      </c>
      <c r="AD75" s="658">
        <f t="shared" ref="AD75:AF75" ca="1" si="142">(AD51+AD56)*AD76</f>
        <v>274.56090143070384</v>
      </c>
      <c r="AE75" s="658">
        <f t="shared" ca="1" si="142"/>
        <v>275.95095545628334</v>
      </c>
      <c r="AF75" s="658">
        <f t="shared" ca="1" si="142"/>
        <v>296.17806213837906</v>
      </c>
      <c r="AG75" s="658">
        <f t="shared" ref="AG75" ca="1" si="143">(AG51+AG56)*AG76</f>
        <v>322.81957862166797</v>
      </c>
    </row>
    <row r="76" spans="1:33" ht="12" x14ac:dyDescent="0.35">
      <c r="A76" s="682" t="s">
        <v>1857</v>
      </c>
      <c r="B76" s="674" t="s">
        <v>1856</v>
      </c>
      <c r="C76" s="711"/>
      <c r="D76" s="624">
        <f t="shared" ref="D76:T76" si="144">D75*2/(D51+D53+D56+D58)</f>
        <v>3.1005434300046625E-2</v>
      </c>
      <c r="E76" s="624">
        <f t="shared" si="144"/>
        <v>3.6270008449448971E-2</v>
      </c>
      <c r="F76" s="624">
        <f t="shared" si="144"/>
        <v>1.1757392485672563E-2</v>
      </c>
      <c r="G76" s="624">
        <f t="shared" si="144"/>
        <v>4.8161470380891063E-3</v>
      </c>
      <c r="H76" s="624">
        <f t="shared" si="144"/>
        <v>1.0042120884136292E-2</v>
      </c>
      <c r="I76" s="624">
        <f t="shared" si="144"/>
        <v>1.1786031769226889E-2</v>
      </c>
      <c r="J76" s="624">
        <f t="shared" si="144"/>
        <v>5.7878625479927436E-3</v>
      </c>
      <c r="K76" s="624">
        <f t="shared" si="144"/>
        <v>1.2412259801121992E-2</v>
      </c>
      <c r="L76" s="624">
        <f t="shared" si="144"/>
        <v>1.1281396748760922E-2</v>
      </c>
      <c r="M76" s="624">
        <f t="shared" si="144"/>
        <v>8.7703906381632734E-3</v>
      </c>
      <c r="N76" s="624">
        <f t="shared" si="144"/>
        <v>7.0873291388864343E-3</v>
      </c>
      <c r="O76" s="624">
        <f t="shared" si="144"/>
        <v>5.7450592555743875E-3</v>
      </c>
      <c r="P76" s="624">
        <f t="shared" si="144"/>
        <v>7.6933101918580772E-3</v>
      </c>
      <c r="Q76" s="624">
        <f t="shared" si="144"/>
        <v>1.1132317380640258E-2</v>
      </c>
      <c r="R76" s="624">
        <f t="shared" si="144"/>
        <v>1.099807420233948E-2</v>
      </c>
      <c r="S76" s="624">
        <f t="shared" si="144"/>
        <v>6.9919879488159267E-3</v>
      </c>
      <c r="T76" s="624">
        <f t="shared" si="144"/>
        <v>8.8897728488533303E-3</v>
      </c>
      <c r="U76" s="624">
        <f t="shared" ref="U76:W76" si="145">U75*2/(U51+U53+U56+U58)</f>
        <v>1.0305707293172196E-2</v>
      </c>
      <c r="V76" s="624">
        <f t="shared" si="145"/>
        <v>9.3282314735675595E-3</v>
      </c>
      <c r="W76" s="624">
        <f t="shared" si="145"/>
        <v>9.0421283463920296E-3</v>
      </c>
      <c r="X76" s="697">
        <f t="shared" ref="X76:AC76" si="146">W76</f>
        <v>9.0421283463920296E-3</v>
      </c>
      <c r="Y76" s="697">
        <f t="shared" si="146"/>
        <v>9.0421283463920296E-3</v>
      </c>
      <c r="Z76" s="697">
        <f t="shared" si="146"/>
        <v>9.0421283463920296E-3</v>
      </c>
      <c r="AA76" s="697">
        <f t="shared" si="146"/>
        <v>9.0421283463920296E-3</v>
      </c>
      <c r="AB76" s="697">
        <f t="shared" si="146"/>
        <v>9.0421283463920296E-3</v>
      </c>
      <c r="AC76" s="697">
        <f t="shared" si="146"/>
        <v>9.0421283463920296E-3</v>
      </c>
      <c r="AD76" s="697">
        <f t="shared" ref="AD76" si="147">AC76</f>
        <v>9.0421283463920296E-3</v>
      </c>
      <c r="AE76" s="697">
        <f t="shared" ref="AE76" si="148">AD76</f>
        <v>9.0421283463920296E-3</v>
      </c>
      <c r="AF76" s="697">
        <f t="shared" ref="AF76:AG76" si="149">AE76</f>
        <v>9.0421283463920296E-3</v>
      </c>
      <c r="AG76" s="697">
        <f t="shared" si="149"/>
        <v>9.0421283463920296E-3</v>
      </c>
    </row>
    <row r="77" spans="1:33" x14ac:dyDescent="0.35">
      <c r="A77" s="682"/>
      <c r="C77" s="657"/>
      <c r="D77" s="657"/>
      <c r="E77" s="657"/>
      <c r="F77" s="657"/>
      <c r="G77" s="657"/>
      <c r="H77" s="657"/>
      <c r="I77" s="657"/>
      <c r="J77" s="657"/>
      <c r="K77" s="657"/>
      <c r="L77" s="706"/>
      <c r="M77" s="706"/>
      <c r="N77" s="706"/>
      <c r="O77" s="707"/>
      <c r="P77" s="707"/>
      <c r="Q77" s="707"/>
      <c r="R77" s="707"/>
      <c r="S77" s="707"/>
      <c r="T77" s="707"/>
      <c r="U77" s="707"/>
      <c r="V77" s="707"/>
      <c r="W77" s="707"/>
      <c r="X77" s="707"/>
      <c r="Y77" s="707"/>
      <c r="Z77" s="707"/>
      <c r="AA77" s="707"/>
      <c r="AB77" s="707"/>
      <c r="AC77" s="707"/>
      <c r="AD77" s="707"/>
      <c r="AE77" s="707"/>
      <c r="AF77" s="707"/>
      <c r="AG77" s="707"/>
    </row>
    <row r="78" spans="1:33" ht="12" x14ac:dyDescent="0.35">
      <c r="A78" s="682" t="s">
        <v>1855</v>
      </c>
      <c r="B78" s="674" t="s">
        <v>1854</v>
      </c>
      <c r="C78" s="657"/>
      <c r="D78" s="658"/>
      <c r="E78" s="658"/>
      <c r="F78" s="658"/>
      <c r="G78" s="658"/>
      <c r="H78" s="658"/>
      <c r="I78" s="683">
        <v>75.33</v>
      </c>
      <c r="J78" s="683">
        <v>33.616000000000007</v>
      </c>
      <c r="K78" s="683">
        <v>34.498000000000005</v>
      </c>
      <c r="L78" s="683">
        <v>66.784999999999997</v>
      </c>
      <c r="M78" s="683">
        <f>(5557+15514+112647)/1000</f>
        <v>133.71799999999999</v>
      </c>
      <c r="N78" s="683">
        <f>(5541+12383+59264)/1000</f>
        <v>77.188000000000002</v>
      </c>
      <c r="O78" s="683">
        <f>(9598+7243+27674+70476)/1000</f>
        <v>114.991</v>
      </c>
      <c r="P78" s="683">
        <f>(14329+7745+66699+35343)/1000</f>
        <v>124.116</v>
      </c>
      <c r="Q78" s="683">
        <f>22.82+83.179+112.333</f>
        <v>218.33199999999999</v>
      </c>
      <c r="R78" s="683">
        <f>28.659+26.377+96.977</f>
        <v>152.01300000000001</v>
      </c>
      <c r="S78" s="683">
        <f>(28440+51662+125614)/1000</f>
        <v>205.71600000000001</v>
      </c>
      <c r="T78" s="683">
        <f>27.58+24.829+54.903</f>
        <v>107.312</v>
      </c>
      <c r="U78" s="683">
        <f>15.691+13.835+0.34</f>
        <v>29.866000000000003</v>
      </c>
      <c r="V78" s="683">
        <f>(8326+17044)/1000</f>
        <v>25.37</v>
      </c>
      <c r="W78" s="683">
        <f>(12578+6754)/1000</f>
        <v>19.332000000000001</v>
      </c>
      <c r="X78" s="686">
        <f t="shared" ref="X78:AC78" si="150">W78</f>
        <v>19.332000000000001</v>
      </c>
      <c r="Y78" s="686">
        <f t="shared" si="150"/>
        <v>19.332000000000001</v>
      </c>
      <c r="Z78" s="686">
        <f t="shared" si="150"/>
        <v>19.332000000000001</v>
      </c>
      <c r="AA78" s="686">
        <f t="shared" si="150"/>
        <v>19.332000000000001</v>
      </c>
      <c r="AB78" s="686">
        <f t="shared" si="150"/>
        <v>19.332000000000001</v>
      </c>
      <c r="AC78" s="686">
        <f t="shared" si="150"/>
        <v>19.332000000000001</v>
      </c>
      <c r="AD78" s="686">
        <f t="shared" ref="AD78" si="151">AC78</f>
        <v>19.332000000000001</v>
      </c>
      <c r="AE78" s="686">
        <f t="shared" ref="AE78" si="152">AD78</f>
        <v>19.332000000000001</v>
      </c>
      <c r="AF78" s="686">
        <f t="shared" ref="AF78:AG78" si="153">AE78</f>
        <v>19.332000000000001</v>
      </c>
      <c r="AG78" s="686">
        <f t="shared" si="153"/>
        <v>19.332000000000001</v>
      </c>
    </row>
    <row r="79" spans="1:33" ht="12" x14ac:dyDescent="0.35">
      <c r="A79" s="682" t="s">
        <v>1853</v>
      </c>
      <c r="B79" s="674" t="s">
        <v>1852</v>
      </c>
      <c r="C79" s="657"/>
      <c r="D79" s="683">
        <f>12.6+2.88</f>
        <v>15.48</v>
      </c>
      <c r="E79" s="683">
        <v>15</v>
      </c>
      <c r="F79" s="683">
        <f>4.5+4.4</f>
        <v>8.9</v>
      </c>
      <c r="G79" s="683">
        <v>10</v>
      </c>
      <c r="H79" s="683">
        <v>0</v>
      </c>
      <c r="I79" s="683">
        <v>44.884999999999998</v>
      </c>
      <c r="J79" s="683">
        <v>0</v>
      </c>
      <c r="K79" s="683">
        <v>0</v>
      </c>
      <c r="L79" s="712"/>
      <c r="M79" s="686"/>
      <c r="N79" s="686"/>
      <c r="O79" s="713"/>
      <c r="P79" s="713"/>
      <c r="Q79" s="713"/>
      <c r="R79" s="713"/>
      <c r="S79" s="713"/>
      <c r="T79" s="713"/>
      <c r="U79" s="713"/>
      <c r="V79" s="713"/>
      <c r="W79" s="713"/>
      <c r="X79" s="713"/>
      <c r="Y79" s="713"/>
      <c r="Z79" s="713"/>
      <c r="AA79" s="713"/>
      <c r="AB79" s="713"/>
      <c r="AC79" s="713"/>
      <c r="AD79" s="713"/>
      <c r="AE79" s="713"/>
      <c r="AF79" s="713"/>
      <c r="AG79" s="713"/>
    </row>
    <row r="80" spans="1:33" s="646" customFormat="1" ht="12" x14ac:dyDescent="0.35">
      <c r="A80" s="680" t="s">
        <v>1851</v>
      </c>
      <c r="B80" s="651" t="s">
        <v>1850</v>
      </c>
      <c r="C80" s="681"/>
      <c r="D80" s="648">
        <f>SUM(D75,D79)</f>
        <v>73.97</v>
      </c>
      <c r="E80" s="648">
        <f>SUM(E75,E79)</f>
        <v>74.945999999999998</v>
      </c>
      <c r="F80" s="648">
        <f>SUM(F75,F79)</f>
        <v>29.354999999999997</v>
      </c>
      <c r="G80" s="648">
        <f t="shared" ref="G80:AC80" si="154">G75+G78+G79</f>
        <v>28.49</v>
      </c>
      <c r="H80" s="648">
        <f t="shared" si="154"/>
        <v>47.68</v>
      </c>
      <c r="I80" s="648">
        <f t="shared" si="154"/>
        <v>174.41499999999999</v>
      </c>
      <c r="J80" s="648">
        <f t="shared" si="154"/>
        <v>68.867000000000004</v>
      </c>
      <c r="K80" s="648">
        <f t="shared" si="154"/>
        <v>126.626</v>
      </c>
      <c r="L80" s="648">
        <f t="shared" si="154"/>
        <v>154.661</v>
      </c>
      <c r="M80" s="648">
        <f t="shared" si="154"/>
        <v>201.59499999999997</v>
      </c>
      <c r="N80" s="648">
        <f t="shared" si="154"/>
        <v>146.328</v>
      </c>
      <c r="O80" s="648">
        <f t="shared" si="154"/>
        <v>198.518</v>
      </c>
      <c r="P80" s="648">
        <f t="shared" si="154"/>
        <v>260.745</v>
      </c>
      <c r="Q80" s="648">
        <f t="shared" si="154"/>
        <v>444.036</v>
      </c>
      <c r="R80" s="648">
        <f t="shared" si="154"/>
        <v>399.904</v>
      </c>
      <c r="S80" s="648">
        <f t="shared" si="154"/>
        <v>369.548</v>
      </c>
      <c r="T80" s="648">
        <f t="shared" si="154"/>
        <v>320.56</v>
      </c>
      <c r="U80" s="648">
        <f t="shared" ref="U80" si="155">U75+U78+U79</f>
        <v>297.95699999999999</v>
      </c>
      <c r="V80" s="648">
        <f t="shared" si="154"/>
        <v>301.38499999999999</v>
      </c>
      <c r="W80" s="648">
        <f t="shared" si="154"/>
        <v>301.42700000000002</v>
      </c>
      <c r="X80" s="648">
        <f t="shared" si="154"/>
        <v>305.75365841374861</v>
      </c>
      <c r="Y80" s="648">
        <f t="shared" ca="1" si="154"/>
        <v>318.75594141956191</v>
      </c>
      <c r="Z80" s="648">
        <f t="shared" ca="1" si="154"/>
        <v>314.81057093350211</v>
      </c>
      <c r="AA80" s="648">
        <f t="shared" ca="1" si="154"/>
        <v>324.977198151273</v>
      </c>
      <c r="AB80" s="648">
        <f t="shared" ca="1" si="154"/>
        <v>307.69405419599349</v>
      </c>
      <c r="AC80" s="648">
        <f t="shared" ca="1" si="154"/>
        <v>298.85133951651659</v>
      </c>
      <c r="AD80" s="648">
        <f t="shared" ref="AD80:AF80" ca="1" si="156">AD75+AD78+AD79</f>
        <v>293.89290143070383</v>
      </c>
      <c r="AE80" s="648">
        <f t="shared" ca="1" si="156"/>
        <v>295.28295545628333</v>
      </c>
      <c r="AF80" s="648">
        <f t="shared" ca="1" si="156"/>
        <v>315.51006213837906</v>
      </c>
      <c r="AG80" s="648">
        <f t="shared" ref="AG80" ca="1" si="157">AG75+AG78+AG79</f>
        <v>342.15157862166797</v>
      </c>
    </row>
    <row r="81" spans="1:33" x14ac:dyDescent="0.35">
      <c r="C81" s="657"/>
      <c r="D81" s="657"/>
      <c r="E81" s="657"/>
      <c r="F81" s="647"/>
      <c r="G81" s="714"/>
      <c r="H81" s="714"/>
      <c r="I81" s="714"/>
      <c r="J81" s="714"/>
      <c r="K81" s="714"/>
    </row>
    <row r="82" spans="1:33" ht="12" x14ac:dyDescent="0.35">
      <c r="A82" s="704"/>
      <c r="B82" s="620" t="s">
        <v>1849</v>
      </c>
      <c r="C82" s="708"/>
      <c r="D82" s="708"/>
      <c r="E82" s="708"/>
      <c r="F82" s="639"/>
      <c r="G82" s="715"/>
      <c r="H82" s="715"/>
      <c r="I82" s="715"/>
      <c r="J82" s="716">
        <v>284.589</v>
      </c>
      <c r="K82" s="716">
        <v>674.53099999999995</v>
      </c>
      <c r="L82" s="716">
        <v>1005.269</v>
      </c>
      <c r="M82" s="709"/>
      <c r="N82" s="709"/>
      <c r="O82" s="709"/>
      <c r="P82" s="709"/>
      <c r="Q82" s="709"/>
      <c r="R82" s="709"/>
      <c r="S82" s="709"/>
      <c r="T82" s="709"/>
      <c r="U82" s="709"/>
      <c r="V82" s="709"/>
      <c r="W82" s="709"/>
      <c r="X82" s="709"/>
      <c r="Y82" s="709"/>
      <c r="Z82" s="709"/>
      <c r="AA82" s="709"/>
      <c r="AB82" s="709"/>
      <c r="AC82" s="709"/>
      <c r="AD82" s="709"/>
      <c r="AE82" s="709"/>
      <c r="AF82" s="709"/>
      <c r="AG82" s="709"/>
    </row>
  </sheetData>
  <phoneticPr fontId="51" type="noConversion"/>
  <pageMargins left="0.75" right="0.75" top="1" bottom="1" header="0.5" footer="0.5"/>
  <pageSetup paperSize="9" scale="79"/>
  <headerFooter alignWithMargins="0">
    <oddHeader>&amp;A</oddHead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Y37"/>
  <sheetViews>
    <sheetView showGridLines="0" zoomScale="113" zoomScaleNormal="190" workbookViewId="0">
      <pane xSplit="2" ySplit="2" topLeftCell="U3" activePane="bottomRight" state="frozen"/>
      <selection pane="topRight"/>
      <selection pane="bottomLeft"/>
      <selection pane="bottomRight" activeCell="W24" sqref="W24"/>
    </sheetView>
  </sheetViews>
  <sheetFormatPr defaultColWidth="8.0625" defaultRowHeight="11.65" outlineLevelCol="1" x14ac:dyDescent="0.35"/>
  <cols>
    <col min="1" max="1" width="31.0625" style="625" hidden="1" customWidth="1" outlineLevel="1"/>
    <col min="2" max="2" width="25" style="625" customWidth="1" collapsed="1"/>
    <col min="3" max="13" width="8.0625" style="625" hidden="1" customWidth="1" outlineLevel="1"/>
    <col min="14" max="14" width="8.0625" style="625" customWidth="1" collapsed="1"/>
    <col min="15" max="15" width="8.0625" style="625"/>
    <col min="16" max="17" width="8.0625" style="932"/>
    <col min="18" max="18" width="8.0625" style="932" customWidth="1"/>
    <col min="19" max="19" width="8.0625" style="932"/>
    <col min="20" max="20" width="8.0625" style="932" customWidth="1"/>
    <col min="21" max="22" width="8.0625" style="932"/>
    <col min="23" max="24" width="8.0625" style="932" customWidth="1"/>
    <col min="25" max="16384" width="8.0625" style="932"/>
  </cols>
  <sheetData>
    <row r="2" spans="1:25" s="933" customFormat="1" x14ac:dyDescent="0.35">
      <c r="A2" s="718" t="s">
        <v>759</v>
      </c>
      <c r="B2" s="718" t="s">
        <v>1766</v>
      </c>
      <c r="C2" s="719">
        <v>2004</v>
      </c>
      <c r="D2" s="719">
        <v>2005</v>
      </c>
      <c r="E2" s="719">
        <v>2006</v>
      </c>
      <c r="F2" s="719">
        <v>2007</v>
      </c>
      <c r="G2" s="719">
        <v>2008</v>
      </c>
      <c r="H2" s="719">
        <v>2009</v>
      </c>
      <c r="I2" s="719">
        <v>2010</v>
      </c>
      <c r="J2" s="719">
        <v>2011</v>
      </c>
      <c r="K2" s="719">
        <v>2012</v>
      </c>
      <c r="L2" s="719">
        <v>2013</v>
      </c>
      <c r="M2" s="719">
        <v>2014</v>
      </c>
      <c r="N2" s="719">
        <v>2015</v>
      </c>
      <c r="O2" s="719">
        <v>2016</v>
      </c>
      <c r="P2" s="719">
        <v>2017</v>
      </c>
      <c r="Q2" s="719">
        <v>2018</v>
      </c>
      <c r="R2" s="719">
        <v>2019</v>
      </c>
      <c r="S2" s="719">
        <v>2020</v>
      </c>
      <c r="T2" s="719">
        <v>2021</v>
      </c>
      <c r="U2" s="719">
        <v>2022</v>
      </c>
      <c r="V2" s="719">
        <v>2023</v>
      </c>
      <c r="W2" s="719">
        <v>2024</v>
      </c>
      <c r="X2" s="719">
        <v>2025</v>
      </c>
    </row>
    <row r="3" spans="1:25" ht="12" x14ac:dyDescent="0.35">
      <c r="A3" s="646" t="s">
        <v>1516</v>
      </c>
      <c r="B3" s="646" t="s">
        <v>2013</v>
      </c>
      <c r="C3" s="934"/>
      <c r="D3" s="732">
        <v>7664.2520000000004</v>
      </c>
      <c r="E3" s="732">
        <v>10294.825999999999</v>
      </c>
      <c r="F3" s="732">
        <v>10168.321</v>
      </c>
      <c r="G3" s="732">
        <v>11021.405000000001</v>
      </c>
      <c r="H3" s="732">
        <v>11341.998</v>
      </c>
      <c r="I3" s="732">
        <v>11982.870999999999</v>
      </c>
      <c r="J3" s="732">
        <v>16379.311</v>
      </c>
      <c r="K3" s="732">
        <v>21910.66</v>
      </c>
      <c r="L3" s="732">
        <v>27285.62</v>
      </c>
      <c r="M3" s="727">
        <v>34439.574999999997</v>
      </c>
      <c r="N3" s="727">
        <f>38001876/1000</f>
        <v>38001.875999999997</v>
      </c>
      <c r="O3" s="727">
        <f>46207508/1000</f>
        <v>46207.508000000002</v>
      </c>
      <c r="P3" s="727">
        <f>50152524*(0.001)</f>
        <v>50152.523999999998</v>
      </c>
      <c r="Q3" s="727">
        <f>55626304*(0.001)</f>
        <v>55626.304000000004</v>
      </c>
      <c r="R3" s="727">
        <v>61669.678</v>
      </c>
      <c r="S3" s="727">
        <v>62458.008999999998</v>
      </c>
      <c r="T3" s="727">
        <v>77309.614000000001</v>
      </c>
      <c r="U3" s="727">
        <v>101975.265</v>
      </c>
      <c r="V3" s="727">
        <v>113734.01300000001</v>
      </c>
      <c r="W3" s="727">
        <v>105322.671</v>
      </c>
      <c r="X3" s="727">
        <f>100448.5</f>
        <v>100448.5</v>
      </c>
    </row>
    <row r="4" spans="1:25" ht="12" x14ac:dyDescent="0.35">
      <c r="A4" s="625" t="s">
        <v>1588</v>
      </c>
      <c r="B4" s="625" t="s">
        <v>1976</v>
      </c>
      <c r="C4" s="742"/>
      <c r="D4" s="726">
        <v>-7299.7979999999998</v>
      </c>
      <c r="E4" s="726">
        <v>-9835.7759999999998</v>
      </c>
      <c r="F4" s="726">
        <v>-9402.2049999999999</v>
      </c>
      <c r="G4" s="726">
        <v>-10112.012000000001</v>
      </c>
      <c r="H4" s="726">
        <v>-10349.096</v>
      </c>
      <c r="I4" s="726">
        <v>-10667.017</v>
      </c>
      <c r="J4" s="726">
        <v>-14581.127</v>
      </c>
      <c r="K4" s="726">
        <v>-19192.442999999999</v>
      </c>
      <c r="L4" s="726">
        <v>-23539.674999999999</v>
      </c>
      <c r="M4" s="727">
        <v>-29696.483</v>
      </c>
      <c r="N4" s="727">
        <f>-32888761/1000</f>
        <v>-32888.760999999999</v>
      </c>
      <c r="O4" s="727">
        <f>-40224630/1000</f>
        <v>-40224.629999999997</v>
      </c>
      <c r="P4" s="727">
        <f>-42537494*(0.001)</f>
        <v>-42537.493999999999</v>
      </c>
      <c r="Q4" s="727">
        <f>-46929883*(0.001)</f>
        <v>-46929.883000000002</v>
      </c>
      <c r="R4" s="727">
        <v>-52433.974999999999</v>
      </c>
      <c r="S4" s="727">
        <v>-53173.85</v>
      </c>
      <c r="T4" s="727">
        <v>-65326.870999999999</v>
      </c>
      <c r="U4" s="727">
        <v>-87956.732000000004</v>
      </c>
      <c r="V4" s="727">
        <v>-97395.103000000003</v>
      </c>
      <c r="W4" s="727">
        <v>-88993.099000000002</v>
      </c>
      <c r="X4" s="727">
        <f>-84466.8</f>
        <v>-84466.8</v>
      </c>
    </row>
    <row r="5" spans="1:25" s="935" customFormat="1" ht="12" x14ac:dyDescent="0.35">
      <c r="A5" s="646" t="s">
        <v>904</v>
      </c>
      <c r="B5" s="646" t="s">
        <v>1767</v>
      </c>
      <c r="C5" s="934"/>
      <c r="D5" s="733">
        <f t="shared" ref="D5:U5" si="0">D3+D4</f>
        <v>364.45400000000063</v>
      </c>
      <c r="E5" s="733">
        <f t="shared" si="0"/>
        <v>459.04999999999927</v>
      </c>
      <c r="F5" s="733">
        <f t="shared" si="0"/>
        <v>766.11599999999999</v>
      </c>
      <c r="G5" s="733">
        <f t="shared" si="0"/>
        <v>909.39300000000003</v>
      </c>
      <c r="H5" s="733">
        <f t="shared" si="0"/>
        <v>992.90200000000004</v>
      </c>
      <c r="I5" s="733">
        <f t="shared" si="0"/>
        <v>1315.8539999999994</v>
      </c>
      <c r="J5" s="733">
        <f t="shared" si="0"/>
        <v>1798.1839999999993</v>
      </c>
      <c r="K5" s="733">
        <f t="shared" si="0"/>
        <v>2718.2170000000006</v>
      </c>
      <c r="L5" s="733">
        <f t="shared" si="0"/>
        <v>3745.9449999999997</v>
      </c>
      <c r="M5" s="733">
        <f t="shared" si="0"/>
        <v>4743.0919999999969</v>
      </c>
      <c r="N5" s="733">
        <f t="shared" si="0"/>
        <v>5113.114999999998</v>
      </c>
      <c r="O5" s="733">
        <f t="shared" si="0"/>
        <v>5982.8780000000042</v>
      </c>
      <c r="P5" s="733">
        <f t="shared" si="0"/>
        <v>7615.0299999999988</v>
      </c>
      <c r="Q5" s="733">
        <f t="shared" si="0"/>
        <v>8696.4210000000021</v>
      </c>
      <c r="R5" s="733">
        <f t="shared" si="0"/>
        <v>9235.7030000000013</v>
      </c>
      <c r="S5" s="733">
        <f t="shared" si="0"/>
        <v>9284.1589999999997</v>
      </c>
      <c r="T5" s="733">
        <f t="shared" si="0"/>
        <v>11982.743000000002</v>
      </c>
      <c r="U5" s="733">
        <f t="shared" si="0"/>
        <v>14018.532999999996</v>
      </c>
      <c r="V5" s="733">
        <f>V3+V4</f>
        <v>16338.910000000003</v>
      </c>
      <c r="W5" s="733">
        <v>16329.572</v>
      </c>
      <c r="X5" s="733">
        <v>15981.7</v>
      </c>
    </row>
    <row r="6" spans="1:25" x14ac:dyDescent="0.35">
      <c r="C6" s="742"/>
      <c r="D6" s="728"/>
      <c r="E6" s="728"/>
      <c r="F6" s="728"/>
      <c r="G6" s="728"/>
      <c r="H6" s="728"/>
      <c r="I6" s="728"/>
      <c r="J6" s="728"/>
      <c r="K6" s="728"/>
      <c r="L6" s="728"/>
      <c r="M6" s="674"/>
      <c r="N6" s="674"/>
      <c r="O6" s="674"/>
      <c r="P6" s="674"/>
      <c r="Q6" s="674"/>
      <c r="R6" s="674"/>
      <c r="S6" s="674"/>
      <c r="T6" s="674"/>
      <c r="U6" s="674"/>
      <c r="V6" s="674"/>
      <c r="W6" s="674"/>
      <c r="X6" s="674"/>
    </row>
    <row r="7" spans="1:25" ht="12" x14ac:dyDescent="0.35">
      <c r="A7" s="625" t="s">
        <v>1589</v>
      </c>
      <c r="B7" s="737" t="s">
        <v>2126</v>
      </c>
      <c r="C7" s="742"/>
      <c r="D7" s="726">
        <f t="shared" ref="D7:M7" si="1">D8+D9</f>
        <v>54.051000000000002</v>
      </c>
      <c r="E7" s="726">
        <f t="shared" si="1"/>
        <v>77.742999999999995</v>
      </c>
      <c r="F7" s="726">
        <f t="shared" si="1"/>
        <v>129.86700000000002</v>
      </c>
      <c r="G7" s="726">
        <f t="shared" si="1"/>
        <v>77.986999999999995</v>
      </c>
      <c r="H7" s="726">
        <f t="shared" si="1"/>
        <v>132.42400000000001</v>
      </c>
      <c r="I7" s="726">
        <f t="shared" si="1"/>
        <v>188.88900000000001</v>
      </c>
      <c r="J7" s="726">
        <f t="shared" si="1"/>
        <v>422.315</v>
      </c>
      <c r="K7" s="726">
        <f t="shared" si="1"/>
        <v>371.09000000000003</v>
      </c>
      <c r="L7" s="726">
        <f t="shared" si="1"/>
        <v>436.54199999999997</v>
      </c>
      <c r="M7" s="726">
        <f t="shared" si="1"/>
        <v>475.339</v>
      </c>
      <c r="N7" s="727">
        <f>1159441/1000</f>
        <v>1159.441</v>
      </c>
      <c r="O7" s="727">
        <f>1260120/1000</f>
        <v>1260.1199999999999</v>
      </c>
      <c r="P7" s="727">
        <f>747678*(0.001)</f>
        <v>747.678</v>
      </c>
      <c r="Q7" s="727">
        <f>-360250*(0.001)</f>
        <v>-360.25</v>
      </c>
      <c r="R7" s="727">
        <v>636.75599999999997</v>
      </c>
      <c r="S7" s="727">
        <v>979.16600000000005</v>
      </c>
      <c r="T7" s="727">
        <v>1197.192</v>
      </c>
      <c r="U7" s="727">
        <v>1577.2049999999999</v>
      </c>
      <c r="V7" s="727">
        <v>647.33900000000006</v>
      </c>
      <c r="W7" s="727">
        <v>211.69300000000001</v>
      </c>
      <c r="X7" s="727">
        <f>248.706</f>
        <v>248.70599999999999</v>
      </c>
      <c r="Y7" s="936"/>
    </row>
    <row r="8" spans="1:25" ht="12" x14ac:dyDescent="0.35">
      <c r="A8" s="872" t="s">
        <v>1590</v>
      </c>
      <c r="B8" s="625" t="s">
        <v>1975</v>
      </c>
      <c r="C8" s="742"/>
      <c r="D8" s="726">
        <v>36.107999999999997</v>
      </c>
      <c r="E8" s="726">
        <v>64.489999999999995</v>
      </c>
      <c r="F8" s="726">
        <v>99.7</v>
      </c>
      <c r="G8" s="726">
        <v>33.469000000000001</v>
      </c>
      <c r="H8" s="726">
        <v>43.298000000000002</v>
      </c>
      <c r="I8" s="726">
        <v>85.58</v>
      </c>
      <c r="J8" s="726">
        <v>316.29599999999999</v>
      </c>
      <c r="K8" s="726">
        <v>238.869</v>
      </c>
      <c r="L8" s="726">
        <v>0</v>
      </c>
      <c r="M8" s="727">
        <v>0</v>
      </c>
      <c r="N8" s="727">
        <v>0</v>
      </c>
      <c r="O8" s="727"/>
      <c r="P8" s="727"/>
      <c r="Q8" s="727"/>
      <c r="R8" s="727"/>
      <c r="S8" s="727"/>
      <c r="T8" s="727"/>
      <c r="U8" s="727"/>
      <c r="V8" s="727"/>
      <c r="W8" s="727"/>
      <c r="X8" s="727"/>
    </row>
    <row r="9" spans="1:25" ht="12" x14ac:dyDescent="0.35">
      <c r="A9" s="872" t="s">
        <v>1591</v>
      </c>
      <c r="B9" s="625" t="s">
        <v>1974</v>
      </c>
      <c r="C9" s="742"/>
      <c r="D9" s="726">
        <v>17.943000000000001</v>
      </c>
      <c r="E9" s="726">
        <v>13.253</v>
      </c>
      <c r="F9" s="726">
        <v>30.167000000000002</v>
      </c>
      <c r="G9" s="726">
        <v>44.518000000000001</v>
      </c>
      <c r="H9" s="726">
        <v>89.126000000000005</v>
      </c>
      <c r="I9" s="726">
        <f>(83623+19686)/1000</f>
        <v>103.309</v>
      </c>
      <c r="J9" s="726">
        <f>(85705+20314)/1000</f>
        <v>106.01900000000001</v>
      </c>
      <c r="K9" s="726">
        <v>132.221</v>
      </c>
      <c r="L9" s="726">
        <v>436.54199999999997</v>
      </c>
      <c r="M9" s="727">
        <v>475.339</v>
      </c>
      <c r="N9" s="727">
        <v>0</v>
      </c>
      <c r="O9" s="727"/>
      <c r="P9" s="727"/>
      <c r="Q9" s="727"/>
      <c r="R9" s="727"/>
      <c r="S9" s="727"/>
      <c r="T9" s="727"/>
      <c r="U9" s="727"/>
      <c r="V9" s="727"/>
      <c r="W9" s="727"/>
      <c r="X9" s="727"/>
    </row>
    <row r="10" spans="1:25" ht="12" x14ac:dyDescent="0.35">
      <c r="A10" s="310" t="s">
        <v>1592</v>
      </c>
      <c r="B10" s="737" t="s">
        <v>1973</v>
      </c>
      <c r="C10" s="742"/>
      <c r="D10" s="726">
        <f t="shared" ref="D10:M10" si="2">D11+D12+D13</f>
        <v>-212.16899999999998</v>
      </c>
      <c r="E10" s="726">
        <f t="shared" si="2"/>
        <v>-271.05599999999998</v>
      </c>
      <c r="F10" s="726">
        <f t="shared" si="2"/>
        <v>-372.63799999999998</v>
      </c>
      <c r="G10" s="726">
        <f t="shared" si="2"/>
        <v>-414.67499999999995</v>
      </c>
      <c r="H10" s="726">
        <f t="shared" si="2"/>
        <v>-388.70200000000006</v>
      </c>
      <c r="I10" s="726">
        <f t="shared" si="2"/>
        <v>-497.88800000000003</v>
      </c>
      <c r="J10" s="726">
        <f t="shared" si="2"/>
        <v>-577.15699999999993</v>
      </c>
      <c r="K10" s="726">
        <f t="shared" si="2"/>
        <v>-740.07399999999996</v>
      </c>
      <c r="L10" s="726">
        <f t="shared" si="2"/>
        <v>-1042.4579999999999</v>
      </c>
      <c r="M10" s="726">
        <f t="shared" si="2"/>
        <v>-1033.1400000000001</v>
      </c>
      <c r="N10" s="727">
        <f>-1007396/1000</f>
        <v>-1007.396</v>
      </c>
      <c r="O10" s="727">
        <f>-1106084/1000</f>
        <v>-1106.0840000000001</v>
      </c>
      <c r="P10" s="727">
        <f>-1394668*(0.001)</f>
        <v>-1394.6680000000001</v>
      </c>
      <c r="Q10" s="727">
        <f>-1396594*(0.001)</f>
        <v>-1396.5940000000001</v>
      </c>
      <c r="R10" s="727">
        <v>-1681.8</v>
      </c>
      <c r="S10" s="727">
        <v>-1920.393</v>
      </c>
      <c r="T10" s="727">
        <f>(-2278609)/1000</f>
        <v>-2278.6089999999999</v>
      </c>
      <c r="U10" s="727">
        <v>-2434.7640000000001</v>
      </c>
      <c r="V10" s="727">
        <v>-2622.9009999999998</v>
      </c>
      <c r="W10" s="727">
        <v>-2582.0259999999998</v>
      </c>
      <c r="X10" s="727">
        <f>-2651.743</f>
        <v>-2651.7429999999999</v>
      </c>
    </row>
    <row r="11" spans="1:25" ht="12" x14ac:dyDescent="0.35">
      <c r="A11" s="872" t="s">
        <v>1593</v>
      </c>
      <c r="B11" s="625" t="s">
        <v>1972</v>
      </c>
      <c r="C11" s="742"/>
      <c r="D11" s="726">
        <v>-187.624</v>
      </c>
      <c r="E11" s="726">
        <v>-249.71100000000001</v>
      </c>
      <c r="F11" s="726">
        <v>-332</v>
      </c>
      <c r="G11" s="726">
        <v>-394.03199999999998</v>
      </c>
      <c r="H11" s="726">
        <v>-356.53500000000003</v>
      </c>
      <c r="I11" s="726">
        <v>-466.76600000000002</v>
      </c>
      <c r="J11" s="726">
        <v>-538.67999999999995</v>
      </c>
      <c r="K11" s="726">
        <v>-704.13900000000001</v>
      </c>
      <c r="L11" s="726">
        <v>-959.51199999999994</v>
      </c>
      <c r="M11" s="727">
        <v>-899.26900000000001</v>
      </c>
      <c r="N11" s="727">
        <v>0</v>
      </c>
      <c r="O11" s="727"/>
      <c r="P11" s="727"/>
      <c r="Q11" s="727"/>
      <c r="R11" s="727"/>
      <c r="S11" s="727"/>
      <c r="T11" s="727"/>
      <c r="U11" s="727"/>
      <c r="V11" s="727"/>
      <c r="W11" s="727"/>
      <c r="X11" s="727"/>
    </row>
    <row r="12" spans="1:25" ht="12" x14ac:dyDescent="0.35">
      <c r="A12" s="872" t="s">
        <v>612</v>
      </c>
      <c r="B12" s="625" t="s">
        <v>1971</v>
      </c>
      <c r="C12" s="742"/>
      <c r="D12" s="726">
        <v>-3.6110000000000002</v>
      </c>
      <c r="E12" s="726">
        <v>-4.82</v>
      </c>
      <c r="F12" s="726">
        <v>-10.718999999999999</v>
      </c>
      <c r="G12" s="726">
        <v>-17.795999999999999</v>
      </c>
      <c r="H12" s="726">
        <v>-9.843</v>
      </c>
      <c r="I12" s="726">
        <v>-4.7359999999999998</v>
      </c>
      <c r="J12" s="726">
        <v>-15.523</v>
      </c>
      <c r="K12" s="726">
        <v>-5.5049999999999999</v>
      </c>
      <c r="L12" s="726">
        <v>-82.945999999999998</v>
      </c>
      <c r="M12" s="727">
        <v>-133.87100000000001</v>
      </c>
      <c r="N12" s="727">
        <v>0</v>
      </c>
      <c r="O12" s="727"/>
      <c r="P12" s="727"/>
      <c r="Q12" s="727"/>
      <c r="R12" s="727"/>
      <c r="S12" s="727"/>
      <c r="T12" s="727"/>
      <c r="U12" s="727"/>
      <c r="V12" s="727"/>
      <c r="W12" s="727"/>
      <c r="X12" s="727"/>
    </row>
    <row r="13" spans="1:25" ht="12" x14ac:dyDescent="0.35">
      <c r="A13" s="872" t="s">
        <v>1594</v>
      </c>
      <c r="B13" s="625" t="s">
        <v>1970</v>
      </c>
      <c r="C13" s="742"/>
      <c r="D13" s="726">
        <v>-20.934000000000001</v>
      </c>
      <c r="E13" s="726">
        <v>-16.524999999999999</v>
      </c>
      <c r="F13" s="726">
        <v>-29.919</v>
      </c>
      <c r="G13" s="726">
        <v>-2.847</v>
      </c>
      <c r="H13" s="726">
        <v>-22.324000000000002</v>
      </c>
      <c r="I13" s="726">
        <v>-26.385999999999999</v>
      </c>
      <c r="J13" s="726">
        <v>-22.954000000000001</v>
      </c>
      <c r="K13" s="726">
        <v>-30.43</v>
      </c>
      <c r="L13" s="726">
        <v>0</v>
      </c>
      <c r="M13" s="727">
        <v>0</v>
      </c>
      <c r="N13" s="727">
        <v>0</v>
      </c>
      <c r="O13" s="727"/>
      <c r="P13" s="727"/>
      <c r="Q13" s="727"/>
      <c r="R13" s="727"/>
      <c r="S13" s="727"/>
      <c r="T13" s="727"/>
      <c r="U13" s="727"/>
      <c r="V13" s="727"/>
      <c r="W13" s="727"/>
      <c r="X13" s="727"/>
    </row>
    <row r="14" spans="1:25" ht="12" x14ac:dyDescent="0.35">
      <c r="A14" s="625" t="s">
        <v>613</v>
      </c>
      <c r="B14" s="625" t="s">
        <v>1969</v>
      </c>
      <c r="C14" s="742"/>
      <c r="D14" s="726">
        <v>0</v>
      </c>
      <c r="E14" s="726">
        <v>0</v>
      </c>
      <c r="F14" s="726">
        <v>0</v>
      </c>
      <c r="G14" s="726">
        <v>18.292000000000002</v>
      </c>
      <c r="H14" s="726">
        <v>0</v>
      </c>
      <c r="I14" s="726">
        <v>0</v>
      </c>
      <c r="J14" s="726">
        <v>0</v>
      </c>
      <c r="K14" s="726">
        <v>0</v>
      </c>
      <c r="L14" s="726">
        <v>0</v>
      </c>
      <c r="M14" s="727">
        <v>0</v>
      </c>
      <c r="N14" s="727">
        <v>0</v>
      </c>
      <c r="O14" s="727"/>
      <c r="P14" s="727"/>
      <c r="Q14" s="727"/>
      <c r="R14" s="727"/>
      <c r="S14" s="727"/>
      <c r="T14" s="727"/>
      <c r="U14" s="727"/>
      <c r="V14" s="727"/>
      <c r="W14" s="727"/>
      <c r="X14" s="727"/>
    </row>
    <row r="15" spans="1:25" ht="12" x14ac:dyDescent="0.35">
      <c r="A15" s="625" t="s">
        <v>614</v>
      </c>
      <c r="B15" s="625" t="s">
        <v>1968</v>
      </c>
      <c r="C15" s="742"/>
      <c r="D15" s="726">
        <v>0</v>
      </c>
      <c r="E15" s="726">
        <v>0</v>
      </c>
      <c r="F15" s="726">
        <v>0</v>
      </c>
      <c r="G15" s="726">
        <v>-2.9769999999999999</v>
      </c>
      <c r="H15" s="726">
        <v>0</v>
      </c>
      <c r="I15" s="726">
        <v>0</v>
      </c>
      <c r="J15" s="726">
        <v>0</v>
      </c>
      <c r="K15" s="726">
        <v>0</v>
      </c>
      <c r="L15" s="726">
        <v>0</v>
      </c>
      <c r="M15" s="727">
        <v>0</v>
      </c>
      <c r="N15" s="727">
        <v>0</v>
      </c>
      <c r="O15" s="727"/>
      <c r="P15" s="727"/>
      <c r="Q15" s="727"/>
      <c r="R15" s="727"/>
      <c r="S15" s="727"/>
      <c r="T15" s="727"/>
      <c r="U15" s="727"/>
      <c r="V15" s="727"/>
      <c r="W15" s="727"/>
      <c r="X15" s="727"/>
    </row>
    <row r="16" spans="1:25" ht="12" x14ac:dyDescent="0.35">
      <c r="A16" s="625" t="s">
        <v>615</v>
      </c>
      <c r="B16" s="625" t="s">
        <v>1967</v>
      </c>
      <c r="C16" s="742"/>
      <c r="D16" s="726">
        <v>0</v>
      </c>
      <c r="E16" s="726">
        <v>0</v>
      </c>
      <c r="F16" s="726">
        <v>0</v>
      </c>
      <c r="G16" s="726">
        <v>-6.7350000000000003</v>
      </c>
      <c r="H16" s="726">
        <v>0</v>
      </c>
      <c r="I16" s="726">
        <v>0</v>
      </c>
      <c r="J16" s="726">
        <v>0</v>
      </c>
      <c r="K16" s="726">
        <v>0</v>
      </c>
      <c r="L16" s="726">
        <v>0</v>
      </c>
      <c r="M16" s="727">
        <v>0</v>
      </c>
      <c r="N16" s="727">
        <v>0</v>
      </c>
      <c r="O16" s="727"/>
      <c r="P16" s="727"/>
      <c r="Q16" s="727"/>
      <c r="R16" s="727"/>
      <c r="S16" s="727"/>
      <c r="T16" s="727"/>
      <c r="U16" s="727"/>
      <c r="V16" s="727"/>
      <c r="W16" s="727"/>
      <c r="X16" s="727"/>
    </row>
    <row r="17" spans="1:24" ht="12" x14ac:dyDescent="0.35">
      <c r="A17" s="625" t="s">
        <v>1595</v>
      </c>
      <c r="B17" s="625" t="s">
        <v>1966</v>
      </c>
      <c r="C17" s="742"/>
      <c r="D17" s="726">
        <v>0</v>
      </c>
      <c r="E17" s="726">
        <v>0</v>
      </c>
      <c r="F17" s="726">
        <v>0</v>
      </c>
      <c r="G17" s="726">
        <v>0</v>
      </c>
      <c r="H17" s="726">
        <v>0</v>
      </c>
      <c r="I17" s="726">
        <v>321.745</v>
      </c>
      <c r="J17" s="726">
        <v>379.947</v>
      </c>
      <c r="K17" s="726">
        <v>413.28399999999999</v>
      </c>
      <c r="L17" s="726">
        <v>430.22800000000001</v>
      </c>
      <c r="M17" s="727">
        <v>294.34500000000003</v>
      </c>
      <c r="N17" s="727">
        <f>423728/1000</f>
        <v>423.72800000000001</v>
      </c>
      <c r="O17" s="727">
        <f>420295/1000</f>
        <v>420.29500000000002</v>
      </c>
      <c r="P17" s="727">
        <f>731380*(0.001)</f>
        <v>731.38</v>
      </c>
      <c r="Q17" s="727">
        <f>705024*(0.001)</f>
        <v>705.024</v>
      </c>
      <c r="R17" s="727">
        <v>452.654</v>
      </c>
      <c r="S17" s="727">
        <v>701.94399999999996</v>
      </c>
      <c r="T17" s="727">
        <v>369.24599999999998</v>
      </c>
      <c r="U17" s="727">
        <v>275.19600000000003</v>
      </c>
      <c r="V17" s="727">
        <v>629.96900000000005</v>
      </c>
      <c r="W17" s="727">
        <v>583.49900000000002</v>
      </c>
      <c r="X17" s="727">
        <f>846.409</f>
        <v>846.40899999999999</v>
      </c>
    </row>
    <row r="18" spans="1:24" ht="12" collapsed="1" x14ac:dyDescent="0.35">
      <c r="A18" s="625" t="s">
        <v>1596</v>
      </c>
      <c r="B18" s="625" t="s">
        <v>2357</v>
      </c>
      <c r="C18" s="742"/>
      <c r="D18" s="726">
        <v>9.2840000000000007</v>
      </c>
      <c r="E18" s="726">
        <v>6.86</v>
      </c>
      <c r="F18" s="726">
        <v>8.7880000000000003</v>
      </c>
      <c r="G18" s="726">
        <v>9.4450000000000003</v>
      </c>
      <c r="H18" s="726">
        <v>11.592000000000001</v>
      </c>
      <c r="I18" s="726">
        <v>20.419</v>
      </c>
      <c r="J18" s="726">
        <v>13.702</v>
      </c>
      <c r="K18" s="726">
        <v>18.254999999999999</v>
      </c>
      <c r="L18" s="726">
        <v>21.940999999999999</v>
      </c>
      <c r="M18" s="727">
        <v>23.786999999999999</v>
      </c>
      <c r="N18" s="727">
        <f>72462/1000</f>
        <v>72.462000000000003</v>
      </c>
      <c r="O18" s="727">
        <f>142670/1000</f>
        <v>142.66999999999999</v>
      </c>
      <c r="P18" s="727">
        <f>160300*(0.001)</f>
        <v>160.30000000000001</v>
      </c>
      <c r="Q18" s="727">
        <f>342621*(0.001)</f>
        <v>342.62099999999998</v>
      </c>
      <c r="R18" s="727">
        <v>920.14300000000003</v>
      </c>
      <c r="S18" s="727">
        <v>1879.577</v>
      </c>
      <c r="T18" s="727">
        <v>782.80799999999999</v>
      </c>
      <c r="U18" s="727">
        <v>333.93400000000003</v>
      </c>
      <c r="V18" s="727">
        <v>314.53899999999999</v>
      </c>
      <c r="W18" s="727">
        <v>244.81299999999999</v>
      </c>
      <c r="X18" s="727">
        <f>12.068</f>
        <v>12.068</v>
      </c>
    </row>
    <row r="19" spans="1:24" ht="12" x14ac:dyDescent="0.35">
      <c r="A19" s="625" t="s">
        <v>1597</v>
      </c>
      <c r="B19" s="625" t="s">
        <v>2249</v>
      </c>
      <c r="C19" s="742"/>
      <c r="D19" s="726">
        <v>-14.096</v>
      </c>
      <c r="E19" s="726">
        <v>-1.5529999999999999</v>
      </c>
      <c r="F19" s="726">
        <v>-1.823</v>
      </c>
      <c r="G19" s="726">
        <v>-20.065000000000001</v>
      </c>
      <c r="H19" s="726">
        <v>-26.135999999999999</v>
      </c>
      <c r="I19" s="726">
        <v>-15.552</v>
      </c>
      <c r="J19" s="726">
        <v>-192.69</v>
      </c>
      <c r="K19" s="726">
        <v>-239.375</v>
      </c>
      <c r="L19" s="726">
        <v>-418.44</v>
      </c>
      <c r="M19" s="727">
        <v>-455.82900000000001</v>
      </c>
      <c r="N19" s="727">
        <f>-629105/1000</f>
        <v>-629.10500000000002</v>
      </c>
      <c r="O19" s="727">
        <f>-688159/1000</f>
        <v>-688.15899999999999</v>
      </c>
      <c r="P19" s="727">
        <f>-1069754*(0.001)</f>
        <v>-1069.7540000000001</v>
      </c>
      <c r="Q19" s="727">
        <f>-1781717*(0.001)</f>
        <v>-1781.7170000000001</v>
      </c>
      <c r="R19" s="727">
        <v>-2278.9850000000001</v>
      </c>
      <c r="S19" s="727">
        <v>-2679.9769999999999</v>
      </c>
      <c r="T19" s="727">
        <v>-2668.2020000000002</v>
      </c>
      <c r="U19" s="727">
        <v>-2991.4189999999999</v>
      </c>
      <c r="V19" s="727">
        <v>-3204.3090000000002</v>
      </c>
      <c r="W19" s="727">
        <v>-2948.3119999999999</v>
      </c>
      <c r="X19" s="727">
        <f>-2469.668</f>
        <v>-2469.6680000000001</v>
      </c>
    </row>
    <row r="20" spans="1:24" x14ac:dyDescent="0.35">
      <c r="A20" s="872"/>
      <c r="B20" s="872"/>
      <c r="C20" s="742"/>
      <c r="D20" s="726"/>
      <c r="E20" s="726"/>
      <c r="F20" s="726"/>
      <c r="G20" s="726"/>
      <c r="H20" s="726"/>
      <c r="I20" s="726"/>
      <c r="J20" s="726"/>
      <c r="K20" s="726"/>
      <c r="L20" s="726"/>
      <c r="M20" s="727"/>
      <c r="N20" s="727"/>
      <c r="O20" s="727"/>
      <c r="P20" s="727"/>
      <c r="Q20" s="727"/>
      <c r="R20" s="727"/>
      <c r="S20" s="727"/>
      <c r="T20" s="727"/>
      <c r="U20" s="727"/>
      <c r="V20" s="727"/>
      <c r="W20" s="727"/>
      <c r="X20" s="727"/>
    </row>
    <row r="21" spans="1:24" ht="12" x14ac:dyDescent="0.35">
      <c r="A21" s="646" t="s">
        <v>1598</v>
      </c>
      <c r="B21" s="646" t="s">
        <v>1965</v>
      </c>
      <c r="C21" s="934"/>
      <c r="D21" s="732">
        <f t="shared" ref="D21:U21" si="3">SUM(D5:D19)-D8-D9-D11-D12-D13</f>
        <v>201.52400000000063</v>
      </c>
      <c r="E21" s="732">
        <f t="shared" si="3"/>
        <v>271.04399999999924</v>
      </c>
      <c r="F21" s="732">
        <f t="shared" si="3"/>
        <v>530.31000000000006</v>
      </c>
      <c r="G21" s="732">
        <f t="shared" si="3"/>
        <v>570.66499999999996</v>
      </c>
      <c r="H21" s="732">
        <f t="shared" si="3"/>
        <v>722.0799999999997</v>
      </c>
      <c r="I21" s="732">
        <f t="shared" si="3"/>
        <v>1333.4669999999994</v>
      </c>
      <c r="J21" s="732">
        <f t="shared" si="3"/>
        <v>1844.3009999999995</v>
      </c>
      <c r="K21" s="732">
        <f t="shared" si="3"/>
        <v>2541.3970000000004</v>
      </c>
      <c r="L21" s="732">
        <f t="shared" si="3"/>
        <v>3173.7580000000007</v>
      </c>
      <c r="M21" s="732">
        <f t="shared" si="3"/>
        <v>4047.5939999999964</v>
      </c>
      <c r="N21" s="732">
        <f t="shared" si="3"/>
        <v>5132.244999999999</v>
      </c>
      <c r="O21" s="732">
        <f t="shared" si="3"/>
        <v>6011.7200000000048</v>
      </c>
      <c r="P21" s="732">
        <f t="shared" si="3"/>
        <v>6789.9659999999994</v>
      </c>
      <c r="Q21" s="732">
        <f t="shared" si="3"/>
        <v>6205.5050000000028</v>
      </c>
      <c r="R21" s="732">
        <f t="shared" si="3"/>
        <v>7284.4709999999995</v>
      </c>
      <c r="S21" s="732">
        <f t="shared" si="3"/>
        <v>8244.4759999999987</v>
      </c>
      <c r="T21" s="732">
        <f t="shared" si="3"/>
        <v>9385.1779999999999</v>
      </c>
      <c r="U21" s="732">
        <f t="shared" si="3"/>
        <v>10778.684999999994</v>
      </c>
      <c r="V21" s="732">
        <f>SUM(V5:V19)-V8-V9-V11-V12-V13</f>
        <v>12103.547000000002</v>
      </c>
      <c r="W21" s="732">
        <f>SUM(W5:W19)-W8-W9-W11-W12-W13</f>
        <v>11839.239</v>
      </c>
      <c r="X21" s="732">
        <f>11967.471</f>
        <v>11967.471</v>
      </c>
    </row>
    <row r="22" spans="1:24" x14ac:dyDescent="0.35">
      <c r="C22" s="742"/>
      <c r="D22" s="726"/>
      <c r="E22" s="726"/>
      <c r="F22" s="726"/>
      <c r="G22" s="726"/>
      <c r="H22" s="726"/>
      <c r="I22" s="726"/>
      <c r="J22" s="726"/>
      <c r="K22" s="726"/>
      <c r="L22" s="726"/>
      <c r="M22" s="727"/>
      <c r="N22" s="727"/>
      <c r="O22" s="727"/>
      <c r="P22" s="727"/>
      <c r="Q22" s="727"/>
      <c r="R22" s="727"/>
      <c r="S22" s="727"/>
      <c r="T22" s="727"/>
      <c r="U22" s="727"/>
      <c r="V22" s="727"/>
      <c r="W22" s="727"/>
      <c r="X22" s="727"/>
    </row>
    <row r="23" spans="1:24" ht="12" x14ac:dyDescent="0.35">
      <c r="A23" s="625" t="s">
        <v>1599</v>
      </c>
      <c r="B23" s="625" t="s">
        <v>1964</v>
      </c>
      <c r="C23" s="742"/>
      <c r="D23" s="726">
        <v>-33.295999999999999</v>
      </c>
      <c r="E23" s="726">
        <v>-49.180999999999997</v>
      </c>
      <c r="F23" s="726">
        <v>-82.355000000000004</v>
      </c>
      <c r="G23" s="726">
        <v>-66.275999999999996</v>
      </c>
      <c r="H23" s="726">
        <v>-109.54900000000001</v>
      </c>
      <c r="I23" s="726">
        <v>-213.21799999999999</v>
      </c>
      <c r="J23" s="726">
        <v>-334.12200000000001</v>
      </c>
      <c r="K23" s="726">
        <v>404.89600000000002</v>
      </c>
      <c r="L23" s="726">
        <f>-503071/1000</f>
        <v>-503.07100000000003</v>
      </c>
      <c r="M23" s="727">
        <f>-659716/1000</f>
        <v>-659.71600000000001</v>
      </c>
      <c r="N23" s="727">
        <f>-659562/1000</f>
        <v>-659.56200000000001</v>
      </c>
      <c r="O23" s="727">
        <f>-1004504/1000</f>
        <v>-1004.504</v>
      </c>
      <c r="P23" s="727">
        <f>-1255662*(0.001)</f>
        <v>-1255.662</v>
      </c>
      <c r="Q23" s="727">
        <f>-1648872*(0.001)</f>
        <v>-1648.8720000000001</v>
      </c>
      <c r="R23" s="727">
        <v>-1560.8910000000001</v>
      </c>
      <c r="S23" s="727">
        <v>-1760.3019999999999</v>
      </c>
      <c r="T23" s="727">
        <v>-1949.2940000000001</v>
      </c>
      <c r="U23" s="727">
        <v>-2309.221</v>
      </c>
      <c r="V23" s="727">
        <v>-2390.5990000000002</v>
      </c>
      <c r="W23" s="727">
        <v>-2618.9569999999999</v>
      </c>
      <c r="X23" s="727">
        <f>-2962.098</f>
        <v>-2962.098</v>
      </c>
    </row>
    <row r="24" spans="1:24" x14ac:dyDescent="0.35">
      <c r="C24" s="742"/>
      <c r="D24" s="726"/>
      <c r="E24" s="726"/>
      <c r="F24" s="726"/>
      <c r="G24" s="726"/>
      <c r="H24" s="726"/>
      <c r="I24" s="726"/>
      <c r="J24" s="726"/>
      <c r="K24" s="726"/>
      <c r="L24" s="726"/>
      <c r="M24" s="727"/>
      <c r="N24" s="727"/>
      <c r="O24" s="727"/>
      <c r="P24" s="727"/>
      <c r="Q24" s="727"/>
      <c r="R24" s="727"/>
      <c r="S24" s="727"/>
      <c r="T24" s="727"/>
      <c r="U24" s="727"/>
      <c r="V24" s="727"/>
      <c r="W24" s="727"/>
      <c r="X24" s="727"/>
    </row>
    <row r="25" spans="1:24" ht="12" x14ac:dyDescent="0.35">
      <c r="A25" s="646" t="s">
        <v>1600</v>
      </c>
      <c r="B25" s="646" t="s">
        <v>2015</v>
      </c>
      <c r="C25" s="934"/>
      <c r="D25" s="732">
        <f>D21+D23</f>
        <v>168.22800000000063</v>
      </c>
      <c r="E25" s="732">
        <f>E21+E23</f>
        <v>221.86299999999926</v>
      </c>
      <c r="F25" s="732">
        <f>F21+F23</f>
        <v>447.95500000000004</v>
      </c>
      <c r="G25" s="732">
        <f>G21+G23</f>
        <v>504.38899999999995</v>
      </c>
      <c r="H25" s="732">
        <v>728.48099999999999</v>
      </c>
      <c r="I25" s="732">
        <v>1120.249</v>
      </c>
      <c r="J25" s="732">
        <v>1510.1790000000001</v>
      </c>
      <c r="K25" s="732">
        <v>2136.5010000000002</v>
      </c>
      <c r="L25" s="732">
        <f>L21+L23</f>
        <v>2670.6870000000008</v>
      </c>
      <c r="M25" s="732">
        <f>M21+M23</f>
        <v>3387.8779999999965</v>
      </c>
      <c r="N25" s="937">
        <f>4472683/1000</f>
        <v>4472.683</v>
      </c>
      <c r="O25" s="937">
        <f>5007216/1000</f>
        <v>5007.2160000000003</v>
      </c>
      <c r="P25" s="937">
        <f>5534304*(0.001)</f>
        <v>5534.3040000000001</v>
      </c>
      <c r="Q25" s="937">
        <f>4556633*(0.001)</f>
        <v>4556.6329999999998</v>
      </c>
      <c r="R25" s="937">
        <v>5723.58</v>
      </c>
      <c r="S25" s="937">
        <v>6484.174</v>
      </c>
      <c r="T25" s="937">
        <v>7435.884</v>
      </c>
      <c r="U25" s="937">
        <v>8469.4639999999999</v>
      </c>
      <c r="V25" s="937">
        <v>9712.9480000000003</v>
      </c>
      <c r="W25" s="937">
        <v>9220.2819999999992</v>
      </c>
      <c r="X25" s="937">
        <f>9005.373</f>
        <v>9005.3729999999996</v>
      </c>
    </row>
    <row r="26" spans="1:24" ht="12" x14ac:dyDescent="0.35">
      <c r="A26" s="872" t="s">
        <v>1601</v>
      </c>
      <c r="B26" s="625" t="s">
        <v>1963</v>
      </c>
      <c r="C26" s="934"/>
      <c r="D26" s="732">
        <v>152.02099999999999</v>
      </c>
      <c r="E26" s="732">
        <v>222.18199999999999</v>
      </c>
      <c r="F26" s="732">
        <v>404.89299999999997</v>
      </c>
      <c r="G26" s="732">
        <v>489.32100000000003</v>
      </c>
      <c r="H26" s="732">
        <v>612.53099999999995</v>
      </c>
      <c r="I26" s="732">
        <v>1036.278</v>
      </c>
      <c r="J26" s="732">
        <v>1507.405</v>
      </c>
      <c r="K26" s="732">
        <v>2131.4589999999998</v>
      </c>
      <c r="L26" s="732">
        <v>2749.5509999999999</v>
      </c>
      <c r="M26" s="732">
        <v>3457.41</v>
      </c>
      <c r="N26" s="937">
        <f>4524126/1000</f>
        <v>4524.1260000000002</v>
      </c>
      <c r="O26" s="937">
        <f>5130066/1000</f>
        <v>5130.0659999999998</v>
      </c>
      <c r="P26" s="937">
        <f>5490091*(0.001)</f>
        <v>5490.0910000000003</v>
      </c>
      <c r="Q26" s="937">
        <f>4500148*(0.001)</f>
        <v>4500.1480000000001</v>
      </c>
      <c r="R26" s="937">
        <v>5413.2080000000005</v>
      </c>
      <c r="S26" s="937">
        <v>6015.3680000000004</v>
      </c>
      <c r="T26" s="937">
        <v>6800.8789999999999</v>
      </c>
      <c r="U26" s="937">
        <v>7956.8760000000002</v>
      </c>
      <c r="V26" s="937">
        <v>9164.0450000000001</v>
      </c>
      <c r="W26" s="937">
        <v>8565.3310000000001</v>
      </c>
      <c r="X26" s="937">
        <f>8588.443</f>
        <v>8588.4429999999993</v>
      </c>
    </row>
    <row r="27" spans="1:24" ht="12" x14ac:dyDescent="0.35">
      <c r="A27" s="872"/>
      <c r="B27" s="938" t="s">
        <v>1962</v>
      </c>
      <c r="C27" s="934"/>
      <c r="D27" s="732"/>
      <c r="E27" s="732"/>
      <c r="F27" s="732"/>
      <c r="G27" s="732"/>
      <c r="H27" s="732"/>
      <c r="I27" s="732"/>
      <c r="J27" s="732"/>
      <c r="K27" s="732"/>
      <c r="L27" s="732"/>
      <c r="M27" s="732"/>
      <c r="N27" s="937"/>
      <c r="O27" s="937"/>
      <c r="P27" s="937"/>
      <c r="Q27" s="727">
        <f>17000*(0.001)</f>
        <v>17</v>
      </c>
      <c r="R27" s="727">
        <v>260.166</v>
      </c>
      <c r="S27" s="727">
        <v>407.24599999999998</v>
      </c>
      <c r="T27" s="727">
        <v>465.13200000000001</v>
      </c>
      <c r="U27" s="727">
        <v>295.82400000000001</v>
      </c>
      <c r="V27" s="727">
        <v>304.78800000000001</v>
      </c>
      <c r="W27" s="727">
        <v>339.29700000000003</v>
      </c>
      <c r="X27" s="727">
        <f>228.808</f>
        <v>228.80799999999999</v>
      </c>
    </row>
    <row r="28" spans="1:24" ht="12" x14ac:dyDescent="0.35">
      <c r="A28" s="872" t="s">
        <v>1961</v>
      </c>
      <c r="B28" s="939" t="s">
        <v>1960</v>
      </c>
      <c r="C28" s="742"/>
      <c r="D28" s="726">
        <v>16.207000000000001</v>
      </c>
      <c r="E28" s="726">
        <v>-0.31900000000000001</v>
      </c>
      <c r="F28" s="726">
        <v>43.061999999999998</v>
      </c>
      <c r="G28" s="726">
        <v>15.068</v>
      </c>
      <c r="H28" s="726">
        <v>0</v>
      </c>
      <c r="I28" s="726">
        <v>83.971000000000004</v>
      </c>
      <c r="J28" s="726">
        <v>2.774</v>
      </c>
      <c r="K28" s="726">
        <v>5.0419999999999998</v>
      </c>
      <c r="L28" s="726">
        <v>-78.864000000000004</v>
      </c>
      <c r="M28" s="726">
        <v>-69.531999999999996</v>
      </c>
      <c r="N28" s="727">
        <f>-51443/1000</f>
        <v>-51.442999999999998</v>
      </c>
      <c r="O28" s="727">
        <f>-122850/1000</f>
        <v>-122.85</v>
      </c>
      <c r="P28" s="727">
        <f>44213*(0.001)</f>
        <v>44.213000000000001</v>
      </c>
      <c r="Q28" s="727">
        <f>39485*(0.001)</f>
        <v>39.484999999999999</v>
      </c>
      <c r="R28" s="727">
        <v>50.206000000000003</v>
      </c>
      <c r="S28" s="727">
        <v>61.56</v>
      </c>
      <c r="T28" s="727">
        <v>169.87299999999999</v>
      </c>
      <c r="U28" s="727">
        <v>216.76400000000001</v>
      </c>
      <c r="V28" s="727">
        <v>244.11500000000001</v>
      </c>
      <c r="W28" s="727">
        <v>315.654</v>
      </c>
      <c r="X28" s="727">
        <f>188.122</f>
        <v>188.12200000000001</v>
      </c>
    </row>
    <row r="29" spans="1:24" x14ac:dyDescent="0.35">
      <c r="C29" s="743"/>
      <c r="D29" s="743"/>
      <c r="E29" s="743"/>
      <c r="F29" s="743"/>
      <c r="G29" s="743"/>
      <c r="H29" s="725"/>
      <c r="I29" s="725"/>
      <c r="J29" s="725"/>
      <c r="K29" s="725"/>
      <c r="L29" s="725"/>
      <c r="M29" s="725"/>
      <c r="N29" s="725">
        <v>4472.683</v>
      </c>
      <c r="O29" s="725">
        <f>O26+O28</f>
        <v>5007.2159999999994</v>
      </c>
      <c r="P29" s="725">
        <f>P26+P28</f>
        <v>5534.3040000000001</v>
      </c>
      <c r="Q29" s="725">
        <f t="shared" ref="Q29:V29" si="4">Q26+Q28+Q27</f>
        <v>4556.6329999999998</v>
      </c>
      <c r="R29" s="725">
        <f t="shared" si="4"/>
        <v>5723.5800000000008</v>
      </c>
      <c r="S29" s="725">
        <f t="shared" si="4"/>
        <v>6484.1740000000009</v>
      </c>
      <c r="T29" s="725">
        <f t="shared" si="4"/>
        <v>7435.8839999999991</v>
      </c>
      <c r="U29" s="725">
        <f t="shared" si="4"/>
        <v>8469.4639999999999</v>
      </c>
      <c r="V29" s="725">
        <f t="shared" si="4"/>
        <v>9712.9480000000003</v>
      </c>
      <c r="W29" s="725">
        <v>9220.2819999999992</v>
      </c>
      <c r="X29" s="725">
        <f>9005.373</f>
        <v>9005.3729999999996</v>
      </c>
    </row>
    <row r="30" spans="1:24" ht="12" x14ac:dyDescent="0.35">
      <c r="A30" s="625" t="s">
        <v>1602</v>
      </c>
      <c r="B30" s="625" t="s">
        <v>1959</v>
      </c>
      <c r="C30" s="743"/>
      <c r="D30" s="743"/>
      <c r="E30" s="743"/>
      <c r="F30" s="743"/>
      <c r="G30" s="743"/>
      <c r="H30" s="725"/>
      <c r="I30" s="725"/>
      <c r="J30" s="725"/>
      <c r="K30" s="725"/>
      <c r="L30" s="725"/>
      <c r="M30" s="725"/>
      <c r="N30" s="725"/>
      <c r="O30" s="725"/>
      <c r="P30" s="725"/>
      <c r="Q30" s="725"/>
      <c r="R30" s="725"/>
      <c r="S30" s="725"/>
      <c r="T30" s="725"/>
      <c r="U30" s="725"/>
      <c r="V30" s="725"/>
      <c r="W30" s="725"/>
      <c r="X30" s="725"/>
    </row>
    <row r="31" spans="1:24" ht="12" x14ac:dyDescent="0.35">
      <c r="A31" s="625" t="s">
        <v>1603</v>
      </c>
      <c r="B31" s="625" t="s">
        <v>1958</v>
      </c>
      <c r="C31" s="674"/>
      <c r="D31" s="674"/>
      <c r="E31" s="674">
        <v>80.03</v>
      </c>
      <c r="F31" s="674">
        <v>20.53</v>
      </c>
      <c r="G31" s="674">
        <v>20.059999999999999</v>
      </c>
      <c r="H31" s="674"/>
      <c r="I31" s="674"/>
      <c r="J31" s="674"/>
      <c r="K31" s="727">
        <v>57.32</v>
      </c>
      <c r="L31" s="727">
        <v>70.709999999999994</v>
      </c>
      <c r="M31" s="727">
        <v>88.75</v>
      </c>
      <c r="N31" s="940">
        <v>112.37</v>
      </c>
      <c r="O31" s="727">
        <v>119.8</v>
      </c>
      <c r="P31" s="727">
        <v>118.85</v>
      </c>
      <c r="Q31" s="727">
        <v>89.13</v>
      </c>
      <c r="R31" s="727">
        <v>107.21</v>
      </c>
      <c r="S31" s="727">
        <v>119.14</v>
      </c>
      <c r="T31" s="727">
        <v>134.94</v>
      </c>
      <c r="U31" s="727">
        <v>158</v>
      </c>
      <c r="V31" s="727">
        <v>182</v>
      </c>
      <c r="W31" s="727">
        <v>170</v>
      </c>
      <c r="X31" s="727">
        <f>164</f>
        <v>164</v>
      </c>
    </row>
    <row r="32" spans="1:24" ht="12" x14ac:dyDescent="0.35">
      <c r="A32" s="625" t="s">
        <v>1604</v>
      </c>
      <c r="B32" s="625" t="s">
        <v>1957</v>
      </c>
      <c r="C32" s="674"/>
      <c r="D32" s="674"/>
      <c r="E32" s="674">
        <v>75.38</v>
      </c>
      <c r="F32" s="674">
        <v>19.27</v>
      </c>
      <c r="G32" s="674">
        <v>19.2</v>
      </c>
      <c r="H32" s="674"/>
      <c r="I32" s="674"/>
      <c r="J32" s="674"/>
      <c r="K32" s="727">
        <v>56.44</v>
      </c>
      <c r="L32" s="727">
        <v>69.680000000000007</v>
      </c>
      <c r="M32" s="727">
        <v>87.52</v>
      </c>
      <c r="N32" s="727">
        <v>111.39</v>
      </c>
      <c r="O32" s="727">
        <v>119.8</v>
      </c>
      <c r="P32" s="727">
        <v>118.85</v>
      </c>
      <c r="Q32" s="727">
        <v>89.13</v>
      </c>
      <c r="R32" s="727">
        <v>107.21</v>
      </c>
      <c r="S32" s="727">
        <v>119.14</v>
      </c>
      <c r="T32" s="727">
        <v>134.94</v>
      </c>
      <c r="U32" s="727">
        <v>158</v>
      </c>
      <c r="V32" s="727">
        <v>182</v>
      </c>
      <c r="W32" s="727">
        <v>170</v>
      </c>
      <c r="X32" s="727">
        <f>164</f>
        <v>164</v>
      </c>
    </row>
    <row r="33" spans="1:25" ht="12.4" x14ac:dyDescent="0.4">
      <c r="A33" s="625" t="s">
        <v>1605</v>
      </c>
      <c r="B33" s="625" t="s">
        <v>1956</v>
      </c>
      <c r="C33" s="674"/>
      <c r="D33" s="674"/>
      <c r="E33" s="733">
        <v>88.58</v>
      </c>
      <c r="F33" s="733">
        <v>104.13200000000001</v>
      </c>
      <c r="G33" s="733">
        <v>199.875</v>
      </c>
      <c r="H33" s="733"/>
      <c r="I33" s="733"/>
      <c r="J33" s="733"/>
      <c r="K33" s="674"/>
      <c r="L33" s="941" t="s">
        <v>1955</v>
      </c>
      <c r="M33" s="674"/>
      <c r="N33" s="941" t="s">
        <v>1954</v>
      </c>
      <c r="O33" s="941" t="s">
        <v>1953</v>
      </c>
      <c r="P33" s="941" t="s">
        <v>1952</v>
      </c>
      <c r="Q33" s="941" t="s">
        <v>2596</v>
      </c>
      <c r="R33" s="941" t="s">
        <v>2597</v>
      </c>
      <c r="S33" s="941" t="s">
        <v>2598</v>
      </c>
      <c r="T33" s="942" t="s">
        <v>2654</v>
      </c>
      <c r="U33" s="942" t="s">
        <v>2838</v>
      </c>
      <c r="V33" s="942" t="s">
        <v>2870</v>
      </c>
      <c r="W33" s="1605" t="s">
        <v>2883</v>
      </c>
      <c r="X33" s="941" t="s">
        <v>3143</v>
      </c>
    </row>
    <row r="34" spans="1:25" x14ac:dyDescent="0.35">
      <c r="C34" s="743"/>
      <c r="D34" s="743"/>
      <c r="E34" s="743"/>
      <c r="F34" s="743"/>
      <c r="G34" s="743"/>
      <c r="H34" s="725"/>
      <c r="I34" s="725"/>
      <c r="J34" s="725"/>
      <c r="K34" s="725"/>
      <c r="L34" s="725"/>
      <c r="M34" s="725"/>
      <c r="N34" s="941"/>
      <c r="O34" s="941"/>
      <c r="P34" s="725"/>
      <c r="Q34" s="725"/>
      <c r="R34" s="725"/>
      <c r="S34" s="725"/>
      <c r="T34" s="725"/>
      <c r="U34" s="725"/>
      <c r="V34" s="725"/>
      <c r="W34" s="725"/>
      <c r="X34" s="725"/>
    </row>
    <row r="35" spans="1:25" x14ac:dyDescent="0.35">
      <c r="A35" s="646"/>
      <c r="B35" s="646" t="s">
        <v>1951</v>
      </c>
      <c r="C35" s="742"/>
      <c r="D35" s="742"/>
      <c r="E35" s="742"/>
      <c r="F35" s="743"/>
      <c r="G35" s="743"/>
      <c r="H35" s="743"/>
      <c r="I35" s="743"/>
      <c r="J35" s="743"/>
      <c r="K35" s="743"/>
      <c r="L35" s="743"/>
      <c r="P35" s="625"/>
      <c r="Q35" s="870"/>
      <c r="R35" s="870"/>
      <c r="S35" s="870"/>
      <c r="T35" s="870"/>
      <c r="U35" s="870"/>
      <c r="V35" s="870"/>
      <c r="W35" s="870"/>
      <c r="X35" s="870"/>
      <c r="Y35" s="936"/>
    </row>
    <row r="36" spans="1:25" x14ac:dyDescent="0.35">
      <c r="C36" s="743"/>
      <c r="D36" s="743"/>
      <c r="E36" s="743"/>
      <c r="F36" s="743"/>
      <c r="G36" s="743"/>
      <c r="H36" s="743"/>
      <c r="I36" s="743"/>
      <c r="J36" s="743"/>
      <c r="K36" s="743"/>
      <c r="L36" s="743"/>
      <c r="P36" s="625"/>
      <c r="Q36" s="870"/>
      <c r="R36" s="870"/>
      <c r="S36" s="870"/>
      <c r="T36" s="870"/>
      <c r="U36" s="870"/>
      <c r="V36" s="870"/>
    </row>
    <row r="37" spans="1:25" x14ac:dyDescent="0.35">
      <c r="C37" s="743"/>
      <c r="D37" s="743"/>
      <c r="E37" s="743"/>
      <c r="F37" s="743"/>
      <c r="G37" s="743"/>
      <c r="H37" s="743"/>
      <c r="I37" s="743"/>
      <c r="J37" s="743"/>
      <c r="K37" s="743"/>
      <c r="L37" s="743"/>
    </row>
  </sheetData>
  <phoneticPr fontId="51" type="noConversion"/>
  <pageMargins left="0.75" right="0.75" top="1" bottom="1" header="0.5" footer="0.5"/>
  <headerFooter alignWithMargins="0"/>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X106"/>
  <sheetViews>
    <sheetView showGridLines="0" zoomScale="160" zoomScaleNormal="160" workbookViewId="0">
      <pane xSplit="2" ySplit="2" topLeftCell="P56" activePane="bottomRight" state="frozen"/>
      <selection pane="topRight"/>
      <selection pane="bottomLeft"/>
      <selection pane="bottomRight" activeCell="X83" sqref="X83"/>
    </sheetView>
  </sheetViews>
  <sheetFormatPr defaultColWidth="8.0625" defaultRowHeight="12" outlineLevelCol="1" x14ac:dyDescent="0.35"/>
  <cols>
    <col min="1" max="1" width="31.0625" style="331" hidden="1" customWidth="1" outlineLevel="1"/>
    <col min="2" max="2" width="25" style="1647" customWidth="1" collapsed="1"/>
    <col min="3" max="13" width="8.0625" style="625" hidden="1" customWidth="1" outlineLevel="1"/>
    <col min="14" max="14" width="8.0625" style="625" collapsed="1"/>
    <col min="15" max="15" width="8.0625" style="625"/>
    <col min="16" max="18" width="8.0625" style="625" customWidth="1"/>
    <col min="19" max="19" width="8.0625" style="625"/>
    <col min="20" max="22" width="9.3125" style="625" bestFit="1" customWidth="1"/>
    <col min="23" max="23" width="8.8125" style="625" bestFit="1" customWidth="1"/>
    <col min="24" max="24" width="8.0625" style="625" customWidth="1"/>
    <col min="25" max="16384" width="8.0625" style="625"/>
  </cols>
  <sheetData>
    <row r="2" spans="1:24" s="943" customFormat="1" ht="11.65" x14ac:dyDescent="0.35">
      <c r="A2" s="718" t="s">
        <v>759</v>
      </c>
      <c r="B2" s="1716" t="s">
        <v>2958</v>
      </c>
      <c r="C2" s="719">
        <v>2004</v>
      </c>
      <c r="D2" s="719">
        <v>2005</v>
      </c>
      <c r="E2" s="719">
        <v>2006</v>
      </c>
      <c r="F2" s="719">
        <v>2007</v>
      </c>
      <c r="G2" s="719">
        <v>2008</v>
      </c>
      <c r="H2" s="719">
        <v>2009</v>
      </c>
      <c r="I2" s="719">
        <v>2010</v>
      </c>
      <c r="J2" s="719">
        <v>2011</v>
      </c>
      <c r="K2" s="719">
        <v>2012</v>
      </c>
      <c r="L2" s="719">
        <v>2013</v>
      </c>
      <c r="M2" s="719">
        <v>2014</v>
      </c>
      <c r="N2" s="719">
        <v>2015</v>
      </c>
      <c r="O2" s="719">
        <v>2016</v>
      </c>
      <c r="P2" s="719">
        <v>2017</v>
      </c>
      <c r="Q2" s="719">
        <v>2018</v>
      </c>
      <c r="R2" s="719">
        <v>2019</v>
      </c>
      <c r="S2" s="719">
        <v>2020</v>
      </c>
      <c r="T2" s="719">
        <v>2021</v>
      </c>
      <c r="U2" s="719">
        <v>2022</v>
      </c>
      <c r="V2" s="719">
        <v>2023</v>
      </c>
      <c r="W2" s="719">
        <v>2024</v>
      </c>
      <c r="X2" s="719">
        <v>2025</v>
      </c>
    </row>
    <row r="3" spans="1:24" x14ac:dyDescent="0.35">
      <c r="A3" s="720" t="s">
        <v>963</v>
      </c>
      <c r="B3" s="1644" t="s">
        <v>3079</v>
      </c>
      <c r="C3" s="743"/>
      <c r="D3" s="743"/>
      <c r="E3" s="743"/>
      <c r="F3" s="743"/>
      <c r="G3" s="743"/>
      <c r="H3" s="743"/>
      <c r="I3" s="743"/>
      <c r="J3" s="743"/>
      <c r="K3" s="743"/>
      <c r="L3" s="743"/>
      <c r="M3" s="743"/>
      <c r="N3" s="743"/>
      <c r="O3" s="743"/>
      <c r="P3" s="944"/>
      <c r="Q3" s="944"/>
      <c r="R3" s="944"/>
      <c r="S3" s="944"/>
      <c r="T3" s="944"/>
      <c r="U3" s="944"/>
      <c r="V3" s="944"/>
      <c r="W3" s="944"/>
      <c r="X3" s="944"/>
    </row>
    <row r="4" spans="1:24" x14ac:dyDescent="0.35">
      <c r="A4" s="720" t="s">
        <v>1606</v>
      </c>
      <c r="B4" s="1644" t="s">
        <v>1663</v>
      </c>
      <c r="C4" s="743"/>
      <c r="D4" s="743"/>
      <c r="F4" s="743"/>
      <c r="G4" s="743"/>
      <c r="H4" s="743"/>
      <c r="I4" s="743"/>
      <c r="J4" s="743"/>
      <c r="K4" s="743"/>
      <c r="L4" s="743"/>
      <c r="M4" s="743"/>
      <c r="N4" s="743"/>
      <c r="O4" s="743"/>
      <c r="P4" s="944"/>
      <c r="Q4" s="944"/>
      <c r="R4" s="944"/>
      <c r="S4" s="944"/>
      <c r="T4" s="944"/>
      <c r="U4" s="944"/>
      <c r="V4" s="944"/>
      <c r="W4" s="944"/>
      <c r="X4" s="944"/>
    </row>
    <row r="5" spans="1:24" x14ac:dyDescent="0.35">
      <c r="A5" s="872" t="s">
        <v>616</v>
      </c>
      <c r="B5" s="1648" t="s">
        <v>115</v>
      </c>
      <c r="C5" s="728"/>
      <c r="D5" s="728"/>
      <c r="E5" s="727">
        <v>96.578999999999994</v>
      </c>
      <c r="F5" s="726">
        <v>971.95299999999997</v>
      </c>
      <c r="G5" s="726">
        <v>1107.2750000000001</v>
      </c>
      <c r="H5" s="726">
        <v>1121.3240000000001</v>
      </c>
      <c r="I5" s="726">
        <v>1454.4449999999999</v>
      </c>
      <c r="J5" s="726">
        <v>1870.0329999999999</v>
      </c>
      <c r="K5" s="726">
        <v>2190.951</v>
      </c>
      <c r="L5" s="726">
        <v>2672.357</v>
      </c>
      <c r="M5" s="726">
        <v>2827.3</v>
      </c>
      <c r="N5" s="727">
        <f>2786916/1000</f>
        <v>2786.9160000000002</v>
      </c>
      <c r="O5" s="727">
        <f>2493761/1000</f>
        <v>2493.761</v>
      </c>
      <c r="P5" s="727">
        <v>3818.806</v>
      </c>
      <c r="Q5" s="727">
        <f>4149806*(10^(-3))</f>
        <v>4149.8060000000005</v>
      </c>
      <c r="R5" s="727">
        <v>4726.3779999999997</v>
      </c>
      <c r="S5" s="727">
        <v>5390.5469999999996</v>
      </c>
      <c r="T5" s="727">
        <v>5698.3360000000002</v>
      </c>
      <c r="U5" s="727">
        <f>4869.816+570.025</f>
        <v>5439.8409999999994</v>
      </c>
      <c r="V5" s="727">
        <v>5664.826</v>
      </c>
      <c r="W5" s="727">
        <v>5747.1190000000006</v>
      </c>
      <c r="X5" s="727">
        <f>6505.429</f>
        <v>6505.4290000000001</v>
      </c>
    </row>
    <row r="6" spans="1:24" x14ac:dyDescent="0.35">
      <c r="A6" s="872" t="s">
        <v>2608</v>
      </c>
      <c r="B6" s="1648" t="s">
        <v>1662</v>
      </c>
      <c r="C6" s="728"/>
      <c r="D6" s="728"/>
      <c r="E6" s="727">
        <v>10.065</v>
      </c>
      <c r="F6" s="726">
        <v>9.7050000000000001</v>
      </c>
      <c r="G6" s="726">
        <v>44.692</v>
      </c>
      <c r="H6" s="726">
        <v>43.030999999999999</v>
      </c>
      <c r="I6" s="726">
        <v>42.037999999999997</v>
      </c>
      <c r="J6" s="726">
        <v>41.063000000000002</v>
      </c>
      <c r="K6" s="726">
        <v>40.043999999999997</v>
      </c>
      <c r="L6" s="726">
        <v>39.085000000000001</v>
      </c>
      <c r="M6" s="726">
        <v>38.073</v>
      </c>
      <c r="N6" s="727">
        <f>3050468/1000</f>
        <v>3050.4679999999998</v>
      </c>
      <c r="O6" s="727">
        <f>4249520/1000</f>
        <v>4249.5200000000004</v>
      </c>
      <c r="P6" s="727">
        <v>4750.2650000000003</v>
      </c>
      <c r="Q6" s="727">
        <f>4680776*(10^(-3))</f>
        <v>4680.7759999999998</v>
      </c>
      <c r="R6" s="727">
        <v>5067.3330000000005</v>
      </c>
      <c r="S6" s="727">
        <v>4643.3310000000001</v>
      </c>
      <c r="T6" s="727">
        <v>5126.232</v>
      </c>
      <c r="U6" s="727">
        <v>7080.2719999999999</v>
      </c>
      <c r="V6" s="727">
        <v>6923.8490000000002</v>
      </c>
      <c r="W6" s="727">
        <v>6437.4530000000004</v>
      </c>
      <c r="X6" s="727">
        <f>6738.116</f>
        <v>6738.116</v>
      </c>
    </row>
    <row r="7" spans="1:24" x14ac:dyDescent="0.35">
      <c r="A7" s="872" t="s">
        <v>619</v>
      </c>
      <c r="B7" s="1648" t="s">
        <v>35</v>
      </c>
      <c r="C7" s="728"/>
      <c r="D7" s="728"/>
      <c r="E7" s="726"/>
      <c r="F7" s="726"/>
      <c r="G7" s="726">
        <v>466.87599999999998</v>
      </c>
      <c r="H7" s="726">
        <v>1050.04</v>
      </c>
      <c r="I7" s="726">
        <v>673.57500000000005</v>
      </c>
      <c r="J7" s="726">
        <v>673.22400000000005</v>
      </c>
      <c r="K7" s="726">
        <v>915.04899999999998</v>
      </c>
      <c r="L7" s="726">
        <v>1186.0119999999999</v>
      </c>
      <c r="M7" s="726">
        <v>1489.1880000000001</v>
      </c>
      <c r="N7" s="727">
        <f>1536372/1000</f>
        <v>1536.3720000000001</v>
      </c>
      <c r="O7" s="727">
        <f>1495041/1000</f>
        <v>1495.0409999999999</v>
      </c>
      <c r="P7" s="727">
        <v>3294.0410000000002</v>
      </c>
      <c r="Q7" s="727">
        <f>3680414*(10^(-3))</f>
        <v>3680.4140000000002</v>
      </c>
      <c r="R7" s="727">
        <v>4747.1310000000003</v>
      </c>
      <c r="S7" s="727">
        <v>5713.8459999999995</v>
      </c>
      <c r="T7" s="727">
        <v>5726.6390000000001</v>
      </c>
      <c r="U7" s="727">
        <v>4742.2610000000004</v>
      </c>
      <c r="V7" s="727">
        <v>3651.3020000000001</v>
      </c>
      <c r="W7" s="727">
        <v>3075.9449999999997</v>
      </c>
      <c r="X7" s="727">
        <f>3247.527</f>
        <v>3247.527</v>
      </c>
    </row>
    <row r="8" spans="1:24" x14ac:dyDescent="0.35">
      <c r="A8" s="872" t="s">
        <v>620</v>
      </c>
      <c r="B8" s="1648" t="s">
        <v>36</v>
      </c>
      <c r="C8" s="728"/>
      <c r="D8" s="728"/>
      <c r="E8" s="726">
        <v>12.448</v>
      </c>
      <c r="F8" s="726">
        <v>60.326999999999998</v>
      </c>
      <c r="G8" s="726">
        <v>78.536000000000001</v>
      </c>
      <c r="H8" s="726">
        <v>76.551000000000002</v>
      </c>
      <c r="I8" s="726">
        <v>172.25800000000001</v>
      </c>
      <c r="J8" s="726">
        <v>180.197</v>
      </c>
      <c r="K8" s="726">
        <v>182.291</v>
      </c>
      <c r="L8" s="726">
        <v>280.06299999999999</v>
      </c>
      <c r="M8" s="726">
        <v>273.02199999999999</v>
      </c>
      <c r="N8" s="727">
        <f>269816/1000</f>
        <v>269.81599999999997</v>
      </c>
      <c r="O8" s="727">
        <f>315097/1000</f>
        <v>315.09699999999998</v>
      </c>
      <c r="P8" s="727">
        <v>391.30599999999998</v>
      </c>
      <c r="Q8" s="727">
        <f>367032*(10^(-3))</f>
        <v>367.03199999999998</v>
      </c>
      <c r="R8" s="727">
        <v>0</v>
      </c>
      <c r="S8" s="727"/>
      <c r="T8" s="727"/>
      <c r="U8" s="727"/>
      <c r="V8" s="727"/>
      <c r="W8" s="727"/>
      <c r="X8" s="727"/>
    </row>
    <row r="9" spans="1:24" x14ac:dyDescent="0.35">
      <c r="A9" s="872" t="s">
        <v>621</v>
      </c>
      <c r="B9" s="1648" t="s">
        <v>37</v>
      </c>
      <c r="C9" s="728"/>
      <c r="D9" s="728"/>
      <c r="E9" s="726">
        <v>34.012999999999998</v>
      </c>
      <c r="F9" s="726">
        <v>35.070999999999998</v>
      </c>
      <c r="G9" s="726">
        <v>41.258000000000003</v>
      </c>
      <c r="H9" s="726">
        <v>35.174999999999997</v>
      </c>
      <c r="I9" s="726">
        <v>34.552</v>
      </c>
      <c r="J9" s="726">
        <v>29.236999999999998</v>
      </c>
      <c r="K9" s="726">
        <v>36.155999999999999</v>
      </c>
      <c r="L9" s="726">
        <v>48.756999999999998</v>
      </c>
      <c r="M9" s="726">
        <v>2104.9430000000002</v>
      </c>
      <c r="N9" s="727">
        <f>3800193/1000</f>
        <v>3800.1930000000002</v>
      </c>
      <c r="O9" s="727">
        <f>4070378/1000</f>
        <v>4070.3780000000002</v>
      </c>
      <c r="P9" s="727">
        <v>4570.74</v>
      </c>
      <c r="Q9" s="727">
        <f>5654865*(10^(-3))</f>
        <v>5654.8649999999998</v>
      </c>
      <c r="R9" s="727">
        <v>6300.683</v>
      </c>
      <c r="S9" s="727">
        <v>6829.83</v>
      </c>
      <c r="T9" s="727">
        <v>9347.2250000000004</v>
      </c>
      <c r="U9" s="727">
        <v>7482.5929999999998</v>
      </c>
      <c r="V9" s="727">
        <v>6116.3280000000004</v>
      </c>
      <c r="W9" s="727">
        <v>6049.5440000000008</v>
      </c>
      <c r="X9" s="727">
        <f>5585.917</f>
        <v>5585.9170000000004</v>
      </c>
    </row>
    <row r="10" spans="1:24" x14ac:dyDescent="0.35">
      <c r="A10" s="872" t="s">
        <v>1632</v>
      </c>
      <c r="B10" s="1648" t="s">
        <v>3080</v>
      </c>
      <c r="C10" s="728"/>
      <c r="D10" s="728"/>
      <c r="E10" s="726"/>
      <c r="F10" s="726"/>
      <c r="G10" s="726"/>
      <c r="H10" s="726"/>
      <c r="I10" s="726">
        <v>2350.893</v>
      </c>
      <c r="J10" s="726">
        <v>2589.828</v>
      </c>
      <c r="K10" s="726">
        <v>2735.4929999999999</v>
      </c>
      <c r="L10" s="726">
        <v>2149.893</v>
      </c>
      <c r="M10" s="726">
        <v>3449.0340000000001</v>
      </c>
      <c r="N10" s="727">
        <f>3573662/1000</f>
        <v>3573.6619999999998</v>
      </c>
      <c r="O10" s="727">
        <f>4949241/1000</f>
        <v>4949.241</v>
      </c>
      <c r="P10" s="727">
        <v>9956.1110000000008</v>
      </c>
      <c r="Q10" s="727">
        <f>11709355*(10^(-3))</f>
        <v>11709.355</v>
      </c>
      <c r="R10" s="727">
        <v>14012.737000000001</v>
      </c>
      <c r="S10" s="727">
        <v>16453.237000000001</v>
      </c>
      <c r="T10" s="727">
        <v>18388.084999999999</v>
      </c>
      <c r="U10" s="727">
        <v>16771.131000000001</v>
      </c>
      <c r="V10" s="727">
        <v>16916.238000000001</v>
      </c>
      <c r="W10" s="727">
        <v>15713.298000000003</v>
      </c>
      <c r="X10" s="727">
        <f>16344.908</f>
        <v>16344.907999999999</v>
      </c>
    </row>
    <row r="11" spans="1:24" x14ac:dyDescent="0.35">
      <c r="A11" s="872" t="s">
        <v>1633</v>
      </c>
      <c r="B11" s="1648" t="s">
        <v>3081</v>
      </c>
      <c r="C11" s="728"/>
      <c r="D11" s="728"/>
      <c r="E11" s="726"/>
      <c r="F11" s="726"/>
      <c r="G11" s="726"/>
      <c r="H11" s="726">
        <v>9.9499999999999993</v>
      </c>
      <c r="I11" s="726">
        <v>9.9499999999999993</v>
      </c>
      <c r="J11" s="726">
        <v>9.9499999999999993</v>
      </c>
      <c r="K11" s="726">
        <v>252.55099999999999</v>
      </c>
      <c r="L11" s="726">
        <f>226596/1000</f>
        <v>226.596</v>
      </c>
      <c r="M11" s="726">
        <f>200640/1000</f>
        <v>200.64</v>
      </c>
      <c r="N11" s="727">
        <v>186.02500000000001</v>
      </c>
      <c r="O11" s="727">
        <f>175190/1000</f>
        <v>175.19</v>
      </c>
      <c r="P11" s="727">
        <v>334.68599999999998</v>
      </c>
      <c r="Q11" s="727">
        <f>308535*(10^(-3))</f>
        <v>308.53500000000003</v>
      </c>
      <c r="R11" s="727">
        <v>289.11700000000002</v>
      </c>
      <c r="S11" s="727">
        <v>278.416</v>
      </c>
      <c r="T11" s="727">
        <v>266.10199999999998</v>
      </c>
      <c r="U11" s="727">
        <v>237.36099999999999</v>
      </c>
      <c r="V11" s="727">
        <v>216.11600000000001</v>
      </c>
      <c r="W11" s="727">
        <v>182.452</v>
      </c>
      <c r="X11" s="727">
        <f>164.258</f>
        <v>164.25800000000001</v>
      </c>
    </row>
    <row r="12" spans="1:24" x14ac:dyDescent="0.35">
      <c r="A12" s="872" t="s">
        <v>1607</v>
      </c>
      <c r="B12" s="1648" t="s">
        <v>3082</v>
      </c>
      <c r="C12" s="728"/>
      <c r="D12" s="728"/>
      <c r="E12" s="726"/>
      <c r="F12" s="726"/>
      <c r="G12" s="726"/>
      <c r="H12" s="726"/>
      <c r="I12" s="726">
        <v>4046.058</v>
      </c>
      <c r="J12" s="726">
        <v>4926.4650000000001</v>
      </c>
      <c r="K12" s="726">
        <v>5501.701</v>
      </c>
      <c r="L12" s="726">
        <v>6353.8329999999996</v>
      </c>
      <c r="M12" s="726">
        <v>6530.9920000000002</v>
      </c>
      <c r="N12" s="727">
        <f>6044202/1000</f>
        <v>6044.2020000000002</v>
      </c>
      <c r="O12" s="727">
        <f>5234340/1000</f>
        <v>5234.34</v>
      </c>
      <c r="P12" s="727">
        <v>5414.2820000000002</v>
      </c>
      <c r="Q12" s="727">
        <f>4154800*(10^(-3))</f>
        <v>4154.8</v>
      </c>
      <c r="R12" s="727">
        <v>3837.846</v>
      </c>
      <c r="S12" s="727">
        <v>3812.5259999999998</v>
      </c>
      <c r="T12" s="727">
        <v>3784.7719999999999</v>
      </c>
      <c r="U12" s="727">
        <v>3328.0659999999998</v>
      </c>
      <c r="V12" s="727">
        <v>3066.2570000000001</v>
      </c>
      <c r="W12" s="727">
        <v>2639.6239999999998</v>
      </c>
      <c r="X12" s="727">
        <f>2411.087</f>
        <v>2411.087</v>
      </c>
    </row>
    <row r="13" spans="1:24" x14ac:dyDescent="0.35">
      <c r="A13" s="872" t="s">
        <v>618</v>
      </c>
      <c r="B13" s="1648" t="s">
        <v>34</v>
      </c>
      <c r="C13" s="728"/>
      <c r="D13" s="728"/>
      <c r="E13" s="726"/>
      <c r="F13" s="726"/>
      <c r="G13" s="726">
        <v>49.814</v>
      </c>
      <c r="H13" s="726"/>
      <c r="I13" s="726"/>
      <c r="J13" s="726"/>
      <c r="K13" s="726"/>
      <c r="L13" s="726"/>
      <c r="M13" s="726"/>
      <c r="N13" s="727">
        <v>0</v>
      </c>
      <c r="O13" s="727"/>
      <c r="P13" s="727">
        <v>0</v>
      </c>
      <c r="Q13" s="727"/>
      <c r="R13" s="727"/>
      <c r="S13" s="727"/>
      <c r="T13" s="727"/>
      <c r="U13" s="727"/>
      <c r="V13" s="727"/>
      <c r="W13" s="727"/>
      <c r="X13" s="727"/>
    </row>
    <row r="14" spans="1:24" x14ac:dyDescent="0.35">
      <c r="A14" s="872" t="s">
        <v>622</v>
      </c>
      <c r="B14" s="1648" t="s">
        <v>38</v>
      </c>
      <c r="C14" s="728"/>
      <c r="D14" s="728"/>
      <c r="E14" s="726">
        <v>23.786000000000001</v>
      </c>
      <c r="F14" s="726">
        <v>111.295</v>
      </c>
      <c r="G14" s="726">
        <v>98.168999999999997</v>
      </c>
      <c r="H14" s="726">
        <v>116.179</v>
      </c>
      <c r="I14" s="726">
        <v>396.95299999999997</v>
      </c>
      <c r="J14" s="726">
        <v>490.84199999999998</v>
      </c>
      <c r="K14" s="726">
        <v>497.86099999999999</v>
      </c>
      <c r="L14" s="726">
        <v>543.64200000000005</v>
      </c>
      <c r="M14" s="726">
        <v>453.286</v>
      </c>
      <c r="N14" s="727">
        <v>239.50299999999999</v>
      </c>
      <c r="O14" s="727">
        <f>228370/1000</f>
        <v>228.37</v>
      </c>
      <c r="P14" s="727">
        <v>411.23399999999998</v>
      </c>
      <c r="Q14" s="727"/>
      <c r="R14" s="727"/>
      <c r="S14" s="727"/>
      <c r="T14" s="727"/>
      <c r="U14" s="727"/>
      <c r="V14" s="727"/>
      <c r="W14" s="727"/>
      <c r="X14" s="727"/>
    </row>
    <row r="15" spans="1:24" x14ac:dyDescent="0.35">
      <c r="A15" s="872" t="s">
        <v>623</v>
      </c>
      <c r="B15" s="1648" t="s">
        <v>39</v>
      </c>
      <c r="C15" s="728"/>
      <c r="D15" s="728"/>
      <c r="E15" s="726">
        <v>10.909000000000001</v>
      </c>
      <c r="F15" s="726">
        <v>146.77199999999999</v>
      </c>
      <c r="G15" s="726">
        <v>181.94</v>
      </c>
      <c r="H15" s="726">
        <v>250.142</v>
      </c>
      <c r="I15" s="726">
        <v>362.24700000000001</v>
      </c>
      <c r="J15" s="726">
        <v>356.08499999999998</v>
      </c>
      <c r="K15" s="726">
        <v>361.471</v>
      </c>
      <c r="L15" s="726">
        <v>399.64499999999998</v>
      </c>
      <c r="M15" s="726">
        <v>411.83800000000002</v>
      </c>
      <c r="N15" s="727">
        <v>281.858</v>
      </c>
      <c r="O15" s="727">
        <f>196818/1000</f>
        <v>196.81800000000001</v>
      </c>
      <c r="P15" s="727">
        <v>204.06100000000001</v>
      </c>
      <c r="Q15" s="727">
        <f>211806*(10^(-3))</f>
        <v>211.80600000000001</v>
      </c>
      <c r="R15" s="727">
        <v>211.80600000000001</v>
      </c>
      <c r="S15" s="727">
        <v>211.80600000000001</v>
      </c>
      <c r="T15" s="727">
        <v>211.80600000000001</v>
      </c>
      <c r="U15" s="727">
        <v>231.48099999999999</v>
      </c>
      <c r="V15" s="727">
        <v>222.047</v>
      </c>
      <c r="W15" s="727">
        <v>13.632</v>
      </c>
      <c r="X15" s="727">
        <f>13.193</f>
        <v>13.193</v>
      </c>
    </row>
    <row r="16" spans="1:24" x14ac:dyDescent="0.35">
      <c r="A16" s="872" t="s">
        <v>627</v>
      </c>
      <c r="B16" s="1648" t="s">
        <v>763</v>
      </c>
      <c r="C16" s="728"/>
      <c r="D16" s="728"/>
      <c r="E16" s="726"/>
      <c r="F16" s="726"/>
      <c r="G16" s="726"/>
      <c r="H16" s="726"/>
      <c r="I16" s="726"/>
      <c r="J16" s="726">
        <v>919.47299999999996</v>
      </c>
      <c r="K16" s="726">
        <v>3186.846</v>
      </c>
      <c r="L16" s="726">
        <v>8141.1670000000004</v>
      </c>
      <c r="M16" s="726">
        <v>12901.281999999999</v>
      </c>
      <c r="N16" s="727">
        <v>17949.960999999999</v>
      </c>
      <c r="O16" s="727">
        <f>21820299/1000</f>
        <v>21820.298999999999</v>
      </c>
      <c r="P16" s="727">
        <v>29094.86</v>
      </c>
      <c r="Q16" s="727">
        <f>38047727*(10^(-3))</f>
        <v>38047.726999999999</v>
      </c>
      <c r="R16" s="727">
        <v>44317.072</v>
      </c>
      <c r="S16" s="727">
        <v>53729.652999999998</v>
      </c>
      <c r="T16" s="727">
        <v>54434.752999999997</v>
      </c>
      <c r="U16" s="727">
        <v>53285.839</v>
      </c>
      <c r="V16" s="727">
        <v>55600.845999999998</v>
      </c>
      <c r="W16" s="727">
        <v>50405.362999999998</v>
      </c>
      <c r="X16" s="727">
        <f>53621.83</f>
        <v>53621.83</v>
      </c>
    </row>
    <row r="17" spans="1:24" x14ac:dyDescent="0.35">
      <c r="A17" s="872" t="s">
        <v>1608</v>
      </c>
      <c r="B17" s="1648" t="s">
        <v>3083</v>
      </c>
      <c r="C17" s="728"/>
      <c r="D17" s="728"/>
      <c r="E17" s="726"/>
      <c r="F17" s="726"/>
      <c r="G17" s="726"/>
      <c r="H17" s="726"/>
      <c r="I17" s="726"/>
      <c r="J17" s="726"/>
      <c r="K17" s="726">
        <v>577.66399999999999</v>
      </c>
      <c r="L17" s="726">
        <v>577.66399999999999</v>
      </c>
      <c r="M17" s="726">
        <v>577.66399999999999</v>
      </c>
      <c r="N17" s="727">
        <v>577.66399999999999</v>
      </c>
      <c r="O17" s="727">
        <f>577664/1000</f>
        <v>577.66399999999999</v>
      </c>
      <c r="P17" s="727">
        <v>577.66399999999999</v>
      </c>
      <c r="Q17" s="727">
        <f>577664*(10^(-3))</f>
        <v>577.66399999999999</v>
      </c>
      <c r="R17" s="727">
        <v>577.66399999999999</v>
      </c>
      <c r="S17" s="727">
        <v>577.66399999999999</v>
      </c>
      <c r="T17" s="727">
        <v>577.66399999999999</v>
      </c>
      <c r="U17" s="727">
        <v>577.66399999999999</v>
      </c>
      <c r="V17" s="727">
        <v>577.66399999999999</v>
      </c>
      <c r="W17" s="727">
        <v>537.22799999999995</v>
      </c>
      <c r="X17" s="727">
        <f>519.9</f>
        <v>519.9</v>
      </c>
    </row>
    <row r="18" spans="1:24" x14ac:dyDescent="0.35">
      <c r="A18" s="872" t="s">
        <v>1609</v>
      </c>
      <c r="B18" s="1648" t="s">
        <v>2318</v>
      </c>
      <c r="C18" s="728"/>
      <c r="D18" s="728"/>
      <c r="E18" s="726"/>
      <c r="F18" s="726"/>
      <c r="G18" s="726"/>
      <c r="H18" s="726"/>
      <c r="I18" s="726"/>
      <c r="J18" s="726"/>
      <c r="K18" s="726"/>
      <c r="L18" s="726">
        <v>151.02699999999999</v>
      </c>
      <c r="M18" s="726">
        <v>187.32</v>
      </c>
      <c r="N18" s="727">
        <v>280.95100000000002</v>
      </c>
      <c r="O18" s="727">
        <f>225006/1000</f>
        <v>225.006</v>
      </c>
      <c r="P18" s="727">
        <v>222.58</v>
      </c>
      <c r="Q18" s="727">
        <f>198830*(10^(-3))</f>
        <v>198.83</v>
      </c>
      <c r="R18" s="727">
        <v>157.833</v>
      </c>
      <c r="S18" s="727">
        <v>177.691</v>
      </c>
      <c r="T18" s="727">
        <v>173.76400000000001</v>
      </c>
      <c r="U18" s="727">
        <v>119.69799999999999</v>
      </c>
      <c r="V18" s="727">
        <v>123.17</v>
      </c>
      <c r="W18" s="727">
        <v>104.37899999999999</v>
      </c>
      <c r="X18" s="727">
        <f>114.67</f>
        <v>114.67</v>
      </c>
    </row>
    <row r="19" spans="1:24" x14ac:dyDescent="0.35">
      <c r="A19" s="872"/>
      <c r="B19" s="1648" t="s">
        <v>2358</v>
      </c>
      <c r="C19" s="728"/>
      <c r="D19" s="728"/>
      <c r="E19" s="726"/>
      <c r="F19" s="726"/>
      <c r="G19" s="726"/>
      <c r="H19" s="726"/>
      <c r="I19" s="726"/>
      <c r="J19" s="726"/>
      <c r="K19" s="726"/>
      <c r="L19" s="726"/>
      <c r="M19" s="726"/>
      <c r="N19" s="727"/>
      <c r="O19" s="727"/>
      <c r="P19" s="727"/>
      <c r="Q19" s="727">
        <f>505416*(10^(-3))</f>
        <v>505.416</v>
      </c>
      <c r="R19" s="727">
        <v>658.35500000000002</v>
      </c>
      <c r="S19" s="727">
        <v>689.95799999999997</v>
      </c>
      <c r="T19" s="727">
        <v>693.39</v>
      </c>
      <c r="U19" s="727">
        <v>545.88599999999997</v>
      </c>
      <c r="V19" s="727">
        <v>388.709</v>
      </c>
      <c r="W19" s="727">
        <v>227.92800000000003</v>
      </c>
      <c r="X19" s="727">
        <f>496.31</f>
        <v>496.31</v>
      </c>
    </row>
    <row r="20" spans="1:24" x14ac:dyDescent="0.35">
      <c r="A20" s="872" t="s">
        <v>1634</v>
      </c>
      <c r="B20" s="1648" t="s">
        <v>3084</v>
      </c>
      <c r="C20" s="728"/>
      <c r="D20" s="728"/>
      <c r="E20" s="726"/>
      <c r="F20" s="726"/>
      <c r="G20" s="726"/>
      <c r="H20" s="726"/>
      <c r="I20" s="726"/>
      <c r="J20" s="726"/>
      <c r="K20" s="726"/>
      <c r="L20" s="726">
        <v>500</v>
      </c>
      <c r="M20" s="726">
        <v>0</v>
      </c>
      <c r="N20" s="727">
        <v>108.04300000000001</v>
      </c>
      <c r="O20" s="727">
        <v>0</v>
      </c>
      <c r="P20" s="727">
        <v>0</v>
      </c>
      <c r="Q20" s="727"/>
      <c r="R20" s="727"/>
      <c r="S20" s="727"/>
      <c r="T20" s="727"/>
      <c r="U20" s="727"/>
      <c r="V20" s="727"/>
      <c r="W20" s="727"/>
      <c r="X20" s="727"/>
    </row>
    <row r="21" spans="1:24" x14ac:dyDescent="0.35">
      <c r="A21" s="872" t="s">
        <v>1635</v>
      </c>
      <c r="B21" s="1648" t="s">
        <v>3085</v>
      </c>
      <c r="C21" s="728"/>
      <c r="D21" s="728"/>
      <c r="E21" s="726"/>
      <c r="F21" s="726"/>
      <c r="G21" s="726"/>
      <c r="H21" s="726"/>
      <c r="I21" s="726"/>
      <c r="J21" s="726"/>
      <c r="K21" s="726"/>
      <c r="L21" s="726">
        <v>127.55</v>
      </c>
      <c r="M21" s="726">
        <v>804.91800000000001</v>
      </c>
      <c r="N21" s="727">
        <v>0</v>
      </c>
      <c r="O21" s="727">
        <v>0</v>
      </c>
      <c r="P21" s="727">
        <v>0</v>
      </c>
      <c r="Q21" s="727">
        <f>1612397*(10^(-3))</f>
        <v>1612.3969999999999</v>
      </c>
      <c r="R21" s="727">
        <v>1020.307</v>
      </c>
      <c r="S21" s="727">
        <v>295.76100000000002</v>
      </c>
      <c r="T21" s="727">
        <v>898.75400000000002</v>
      </c>
      <c r="U21" s="727">
        <v>827.673</v>
      </c>
      <c r="V21" s="727">
        <v>1283.721</v>
      </c>
      <c r="W21" s="727">
        <v>999.49699999999996</v>
      </c>
      <c r="X21" s="727">
        <f>1021.85</f>
        <v>1021.85</v>
      </c>
    </row>
    <row r="22" spans="1:24" x14ac:dyDescent="0.35">
      <c r="A22" s="872"/>
      <c r="B22" s="1648" t="s">
        <v>3141</v>
      </c>
      <c r="C22" s="728"/>
      <c r="D22" s="728"/>
      <c r="E22" s="726"/>
      <c r="F22" s="726"/>
      <c r="G22" s="726"/>
      <c r="H22" s="726"/>
      <c r="I22" s="726"/>
      <c r="J22" s="726"/>
      <c r="K22" s="726"/>
      <c r="L22" s="726"/>
      <c r="M22" s="726"/>
      <c r="N22" s="727"/>
      <c r="O22" s="727"/>
      <c r="P22" s="727"/>
      <c r="Q22" s="727"/>
      <c r="R22" s="727"/>
      <c r="S22" s="727"/>
      <c r="T22" s="727"/>
      <c r="U22" s="727"/>
      <c r="V22" s="727"/>
      <c r="W22" s="727"/>
      <c r="X22" s="727">
        <f>37.53</f>
        <v>37.53</v>
      </c>
    </row>
    <row r="23" spans="1:24" x14ac:dyDescent="0.35">
      <c r="B23" s="1648" t="s">
        <v>3086</v>
      </c>
      <c r="C23" s="674"/>
      <c r="D23" s="674"/>
      <c r="E23" s="726"/>
      <c r="F23" s="726"/>
      <c r="G23" s="726"/>
      <c r="H23" s="726"/>
      <c r="I23" s="726">
        <v>219.68600000000001</v>
      </c>
      <c r="J23" s="726">
        <v>240</v>
      </c>
      <c r="K23" s="726">
        <v>296.827</v>
      </c>
      <c r="L23" s="726"/>
      <c r="M23" s="726"/>
      <c r="N23" s="727">
        <v>0</v>
      </c>
      <c r="O23" s="727"/>
      <c r="P23" s="727">
        <v>0</v>
      </c>
      <c r="Q23" s="727"/>
      <c r="R23" s="727"/>
      <c r="S23" s="727"/>
      <c r="T23" s="727"/>
      <c r="U23" s="727"/>
      <c r="V23" s="727"/>
      <c r="W23" s="727"/>
      <c r="X23" s="727"/>
    </row>
    <row r="24" spans="1:24" x14ac:dyDescent="0.35">
      <c r="B24" s="1648" t="s">
        <v>2485</v>
      </c>
      <c r="C24" s="674"/>
      <c r="D24" s="674"/>
      <c r="E24" s="726"/>
      <c r="F24" s="726"/>
      <c r="G24" s="726"/>
      <c r="H24" s="726"/>
      <c r="I24" s="726"/>
      <c r="J24" s="726"/>
      <c r="K24" s="726"/>
      <c r="L24" s="726"/>
      <c r="M24" s="726"/>
      <c r="N24" s="727"/>
      <c r="O24" s="727"/>
      <c r="P24" s="727"/>
      <c r="Q24" s="727"/>
      <c r="R24" s="727"/>
      <c r="S24" s="727"/>
      <c r="T24" s="727"/>
      <c r="U24" s="727"/>
      <c r="V24" s="727">
        <v>600.33199999999999</v>
      </c>
      <c r="W24" s="727">
        <v>645.77800000000002</v>
      </c>
      <c r="X24" s="727">
        <f>799.497</f>
        <v>799.49699999999996</v>
      </c>
    </row>
    <row r="25" spans="1:24" x14ac:dyDescent="0.35">
      <c r="A25" s="720" t="s">
        <v>1606</v>
      </c>
      <c r="B25" s="1644" t="s">
        <v>458</v>
      </c>
      <c r="C25" s="733"/>
      <c r="D25" s="733"/>
      <c r="E25" s="733">
        <f t="shared" ref="E25:U25" si="0">SUM(E5:E23)</f>
        <v>187.79999999999998</v>
      </c>
      <c r="F25" s="733">
        <f t="shared" si="0"/>
        <v>1335.123</v>
      </c>
      <c r="G25" s="733">
        <f t="shared" si="0"/>
        <v>2068.5600000000004</v>
      </c>
      <c r="H25" s="733">
        <f t="shared" si="0"/>
        <v>2702.3919999999998</v>
      </c>
      <c r="I25" s="733">
        <f t="shared" si="0"/>
        <v>9762.6549999999988</v>
      </c>
      <c r="J25" s="733">
        <f t="shared" si="0"/>
        <v>12326.396999999999</v>
      </c>
      <c r="K25" s="733">
        <f t="shared" si="0"/>
        <v>16774.905000000002</v>
      </c>
      <c r="L25" s="733">
        <f t="shared" si="0"/>
        <v>23397.290999999997</v>
      </c>
      <c r="M25" s="733">
        <f t="shared" si="0"/>
        <v>32249.5</v>
      </c>
      <c r="N25" s="733">
        <f t="shared" si="0"/>
        <v>40685.633999999991</v>
      </c>
      <c r="O25" s="733">
        <f t="shared" si="0"/>
        <v>46030.724999999991</v>
      </c>
      <c r="P25" s="733">
        <f t="shared" si="0"/>
        <v>63040.636000000006</v>
      </c>
      <c r="Q25" s="733">
        <f t="shared" si="0"/>
        <v>75859.422999999995</v>
      </c>
      <c r="R25" s="733">
        <f t="shared" si="0"/>
        <v>85924.262000000002</v>
      </c>
      <c r="S25" s="733">
        <f t="shared" si="0"/>
        <v>98804.265999999989</v>
      </c>
      <c r="T25" s="733">
        <f t="shared" si="0"/>
        <v>105327.52199999998</v>
      </c>
      <c r="U25" s="733">
        <f t="shared" si="0"/>
        <v>100669.766</v>
      </c>
      <c r="V25" s="733">
        <f>SUM(V5:V24)</f>
        <v>101351.40500000001</v>
      </c>
      <c r="W25" s="733">
        <f>SUM(W5:W24)</f>
        <v>92779.24</v>
      </c>
      <c r="X25" s="733">
        <f t="shared" ref="X25" si="1">SUM(X5:X24)</f>
        <v>97622.021999999997</v>
      </c>
    </row>
    <row r="26" spans="1:24" x14ac:dyDescent="0.35">
      <c r="C26" s="863"/>
      <c r="D26" s="863"/>
      <c r="E26" s="863"/>
      <c r="F26" s="728"/>
      <c r="G26" s="728"/>
      <c r="H26" s="728"/>
      <c r="I26" s="728"/>
      <c r="J26" s="728"/>
      <c r="K26" s="728"/>
      <c r="L26" s="728"/>
      <c r="M26" s="728"/>
      <c r="N26" s="728"/>
      <c r="O26" s="728"/>
      <c r="P26" s="728"/>
      <c r="Q26" s="728"/>
      <c r="R26" s="728"/>
      <c r="S26" s="728"/>
      <c r="T26" s="728"/>
      <c r="U26" s="728"/>
      <c r="V26" s="728"/>
      <c r="W26" s="728"/>
      <c r="X26" s="728"/>
    </row>
    <row r="27" spans="1:24" x14ac:dyDescent="0.35">
      <c r="A27" s="720" t="s">
        <v>1610</v>
      </c>
      <c r="B27" s="1644" t="s">
        <v>1665</v>
      </c>
      <c r="C27" s="728"/>
      <c r="D27" s="728"/>
      <c r="E27" s="728"/>
      <c r="F27" s="728"/>
      <c r="G27" s="728"/>
      <c r="H27" s="728"/>
      <c r="I27" s="728"/>
      <c r="J27" s="728"/>
      <c r="K27" s="728"/>
      <c r="L27" s="728"/>
      <c r="M27" s="728"/>
      <c r="N27" s="728"/>
      <c r="O27" s="728"/>
      <c r="P27" s="728"/>
      <c r="Q27" s="728"/>
      <c r="R27" s="728"/>
      <c r="S27" s="728"/>
      <c r="T27" s="728"/>
      <c r="U27" s="728"/>
      <c r="V27" s="728"/>
      <c r="W27" s="728"/>
      <c r="X27" s="728"/>
    </row>
    <row r="28" spans="1:24" x14ac:dyDescent="0.35">
      <c r="A28" s="872" t="s">
        <v>619</v>
      </c>
      <c r="B28" s="1648" t="s">
        <v>35</v>
      </c>
      <c r="C28" s="728"/>
      <c r="D28" s="728"/>
      <c r="E28" s="726"/>
      <c r="F28" s="726"/>
      <c r="G28" s="726">
        <v>15.782</v>
      </c>
      <c r="H28" s="726">
        <v>15.808</v>
      </c>
      <c r="I28" s="726">
        <v>19.244</v>
      </c>
      <c r="J28" s="726">
        <v>23.49</v>
      </c>
      <c r="K28" s="726">
        <v>8.5060000000000002</v>
      </c>
      <c r="L28" s="726">
        <v>10.566000000000001</v>
      </c>
      <c r="M28" s="726">
        <v>17.175999999999998</v>
      </c>
      <c r="N28" s="727">
        <v>35.817</v>
      </c>
      <c r="O28" s="727">
        <f>37041/1000</f>
        <v>37.040999999999997</v>
      </c>
      <c r="P28" s="727">
        <v>44.346000000000004</v>
      </c>
      <c r="Q28" s="727">
        <f>45811*(10^(-3))</f>
        <v>45.811</v>
      </c>
      <c r="R28" s="727">
        <v>52.053000000000004</v>
      </c>
      <c r="S28" s="727">
        <v>62.142000000000003</v>
      </c>
      <c r="T28" s="727">
        <v>72.751999999999995</v>
      </c>
      <c r="U28" s="727">
        <v>471.69299999999998</v>
      </c>
      <c r="V28" s="727">
        <v>525.58900000000006</v>
      </c>
      <c r="W28" s="727">
        <v>612.49199999999996</v>
      </c>
      <c r="X28" s="727">
        <f>220.47</f>
        <v>220.47</v>
      </c>
    </row>
    <row r="29" spans="1:24" x14ac:dyDescent="0.35">
      <c r="A29" s="872" t="s">
        <v>620</v>
      </c>
      <c r="B29" s="1648" t="s">
        <v>36</v>
      </c>
      <c r="C29" s="728"/>
      <c r="D29" s="728"/>
      <c r="E29" s="726">
        <v>0.42699999999999999</v>
      </c>
      <c r="F29" s="726">
        <v>1.6120000000000001</v>
      </c>
      <c r="G29" s="726">
        <v>2.238</v>
      </c>
      <c r="H29" s="726">
        <v>2.2429999999999999</v>
      </c>
      <c r="I29" s="726">
        <v>4.2359999999999998</v>
      </c>
      <c r="J29" s="726">
        <v>4.7809999999999997</v>
      </c>
      <c r="K29" s="726"/>
      <c r="L29" s="726"/>
      <c r="M29" s="726"/>
      <c r="N29" s="727">
        <v>0</v>
      </c>
      <c r="O29" s="727"/>
      <c r="P29" s="727">
        <v>0</v>
      </c>
      <c r="Q29" s="727"/>
      <c r="R29" s="727"/>
      <c r="S29" s="727"/>
      <c r="T29" s="727"/>
      <c r="U29" s="727"/>
      <c r="V29" s="727">
        <v>0</v>
      </c>
      <c r="W29" s="727"/>
      <c r="X29" s="727"/>
    </row>
    <row r="30" spans="1:24" x14ac:dyDescent="0.35">
      <c r="A30" s="872" t="s">
        <v>624</v>
      </c>
      <c r="B30" s="1648" t="s">
        <v>239</v>
      </c>
      <c r="C30" s="728"/>
      <c r="D30" s="728"/>
      <c r="E30" s="726">
        <v>8.7149999999999999</v>
      </c>
      <c r="F30" s="726">
        <v>54.485999999999997</v>
      </c>
      <c r="G30" s="726">
        <v>55.509</v>
      </c>
      <c r="H30" s="726">
        <v>46.883000000000003</v>
      </c>
      <c r="I30" s="726">
        <v>117.711</v>
      </c>
      <c r="J30" s="726">
        <v>149.559</v>
      </c>
      <c r="K30" s="726">
        <v>185.374</v>
      </c>
      <c r="L30" s="726">
        <v>163.42699999999999</v>
      </c>
      <c r="M30" s="726">
        <v>160.28899999999999</v>
      </c>
      <c r="N30" s="727">
        <v>108.83499999999999</v>
      </c>
      <c r="O30" s="727">
        <f>131365/1000</f>
        <v>131.36500000000001</v>
      </c>
      <c r="P30" s="727">
        <v>214.03900000000002</v>
      </c>
      <c r="Q30" s="727">
        <f>280204*(10^(-3))</f>
        <v>280.20400000000001</v>
      </c>
      <c r="R30" s="727">
        <v>259.81099999999998</v>
      </c>
      <c r="S30" s="727">
        <v>410.072</v>
      </c>
      <c r="T30" s="727">
        <v>366.96699999999998</v>
      </c>
      <c r="U30" s="727">
        <v>590.24599999999998</v>
      </c>
      <c r="V30" s="727">
        <v>522.85199999999998</v>
      </c>
      <c r="W30" s="727">
        <v>421.71400000000006</v>
      </c>
      <c r="X30" s="727">
        <f>460.09</f>
        <v>460.09</v>
      </c>
    </row>
    <row r="31" spans="1:24" x14ac:dyDescent="0.35">
      <c r="A31" s="872"/>
      <c r="B31" s="1648" t="s">
        <v>2018</v>
      </c>
      <c r="C31" s="728"/>
      <c r="D31" s="728"/>
      <c r="E31" s="726"/>
      <c r="F31" s="726"/>
      <c r="G31" s="726"/>
      <c r="H31" s="726"/>
      <c r="I31" s="726"/>
      <c r="J31" s="726"/>
      <c r="K31" s="726"/>
      <c r="L31" s="726"/>
      <c r="M31" s="726"/>
      <c r="N31" s="727"/>
      <c r="O31" s="727"/>
      <c r="P31" s="727"/>
      <c r="Q31" s="727">
        <f>2349510*(10^(-3))</f>
        <v>2349.5100000000002</v>
      </c>
      <c r="R31" s="727">
        <v>1810.383</v>
      </c>
      <c r="S31" s="727">
        <v>4311.6909999999998</v>
      </c>
      <c r="T31" s="727">
        <v>6312.4340000000002</v>
      </c>
      <c r="U31" s="727">
        <v>6827.8509999999997</v>
      </c>
      <c r="V31" s="727">
        <v>6289.7370000000001</v>
      </c>
      <c r="W31" s="727">
        <v>7029.2659999999996</v>
      </c>
      <c r="X31" s="727">
        <f>6690.65</f>
        <v>6690.65</v>
      </c>
    </row>
    <row r="32" spans="1:24" x14ac:dyDescent="0.35">
      <c r="A32" s="872" t="s">
        <v>625</v>
      </c>
      <c r="B32" s="1648" t="s">
        <v>3087</v>
      </c>
      <c r="C32" s="728"/>
      <c r="D32" s="728"/>
      <c r="E32" s="726">
        <v>20.408000000000001</v>
      </c>
      <c r="F32" s="726">
        <v>20.408000000000001</v>
      </c>
      <c r="G32" s="726">
        <v>9.3089999999999993</v>
      </c>
      <c r="H32" s="726">
        <v>7.859</v>
      </c>
      <c r="I32" s="726">
        <v>8.1300000000000008</v>
      </c>
      <c r="J32" s="726">
        <v>158.608</v>
      </c>
      <c r="K32" s="726">
        <v>158.608</v>
      </c>
      <c r="L32" s="726">
        <v>152.905</v>
      </c>
      <c r="M32" s="726">
        <v>66.543999999999997</v>
      </c>
      <c r="N32" s="727">
        <v>418.91500000000002</v>
      </c>
      <c r="O32" s="727">
        <f>414209/1000</f>
        <v>414.209</v>
      </c>
      <c r="P32" s="727">
        <v>414.36700000000002</v>
      </c>
      <c r="Q32" s="727">
        <f>710275*(10^(-3))</f>
        <v>710.27499999999998</v>
      </c>
      <c r="R32" s="727">
        <v>1716.9190000000001</v>
      </c>
      <c r="S32" s="727">
        <v>1431.4469999999999</v>
      </c>
      <c r="T32" s="727">
        <v>1256.0309999999999</v>
      </c>
      <c r="U32" s="727">
        <v>1567.758</v>
      </c>
      <c r="V32" s="727">
        <v>4078.9859999999999</v>
      </c>
      <c r="W32" s="727">
        <v>3580.7389999999996</v>
      </c>
      <c r="X32" s="727">
        <f>4045.72</f>
        <v>4045.72</v>
      </c>
    </row>
    <row r="33" spans="1:24" x14ac:dyDescent="0.35">
      <c r="A33" s="872" t="s">
        <v>626</v>
      </c>
      <c r="B33" s="1648" t="s">
        <v>3161</v>
      </c>
      <c r="C33" s="728"/>
      <c r="D33" s="728"/>
      <c r="E33" s="726">
        <v>224.77199999999999</v>
      </c>
      <c r="F33" s="726">
        <v>595.03700000000003</v>
      </c>
      <c r="G33" s="726">
        <v>506.38499999999999</v>
      </c>
      <c r="H33" s="726">
        <v>539.29399999999998</v>
      </c>
      <c r="I33" s="726">
        <v>194.28100000000001</v>
      </c>
      <c r="J33" s="726">
        <v>2937.9</v>
      </c>
      <c r="K33" s="726">
        <v>5458.6819999999998</v>
      </c>
      <c r="L33" s="726">
        <v>1075.2670000000001</v>
      </c>
      <c r="M33" s="726">
        <v>1354.1479999999999</v>
      </c>
      <c r="N33" s="727">
        <v>2421.7150000000001</v>
      </c>
      <c r="O33" s="727">
        <f>6485536/1000</f>
        <v>6485.5360000000001</v>
      </c>
      <c r="P33" s="727">
        <v>10979.356</v>
      </c>
      <c r="Q33" s="727">
        <f>9081810*(10^(-3))</f>
        <v>9081.81</v>
      </c>
      <c r="R33" s="727">
        <v>12115.947</v>
      </c>
      <c r="S33" s="727">
        <v>11981.742</v>
      </c>
      <c r="T33" s="727">
        <v>13467.619000000001</v>
      </c>
      <c r="U33" s="727">
        <v>18777.148000000001</v>
      </c>
      <c r="V33" s="727">
        <v>21593.654999999999</v>
      </c>
      <c r="W33" s="727">
        <v>26241.434000000005</v>
      </c>
      <c r="X33" s="727">
        <f>30752.5</f>
        <v>30752.5</v>
      </c>
    </row>
    <row r="34" spans="1:24" x14ac:dyDescent="0.35">
      <c r="A34" s="872" t="s">
        <v>627</v>
      </c>
      <c r="B34" s="1648" t="s">
        <v>763</v>
      </c>
      <c r="C34" s="728"/>
      <c r="D34" s="728"/>
      <c r="E34" s="726">
        <v>2682.6880000000001</v>
      </c>
      <c r="F34" s="726">
        <v>3339.2040000000002</v>
      </c>
      <c r="G34" s="726">
        <v>3703.163</v>
      </c>
      <c r="H34" s="726">
        <v>3398.3249999999998</v>
      </c>
      <c r="I34" s="726">
        <v>4163.43</v>
      </c>
      <c r="J34" s="726">
        <v>4736.1909999999998</v>
      </c>
      <c r="K34" s="726">
        <v>6559.777</v>
      </c>
      <c r="L34" s="726">
        <v>10023.98</v>
      </c>
      <c r="M34" s="726">
        <v>12542.066999999999</v>
      </c>
      <c r="N34" s="727">
        <f>18173525/1000</f>
        <v>18173.525000000001</v>
      </c>
      <c r="O34" s="727">
        <f>17643865/1000</f>
        <v>17643.865000000002</v>
      </c>
      <c r="P34" s="727">
        <v>22136.148000000001</v>
      </c>
      <c r="Q34" s="727">
        <f>25321390*(10^(-3))</f>
        <v>25321.39</v>
      </c>
      <c r="R34" s="727">
        <v>30601.279000000002</v>
      </c>
      <c r="S34" s="727">
        <v>38160.275999999998</v>
      </c>
      <c r="T34" s="727">
        <v>59239.65</v>
      </c>
      <c r="U34" s="727">
        <v>65830.023000000001</v>
      </c>
      <c r="V34" s="727">
        <v>75414.12</v>
      </c>
      <c r="W34" s="727">
        <v>96355.320999999996</v>
      </c>
      <c r="X34" s="727">
        <f>102867.31</f>
        <v>102867.31</v>
      </c>
    </row>
    <row r="35" spans="1:24" x14ac:dyDescent="0.35">
      <c r="A35" s="872" t="s">
        <v>628</v>
      </c>
      <c r="B35" s="1648" t="s">
        <v>1667</v>
      </c>
      <c r="C35" s="728"/>
      <c r="D35" s="728"/>
      <c r="E35" s="726">
        <v>251.09</v>
      </c>
      <c r="F35" s="726">
        <v>228.566</v>
      </c>
      <c r="G35" s="726">
        <v>232.69</v>
      </c>
      <c r="H35" s="726">
        <v>242.839</v>
      </c>
      <c r="I35" s="726">
        <v>282.947</v>
      </c>
      <c r="J35" s="726">
        <v>234.679</v>
      </c>
      <c r="K35" s="726">
        <v>523.27800000000002</v>
      </c>
      <c r="L35" s="726">
        <v>305.03399999999999</v>
      </c>
      <c r="M35" s="726">
        <v>461.58499999999998</v>
      </c>
      <c r="N35" s="727">
        <f>523673/1000</f>
        <v>523.673</v>
      </c>
      <c r="O35" s="727">
        <f>428612/1000</f>
        <v>428.61200000000002</v>
      </c>
      <c r="P35" s="727">
        <v>298.577</v>
      </c>
      <c r="Q35" s="727">
        <f>265530*(10^(-3))</f>
        <v>265.53000000000003</v>
      </c>
      <c r="R35" s="727">
        <v>500.60399999999998</v>
      </c>
      <c r="S35" s="727">
        <v>1536.7380000000001</v>
      </c>
      <c r="T35" s="727">
        <v>1114.5119999999999</v>
      </c>
      <c r="U35" s="727">
        <v>877.89800000000002</v>
      </c>
      <c r="V35" s="727">
        <v>970.26599999999996</v>
      </c>
      <c r="W35" s="727">
        <v>985.83299999999997</v>
      </c>
      <c r="X35" s="727">
        <f>822.98</f>
        <v>822.98</v>
      </c>
    </row>
    <row r="36" spans="1:24" x14ac:dyDescent="0.35">
      <c r="A36" s="872" t="s">
        <v>2127</v>
      </c>
      <c r="B36" s="1648" t="s">
        <v>3088</v>
      </c>
      <c r="C36" s="728"/>
      <c r="D36" s="728"/>
      <c r="E36" s="726">
        <v>96.281000000000006</v>
      </c>
      <c r="F36" s="726">
        <v>80.552000000000007</v>
      </c>
      <c r="G36" s="726">
        <v>67.950999999999993</v>
      </c>
      <c r="H36" s="726">
        <v>40.183999999999997</v>
      </c>
      <c r="I36" s="726">
        <v>220.56700000000001</v>
      </c>
      <c r="J36" s="726">
        <v>185.23699999999999</v>
      </c>
      <c r="K36" s="726">
        <v>149.13</v>
      </c>
      <c r="L36" s="726">
        <v>7.1539999999999999</v>
      </c>
      <c r="M36" s="726">
        <v>1342.0250000000001</v>
      </c>
      <c r="N36" s="727">
        <v>1564.404</v>
      </c>
      <c r="O36" s="727">
        <f>2847361/1000</f>
        <v>2847.3609999999999</v>
      </c>
      <c r="P36" s="727">
        <v>3728.29</v>
      </c>
      <c r="Q36" s="727">
        <f>3781326*(10^(-3))</f>
        <v>3781.326</v>
      </c>
      <c r="R36" s="727">
        <v>5105.1170000000002</v>
      </c>
      <c r="S36" s="727">
        <v>6421.3029999999999</v>
      </c>
      <c r="T36" s="727">
        <v>6977.6779999999999</v>
      </c>
      <c r="U36" s="727">
        <v>8307.4</v>
      </c>
      <c r="V36" s="727">
        <v>8989.0589999999993</v>
      </c>
      <c r="W36" s="727">
        <v>5818.7120000000004</v>
      </c>
      <c r="X36" s="727">
        <f>5665.54</f>
        <v>5665.54</v>
      </c>
    </row>
    <row r="37" spans="1:24" x14ac:dyDescent="0.35">
      <c r="A37" s="872" t="s">
        <v>629</v>
      </c>
      <c r="B37" s="1648" t="s">
        <v>3089</v>
      </c>
      <c r="C37" s="728"/>
      <c r="D37" s="728"/>
      <c r="E37" s="726">
        <v>129.22399999999999</v>
      </c>
      <c r="F37" s="726">
        <v>193.761</v>
      </c>
      <c r="G37" s="726">
        <v>292.09800000000001</v>
      </c>
      <c r="H37" s="726">
        <v>308.86200000000002</v>
      </c>
      <c r="I37" s="726"/>
      <c r="J37" s="726"/>
      <c r="K37" s="726"/>
      <c r="L37" s="726"/>
      <c r="M37" s="726"/>
      <c r="N37" s="727">
        <v>0</v>
      </c>
      <c r="O37" s="727"/>
      <c r="P37" s="727"/>
      <c r="Q37" s="727"/>
      <c r="R37" s="727"/>
      <c r="S37" s="727"/>
      <c r="T37" s="727"/>
      <c r="U37" s="727"/>
      <c r="V37" s="727"/>
      <c r="W37" s="727"/>
      <c r="X37" s="727"/>
    </row>
    <row r="38" spans="1:24" x14ac:dyDescent="0.35">
      <c r="A38" s="872" t="s">
        <v>631</v>
      </c>
      <c r="B38" s="1648" t="s">
        <v>3090</v>
      </c>
      <c r="C38" s="728"/>
      <c r="D38" s="728"/>
      <c r="E38" s="726"/>
      <c r="F38" s="726"/>
      <c r="G38" s="726">
        <v>2.238</v>
      </c>
      <c r="H38" s="726">
        <v>25.364000000000001</v>
      </c>
      <c r="I38" s="726">
        <v>17.863</v>
      </c>
      <c r="J38" s="726">
        <v>72.159000000000006</v>
      </c>
      <c r="K38" s="726"/>
      <c r="L38" s="726"/>
      <c r="M38" s="726"/>
      <c r="N38" s="727">
        <v>0</v>
      </c>
      <c r="O38" s="727"/>
      <c r="P38" s="727"/>
      <c r="Q38" s="727"/>
      <c r="R38" s="727"/>
      <c r="S38" s="727"/>
      <c r="T38" s="727"/>
      <c r="U38" s="727"/>
      <c r="V38" s="727"/>
      <c r="W38" s="727"/>
      <c r="X38" s="727"/>
    </row>
    <row r="39" spans="1:24" x14ac:dyDescent="0.35">
      <c r="A39" s="872" t="s">
        <v>630</v>
      </c>
      <c r="B39" s="1648" t="s">
        <v>3091</v>
      </c>
      <c r="C39" s="728"/>
      <c r="D39" s="728"/>
      <c r="E39" s="726">
        <v>43.151000000000003</v>
      </c>
      <c r="F39" s="726">
        <v>159.65299999999999</v>
      </c>
      <c r="G39" s="726">
        <v>108.291</v>
      </c>
      <c r="H39" s="726">
        <v>61.673000000000002</v>
      </c>
      <c r="I39" s="726">
        <v>148.096</v>
      </c>
      <c r="J39" s="726">
        <v>423.28399999999999</v>
      </c>
      <c r="K39" s="726">
        <v>633.822</v>
      </c>
      <c r="L39" s="726"/>
      <c r="M39" s="726"/>
      <c r="N39" s="727">
        <v>0</v>
      </c>
      <c r="O39" s="727"/>
      <c r="P39" s="727"/>
      <c r="Q39" s="727"/>
      <c r="R39" s="727"/>
      <c r="S39" s="727"/>
      <c r="T39" s="727"/>
      <c r="U39" s="727"/>
      <c r="V39" s="727"/>
      <c r="W39" s="727"/>
      <c r="X39" s="727"/>
    </row>
    <row r="40" spans="1:24" x14ac:dyDescent="0.35">
      <c r="A40" s="872" t="s">
        <v>1508</v>
      </c>
      <c r="B40" s="1648" t="s">
        <v>3092</v>
      </c>
      <c r="C40" s="728"/>
      <c r="D40" s="728"/>
      <c r="E40" s="726"/>
      <c r="F40" s="726"/>
      <c r="G40" s="726"/>
      <c r="H40" s="726"/>
      <c r="I40" s="726"/>
      <c r="J40" s="726">
        <v>10.99</v>
      </c>
      <c r="K40" s="726">
        <v>26.939</v>
      </c>
      <c r="L40" s="726"/>
      <c r="M40" s="726"/>
      <c r="N40" s="727">
        <v>0</v>
      </c>
      <c r="O40" s="727"/>
      <c r="P40" s="727"/>
      <c r="Q40" s="727"/>
      <c r="R40" s="727"/>
      <c r="S40" s="727"/>
      <c r="T40" s="727"/>
      <c r="U40" s="727">
        <v>200.62</v>
      </c>
      <c r="V40" s="727">
        <v>106.87</v>
      </c>
      <c r="W40" s="727">
        <v>27.233000000000001</v>
      </c>
      <c r="X40" s="727">
        <f>7.71</f>
        <v>7.71</v>
      </c>
    </row>
    <row r="41" spans="1:24" x14ac:dyDescent="0.35">
      <c r="A41" s="872" t="s">
        <v>1611</v>
      </c>
      <c r="B41" s="1648" t="s">
        <v>3093</v>
      </c>
      <c r="C41" s="728"/>
      <c r="D41" s="728"/>
      <c r="E41" s="726"/>
      <c r="F41" s="726"/>
      <c r="G41" s="726"/>
      <c r="H41" s="726"/>
      <c r="I41" s="726"/>
      <c r="J41" s="726"/>
      <c r="K41" s="726"/>
      <c r="L41" s="726">
        <v>0.38800000000000001</v>
      </c>
      <c r="M41" s="726">
        <v>0</v>
      </c>
      <c r="N41" s="727">
        <v>0</v>
      </c>
      <c r="O41" s="727"/>
      <c r="P41" s="727"/>
      <c r="Q41" s="727">
        <f>105179*(10^(-3))</f>
        <v>105.179</v>
      </c>
      <c r="R41" s="727">
        <v>373.89699999999999</v>
      </c>
      <c r="S41" s="727">
        <v>846.10299999999995</v>
      </c>
      <c r="T41" s="727">
        <v>0</v>
      </c>
      <c r="U41" s="727">
        <v>318.67500000000001</v>
      </c>
      <c r="V41" s="727">
        <v>564.697</v>
      </c>
      <c r="W41" s="727">
        <v>451.98700000000002</v>
      </c>
      <c r="X41" s="727">
        <f>263.61</f>
        <v>263.61</v>
      </c>
    </row>
    <row r="42" spans="1:24" x14ac:dyDescent="0.35">
      <c r="A42" s="872"/>
      <c r="B42" s="1648" t="s">
        <v>3140</v>
      </c>
      <c r="C42" s="728"/>
      <c r="D42" s="728"/>
      <c r="E42" s="726"/>
      <c r="F42" s="726"/>
      <c r="G42" s="726"/>
      <c r="H42" s="726"/>
      <c r="I42" s="726"/>
      <c r="J42" s="726"/>
      <c r="K42" s="726"/>
      <c r="L42" s="726"/>
      <c r="M42" s="726"/>
      <c r="N42" s="727"/>
      <c r="O42" s="727"/>
      <c r="P42" s="727"/>
      <c r="Q42" s="727"/>
      <c r="R42" s="727"/>
      <c r="S42" s="727"/>
      <c r="T42" s="727"/>
      <c r="U42" s="727"/>
      <c r="V42" s="727"/>
      <c r="W42" s="727"/>
      <c r="X42" s="727">
        <f>6.994</f>
        <v>6.9939999999999998</v>
      </c>
    </row>
    <row r="43" spans="1:24" x14ac:dyDescent="0.35">
      <c r="A43" s="872"/>
      <c r="B43" s="1648" t="s">
        <v>3142</v>
      </c>
      <c r="C43" s="728"/>
      <c r="D43" s="728"/>
      <c r="E43" s="726"/>
      <c r="F43" s="726"/>
      <c r="G43" s="726"/>
      <c r="H43" s="726"/>
      <c r="I43" s="726"/>
      <c r="J43" s="726"/>
      <c r="K43" s="726"/>
      <c r="L43" s="726"/>
      <c r="M43" s="726"/>
      <c r="N43" s="727"/>
      <c r="O43" s="727"/>
      <c r="P43" s="727"/>
      <c r="Q43" s="727"/>
      <c r="R43" s="727"/>
      <c r="S43" s="727"/>
      <c r="T43" s="727"/>
      <c r="U43" s="727"/>
      <c r="V43" s="727"/>
      <c r="W43" s="727"/>
      <c r="X43" s="727">
        <f>1.348</f>
        <v>1.3480000000000001</v>
      </c>
    </row>
    <row r="44" spans="1:24" x14ac:dyDescent="0.35">
      <c r="A44" s="872" t="s">
        <v>632</v>
      </c>
      <c r="B44" s="1648" t="s">
        <v>766</v>
      </c>
      <c r="C44" s="728"/>
      <c r="D44" s="728"/>
      <c r="E44" s="726">
        <v>20.696999999999999</v>
      </c>
      <c r="F44" s="726">
        <v>31.146000000000001</v>
      </c>
      <c r="G44" s="726">
        <v>2.4140000000000001</v>
      </c>
      <c r="H44" s="726">
        <v>4.8319999999999999</v>
      </c>
      <c r="I44" s="726">
        <v>4.0990000000000002</v>
      </c>
      <c r="J44" s="726">
        <v>6.2169999999999996</v>
      </c>
      <c r="K44" s="726">
        <v>15.054</v>
      </c>
      <c r="L44" s="726">
        <v>18.696999999999999</v>
      </c>
      <c r="M44" s="726">
        <v>11.558999999999999</v>
      </c>
      <c r="N44" s="727">
        <v>41.271000000000001</v>
      </c>
      <c r="O44" s="727">
        <f>42263/1000</f>
        <v>42.262999999999998</v>
      </c>
      <c r="P44" s="727">
        <v>30.315000000000001</v>
      </c>
      <c r="Q44" s="727">
        <f>57901*(10^(-3))</f>
        <v>57.901000000000003</v>
      </c>
      <c r="R44" s="727">
        <v>12.127000000000001</v>
      </c>
      <c r="S44" s="727">
        <v>47.942999999999998</v>
      </c>
      <c r="T44" s="727">
        <v>122.94199999999999</v>
      </c>
      <c r="U44" s="727">
        <v>188.82499999999999</v>
      </c>
      <c r="V44" s="727">
        <v>404.56</v>
      </c>
      <c r="W44" s="727">
        <v>537.58799999999997</v>
      </c>
      <c r="X44" s="727">
        <f>913.65</f>
        <v>913.65</v>
      </c>
    </row>
    <row r="45" spans="1:24" x14ac:dyDescent="0.35">
      <c r="A45" s="945" t="s">
        <v>633</v>
      </c>
      <c r="B45" s="1717" t="s">
        <v>726</v>
      </c>
      <c r="C45" s="728"/>
      <c r="D45" s="728"/>
      <c r="E45" s="726">
        <v>41.783000000000001</v>
      </c>
      <c r="F45" s="726">
        <v>17.654</v>
      </c>
      <c r="G45" s="726">
        <v>16.690000000000001</v>
      </c>
      <c r="H45" s="726">
        <v>14.904999999999999</v>
      </c>
      <c r="I45" s="726">
        <v>6.42</v>
      </c>
      <c r="J45" s="726">
        <v>4.992</v>
      </c>
      <c r="K45" s="726">
        <v>1.2909999999999999</v>
      </c>
      <c r="L45" s="726">
        <v>0.29099999999999998</v>
      </c>
      <c r="M45" s="726"/>
      <c r="N45" s="727">
        <v>0</v>
      </c>
      <c r="O45" s="727"/>
      <c r="P45" s="727"/>
      <c r="Q45" s="727"/>
      <c r="R45" s="727"/>
      <c r="S45" s="727"/>
      <c r="T45" s="727"/>
      <c r="U45" s="727"/>
      <c r="V45" s="727"/>
      <c r="W45" s="727"/>
      <c r="X45" s="727"/>
    </row>
    <row r="46" spans="1:24" customFormat="1" ht="15.75" x14ac:dyDescent="0.35">
      <c r="A46" s="945"/>
      <c r="B46" s="1648" t="s">
        <v>2882</v>
      </c>
      <c r="C46" s="728"/>
      <c r="D46" s="728"/>
      <c r="E46" s="726"/>
      <c r="F46" s="726"/>
      <c r="G46" s="726"/>
      <c r="H46" s="726"/>
      <c r="I46" s="726"/>
      <c r="J46" s="726"/>
      <c r="K46" s="726"/>
      <c r="L46" s="726"/>
      <c r="M46" s="726"/>
      <c r="N46" s="727"/>
      <c r="O46" s="727"/>
      <c r="P46" s="727"/>
      <c r="Q46" s="727"/>
      <c r="R46" s="727"/>
      <c r="S46" s="727"/>
      <c r="T46" s="727"/>
      <c r="U46" s="727"/>
      <c r="V46" s="727"/>
      <c r="W46" s="727">
        <v>7.165</v>
      </c>
      <c r="X46" s="727">
        <v>0</v>
      </c>
    </row>
    <row r="47" spans="1:24" x14ac:dyDescent="0.35">
      <c r="A47" s="872" t="s">
        <v>727</v>
      </c>
      <c r="B47" s="1648" t="s">
        <v>728</v>
      </c>
      <c r="C47" s="728"/>
      <c r="D47" s="728"/>
      <c r="E47" s="726"/>
      <c r="F47" s="726">
        <v>5.3049999999999997</v>
      </c>
      <c r="G47" s="726">
        <v>0.17699999999999999</v>
      </c>
      <c r="H47" s="726">
        <v>1.446</v>
      </c>
      <c r="I47" s="726">
        <v>1.639</v>
      </c>
      <c r="J47" s="726">
        <v>0.84799999999999998</v>
      </c>
      <c r="K47" s="726">
        <v>0.51600000000000001</v>
      </c>
      <c r="L47" s="726">
        <v>0.16200000000000001</v>
      </c>
      <c r="M47" s="726"/>
      <c r="N47" s="727">
        <v>0</v>
      </c>
      <c r="O47" s="727"/>
      <c r="P47" s="727"/>
      <c r="Q47" s="727"/>
      <c r="R47" s="727"/>
      <c r="S47" s="727"/>
      <c r="T47" s="727"/>
      <c r="U47" s="727"/>
      <c r="V47" s="727"/>
      <c r="W47" s="727"/>
      <c r="X47" s="727"/>
    </row>
    <row r="48" spans="1:24" x14ac:dyDescent="0.35">
      <c r="A48" s="872" t="s">
        <v>634</v>
      </c>
      <c r="B48" s="1648" t="s">
        <v>729</v>
      </c>
      <c r="C48" s="728"/>
      <c r="D48" s="728"/>
      <c r="E48" s="726">
        <v>1701.104</v>
      </c>
      <c r="F48" s="726">
        <v>1545</v>
      </c>
      <c r="G48" s="726">
        <v>1900.1690000000001</v>
      </c>
      <c r="H48" s="726">
        <v>5746.5730000000003</v>
      </c>
      <c r="I48" s="726">
        <v>3728.1039999999998</v>
      </c>
      <c r="J48" s="726">
        <v>5457.8119999999999</v>
      </c>
      <c r="K48" s="726">
        <v>6716.9129999999996</v>
      </c>
      <c r="L48" s="726">
        <v>8126.183</v>
      </c>
      <c r="M48" s="726">
        <v>7452.4480000000003</v>
      </c>
      <c r="N48" s="727">
        <f>8026224/1000</f>
        <v>8026.2240000000002</v>
      </c>
      <c r="O48" s="727">
        <f>11484652/1000</f>
        <v>11484.652</v>
      </c>
      <c r="P48" s="727">
        <v>17593.203000000001</v>
      </c>
      <c r="Q48" s="727">
        <f>17925708*(10^(-3))</f>
        <v>17925.707999999999</v>
      </c>
      <c r="R48" s="727">
        <v>22623.620999999999</v>
      </c>
      <c r="S48" s="727">
        <v>22455.362000000001</v>
      </c>
      <c r="T48" s="727">
        <v>24407.419000000002</v>
      </c>
      <c r="U48" s="727">
        <v>23881.499</v>
      </c>
      <c r="V48" s="727">
        <v>28462.888999999999</v>
      </c>
      <c r="W48" s="727">
        <v>28589.158000000003</v>
      </c>
      <c r="X48" s="727">
        <f>30328.6</f>
        <v>30328.6</v>
      </c>
    </row>
    <row r="49" spans="1:24" x14ac:dyDescent="0.35">
      <c r="A49" s="872" t="s">
        <v>2359</v>
      </c>
      <c r="B49" s="1648" t="s">
        <v>3094</v>
      </c>
      <c r="C49" s="728"/>
      <c r="D49" s="728"/>
      <c r="E49" s="726"/>
      <c r="F49" s="726"/>
      <c r="G49" s="726"/>
      <c r="H49" s="726"/>
      <c r="I49" s="726"/>
      <c r="J49" s="726"/>
      <c r="K49" s="726"/>
      <c r="L49" s="726">
        <v>9169.3189999999995</v>
      </c>
      <c r="M49" s="726">
        <v>10921.766</v>
      </c>
      <c r="N49" s="727">
        <v>0</v>
      </c>
      <c r="O49" s="727"/>
      <c r="P49" s="727">
        <v>38.996000000000002</v>
      </c>
      <c r="Q49" s="727">
        <f>0*(10^(-3))</f>
        <v>0</v>
      </c>
      <c r="R49" s="727"/>
      <c r="S49" s="727"/>
      <c r="T49" s="727"/>
      <c r="U49" s="727"/>
      <c r="V49" s="727"/>
      <c r="W49" s="727"/>
      <c r="X49" s="727">
        <f>7.792</f>
        <v>7.7919999999999998</v>
      </c>
    </row>
    <row r="50" spans="1:24" x14ac:dyDescent="0.35">
      <c r="A50" s="872" t="s">
        <v>2273</v>
      </c>
      <c r="B50" s="1648" t="s">
        <v>2029</v>
      </c>
      <c r="C50" s="728"/>
      <c r="D50" s="728"/>
      <c r="E50" s="726"/>
      <c r="F50" s="726"/>
      <c r="G50" s="726"/>
      <c r="H50" s="726"/>
      <c r="I50" s="726"/>
      <c r="J50" s="726"/>
      <c r="K50" s="726"/>
      <c r="L50" s="726"/>
      <c r="M50" s="726"/>
      <c r="N50" s="727">
        <f>1104082/1000</f>
        <v>1104.0820000000001</v>
      </c>
      <c r="O50" s="727">
        <f>628816/1000</f>
        <v>628.81600000000003</v>
      </c>
      <c r="P50" s="727">
        <v>0</v>
      </c>
      <c r="Q50" s="727">
        <f>338024*(10^(-3))</f>
        <v>338.024</v>
      </c>
      <c r="R50" s="727">
        <v>327.88299999999998</v>
      </c>
      <c r="S50" s="727">
        <v>342.22199999999998</v>
      </c>
      <c r="T50" s="727">
        <v>618.899</v>
      </c>
      <c r="U50" s="727">
        <v>340.72699999999998</v>
      </c>
      <c r="V50" s="727">
        <v>0</v>
      </c>
      <c r="W50" s="727"/>
      <c r="X50" s="727">
        <f>12.34</f>
        <v>12.34</v>
      </c>
    </row>
    <row r="51" spans="1:24" x14ac:dyDescent="0.35">
      <c r="A51" s="720" t="s">
        <v>1612</v>
      </c>
      <c r="B51" s="1644" t="s">
        <v>457</v>
      </c>
      <c r="C51" s="733"/>
      <c r="D51" s="733"/>
      <c r="E51" s="733">
        <f t="shared" ref="E51:M51" si="2">SUM(E28:E49)</f>
        <v>5220.34</v>
      </c>
      <c r="F51" s="733">
        <f t="shared" si="2"/>
        <v>6272.3840000000009</v>
      </c>
      <c r="G51" s="733">
        <f t="shared" si="2"/>
        <v>6915.1039999999994</v>
      </c>
      <c r="H51" s="733">
        <f t="shared" si="2"/>
        <v>10457.09</v>
      </c>
      <c r="I51" s="733">
        <f t="shared" si="2"/>
        <v>8916.7670000000016</v>
      </c>
      <c r="J51" s="733">
        <f t="shared" si="2"/>
        <v>14406.746999999999</v>
      </c>
      <c r="K51" s="733">
        <f t="shared" si="2"/>
        <v>20437.89</v>
      </c>
      <c r="L51" s="733">
        <f t="shared" si="2"/>
        <v>29053.373</v>
      </c>
      <c r="M51" s="733">
        <f t="shared" si="2"/>
        <v>34329.606999999996</v>
      </c>
      <c r="N51" s="733">
        <f t="shared" ref="N51:W51" si="3">SUM(N28:N50)</f>
        <v>32418.460999999999</v>
      </c>
      <c r="O51" s="733">
        <f t="shared" si="3"/>
        <v>40143.72</v>
      </c>
      <c r="P51" s="733">
        <f t="shared" si="3"/>
        <v>55477.637000000002</v>
      </c>
      <c r="Q51" s="733">
        <f t="shared" si="3"/>
        <v>60262.667999999991</v>
      </c>
      <c r="R51" s="733">
        <f t="shared" si="3"/>
        <v>75499.641000000003</v>
      </c>
      <c r="S51" s="733">
        <f t="shared" si="3"/>
        <v>88007.040999999983</v>
      </c>
      <c r="T51" s="733">
        <f t="shared" si="3"/>
        <v>113956.90300000002</v>
      </c>
      <c r="U51" s="733">
        <f t="shared" si="3"/>
        <v>128180.36299999998</v>
      </c>
      <c r="V51" s="733">
        <f t="shared" si="3"/>
        <v>147923.28</v>
      </c>
      <c r="W51" s="733">
        <f t="shared" si="3"/>
        <v>170658.64200000002</v>
      </c>
      <c r="X51" s="733">
        <f>SUM(X28:X50)</f>
        <v>183067.30399999997</v>
      </c>
    </row>
    <row r="52" spans="1:24" x14ac:dyDescent="0.35">
      <c r="C52" s="728"/>
      <c r="D52" s="728"/>
      <c r="E52" s="728"/>
      <c r="F52" s="728"/>
      <c r="G52" s="728"/>
      <c r="H52" s="728"/>
      <c r="I52" s="728"/>
      <c r="J52" s="728"/>
      <c r="K52" s="728"/>
      <c r="L52" s="728"/>
      <c r="M52" s="728"/>
      <c r="N52" s="733"/>
      <c r="O52" s="733"/>
      <c r="P52" s="733" t="s">
        <v>1809</v>
      </c>
      <c r="Q52" s="733"/>
      <c r="R52" s="733"/>
      <c r="S52" s="733"/>
      <c r="T52" s="733"/>
      <c r="U52" s="733"/>
      <c r="V52" s="733"/>
      <c r="W52" s="733"/>
      <c r="X52" s="733"/>
    </row>
    <row r="53" spans="1:24" x14ac:dyDescent="0.35">
      <c r="A53" s="720" t="s">
        <v>1613</v>
      </c>
      <c r="B53" s="1644" t="s">
        <v>3095</v>
      </c>
      <c r="C53" s="733"/>
      <c r="D53" s="733"/>
      <c r="E53" s="733">
        <f t="shared" ref="E53:W53" si="4">E25+E51</f>
        <v>5408.14</v>
      </c>
      <c r="F53" s="733">
        <f t="shared" si="4"/>
        <v>7607.5070000000014</v>
      </c>
      <c r="G53" s="733">
        <f t="shared" si="4"/>
        <v>8983.6640000000007</v>
      </c>
      <c r="H53" s="733">
        <f t="shared" si="4"/>
        <v>13159.482</v>
      </c>
      <c r="I53" s="733">
        <f t="shared" si="4"/>
        <v>18679.421999999999</v>
      </c>
      <c r="J53" s="733">
        <f t="shared" si="4"/>
        <v>26733.144</v>
      </c>
      <c r="K53" s="733">
        <f t="shared" si="4"/>
        <v>37212.794999999998</v>
      </c>
      <c r="L53" s="733">
        <f t="shared" si="4"/>
        <v>52450.663999999997</v>
      </c>
      <c r="M53" s="733">
        <f t="shared" si="4"/>
        <v>66579.106999999989</v>
      </c>
      <c r="N53" s="733">
        <f t="shared" si="4"/>
        <v>73104.094999999987</v>
      </c>
      <c r="O53" s="733">
        <f t="shared" si="4"/>
        <v>86174.444999999992</v>
      </c>
      <c r="P53" s="733">
        <f t="shared" si="4"/>
        <v>118518.27300000002</v>
      </c>
      <c r="Q53" s="733">
        <f t="shared" si="4"/>
        <v>136122.09099999999</v>
      </c>
      <c r="R53" s="733">
        <f t="shared" si="4"/>
        <v>161423.90299999999</v>
      </c>
      <c r="S53" s="733">
        <f t="shared" si="4"/>
        <v>186811.30699999997</v>
      </c>
      <c r="T53" s="733">
        <f t="shared" si="4"/>
        <v>219284.42499999999</v>
      </c>
      <c r="U53" s="733">
        <f t="shared" si="4"/>
        <v>228850.12899999999</v>
      </c>
      <c r="V53" s="733">
        <f t="shared" si="4"/>
        <v>249274.685</v>
      </c>
      <c r="W53" s="733">
        <f t="shared" si="4"/>
        <v>263437.88200000004</v>
      </c>
      <c r="X53" s="733">
        <f t="shared" ref="X53" si="5">X25+X51</f>
        <v>280689.326</v>
      </c>
    </row>
    <row r="54" spans="1:24" x14ac:dyDescent="0.35">
      <c r="C54" s="728"/>
      <c r="D54" s="728"/>
      <c r="E54" s="728"/>
      <c r="F54" s="728"/>
      <c r="G54" s="728"/>
      <c r="H54" s="728"/>
      <c r="I54" s="728"/>
      <c r="J54" s="728"/>
      <c r="K54" s="728"/>
      <c r="L54" s="728"/>
      <c r="M54" s="728"/>
      <c r="N54" s="728"/>
      <c r="O54" s="728"/>
      <c r="P54" s="728"/>
      <c r="Q54" s="728"/>
      <c r="R54" s="728"/>
      <c r="S54" s="728"/>
      <c r="T54" s="728"/>
      <c r="U54" s="728"/>
      <c r="V54" s="728"/>
      <c r="W54" s="728"/>
      <c r="X54" s="728"/>
    </row>
    <row r="55" spans="1:24" x14ac:dyDescent="0.35">
      <c r="A55" s="720" t="s">
        <v>1000</v>
      </c>
      <c r="B55" s="1644" t="s">
        <v>3096</v>
      </c>
      <c r="C55" s="728"/>
      <c r="D55" s="728"/>
      <c r="E55" s="728"/>
      <c r="F55" s="728"/>
      <c r="G55" s="728"/>
      <c r="H55" s="728"/>
      <c r="I55" s="728"/>
      <c r="J55" s="728"/>
      <c r="K55" s="728"/>
      <c r="L55" s="728"/>
      <c r="M55" s="728"/>
      <c r="N55" s="728"/>
      <c r="O55" s="728"/>
      <c r="P55" s="728"/>
      <c r="Q55" s="728"/>
      <c r="R55" s="728"/>
      <c r="S55" s="728"/>
      <c r="T55" s="728"/>
      <c r="U55" s="728"/>
      <c r="V55" s="728"/>
      <c r="W55" s="728"/>
      <c r="X55" s="728"/>
    </row>
    <row r="56" spans="1:24" x14ac:dyDescent="0.35">
      <c r="A56" s="720" t="s">
        <v>1614</v>
      </c>
      <c r="B56" s="1644" t="s">
        <v>1675</v>
      </c>
      <c r="C56" s="728"/>
      <c r="D56" s="728"/>
      <c r="E56" s="728"/>
      <c r="F56" s="728"/>
      <c r="G56" s="728"/>
      <c r="H56" s="728"/>
      <c r="I56" s="728"/>
      <c r="J56" s="728"/>
      <c r="K56" s="728"/>
      <c r="L56" s="728"/>
      <c r="M56" s="728"/>
      <c r="N56" s="728"/>
      <c r="O56" s="728"/>
      <c r="P56" s="728"/>
      <c r="Q56" s="728"/>
      <c r="R56" s="728"/>
      <c r="S56" s="728"/>
      <c r="T56" s="728"/>
      <c r="U56" s="728"/>
      <c r="V56" s="728"/>
      <c r="W56" s="728"/>
      <c r="X56" s="728"/>
    </row>
    <row r="57" spans="1:24" x14ac:dyDescent="0.35">
      <c r="A57" s="872" t="s">
        <v>41</v>
      </c>
      <c r="B57" s="1648" t="s">
        <v>40</v>
      </c>
      <c r="C57" s="728"/>
      <c r="D57" s="728"/>
      <c r="E57" s="726"/>
      <c r="F57" s="726">
        <v>118.593</v>
      </c>
      <c r="G57" s="726">
        <v>165.32</v>
      </c>
      <c r="H57" s="726">
        <v>180.48</v>
      </c>
      <c r="I57" s="726">
        <v>244.047</v>
      </c>
      <c r="J57" s="726">
        <v>421.93799999999999</v>
      </c>
      <c r="K57" s="726">
        <v>520.79100000000005</v>
      </c>
      <c r="L57" s="726">
        <v>638.80200000000002</v>
      </c>
      <c r="M57" s="726">
        <v>735.80799999999999</v>
      </c>
      <c r="N57" s="727">
        <v>738.61</v>
      </c>
      <c r="O57" s="727">
        <f>699088/1000</f>
        <v>699.08799999999997</v>
      </c>
      <c r="P57" s="727">
        <v>0</v>
      </c>
      <c r="Q57" s="727">
        <f>0*(10^(-3))</f>
        <v>0</v>
      </c>
      <c r="R57" s="727"/>
      <c r="S57" s="727"/>
      <c r="T57" s="727"/>
      <c r="U57" s="727"/>
      <c r="V57" s="727"/>
      <c r="W57" s="727"/>
      <c r="X57" s="727"/>
    </row>
    <row r="58" spans="1:24" x14ac:dyDescent="0.35">
      <c r="A58" s="872" t="s">
        <v>2021</v>
      </c>
      <c r="B58" s="1648" t="s">
        <v>42</v>
      </c>
      <c r="C58" s="728"/>
      <c r="D58" s="728"/>
      <c r="E58" s="726"/>
      <c r="F58" s="726">
        <v>67.436999999999998</v>
      </c>
      <c r="G58" s="726">
        <v>71.132999999999996</v>
      </c>
      <c r="H58" s="726">
        <v>93.218999999999994</v>
      </c>
      <c r="I58" s="726">
        <v>228.81299999999999</v>
      </c>
      <c r="J58" s="726">
        <v>276.01400000000001</v>
      </c>
      <c r="K58" s="726">
        <v>362.26499999999999</v>
      </c>
      <c r="L58" s="726">
        <v>398.32</v>
      </c>
      <c r="M58" s="726">
        <v>389.47699999999998</v>
      </c>
      <c r="N58" s="727">
        <f>406265/1000</f>
        <v>406.26499999999999</v>
      </c>
      <c r="O58" s="727">
        <f>348891/1000</f>
        <v>348.89100000000002</v>
      </c>
      <c r="P58" s="727">
        <v>446.65500000000003</v>
      </c>
      <c r="Q58" s="727">
        <f>427087*(10^(-3))</f>
        <v>427.08699999999999</v>
      </c>
      <c r="R58" s="727">
        <v>403.67500000000001</v>
      </c>
      <c r="S58" s="727">
        <v>399.89800000000002</v>
      </c>
      <c r="T58" s="727">
        <v>520.72799999999995</v>
      </c>
      <c r="U58" s="727">
        <v>508.20800000000003</v>
      </c>
      <c r="V58" s="727">
        <v>590.73599999999999</v>
      </c>
      <c r="W58" s="727">
        <v>585.125</v>
      </c>
      <c r="X58" s="727">
        <f>592.59</f>
        <v>592.59</v>
      </c>
    </row>
    <row r="59" spans="1:24" x14ac:dyDescent="0.35">
      <c r="A59" s="872" t="s">
        <v>1615</v>
      </c>
      <c r="B59" s="1648" t="s">
        <v>44</v>
      </c>
      <c r="C59" s="728"/>
      <c r="D59" s="728"/>
      <c r="E59" s="726"/>
      <c r="F59" s="726">
        <v>21.164999999999999</v>
      </c>
      <c r="G59" s="726">
        <v>1000</v>
      </c>
      <c r="H59" s="726">
        <v>1601.931</v>
      </c>
      <c r="I59" s="726">
        <v>2880.3620000000001</v>
      </c>
      <c r="J59" s="726">
        <v>4961.268</v>
      </c>
      <c r="K59" s="726">
        <v>9996.3590000000004</v>
      </c>
      <c r="L59" s="726">
        <v>8600.2579999999998</v>
      </c>
      <c r="M59" s="726">
        <v>10361.804</v>
      </c>
      <c r="N59" s="727">
        <f>13085694/1000</f>
        <v>13085.694</v>
      </c>
      <c r="O59" s="727">
        <f>15849056/1000</f>
        <v>15849.056</v>
      </c>
      <c r="P59" s="727">
        <f>20592443/1000</f>
        <v>20592.442999999999</v>
      </c>
      <c r="Q59" s="727">
        <f>32033950*(10^(-3))</f>
        <v>32033.95</v>
      </c>
      <c r="R59" s="727">
        <v>29347.618000000002</v>
      </c>
      <c r="S59" s="727">
        <v>35488.760999999999</v>
      </c>
      <c r="T59" s="727">
        <v>47848.334999999999</v>
      </c>
      <c r="U59" s="727">
        <v>45457.207000000002</v>
      </c>
      <c r="V59" s="727">
        <v>51310.455999999998</v>
      </c>
      <c r="W59" s="727">
        <v>54780.475999999995</v>
      </c>
      <c r="X59" s="727">
        <f>57061.6</f>
        <v>57061.599999999999</v>
      </c>
    </row>
    <row r="60" spans="1:24" x14ac:dyDescent="0.35">
      <c r="A60" s="872"/>
      <c r="B60" s="1648" t="s">
        <v>2020</v>
      </c>
      <c r="C60" s="728"/>
      <c r="D60" s="728"/>
      <c r="E60" s="726"/>
      <c r="F60" s="726"/>
      <c r="G60" s="726"/>
      <c r="H60" s="726"/>
      <c r="I60" s="726"/>
      <c r="J60" s="726"/>
      <c r="K60" s="726"/>
      <c r="L60" s="726"/>
      <c r="M60" s="726"/>
      <c r="N60" s="727"/>
      <c r="O60" s="727"/>
      <c r="P60" s="727"/>
      <c r="Q60" s="727">
        <f>740010*(10^(-3))</f>
        <v>740.01</v>
      </c>
      <c r="R60" s="727">
        <v>688.21</v>
      </c>
      <c r="S60" s="727">
        <v>656.125</v>
      </c>
      <c r="T60" s="727">
        <v>667.10599999999999</v>
      </c>
      <c r="U60" s="727">
        <v>663.89800000000002</v>
      </c>
      <c r="V60" s="727">
        <v>591.47299999999996</v>
      </c>
      <c r="W60" s="727">
        <v>486.41400000000004</v>
      </c>
      <c r="X60" s="727">
        <f>391.48</f>
        <v>391.48</v>
      </c>
    </row>
    <row r="61" spans="1:24" x14ac:dyDescent="0.35">
      <c r="A61" s="872" t="s">
        <v>47</v>
      </c>
      <c r="B61" s="1648" t="s">
        <v>46</v>
      </c>
      <c r="C61" s="728"/>
      <c r="D61" s="728"/>
      <c r="E61" s="726">
        <v>0.27800000000000002</v>
      </c>
      <c r="F61" s="726">
        <v>0.10299999999999999</v>
      </c>
      <c r="G61" s="726">
        <v>7.3999999999999996E-2</v>
      </c>
      <c r="H61" s="726"/>
      <c r="I61" s="726"/>
      <c r="J61" s="726"/>
      <c r="K61" s="726">
        <v>4.9379999999999997</v>
      </c>
      <c r="L61" s="726">
        <v>4.28</v>
      </c>
      <c r="M61" s="726">
        <v>3.48</v>
      </c>
      <c r="N61" s="727">
        <v>2.7189999999999999</v>
      </c>
      <c r="O61" s="727">
        <f>2139/1000</f>
        <v>2.1389999999999998</v>
      </c>
      <c r="P61" s="727">
        <v>2.4990000000000001</v>
      </c>
      <c r="Q61" s="727">
        <f>1842*(10^(-3))</f>
        <v>1.8420000000000001</v>
      </c>
      <c r="R61" s="727">
        <v>43.152000000000001</v>
      </c>
      <c r="S61" s="727">
        <v>24.882000000000001</v>
      </c>
      <c r="T61" s="727">
        <v>58.454000000000001</v>
      </c>
      <c r="U61" s="727">
        <v>112.19499999999999</v>
      </c>
      <c r="V61" s="727">
        <v>116.76</v>
      </c>
      <c r="W61" s="727">
        <v>181.65099999999998</v>
      </c>
      <c r="X61" s="727">
        <f>203.13</f>
        <v>203.13</v>
      </c>
    </row>
    <row r="62" spans="1:24" x14ac:dyDescent="0.35">
      <c r="A62" s="872" t="s">
        <v>57</v>
      </c>
      <c r="B62" s="1648" t="s">
        <v>3097</v>
      </c>
      <c r="C62" s="728"/>
      <c r="D62" s="728"/>
      <c r="E62" s="726"/>
      <c r="F62" s="726"/>
      <c r="G62" s="726"/>
      <c r="H62" s="726">
        <v>1703.578</v>
      </c>
      <c r="I62" s="726">
        <v>2470.5369999999998</v>
      </c>
      <c r="J62" s="726"/>
      <c r="K62" s="726"/>
      <c r="L62" s="726"/>
      <c r="M62" s="726"/>
      <c r="N62" s="726"/>
      <c r="O62" s="726">
        <v>0</v>
      </c>
      <c r="P62" s="727">
        <v>0</v>
      </c>
      <c r="Q62" s="727"/>
      <c r="R62" s="727">
        <v>2711.864</v>
      </c>
      <c r="S62" s="727">
        <v>2843.6019999999999</v>
      </c>
      <c r="T62" s="727">
        <v>2955.665</v>
      </c>
      <c r="U62" s="727">
        <v>2727.2730000000001</v>
      </c>
      <c r="V62" s="727">
        <v>0</v>
      </c>
      <c r="W62" s="727"/>
      <c r="X62" s="727"/>
    </row>
    <row r="63" spans="1:24" x14ac:dyDescent="0.35">
      <c r="A63" s="872" t="s">
        <v>2275</v>
      </c>
      <c r="B63" s="1648" t="s">
        <v>3066</v>
      </c>
      <c r="C63" s="728"/>
      <c r="D63" s="728"/>
      <c r="E63" s="726"/>
      <c r="F63" s="726"/>
      <c r="G63" s="726"/>
      <c r="H63" s="726"/>
      <c r="I63" s="726"/>
      <c r="J63" s="726"/>
      <c r="K63" s="726"/>
      <c r="L63" s="726">
        <v>3860.2860000000001</v>
      </c>
      <c r="M63" s="726">
        <v>3869.8040000000001</v>
      </c>
      <c r="N63" s="727">
        <v>3879.3220000000001</v>
      </c>
      <c r="O63" s="727">
        <f>3888839/1000</f>
        <v>3888.8389999999999</v>
      </c>
      <c r="P63" s="727">
        <v>6206.0529999999999</v>
      </c>
      <c r="Q63" s="727">
        <f>6210963*(10^(-3))</f>
        <v>6210.9629999999997</v>
      </c>
      <c r="R63" s="727">
        <v>6216.049</v>
      </c>
      <c r="S63" s="727">
        <v>9179</v>
      </c>
      <c r="T63" s="727">
        <v>8095.4179999999997</v>
      </c>
      <c r="U63" s="727">
        <v>8760.2520000000004</v>
      </c>
      <c r="V63" s="727">
        <v>7008.5910000000003</v>
      </c>
      <c r="W63" s="727">
        <v>10342.598</v>
      </c>
      <c r="X63" s="727">
        <f>12144.64</f>
        <v>12144.64</v>
      </c>
    </row>
    <row r="64" spans="1:24" x14ac:dyDescent="0.35">
      <c r="A64" s="872"/>
      <c r="B64" s="1648" t="s">
        <v>2871</v>
      </c>
      <c r="C64" s="728"/>
      <c r="D64" s="728"/>
      <c r="E64" s="726"/>
      <c r="F64" s="726"/>
      <c r="G64" s="726"/>
      <c r="H64" s="726"/>
      <c r="I64" s="726"/>
      <c r="J64" s="726"/>
      <c r="K64" s="726"/>
      <c r="L64" s="726"/>
      <c r="M64" s="726"/>
      <c r="N64" s="727"/>
      <c r="O64" s="727"/>
      <c r="P64" s="727"/>
      <c r="Q64" s="727"/>
      <c r="R64" s="727"/>
      <c r="S64" s="727"/>
      <c r="T64" s="727"/>
      <c r="U64" s="727"/>
      <c r="V64" s="727">
        <v>23.555</v>
      </c>
      <c r="W64" s="727">
        <v>28.036999999999999</v>
      </c>
      <c r="X64" s="727">
        <f>34.53</f>
        <v>34.53</v>
      </c>
    </row>
    <row r="65" spans="1:24" x14ac:dyDescent="0.35">
      <c r="A65" s="720" t="s">
        <v>1614</v>
      </c>
      <c r="B65" s="1644" t="s">
        <v>553</v>
      </c>
      <c r="C65" s="733"/>
      <c r="D65" s="733"/>
      <c r="E65" s="733">
        <f t="shared" ref="E65:U65" si="6">SUM(E57:E63)</f>
        <v>0.27800000000000002</v>
      </c>
      <c r="F65" s="733">
        <f t="shared" si="6"/>
        <v>207.298</v>
      </c>
      <c r="G65" s="733">
        <f t="shared" si="6"/>
        <v>1236.527</v>
      </c>
      <c r="H65" s="733">
        <f t="shared" si="6"/>
        <v>3579.2080000000001</v>
      </c>
      <c r="I65" s="733">
        <f t="shared" si="6"/>
        <v>5823.759</v>
      </c>
      <c r="J65" s="733">
        <f t="shared" si="6"/>
        <v>5659.22</v>
      </c>
      <c r="K65" s="733">
        <f t="shared" si="6"/>
        <v>10884.353000000001</v>
      </c>
      <c r="L65" s="733">
        <f t="shared" si="6"/>
        <v>13501.946</v>
      </c>
      <c r="M65" s="733">
        <f t="shared" si="6"/>
        <v>15360.373</v>
      </c>
      <c r="N65" s="733">
        <f t="shared" si="6"/>
        <v>18112.61</v>
      </c>
      <c r="O65" s="733">
        <f t="shared" si="6"/>
        <v>20788.012999999999</v>
      </c>
      <c r="P65" s="733">
        <f t="shared" si="6"/>
        <v>27247.649999999998</v>
      </c>
      <c r="Q65" s="733">
        <f t="shared" si="6"/>
        <v>39413.851999999999</v>
      </c>
      <c r="R65" s="733">
        <f t="shared" si="6"/>
        <v>39410.567999999999</v>
      </c>
      <c r="S65" s="733">
        <f t="shared" si="6"/>
        <v>48592.267999999996</v>
      </c>
      <c r="T65" s="733">
        <f t="shared" si="6"/>
        <v>60145.705999999998</v>
      </c>
      <c r="U65" s="733">
        <f t="shared" si="6"/>
        <v>58229.033000000003</v>
      </c>
      <c r="V65" s="733">
        <f>SUM(V57:V64)</f>
        <v>59641.570999999996</v>
      </c>
      <c r="W65" s="733">
        <f>SUM(W57:W64)</f>
        <v>66404.300999999992</v>
      </c>
      <c r="X65" s="733">
        <f t="shared" ref="X65" si="7">SUM(X57:X64)</f>
        <v>70427.97</v>
      </c>
    </row>
    <row r="66" spans="1:24" x14ac:dyDescent="0.35">
      <c r="C66" s="728"/>
      <c r="D66" s="728"/>
      <c r="E66" s="728"/>
      <c r="F66" s="728"/>
      <c r="G66" s="728"/>
      <c r="H66" s="728"/>
      <c r="I66" s="728"/>
      <c r="J66" s="728"/>
      <c r="K66" s="728"/>
      <c r="L66" s="728"/>
      <c r="M66" s="728"/>
      <c r="N66" s="728"/>
      <c r="O66" s="728"/>
      <c r="P66" s="728"/>
      <c r="Q66" s="728"/>
      <c r="R66" s="728"/>
      <c r="S66" s="728"/>
      <c r="T66" s="728"/>
      <c r="U66" s="728"/>
      <c r="V66" s="728"/>
      <c r="W66" s="728"/>
      <c r="X66" s="728"/>
    </row>
    <row r="67" spans="1:24" x14ac:dyDescent="0.35">
      <c r="A67" s="720" t="s">
        <v>1616</v>
      </c>
      <c r="B67" s="1644" t="s">
        <v>1670</v>
      </c>
      <c r="C67" s="728"/>
      <c r="D67" s="728"/>
      <c r="E67" s="728"/>
      <c r="F67" s="728"/>
      <c r="G67" s="728"/>
      <c r="H67" s="728"/>
      <c r="I67" s="728"/>
      <c r="J67" s="728"/>
      <c r="K67" s="728"/>
      <c r="L67" s="728"/>
      <c r="M67" s="728"/>
      <c r="N67" s="728"/>
      <c r="O67" s="728"/>
      <c r="P67" s="728"/>
      <c r="Q67" s="728"/>
      <c r="R67" s="728"/>
      <c r="S67" s="728"/>
      <c r="T67" s="728"/>
      <c r="U67" s="728"/>
      <c r="V67" s="728"/>
      <c r="W67" s="728"/>
      <c r="X67" s="728"/>
    </row>
    <row r="68" spans="1:24" x14ac:dyDescent="0.35">
      <c r="A68" s="872" t="s">
        <v>1617</v>
      </c>
      <c r="B68" s="1648" t="s">
        <v>3098</v>
      </c>
      <c r="C68" s="728"/>
      <c r="D68" s="728"/>
      <c r="E68" s="726">
        <v>329.983</v>
      </c>
      <c r="F68" s="726">
        <v>425.86399999999998</v>
      </c>
      <c r="G68" s="726">
        <v>301.089</v>
      </c>
      <c r="H68" s="726">
        <v>505.44900000000001</v>
      </c>
      <c r="I68" s="726">
        <v>692.96500000000003</v>
      </c>
      <c r="J68" s="726">
        <v>1282.0350000000001</v>
      </c>
      <c r="K68" s="726">
        <v>1219.729</v>
      </c>
      <c r="L68" s="726">
        <v>1903.3779999999999</v>
      </c>
      <c r="M68" s="726">
        <v>3793.0520000000001</v>
      </c>
      <c r="N68" s="727">
        <f>4669015/1000</f>
        <v>4669.0150000000003</v>
      </c>
      <c r="O68" s="727">
        <f>5304671/1000</f>
        <v>5304.6710000000003</v>
      </c>
      <c r="P68" s="727">
        <v>0</v>
      </c>
      <c r="Q68" s="727">
        <f>0*(10^(-3))</f>
        <v>0</v>
      </c>
      <c r="R68" s="727"/>
      <c r="S68" s="727"/>
      <c r="T68" s="727"/>
      <c r="U68" s="727"/>
      <c r="V68" s="727"/>
      <c r="W68" s="727"/>
      <c r="X68" s="727"/>
    </row>
    <row r="69" spans="1:24" x14ac:dyDescent="0.35">
      <c r="A69" s="872"/>
      <c r="B69" s="1648" t="s">
        <v>2020</v>
      </c>
      <c r="C69" s="728"/>
      <c r="D69" s="728"/>
      <c r="E69" s="726"/>
      <c r="F69" s="726"/>
      <c r="G69" s="726"/>
      <c r="H69" s="726"/>
      <c r="I69" s="726"/>
      <c r="J69" s="726"/>
      <c r="K69" s="726"/>
      <c r="L69" s="726"/>
      <c r="M69" s="726"/>
      <c r="N69" s="727"/>
      <c r="O69" s="727"/>
      <c r="P69" s="727">
        <v>7604.5959999999995</v>
      </c>
      <c r="Q69" s="727">
        <f>9027486*(10^(-3))</f>
        <v>9027.4860000000008</v>
      </c>
      <c r="R69" s="727">
        <v>7830.567</v>
      </c>
      <c r="S69" s="727">
        <v>8547.2939999999999</v>
      </c>
      <c r="T69" s="727">
        <v>9662.8189999999995</v>
      </c>
      <c r="U69" s="727">
        <v>8503.09</v>
      </c>
      <c r="V69" s="727">
        <v>9926.7420000000002</v>
      </c>
      <c r="W69" s="727">
        <v>8324.6689999999999</v>
      </c>
      <c r="X69" s="727">
        <f>9001.13</f>
        <v>9001.1299999999992</v>
      </c>
    </row>
    <row r="70" spans="1:24" x14ac:dyDescent="0.35">
      <c r="A70" s="872" t="s">
        <v>2277</v>
      </c>
      <c r="B70" s="1648" t="s">
        <v>555</v>
      </c>
      <c r="C70" s="728"/>
      <c r="D70" s="728"/>
      <c r="E70" s="726">
        <v>3440.2330000000002</v>
      </c>
      <c r="F70" s="726">
        <v>3759.933</v>
      </c>
      <c r="G70" s="726">
        <v>3690.4259999999999</v>
      </c>
      <c r="H70" s="726">
        <v>3552.277</v>
      </c>
      <c r="I70" s="726">
        <v>4116.9110000000001</v>
      </c>
      <c r="J70" s="726">
        <v>5175.8879999999999</v>
      </c>
      <c r="K70" s="726">
        <v>6498.27</v>
      </c>
      <c r="L70" s="726">
        <v>13019.734</v>
      </c>
      <c r="M70" s="726">
        <v>17261.317999999999</v>
      </c>
      <c r="N70" s="727">
        <f>21926978/1000</f>
        <v>21926.977999999999</v>
      </c>
      <c r="O70" s="727">
        <f>29000144/1000</f>
        <v>29000.144</v>
      </c>
      <c r="P70" s="727">
        <v>33133.985999999997</v>
      </c>
      <c r="Q70" s="727">
        <f>36714715*(10^(-3))</f>
        <v>36714.715000000004</v>
      </c>
      <c r="R70" s="727">
        <v>44699.248</v>
      </c>
      <c r="S70" s="727">
        <v>51288.245999999999</v>
      </c>
      <c r="T70" s="727">
        <v>60561.364000000001</v>
      </c>
      <c r="U70" s="727">
        <v>69736.718999999997</v>
      </c>
      <c r="V70" s="727">
        <v>74884.548999999999</v>
      </c>
      <c r="W70" s="727">
        <v>94119.227000000014</v>
      </c>
      <c r="X70" s="727">
        <f>96447.27</f>
        <v>96447.27</v>
      </c>
    </row>
    <row r="71" spans="1:24" x14ac:dyDescent="0.35">
      <c r="A71" s="872" t="s">
        <v>2360</v>
      </c>
      <c r="B71" s="1648" t="s">
        <v>3099</v>
      </c>
      <c r="C71" s="728"/>
      <c r="D71" s="728"/>
      <c r="E71" s="726">
        <v>363.779</v>
      </c>
      <c r="F71" s="726">
        <v>601.96</v>
      </c>
      <c r="G71" s="726">
        <v>623.76199999999994</v>
      </c>
      <c r="H71" s="726">
        <v>681.80100000000004</v>
      </c>
      <c r="I71" s="726">
        <v>688.84500000000003</v>
      </c>
      <c r="J71" s="726">
        <v>699.87400000000002</v>
      </c>
      <c r="K71" s="726">
        <v>1138.9190000000001</v>
      </c>
      <c r="L71" s="726">
        <v>1766.0450000000001</v>
      </c>
      <c r="M71" s="726">
        <v>828.73800000000006</v>
      </c>
      <c r="N71" s="727">
        <f>722595/1000</f>
        <v>722.59500000000003</v>
      </c>
      <c r="O71" s="727">
        <f>827167/1000</f>
        <v>827.16700000000003</v>
      </c>
      <c r="P71" s="727">
        <v>33.478000000000002</v>
      </c>
      <c r="Q71" s="727">
        <f>38802*(10^(-3))</f>
        <v>38.802</v>
      </c>
      <c r="R71" s="727">
        <v>34.352000000000004</v>
      </c>
      <c r="S71" s="727">
        <v>61.326000000000001</v>
      </c>
      <c r="T71" s="727">
        <v>64.207999999999998</v>
      </c>
      <c r="U71" s="727">
        <v>53.164000000000001</v>
      </c>
      <c r="V71" s="727">
        <v>49.128999999999998</v>
      </c>
      <c r="W71" s="727">
        <v>36.745999999999995</v>
      </c>
      <c r="X71" s="727">
        <f>191.63</f>
        <v>191.63</v>
      </c>
    </row>
    <row r="72" spans="1:24" x14ac:dyDescent="0.35">
      <c r="A72" s="872" t="s">
        <v>2361</v>
      </c>
      <c r="B72" s="1648" t="s">
        <v>3100</v>
      </c>
      <c r="C72" s="728"/>
      <c r="D72" s="728"/>
      <c r="E72" s="726">
        <v>165.13900000000001</v>
      </c>
      <c r="F72" s="726">
        <v>223.22499999999999</v>
      </c>
      <c r="G72" s="726">
        <v>308.82</v>
      </c>
      <c r="H72" s="726">
        <v>299.327</v>
      </c>
      <c r="I72" s="726">
        <v>326.041</v>
      </c>
      <c r="J72" s="726">
        <v>501.666</v>
      </c>
      <c r="K72" s="726">
        <v>655.66700000000003</v>
      </c>
      <c r="L72" s="726"/>
      <c r="M72" s="726">
        <v>354.11099999999999</v>
      </c>
      <c r="N72" s="727">
        <f>625844/1000</f>
        <v>625.84400000000005</v>
      </c>
      <c r="O72" s="727">
        <f>735030/1000</f>
        <v>735.03</v>
      </c>
      <c r="P72" s="727">
        <v>2231.7530000000002</v>
      </c>
      <c r="Q72" s="727">
        <f>1064099*(10^(-3))</f>
        <v>1064.0989999999999</v>
      </c>
      <c r="R72" s="727">
        <v>1353.8030000000001</v>
      </c>
      <c r="S72" s="727">
        <v>1481.867</v>
      </c>
      <c r="T72" s="727">
        <v>1183.0119999999999</v>
      </c>
      <c r="U72" s="727">
        <v>840.48599999999999</v>
      </c>
      <c r="V72" s="727">
        <v>1184.3309999999999</v>
      </c>
      <c r="W72" s="727">
        <v>978.67000000000007</v>
      </c>
      <c r="X72" s="727">
        <f>1092.96</f>
        <v>1092.96</v>
      </c>
    </row>
    <row r="73" spans="1:24" x14ac:dyDescent="0.35">
      <c r="A73" s="872" t="s">
        <v>1618</v>
      </c>
      <c r="B73" s="1648" t="s">
        <v>3101</v>
      </c>
      <c r="C73" s="728"/>
      <c r="D73" s="728"/>
      <c r="E73" s="726">
        <v>46.103000000000002</v>
      </c>
      <c r="F73" s="726">
        <v>73.257000000000005</v>
      </c>
      <c r="G73" s="726">
        <v>46.878999999999998</v>
      </c>
      <c r="H73" s="726">
        <v>42.033999999999999</v>
      </c>
      <c r="I73" s="726"/>
      <c r="J73" s="726"/>
      <c r="K73" s="726"/>
      <c r="L73" s="726"/>
      <c r="M73" s="726"/>
      <c r="N73" s="726"/>
      <c r="O73" s="726"/>
      <c r="P73" s="726">
        <v>0</v>
      </c>
      <c r="Q73" s="726"/>
      <c r="R73" s="726"/>
      <c r="S73" s="726"/>
      <c r="T73" s="726"/>
      <c r="U73" s="726"/>
      <c r="V73" s="726">
        <v>2643.172</v>
      </c>
      <c r="W73" s="726"/>
    </row>
    <row r="74" spans="1:24" x14ac:dyDescent="0.35">
      <c r="A74" s="872" t="s">
        <v>1619</v>
      </c>
      <c r="B74" s="1648" t="s">
        <v>3102</v>
      </c>
      <c r="C74" s="728"/>
      <c r="D74" s="728"/>
      <c r="E74" s="726">
        <v>13.842000000000001</v>
      </c>
      <c r="F74" s="726"/>
      <c r="G74" s="726">
        <v>86.582999999999998</v>
      </c>
      <c r="H74" s="726"/>
      <c r="I74" s="726">
        <v>1287.2940000000001</v>
      </c>
      <c r="J74" s="726">
        <v>884.67899999999997</v>
      </c>
      <c r="K74" s="726">
        <v>148.71100000000001</v>
      </c>
      <c r="L74" s="726">
        <v>450</v>
      </c>
      <c r="M74" s="726">
        <v>0</v>
      </c>
      <c r="N74" s="726"/>
      <c r="O74" s="726"/>
      <c r="P74" s="726">
        <v>0</v>
      </c>
      <c r="Q74" s="726"/>
      <c r="R74" s="726"/>
      <c r="S74" s="726"/>
      <c r="T74" s="726"/>
      <c r="U74" s="726"/>
      <c r="V74" s="726"/>
      <c r="W74" s="726"/>
      <c r="X74" s="726"/>
    </row>
    <row r="75" spans="1:24" x14ac:dyDescent="0.35">
      <c r="A75" s="872" t="s">
        <v>1620</v>
      </c>
      <c r="B75" s="1648" t="s">
        <v>3103</v>
      </c>
      <c r="C75" s="728"/>
      <c r="D75" s="728"/>
      <c r="E75" s="726">
        <v>7.952</v>
      </c>
      <c r="F75" s="726">
        <v>12.388999999999999</v>
      </c>
      <c r="G75" s="726">
        <v>4.2699999999999996</v>
      </c>
      <c r="H75" s="726">
        <v>13.316000000000001</v>
      </c>
      <c r="I75" s="726">
        <v>958.6</v>
      </c>
      <c r="J75" s="726">
        <v>1398.076</v>
      </c>
      <c r="K75" s="726">
        <v>2136.1750000000002</v>
      </c>
      <c r="L75" s="726"/>
      <c r="M75" s="726"/>
      <c r="N75" s="726">
        <f>937542/1000</f>
        <v>937.54200000000003</v>
      </c>
      <c r="O75" s="726">
        <v>0</v>
      </c>
      <c r="P75" s="726">
        <v>0</v>
      </c>
      <c r="Q75" s="726"/>
      <c r="R75" s="727">
        <v>2340</v>
      </c>
      <c r="S75" s="727">
        <v>3050.9</v>
      </c>
      <c r="T75" s="727">
        <v>739.70600000000002</v>
      </c>
      <c r="U75" s="727">
        <v>909.09100000000001</v>
      </c>
      <c r="V75" s="727">
        <v>660.79300000000001</v>
      </c>
      <c r="W75" s="727">
        <v>251.1</v>
      </c>
      <c r="X75" s="727">
        <f>155</f>
        <v>155</v>
      </c>
    </row>
    <row r="76" spans="1:24" x14ac:dyDescent="0.35">
      <c r="A76" s="872" t="s">
        <v>1621</v>
      </c>
      <c r="B76" s="1648" t="s">
        <v>3104</v>
      </c>
      <c r="C76" s="728"/>
      <c r="D76" s="728"/>
      <c r="E76" s="727">
        <v>2.7330000000000001</v>
      </c>
      <c r="F76" s="726">
        <v>16.474</v>
      </c>
      <c r="G76" s="726">
        <v>10.138999999999999</v>
      </c>
      <c r="H76" s="726">
        <v>25.210999999999999</v>
      </c>
      <c r="I76" s="726">
        <v>49.244999999999997</v>
      </c>
      <c r="J76" s="726">
        <v>6.125</v>
      </c>
      <c r="K76" s="726">
        <v>33.494999999999997</v>
      </c>
      <c r="L76" s="726">
        <v>27.504999999999999</v>
      </c>
      <c r="M76" s="726">
        <v>26.48</v>
      </c>
      <c r="N76" s="726">
        <v>0</v>
      </c>
      <c r="O76" s="726">
        <v>0</v>
      </c>
      <c r="P76" s="726">
        <v>76.703000000000003</v>
      </c>
      <c r="Q76" s="727">
        <f>102645*(10^(-3))</f>
        <v>102.645</v>
      </c>
      <c r="R76" s="727">
        <v>8.6000000000000007E-2</v>
      </c>
      <c r="S76" s="727">
        <v>311.09699999999998</v>
      </c>
      <c r="T76" s="727">
        <v>107.563</v>
      </c>
      <c r="U76" s="727">
        <v>58.438000000000002</v>
      </c>
      <c r="V76" s="727">
        <v>134.637</v>
      </c>
      <c r="W76" s="727">
        <v>61.449999999999996</v>
      </c>
      <c r="X76" s="726">
        <f>60.06</f>
        <v>60.06</v>
      </c>
    </row>
    <row r="77" spans="1:24" x14ac:dyDescent="0.35">
      <c r="A77" s="872"/>
      <c r="B77" s="1648" t="s">
        <v>3105</v>
      </c>
      <c r="C77" s="728"/>
      <c r="D77" s="728"/>
      <c r="E77" s="727"/>
      <c r="F77" s="726"/>
      <c r="G77" s="726"/>
      <c r="H77" s="726"/>
      <c r="I77" s="726"/>
      <c r="J77" s="726">
        <v>16.850999999999999</v>
      </c>
      <c r="K77" s="726"/>
      <c r="L77" s="726"/>
      <c r="M77" s="726"/>
      <c r="N77" s="726"/>
      <c r="O77" s="726"/>
      <c r="P77" s="726">
        <v>0</v>
      </c>
      <c r="Q77" s="726"/>
      <c r="S77" s="726">
        <v>137.22200000000001</v>
      </c>
      <c r="T77" s="727">
        <v>588.31299999999999</v>
      </c>
      <c r="U77" s="727">
        <v>455.61799999999999</v>
      </c>
      <c r="V77" s="727">
        <v>352.565</v>
      </c>
      <c r="W77" s="727">
        <v>320.13000000000005</v>
      </c>
      <c r="X77" s="727">
        <f>398.97</f>
        <v>398.97</v>
      </c>
    </row>
    <row r="78" spans="1:24" x14ac:dyDescent="0.35">
      <c r="A78" s="872" t="s">
        <v>2279</v>
      </c>
      <c r="B78" s="1648" t="s">
        <v>3106</v>
      </c>
      <c r="C78" s="728"/>
      <c r="D78" s="728"/>
      <c r="E78" s="727">
        <v>49.442999999999998</v>
      </c>
      <c r="F78" s="726">
        <v>101.52</v>
      </c>
      <c r="G78" s="726">
        <v>114.622</v>
      </c>
      <c r="H78" s="726">
        <v>134.047</v>
      </c>
      <c r="I78" s="726">
        <v>112.36199999999999</v>
      </c>
      <c r="J78" s="726">
        <v>313.78699999999998</v>
      </c>
      <c r="K78" s="726">
        <v>594.57000000000005</v>
      </c>
      <c r="L78" s="726">
        <v>608.63300000000004</v>
      </c>
      <c r="M78" s="726">
        <v>930.971</v>
      </c>
      <c r="N78" s="727">
        <f>2015547/1000</f>
        <v>2015.547</v>
      </c>
      <c r="O78" s="727">
        <f>2392708/1000</f>
        <v>2392.7080000000001</v>
      </c>
      <c r="P78" s="727">
        <v>3247.384</v>
      </c>
      <c r="Q78" s="727">
        <f>3885617*(10^(-3))</f>
        <v>3885.6170000000002</v>
      </c>
      <c r="R78" s="727">
        <v>4781.8919999999998</v>
      </c>
      <c r="S78" s="727">
        <v>5326.55</v>
      </c>
      <c r="T78" s="727">
        <v>5573.2089999999998</v>
      </c>
      <c r="U78" s="727">
        <v>5481.5240000000003</v>
      </c>
      <c r="V78" s="727">
        <v>6136.8310000000001</v>
      </c>
      <c r="W78" s="727">
        <v>5988.280999999999</v>
      </c>
      <c r="X78" s="727">
        <f>6230.03</f>
        <v>6230.03</v>
      </c>
    </row>
    <row r="79" spans="1:24" x14ac:dyDescent="0.35">
      <c r="A79" s="872" t="s">
        <v>1615</v>
      </c>
      <c r="B79" s="1648" t="s">
        <v>44</v>
      </c>
      <c r="C79" s="728"/>
      <c r="D79" s="728"/>
      <c r="E79" s="726"/>
      <c r="F79" s="726">
        <v>29.728999999999999</v>
      </c>
      <c r="G79" s="726">
        <v>37.128</v>
      </c>
      <c r="H79" s="726">
        <v>21.956</v>
      </c>
      <c r="I79" s="726"/>
      <c r="J79" s="726">
        <v>357.71600000000001</v>
      </c>
      <c r="K79" s="726">
        <v>48.78</v>
      </c>
      <c r="L79" s="726">
        <v>261.88900000000001</v>
      </c>
      <c r="M79" s="726">
        <v>587.26900000000001</v>
      </c>
      <c r="N79" s="727">
        <f>808197/1000</f>
        <v>808.197</v>
      </c>
      <c r="O79" s="727">
        <f>1455620/1000</f>
        <v>1455.62</v>
      </c>
      <c r="P79" s="727">
        <v>2580.59</v>
      </c>
      <c r="Q79" s="727">
        <f>2795832*(10^(-3))</f>
        <v>2795.8319999999999</v>
      </c>
      <c r="R79" s="727">
        <v>10040.968000000001</v>
      </c>
      <c r="S79" s="727">
        <v>9707.491</v>
      </c>
      <c r="T79" s="727">
        <v>10104.945</v>
      </c>
      <c r="U79" s="727">
        <v>13719.656999999999</v>
      </c>
      <c r="V79" s="727">
        <v>16515.007000000001</v>
      </c>
      <c r="W79" s="727">
        <v>13295.755999999999</v>
      </c>
      <c r="X79" s="727">
        <f>15096.37</f>
        <v>15096.37</v>
      </c>
    </row>
    <row r="80" spans="1:24" x14ac:dyDescent="0.35">
      <c r="A80" s="872" t="s">
        <v>825</v>
      </c>
      <c r="B80" s="1648" t="s">
        <v>3107</v>
      </c>
      <c r="C80" s="728"/>
      <c r="D80" s="728"/>
      <c r="E80" s="726"/>
      <c r="F80" s="726"/>
      <c r="G80" s="726"/>
      <c r="H80" s="726"/>
      <c r="I80" s="726"/>
      <c r="J80" s="726">
        <v>940.15099999999995</v>
      </c>
      <c r="K80" s="726"/>
      <c r="L80" s="726"/>
      <c r="M80" s="726"/>
      <c r="N80" s="726"/>
      <c r="O80" s="726"/>
      <c r="P80" s="726">
        <v>0</v>
      </c>
      <c r="Q80" s="726"/>
      <c r="R80" s="726"/>
      <c r="S80" s="726"/>
      <c r="T80" s="726"/>
      <c r="U80" s="726"/>
      <c r="V80" s="726"/>
      <c r="W80" s="726"/>
      <c r="X80" s="726"/>
    </row>
    <row r="81" spans="1:24" x14ac:dyDescent="0.35">
      <c r="A81" s="872" t="s">
        <v>47</v>
      </c>
      <c r="B81" s="1648" t="s">
        <v>46</v>
      </c>
      <c r="C81" s="728"/>
      <c r="D81" s="728"/>
      <c r="E81" s="727">
        <v>0.17899999999999999</v>
      </c>
      <c r="F81" s="726">
        <v>0.17499999999999999</v>
      </c>
      <c r="G81" s="726">
        <v>0.16200000000000001</v>
      </c>
      <c r="H81" s="726">
        <v>7.3999999999999996E-2</v>
      </c>
      <c r="I81" s="726"/>
      <c r="J81" s="726"/>
      <c r="K81" s="726">
        <v>1.1579999999999999</v>
      </c>
      <c r="L81" s="726">
        <v>1.087</v>
      </c>
      <c r="M81" s="726">
        <v>0.998</v>
      </c>
      <c r="N81" s="727">
        <v>0.95099999999999996</v>
      </c>
      <c r="O81" s="727">
        <f>774/1000</f>
        <v>0.77400000000000002</v>
      </c>
      <c r="P81" s="727">
        <v>0.86499999999999999</v>
      </c>
      <c r="Q81" s="727">
        <f>793*(10^(-3))</f>
        <v>0.79300000000000004</v>
      </c>
      <c r="R81" s="727">
        <v>24.853999999999999</v>
      </c>
      <c r="S81" s="727">
        <v>27.498999999999999</v>
      </c>
      <c r="T81" s="727">
        <v>51.154000000000003</v>
      </c>
      <c r="U81" s="727">
        <v>86.671000000000006</v>
      </c>
      <c r="V81" s="727">
        <v>114.435</v>
      </c>
      <c r="W81" s="727">
        <v>124.53199999999998</v>
      </c>
      <c r="X81" s="727">
        <f>111.1</f>
        <v>111.1</v>
      </c>
    </row>
    <row r="82" spans="1:24" x14ac:dyDescent="0.35">
      <c r="A82" s="872" t="s">
        <v>1509</v>
      </c>
      <c r="B82" s="1648" t="s">
        <v>3108</v>
      </c>
      <c r="C82" s="728"/>
      <c r="D82" s="728"/>
      <c r="E82" s="727">
        <v>14.275</v>
      </c>
      <c r="F82" s="726"/>
      <c r="G82" s="726"/>
      <c r="H82" s="726"/>
      <c r="I82" s="726"/>
      <c r="J82" s="726"/>
      <c r="K82" s="726"/>
      <c r="L82" s="726"/>
      <c r="M82" s="726"/>
      <c r="N82" s="726"/>
      <c r="O82" s="726"/>
      <c r="P82" s="726">
        <v>0</v>
      </c>
      <c r="Q82" s="726"/>
      <c r="R82" s="726"/>
      <c r="S82" s="726"/>
      <c r="T82" s="726"/>
      <c r="U82" s="726"/>
      <c r="V82" s="726"/>
      <c r="W82" s="726"/>
      <c r="X82" s="726"/>
    </row>
    <row r="83" spans="1:24" x14ac:dyDescent="0.35">
      <c r="A83" s="464" t="s">
        <v>2362</v>
      </c>
      <c r="B83" s="1648" t="s">
        <v>3109</v>
      </c>
      <c r="C83" s="728"/>
      <c r="D83" s="728"/>
      <c r="E83" s="727"/>
      <c r="F83" s="726"/>
      <c r="G83" s="726"/>
      <c r="H83" s="726"/>
      <c r="I83" s="726"/>
      <c r="J83" s="726"/>
      <c r="K83" s="726"/>
      <c r="L83" s="726">
        <v>4723.1210000000001</v>
      </c>
      <c r="M83" s="726">
        <v>7438.1350000000002</v>
      </c>
      <c r="N83" s="726">
        <v>0</v>
      </c>
      <c r="O83" s="726"/>
      <c r="P83" s="726">
        <v>3898.357</v>
      </c>
      <c r="Q83" s="727">
        <f>0*(10^(-3))</f>
        <v>0</v>
      </c>
      <c r="R83" s="727"/>
      <c r="S83" s="727"/>
      <c r="T83" s="727"/>
      <c r="U83" s="727"/>
      <c r="V83" s="727"/>
      <c r="W83" s="727"/>
      <c r="X83" s="727"/>
    </row>
    <row r="84" spans="1:24" x14ac:dyDescent="0.35">
      <c r="A84" s="464"/>
      <c r="B84" s="1648" t="s">
        <v>2655</v>
      </c>
      <c r="C84" s="728"/>
      <c r="D84" s="728"/>
      <c r="E84" s="727"/>
      <c r="F84" s="726"/>
      <c r="G84" s="726"/>
      <c r="H84" s="726"/>
      <c r="I84" s="726"/>
      <c r="J84" s="726"/>
      <c r="K84" s="726"/>
      <c r="L84" s="726"/>
      <c r="M84" s="726"/>
      <c r="N84" s="726"/>
      <c r="O84" s="726"/>
      <c r="P84" s="726"/>
      <c r="Q84" s="727"/>
      <c r="R84" s="727"/>
      <c r="S84" s="727"/>
      <c r="T84" s="727">
        <v>4286.1549999999997</v>
      </c>
      <c r="U84" s="727">
        <v>2980.1840000000002</v>
      </c>
      <c r="V84" s="727">
        <v>2753.3040000000001</v>
      </c>
      <c r="W84" s="727">
        <v>2460</v>
      </c>
      <c r="X84" s="727">
        <f>1099.76</f>
        <v>1099.76</v>
      </c>
    </row>
    <row r="85" spans="1:24" x14ac:dyDescent="0.35">
      <c r="A85" s="720" t="s">
        <v>1616</v>
      </c>
      <c r="B85" s="1644" t="s">
        <v>111</v>
      </c>
      <c r="C85" s="733"/>
      <c r="D85" s="733"/>
      <c r="E85" s="733">
        <f t="shared" ref="E85:X85" si="8">SUM(E68:E84)</f>
        <v>4433.661000000001</v>
      </c>
      <c r="F85" s="733">
        <f t="shared" si="8"/>
        <v>5244.5260000000007</v>
      </c>
      <c r="G85" s="733">
        <f t="shared" si="8"/>
        <v>5223.88</v>
      </c>
      <c r="H85" s="733">
        <f t="shared" si="8"/>
        <v>5275.4919999999993</v>
      </c>
      <c r="I85" s="733">
        <f t="shared" si="8"/>
        <v>8232.2630000000008</v>
      </c>
      <c r="J85" s="733">
        <f t="shared" si="8"/>
        <v>11576.848000000002</v>
      </c>
      <c r="K85" s="733">
        <f t="shared" si="8"/>
        <v>12475.474000000002</v>
      </c>
      <c r="L85" s="733">
        <f t="shared" si="8"/>
        <v>22761.392</v>
      </c>
      <c r="M85" s="733">
        <f t="shared" si="8"/>
        <v>31221.072</v>
      </c>
      <c r="N85" s="733">
        <f t="shared" si="8"/>
        <v>31706.669000000002</v>
      </c>
      <c r="O85" s="733">
        <f t="shared" si="8"/>
        <v>39716.114000000001</v>
      </c>
      <c r="P85" s="733">
        <f t="shared" si="8"/>
        <v>52807.711999999985</v>
      </c>
      <c r="Q85" s="733">
        <f t="shared" si="8"/>
        <v>53629.989000000001</v>
      </c>
      <c r="R85" s="733">
        <f t="shared" si="8"/>
        <v>71105.77</v>
      </c>
      <c r="S85" s="733">
        <f t="shared" si="8"/>
        <v>79939.491999999998</v>
      </c>
      <c r="T85" s="733">
        <f t="shared" si="8"/>
        <v>92922.447999999989</v>
      </c>
      <c r="U85" s="733">
        <f t="shared" si="8"/>
        <v>102824.64200000001</v>
      </c>
      <c r="V85" s="733">
        <f t="shared" si="8"/>
        <v>115355.49500000002</v>
      </c>
      <c r="W85" s="733">
        <f t="shared" si="8"/>
        <v>125960.56100000002</v>
      </c>
      <c r="X85" s="733">
        <f t="shared" si="8"/>
        <v>129884.28000000001</v>
      </c>
    </row>
    <row r="86" spans="1:24" x14ac:dyDescent="0.35">
      <c r="A86" s="872"/>
      <c r="B86" s="1648"/>
      <c r="C86" s="728"/>
      <c r="D86" s="728"/>
      <c r="E86" s="728"/>
      <c r="F86" s="728"/>
      <c r="G86" s="728"/>
      <c r="H86" s="728"/>
      <c r="I86" s="728"/>
      <c r="J86" s="728"/>
      <c r="K86" s="728"/>
      <c r="L86" s="728"/>
      <c r="M86" s="728"/>
      <c r="N86" s="728"/>
      <c r="O86" s="728"/>
      <c r="P86" s="728"/>
      <c r="Q86" s="728"/>
      <c r="R86" s="728"/>
      <c r="S86" s="728"/>
      <c r="T86" s="728"/>
      <c r="U86" s="728"/>
      <c r="V86" s="728"/>
      <c r="W86" s="728"/>
      <c r="X86" s="728"/>
    </row>
    <row r="87" spans="1:24" x14ac:dyDescent="0.35">
      <c r="A87" s="720" t="s">
        <v>1622</v>
      </c>
      <c r="B87" s="1644" t="s">
        <v>585</v>
      </c>
      <c r="C87" s="733"/>
      <c r="D87" s="733"/>
      <c r="E87" s="733">
        <f t="shared" ref="E87:X87" si="9">E65+E85</f>
        <v>4433.9390000000012</v>
      </c>
      <c r="F87" s="733">
        <f t="shared" si="9"/>
        <v>5451.8240000000005</v>
      </c>
      <c r="G87" s="733">
        <f t="shared" si="9"/>
        <v>6460.4070000000002</v>
      </c>
      <c r="H87" s="733">
        <f t="shared" si="9"/>
        <v>8854.6999999999989</v>
      </c>
      <c r="I87" s="733">
        <f t="shared" si="9"/>
        <v>14056.022000000001</v>
      </c>
      <c r="J87" s="733">
        <f t="shared" si="9"/>
        <v>17236.068000000003</v>
      </c>
      <c r="K87" s="733">
        <f t="shared" si="9"/>
        <v>23359.827000000005</v>
      </c>
      <c r="L87" s="733">
        <f t="shared" si="9"/>
        <v>36263.338000000003</v>
      </c>
      <c r="M87" s="733">
        <f t="shared" si="9"/>
        <v>46581.445</v>
      </c>
      <c r="N87" s="733">
        <f t="shared" si="9"/>
        <v>49819.279000000002</v>
      </c>
      <c r="O87" s="733">
        <f t="shared" si="9"/>
        <v>60504.127</v>
      </c>
      <c r="P87" s="733">
        <f t="shared" si="9"/>
        <v>80055.361999999979</v>
      </c>
      <c r="Q87" s="733">
        <f t="shared" si="9"/>
        <v>93043.841</v>
      </c>
      <c r="R87" s="733">
        <f t="shared" si="9"/>
        <v>110516.338</v>
      </c>
      <c r="S87" s="733">
        <f t="shared" si="9"/>
        <v>128531.76</v>
      </c>
      <c r="T87" s="733">
        <f t="shared" si="9"/>
        <v>153068.15399999998</v>
      </c>
      <c r="U87" s="733">
        <f t="shared" si="9"/>
        <v>161053.67500000002</v>
      </c>
      <c r="V87" s="733">
        <f t="shared" si="9"/>
        <v>174997.06600000002</v>
      </c>
      <c r="W87" s="733">
        <f t="shared" si="9"/>
        <v>192364.86200000002</v>
      </c>
      <c r="X87" s="733">
        <f t="shared" si="9"/>
        <v>200312.25</v>
      </c>
    </row>
    <row r="88" spans="1:24" x14ac:dyDescent="0.35">
      <c r="C88" s="863"/>
      <c r="D88" s="863"/>
      <c r="E88" s="863"/>
      <c r="F88" s="863"/>
      <c r="G88" s="728"/>
      <c r="H88" s="728"/>
      <c r="I88" s="728"/>
      <c r="J88" s="728"/>
      <c r="K88" s="728"/>
      <c r="L88" s="728"/>
      <c r="M88" s="728"/>
      <c r="N88" s="728"/>
      <c r="O88" s="728"/>
      <c r="P88" s="728"/>
      <c r="Q88" s="728"/>
      <c r="R88" s="728"/>
      <c r="S88" s="728"/>
      <c r="T88" s="728"/>
      <c r="U88" s="728"/>
      <c r="V88" s="728"/>
      <c r="W88" s="728"/>
      <c r="X88" s="728"/>
    </row>
    <row r="89" spans="1:24" x14ac:dyDescent="0.35">
      <c r="A89" s="720" t="s">
        <v>1028</v>
      </c>
      <c r="B89" s="1644" t="s">
        <v>3110</v>
      </c>
      <c r="C89" s="728"/>
      <c r="D89" s="728"/>
      <c r="E89" s="728"/>
      <c r="F89" s="728"/>
      <c r="G89" s="728"/>
      <c r="H89" s="728"/>
      <c r="I89" s="728"/>
      <c r="J89" s="728"/>
      <c r="K89" s="728"/>
      <c r="L89" s="728"/>
      <c r="M89" s="728"/>
      <c r="N89" s="728"/>
      <c r="O89" s="728"/>
      <c r="P89" s="728"/>
      <c r="Q89" s="728"/>
      <c r="R89" s="728"/>
      <c r="S89" s="728"/>
      <c r="T89" s="728"/>
      <c r="U89" s="728"/>
      <c r="V89" s="728"/>
      <c r="W89" s="728"/>
      <c r="X89" s="728"/>
    </row>
    <row r="90" spans="1:24" x14ac:dyDescent="0.35">
      <c r="A90" s="872" t="s">
        <v>1623</v>
      </c>
      <c r="B90" s="1648" t="s">
        <v>3111</v>
      </c>
      <c r="C90" s="728"/>
      <c r="D90" s="728"/>
      <c r="E90" s="728"/>
      <c r="F90" s="728"/>
      <c r="G90" s="728"/>
      <c r="H90" s="728"/>
      <c r="I90" s="728"/>
      <c r="J90" s="728"/>
      <c r="K90" s="728"/>
      <c r="L90" s="728"/>
      <c r="M90" s="728"/>
      <c r="N90" s="728"/>
      <c r="O90" s="728"/>
      <c r="P90" s="728"/>
      <c r="Q90" s="728"/>
      <c r="R90" s="728"/>
      <c r="S90" s="728"/>
      <c r="T90" s="728"/>
      <c r="U90" s="728"/>
      <c r="V90" s="728"/>
      <c r="W90" s="728"/>
      <c r="X90" s="728"/>
    </row>
    <row r="91" spans="1:24" x14ac:dyDescent="0.35">
      <c r="A91" s="872" t="s">
        <v>1624</v>
      </c>
      <c r="B91" s="1648" t="s">
        <v>3112</v>
      </c>
      <c r="C91" s="728"/>
      <c r="D91" s="728"/>
      <c r="E91" s="727">
        <v>49.896000000000001</v>
      </c>
      <c r="F91" s="726">
        <v>60.820999999999998</v>
      </c>
      <c r="G91" s="726">
        <v>61.119</v>
      </c>
      <c r="H91" s="726">
        <v>73.864000000000004</v>
      </c>
      <c r="I91" s="726">
        <v>74.486000000000004</v>
      </c>
      <c r="J91" s="726">
        <v>89.668000000000006</v>
      </c>
      <c r="K91" s="726">
        <v>97.186000000000007</v>
      </c>
      <c r="L91" s="726">
        <v>97.218999999999994</v>
      </c>
      <c r="M91" s="726">
        <v>100.31</v>
      </c>
      <c r="N91" s="727">
        <v>101.408</v>
      </c>
      <c r="O91" s="727">
        <f>112203/1000</f>
        <v>112.203</v>
      </c>
      <c r="P91" s="727">
        <f>126229/1000</f>
        <v>126.229</v>
      </c>
      <c r="Q91" s="727">
        <f>126229*(10^(-3))</f>
        <v>126.229</v>
      </c>
      <c r="R91" s="727">
        <v>126.229</v>
      </c>
      <c r="S91" s="727">
        <v>126.229</v>
      </c>
      <c r="T91" s="727">
        <v>125.94</v>
      </c>
      <c r="U91" s="727">
        <v>125.94</v>
      </c>
      <c r="V91" s="727">
        <v>125.94</v>
      </c>
      <c r="W91" s="727">
        <v>118.09800000000001</v>
      </c>
      <c r="X91" s="727">
        <f>123.8</f>
        <v>123.8</v>
      </c>
    </row>
    <row r="92" spans="1:24" x14ac:dyDescent="0.35">
      <c r="A92" s="872" t="s">
        <v>1625</v>
      </c>
      <c r="B92" s="1648" t="s">
        <v>1679</v>
      </c>
      <c r="C92" s="728"/>
      <c r="D92" s="728"/>
      <c r="E92" s="727">
        <v>924.30499999999995</v>
      </c>
      <c r="F92" s="727">
        <v>2094.8620000000001</v>
      </c>
      <c r="G92" s="726">
        <v>2462.1379999999999</v>
      </c>
      <c r="H92" s="726">
        <v>4230.9179999999997</v>
      </c>
      <c r="I92" s="726">
        <v>4544.9639999999999</v>
      </c>
      <c r="J92" s="726">
        <v>9400.6839999999993</v>
      </c>
      <c r="K92" s="726">
        <v>13412.638000000001</v>
      </c>
      <c r="L92" s="726">
        <v>15836.416999999999</v>
      </c>
      <c r="M92" s="726">
        <v>19729.786</v>
      </c>
      <c r="N92" s="727">
        <f>23083146/1000</f>
        <v>23083.146000000001</v>
      </c>
      <c r="O92" s="727">
        <f>25335755/1000</f>
        <v>25335.755000000001</v>
      </c>
      <c r="P92" s="727">
        <f>37961400/1000</f>
        <v>37961.4</v>
      </c>
      <c r="Q92" s="727">
        <f>38328139*(10^(-3))</f>
        <v>38328.139000000003</v>
      </c>
      <c r="R92" s="727">
        <v>42021.940999999999</v>
      </c>
      <c r="S92" s="727">
        <v>48967.544999999998</v>
      </c>
      <c r="T92" s="727">
        <v>56320.224999999999</v>
      </c>
      <c r="U92" s="727">
        <v>57664.220999999998</v>
      </c>
      <c r="V92" s="727">
        <v>61597.478999999999</v>
      </c>
      <c r="W92" s="727">
        <v>61737.271000000001</v>
      </c>
      <c r="X92" s="727">
        <f>70278.73</f>
        <v>70278.73</v>
      </c>
    </row>
    <row r="93" spans="1:24" x14ac:dyDescent="0.35">
      <c r="A93" s="872" t="s">
        <v>1626</v>
      </c>
      <c r="B93" s="1648" t="s">
        <v>3113</v>
      </c>
      <c r="C93" s="728"/>
      <c r="D93" s="728"/>
      <c r="E93" s="727"/>
      <c r="F93" s="726"/>
      <c r="G93" s="726"/>
      <c r="H93" s="726"/>
      <c r="I93" s="726"/>
      <c r="J93" s="726"/>
      <c r="K93" s="726"/>
      <c r="L93" s="726"/>
      <c r="M93" s="726"/>
      <c r="N93" s="726"/>
      <c r="O93" s="726"/>
      <c r="P93" s="726"/>
      <c r="Q93" s="726"/>
      <c r="R93" s="726"/>
      <c r="S93" s="726"/>
      <c r="T93" s="726"/>
      <c r="U93" s="726"/>
      <c r="V93" s="726"/>
      <c r="W93" s="726"/>
      <c r="X93" s="726"/>
    </row>
    <row r="94" spans="1:24" x14ac:dyDescent="0.35">
      <c r="A94" s="872" t="s">
        <v>1627</v>
      </c>
      <c r="B94" s="1648" t="s">
        <v>511</v>
      </c>
      <c r="C94" s="728"/>
      <c r="D94" s="728"/>
      <c r="E94" s="674"/>
      <c r="F94" s="728"/>
      <c r="G94" s="728"/>
      <c r="H94" s="728"/>
      <c r="I94" s="728"/>
      <c r="J94" s="728"/>
      <c r="K94" s="728"/>
      <c r="L94" s="728"/>
      <c r="M94" s="728"/>
      <c r="N94" s="728"/>
      <c r="O94" s="728"/>
      <c r="P94" s="728"/>
      <c r="Q94" s="728"/>
      <c r="R94" s="728"/>
      <c r="S94" s="728"/>
      <c r="T94" s="728"/>
      <c r="U94" s="728"/>
      <c r="V94" s="728"/>
      <c r="W94" s="728"/>
      <c r="X94" s="728"/>
    </row>
    <row r="95" spans="1:24" x14ac:dyDescent="0.35">
      <c r="A95" s="946" t="s">
        <v>1623</v>
      </c>
      <c r="B95" s="1718" t="s">
        <v>3111</v>
      </c>
      <c r="C95" s="733"/>
      <c r="D95" s="733">
        <v>827.80600000000004</v>
      </c>
      <c r="E95" s="733">
        <f t="shared" ref="E95:X95" si="10">E91+E92</f>
        <v>974.20099999999991</v>
      </c>
      <c r="F95" s="733">
        <f t="shared" si="10"/>
        <v>2155.683</v>
      </c>
      <c r="G95" s="733">
        <f t="shared" si="10"/>
        <v>2523.2570000000001</v>
      </c>
      <c r="H95" s="733">
        <f t="shared" si="10"/>
        <v>4304.7819999999992</v>
      </c>
      <c r="I95" s="733">
        <f t="shared" si="10"/>
        <v>4619.45</v>
      </c>
      <c r="J95" s="733">
        <f t="shared" si="10"/>
        <v>9490.351999999999</v>
      </c>
      <c r="K95" s="733">
        <f t="shared" si="10"/>
        <v>13509.824000000001</v>
      </c>
      <c r="L95" s="733">
        <f t="shared" si="10"/>
        <v>15933.635999999999</v>
      </c>
      <c r="M95" s="733">
        <f t="shared" si="10"/>
        <v>19830.096000000001</v>
      </c>
      <c r="N95" s="733">
        <f t="shared" si="10"/>
        <v>23184.554</v>
      </c>
      <c r="O95" s="733">
        <f t="shared" si="10"/>
        <v>25447.958000000002</v>
      </c>
      <c r="P95" s="733">
        <f t="shared" si="10"/>
        <v>38087.629000000001</v>
      </c>
      <c r="Q95" s="733">
        <f t="shared" si="10"/>
        <v>38454.368000000002</v>
      </c>
      <c r="R95" s="733">
        <f t="shared" si="10"/>
        <v>42148.17</v>
      </c>
      <c r="S95" s="733">
        <f t="shared" si="10"/>
        <v>49093.773999999998</v>
      </c>
      <c r="T95" s="733">
        <f t="shared" si="10"/>
        <v>56446.165000000001</v>
      </c>
      <c r="U95" s="733">
        <f t="shared" si="10"/>
        <v>57790.161</v>
      </c>
      <c r="V95" s="733">
        <f t="shared" si="10"/>
        <v>61723.419000000002</v>
      </c>
      <c r="W95" s="733">
        <f t="shared" si="10"/>
        <v>61855.368999999999</v>
      </c>
      <c r="X95" s="733">
        <f t="shared" si="10"/>
        <v>70402.53</v>
      </c>
    </row>
    <row r="96" spans="1:24" x14ac:dyDescent="0.35">
      <c r="A96" s="946"/>
      <c r="B96" s="1648" t="s">
        <v>2363</v>
      </c>
      <c r="C96" s="733"/>
      <c r="D96" s="733"/>
      <c r="E96" s="733"/>
      <c r="F96" s="733"/>
      <c r="G96" s="733"/>
      <c r="H96" s="733"/>
      <c r="I96" s="733"/>
      <c r="J96" s="733"/>
      <c r="K96" s="733"/>
      <c r="L96" s="733"/>
      <c r="M96" s="733"/>
      <c r="N96" s="733"/>
      <c r="O96" s="733"/>
      <c r="P96" s="733"/>
      <c r="Q96" s="727">
        <f>3878468*(10^(-3))</f>
        <v>3878.4680000000003</v>
      </c>
      <c r="R96" s="727">
        <v>7781.9620000000004</v>
      </c>
      <c r="S96" s="727">
        <v>7799.2079999999996</v>
      </c>
      <c r="T96" s="727">
        <v>7793.93</v>
      </c>
      <c r="U96" s="727">
        <v>7801.1540000000005</v>
      </c>
      <c r="V96" s="727">
        <v>10017.781999999999</v>
      </c>
      <c r="W96" s="727">
        <v>6738.9820000000009</v>
      </c>
      <c r="X96" s="727">
        <f>6741.71</f>
        <v>6741.71</v>
      </c>
    </row>
    <row r="97" spans="1:24" x14ac:dyDescent="0.35">
      <c r="A97" s="872" t="s">
        <v>310</v>
      </c>
      <c r="B97" s="1648" t="s">
        <v>321</v>
      </c>
      <c r="C97" s="728"/>
      <c r="D97" s="728"/>
      <c r="E97" s="726"/>
      <c r="F97" s="726"/>
      <c r="G97" s="726"/>
      <c r="H97" s="726"/>
      <c r="I97" s="726">
        <v>3.95</v>
      </c>
      <c r="J97" s="726">
        <v>6.7240000000000002</v>
      </c>
      <c r="K97" s="726">
        <v>343.14400000000001</v>
      </c>
      <c r="L97" s="726">
        <f>253.237+0.5</f>
        <v>253.73699999999999</v>
      </c>
      <c r="M97" s="726">
        <v>167.566</v>
      </c>
      <c r="N97" s="727">
        <v>100.262</v>
      </c>
      <c r="O97" s="727">
        <f>222360/1000</f>
        <v>222.36</v>
      </c>
      <c r="P97" s="727">
        <f>375282/1000</f>
        <v>375.28199999999998</v>
      </c>
      <c r="Q97" s="727">
        <f>745414*(10^(-3))</f>
        <v>745.41399999999999</v>
      </c>
      <c r="R97" s="727">
        <v>977.43299999999999</v>
      </c>
      <c r="S97" s="727">
        <v>1386.5650000000001</v>
      </c>
      <c r="T97" s="727">
        <v>1976.1759999999999</v>
      </c>
      <c r="U97" s="727">
        <v>2205.1390000000001</v>
      </c>
      <c r="V97" s="727">
        <v>2536.4180000000001</v>
      </c>
      <c r="W97" s="727">
        <v>2478.6689999999999</v>
      </c>
      <c r="X97" s="727">
        <f>3232.83</f>
        <v>3232.83</v>
      </c>
    </row>
    <row r="98" spans="1:24" x14ac:dyDescent="0.35">
      <c r="A98" s="720" t="s">
        <v>1628</v>
      </c>
      <c r="B98" s="1644" t="s">
        <v>3114</v>
      </c>
      <c r="C98" s="733"/>
      <c r="D98" s="733"/>
      <c r="E98" s="733">
        <f>E95+E97</f>
        <v>974.20099999999991</v>
      </c>
      <c r="F98" s="733">
        <f>F95+F97</f>
        <v>2155.683</v>
      </c>
      <c r="G98" s="733">
        <f>G95+G97</f>
        <v>2523.2570000000001</v>
      </c>
      <c r="H98" s="733">
        <f>H95+H97</f>
        <v>4304.7819999999992</v>
      </c>
      <c r="I98" s="733">
        <v>4623.3999999999996</v>
      </c>
      <c r="J98" s="733">
        <v>9497.0759999999991</v>
      </c>
      <c r="K98" s="733">
        <v>13852.968000000001</v>
      </c>
      <c r="L98" s="733">
        <f>L95+L97</f>
        <v>16187.372999999998</v>
      </c>
      <c r="M98" s="733">
        <f>M95+M97</f>
        <v>19997.662</v>
      </c>
      <c r="N98" s="733">
        <f>N95+N97</f>
        <v>23284.815999999999</v>
      </c>
      <c r="O98" s="733">
        <f>O95+O97</f>
        <v>25670.318000000003</v>
      </c>
      <c r="P98" s="733">
        <f>P95+P97</f>
        <v>38462.911</v>
      </c>
      <c r="Q98" s="733">
        <f t="shared" ref="Q98:X98" si="11">Q95+Q97+Q96</f>
        <v>43078.25</v>
      </c>
      <c r="R98" s="733">
        <f t="shared" si="11"/>
        <v>50907.564999999995</v>
      </c>
      <c r="S98" s="733">
        <f t="shared" si="11"/>
        <v>58279.546999999999</v>
      </c>
      <c r="T98" s="733">
        <f t="shared" si="11"/>
        <v>66216.271000000008</v>
      </c>
      <c r="U98" s="733">
        <f t="shared" si="11"/>
        <v>67796.453999999998</v>
      </c>
      <c r="V98" s="733">
        <f t="shared" si="11"/>
        <v>74277.619000000006</v>
      </c>
      <c r="W98" s="733">
        <f t="shared" si="11"/>
        <v>71073.02</v>
      </c>
      <c r="X98" s="733">
        <f t="shared" si="11"/>
        <v>80377.070000000007</v>
      </c>
    </row>
    <row r="99" spans="1:24" x14ac:dyDescent="0.35">
      <c r="C99" s="728"/>
      <c r="D99" s="728"/>
      <c r="E99" s="728"/>
      <c r="F99" s="728"/>
      <c r="G99" s="728"/>
      <c r="H99" s="728"/>
      <c r="I99" s="728"/>
      <c r="J99" s="728"/>
      <c r="K99" s="728"/>
      <c r="L99" s="728"/>
      <c r="M99" s="728"/>
      <c r="N99" s="728"/>
      <c r="O99" s="728"/>
      <c r="P99" s="728"/>
      <c r="Q99" s="728"/>
      <c r="R99" s="728"/>
      <c r="S99" s="728"/>
      <c r="T99" s="728"/>
      <c r="U99" s="728"/>
      <c r="V99" s="728"/>
      <c r="W99" s="728"/>
      <c r="X99" s="728"/>
    </row>
    <row r="100" spans="1:24" x14ac:dyDescent="0.35">
      <c r="A100" s="720" t="s">
        <v>1629</v>
      </c>
      <c r="B100" s="1644" t="s">
        <v>3115</v>
      </c>
      <c r="C100" s="651"/>
      <c r="D100" s="651"/>
      <c r="E100" s="651">
        <f t="shared" ref="E100:X100" si="12">E87+E98</f>
        <v>5408.1400000000012</v>
      </c>
      <c r="F100" s="651">
        <f t="shared" si="12"/>
        <v>7607.5070000000005</v>
      </c>
      <c r="G100" s="651">
        <f t="shared" si="12"/>
        <v>8983.6640000000007</v>
      </c>
      <c r="H100" s="651">
        <f t="shared" si="12"/>
        <v>13159.481999999998</v>
      </c>
      <c r="I100" s="651">
        <f t="shared" si="12"/>
        <v>18679.421999999999</v>
      </c>
      <c r="J100" s="651">
        <f t="shared" si="12"/>
        <v>26733.144</v>
      </c>
      <c r="K100" s="651">
        <f t="shared" si="12"/>
        <v>37212.795000000006</v>
      </c>
      <c r="L100" s="651">
        <f t="shared" si="12"/>
        <v>52450.711000000003</v>
      </c>
      <c r="M100" s="651">
        <f t="shared" si="12"/>
        <v>66579.107000000004</v>
      </c>
      <c r="N100" s="651">
        <f t="shared" si="12"/>
        <v>73104.095000000001</v>
      </c>
      <c r="O100" s="651">
        <f t="shared" si="12"/>
        <v>86174.445000000007</v>
      </c>
      <c r="P100" s="651">
        <f t="shared" si="12"/>
        <v>118518.27299999999</v>
      </c>
      <c r="Q100" s="651">
        <f t="shared" si="12"/>
        <v>136122.09100000001</v>
      </c>
      <c r="R100" s="651">
        <f t="shared" si="12"/>
        <v>161423.90299999999</v>
      </c>
      <c r="S100" s="651">
        <f t="shared" si="12"/>
        <v>186811.307</v>
      </c>
      <c r="T100" s="651">
        <f t="shared" si="12"/>
        <v>219284.42499999999</v>
      </c>
      <c r="U100" s="651">
        <f t="shared" si="12"/>
        <v>228850.12900000002</v>
      </c>
      <c r="V100" s="651">
        <f t="shared" si="12"/>
        <v>249274.68500000003</v>
      </c>
      <c r="W100" s="651">
        <f t="shared" si="12"/>
        <v>263437.88200000004</v>
      </c>
      <c r="X100" s="651">
        <f t="shared" si="12"/>
        <v>280689.32</v>
      </c>
    </row>
    <row r="101" spans="1:24" x14ac:dyDescent="0.35">
      <c r="C101" s="674"/>
      <c r="D101" s="674"/>
      <c r="E101" s="674"/>
      <c r="F101" s="674"/>
      <c r="G101" s="674"/>
      <c r="H101" s="674"/>
      <c r="I101" s="674"/>
      <c r="J101" s="674"/>
      <c r="K101" s="674"/>
      <c r="L101" s="674"/>
      <c r="M101" s="728"/>
      <c r="N101" s="728"/>
      <c r="O101" s="728"/>
      <c r="P101" s="728"/>
      <c r="Q101" s="728"/>
      <c r="R101" s="728"/>
      <c r="S101" s="728"/>
      <c r="T101" s="728"/>
      <c r="U101" s="728"/>
      <c r="V101" s="728"/>
      <c r="W101" s="728"/>
      <c r="X101" s="728"/>
    </row>
    <row r="102" spans="1:24" x14ac:dyDescent="0.35">
      <c r="A102" s="331" t="s">
        <v>1630</v>
      </c>
      <c r="B102" s="1644" t="s">
        <v>3116</v>
      </c>
      <c r="C102" s="651"/>
      <c r="D102" s="651"/>
      <c r="E102" s="651">
        <f t="shared" ref="E102:X102" si="13">E51-E85</f>
        <v>786.67899999999918</v>
      </c>
      <c r="F102" s="651">
        <f t="shared" si="13"/>
        <v>1027.8580000000002</v>
      </c>
      <c r="G102" s="651">
        <f t="shared" si="13"/>
        <v>1691.2239999999993</v>
      </c>
      <c r="H102" s="651">
        <f t="shared" si="13"/>
        <v>5181.5980000000009</v>
      </c>
      <c r="I102" s="651">
        <f t="shared" si="13"/>
        <v>684.50400000000081</v>
      </c>
      <c r="J102" s="651">
        <f t="shared" si="13"/>
        <v>2829.8989999999976</v>
      </c>
      <c r="K102" s="651">
        <f t="shared" si="13"/>
        <v>7962.4159999999974</v>
      </c>
      <c r="L102" s="651">
        <f t="shared" si="13"/>
        <v>6291.9809999999998</v>
      </c>
      <c r="M102" s="651">
        <f t="shared" si="13"/>
        <v>3108.5349999999962</v>
      </c>
      <c r="N102" s="651">
        <f t="shared" si="13"/>
        <v>711.79199999999764</v>
      </c>
      <c r="O102" s="651">
        <f t="shared" si="13"/>
        <v>427.60599999999977</v>
      </c>
      <c r="P102" s="651">
        <f t="shared" si="13"/>
        <v>2669.9250000000175</v>
      </c>
      <c r="Q102" s="651">
        <f t="shared" si="13"/>
        <v>6632.6789999999892</v>
      </c>
      <c r="R102" s="651">
        <f t="shared" si="13"/>
        <v>4393.8709999999992</v>
      </c>
      <c r="S102" s="651">
        <f t="shared" si="13"/>
        <v>8067.5489999999845</v>
      </c>
      <c r="T102" s="651">
        <f t="shared" si="13"/>
        <v>21034.455000000031</v>
      </c>
      <c r="U102" s="651">
        <f t="shared" si="13"/>
        <v>25355.720999999976</v>
      </c>
      <c r="V102" s="651">
        <f t="shared" si="13"/>
        <v>32567.784999999974</v>
      </c>
      <c r="W102" s="651">
        <f t="shared" si="13"/>
        <v>44698.081000000006</v>
      </c>
      <c r="X102" s="651">
        <f t="shared" si="13"/>
        <v>53183.023999999961</v>
      </c>
    </row>
    <row r="103" spans="1:24" x14ac:dyDescent="0.35">
      <c r="A103" s="331" t="s">
        <v>1631</v>
      </c>
      <c r="B103" s="1644" t="s">
        <v>3117</v>
      </c>
      <c r="C103" s="651"/>
      <c r="D103" s="651"/>
      <c r="E103" s="651">
        <f t="shared" ref="E103:X103" si="14">E53-E85</f>
        <v>974.47899999999936</v>
      </c>
      <c r="F103" s="651">
        <f t="shared" si="14"/>
        <v>2362.9810000000007</v>
      </c>
      <c r="G103" s="651">
        <f t="shared" si="14"/>
        <v>3759.7840000000006</v>
      </c>
      <c r="H103" s="651">
        <f t="shared" si="14"/>
        <v>7883.9900000000007</v>
      </c>
      <c r="I103" s="651">
        <f t="shared" si="14"/>
        <v>10447.158999999998</v>
      </c>
      <c r="J103" s="651">
        <f t="shared" si="14"/>
        <v>15156.295999999998</v>
      </c>
      <c r="K103" s="651">
        <f t="shared" si="14"/>
        <v>24737.320999999996</v>
      </c>
      <c r="L103" s="651">
        <f t="shared" si="14"/>
        <v>29689.271999999997</v>
      </c>
      <c r="M103" s="651">
        <f t="shared" si="14"/>
        <v>35358.034999999989</v>
      </c>
      <c r="N103" s="651">
        <f t="shared" si="14"/>
        <v>41397.425999999985</v>
      </c>
      <c r="O103" s="651">
        <f t="shared" si="14"/>
        <v>46458.330999999991</v>
      </c>
      <c r="P103" s="651">
        <f t="shared" si="14"/>
        <v>65710.561000000031</v>
      </c>
      <c r="Q103" s="651">
        <f t="shared" si="14"/>
        <v>82492.101999999984</v>
      </c>
      <c r="R103" s="651">
        <f t="shared" si="14"/>
        <v>90318.132999999987</v>
      </c>
      <c r="S103" s="651">
        <f t="shared" si="14"/>
        <v>106871.81499999997</v>
      </c>
      <c r="T103" s="651">
        <f t="shared" si="14"/>
        <v>126361.977</v>
      </c>
      <c r="U103" s="651">
        <f t="shared" si="14"/>
        <v>126025.48699999998</v>
      </c>
      <c r="V103" s="651">
        <f t="shared" si="14"/>
        <v>133919.18999999997</v>
      </c>
      <c r="W103" s="651">
        <f t="shared" si="14"/>
        <v>137477.32100000003</v>
      </c>
      <c r="X103" s="651">
        <f t="shared" si="14"/>
        <v>150805.04599999997</v>
      </c>
    </row>
    <row r="104" spans="1:24" x14ac:dyDescent="0.35">
      <c r="C104" s="674"/>
      <c r="D104" s="674"/>
      <c r="E104" s="674"/>
      <c r="F104" s="674"/>
      <c r="G104" s="674"/>
      <c r="H104" s="674"/>
      <c r="I104" s="674"/>
      <c r="J104" s="674"/>
      <c r="K104" s="674"/>
      <c r="L104" s="674"/>
      <c r="M104" s="728"/>
      <c r="N104" s="728"/>
      <c r="O104" s="728"/>
      <c r="P104" s="728"/>
      <c r="Q104" s="728"/>
      <c r="R104" s="728"/>
      <c r="S104" s="728"/>
      <c r="T104" s="728"/>
      <c r="U104" s="728"/>
      <c r="V104" s="728"/>
      <c r="W104" s="728"/>
      <c r="X104" s="728"/>
    </row>
    <row r="105" spans="1:24" x14ac:dyDescent="0.35">
      <c r="A105" s="720"/>
      <c r="B105" s="1644" t="s">
        <v>1951</v>
      </c>
      <c r="C105" s="674"/>
      <c r="D105" s="674"/>
      <c r="E105" s="674">
        <f t="shared" ref="E105:W105" si="15">+E100-E53</f>
        <v>0</v>
      </c>
      <c r="F105" s="674">
        <f t="shared" si="15"/>
        <v>0</v>
      </c>
      <c r="G105" s="674">
        <f t="shared" si="15"/>
        <v>0</v>
      </c>
      <c r="H105" s="674">
        <f t="shared" si="15"/>
        <v>0</v>
      </c>
      <c r="I105" s="674">
        <f t="shared" si="15"/>
        <v>0</v>
      </c>
      <c r="J105" s="674">
        <f t="shared" si="15"/>
        <v>0</v>
      </c>
      <c r="K105" s="674">
        <f t="shared" si="15"/>
        <v>0</v>
      </c>
      <c r="L105" s="674">
        <f t="shared" si="15"/>
        <v>4.7000000005937181E-2</v>
      </c>
      <c r="M105" s="674">
        <f t="shared" si="15"/>
        <v>0</v>
      </c>
      <c r="N105" s="674">
        <f t="shared" si="15"/>
        <v>0</v>
      </c>
      <c r="O105" s="674">
        <f t="shared" si="15"/>
        <v>0</v>
      </c>
      <c r="P105" s="674">
        <f t="shared" si="15"/>
        <v>0</v>
      </c>
      <c r="Q105" s="674">
        <f t="shared" si="15"/>
        <v>0</v>
      </c>
      <c r="R105" s="674">
        <f t="shared" si="15"/>
        <v>0</v>
      </c>
      <c r="S105" s="674">
        <f t="shared" si="15"/>
        <v>0</v>
      </c>
      <c r="T105" s="674">
        <f t="shared" si="15"/>
        <v>0</v>
      </c>
      <c r="U105" s="674">
        <f t="shared" si="15"/>
        <v>0</v>
      </c>
      <c r="V105" s="674">
        <f t="shared" si="15"/>
        <v>0</v>
      </c>
      <c r="W105" s="674">
        <f t="shared" si="15"/>
        <v>0</v>
      </c>
      <c r="X105" s="674">
        <f>+X100-X53</f>
        <v>-5.9999999939464033E-3</v>
      </c>
    </row>
    <row r="106" spans="1:24" x14ac:dyDescent="0.35">
      <c r="M106" s="947"/>
      <c r="N106" s="947"/>
      <c r="O106" s="947"/>
      <c r="P106" s="944"/>
      <c r="Q106" s="944"/>
      <c r="R106" s="944"/>
      <c r="S106" s="944"/>
      <c r="T106" s="944"/>
      <c r="U106" s="944"/>
      <c r="V106" s="944"/>
      <c r="W106" s="944"/>
      <c r="X106" s="944"/>
    </row>
  </sheetData>
  <phoneticPr fontId="51" type="noConversion"/>
  <pageMargins left="0.75" right="0.75" top="1" bottom="1" header="0.5" footer="0.5"/>
  <headerFooter alignWithMargins="0"/>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V187"/>
  <sheetViews>
    <sheetView showGridLines="0" zoomScale="130" zoomScaleNormal="130" workbookViewId="0">
      <pane xSplit="2" ySplit="2" topLeftCell="R70" activePane="bottomRight" state="frozen"/>
      <selection pane="topRight"/>
      <selection pane="bottomLeft"/>
      <selection pane="bottomRight" activeCell="V87" sqref="V87"/>
    </sheetView>
  </sheetViews>
  <sheetFormatPr defaultColWidth="8.0625" defaultRowHeight="11.65" outlineLevelCol="1" x14ac:dyDescent="0.35"/>
  <cols>
    <col min="1" max="1" width="31.0625" style="331" hidden="1" customWidth="1" outlineLevel="1"/>
    <col min="2" max="2" width="25" style="625" customWidth="1" collapsed="1"/>
    <col min="3" max="10" width="8.0625" style="625" hidden="1" customWidth="1" outlineLevel="1"/>
    <col min="11" max="11" width="5.0625" style="625" hidden="1" customWidth="1" outlineLevel="1"/>
    <col min="12" max="16" width="8.0625" style="625" hidden="1" customWidth="1"/>
    <col min="17" max="17" width="0" style="625" hidden="1" customWidth="1"/>
    <col min="18" max="18" width="8.0625" style="625"/>
    <col min="19" max="19" width="9" style="625" bestFit="1" customWidth="1"/>
    <col min="20" max="21" width="10.5625" style="625" bestFit="1" customWidth="1"/>
    <col min="22" max="16384" width="8.0625" style="625"/>
  </cols>
  <sheetData>
    <row r="2" spans="1:22" s="717" customFormat="1" x14ac:dyDescent="0.35">
      <c r="A2" s="718" t="s">
        <v>759</v>
      </c>
      <c r="B2" s="718" t="s">
        <v>1766</v>
      </c>
      <c r="C2" s="719">
        <v>2006</v>
      </c>
      <c r="D2" s="719">
        <v>2007</v>
      </c>
      <c r="E2" s="719">
        <v>2008</v>
      </c>
      <c r="F2" s="719">
        <v>2009</v>
      </c>
      <c r="G2" s="719">
        <v>2010</v>
      </c>
      <c r="H2" s="719">
        <v>2011</v>
      </c>
      <c r="I2" s="719">
        <v>2012</v>
      </c>
      <c r="J2" s="719">
        <v>2013</v>
      </c>
      <c r="K2" s="719">
        <v>2014</v>
      </c>
      <c r="L2" s="719">
        <v>2015</v>
      </c>
      <c r="M2" s="719">
        <v>2016</v>
      </c>
      <c r="N2" s="719">
        <v>2017</v>
      </c>
      <c r="O2" s="719">
        <v>2018</v>
      </c>
      <c r="P2" s="719">
        <v>2019</v>
      </c>
      <c r="Q2" s="719">
        <v>2020</v>
      </c>
      <c r="R2" s="719">
        <v>2021</v>
      </c>
      <c r="S2" s="719">
        <v>2022</v>
      </c>
      <c r="T2" s="719">
        <v>2023</v>
      </c>
      <c r="U2" s="719">
        <v>2024</v>
      </c>
    </row>
    <row r="3" spans="1:22" ht="12" x14ac:dyDescent="0.35">
      <c r="A3" s="720" t="s">
        <v>1530</v>
      </c>
      <c r="B3" s="646" t="s">
        <v>2364</v>
      </c>
      <c r="C3" s="721"/>
      <c r="D3" s="721"/>
      <c r="E3" s="721"/>
      <c r="F3" s="722"/>
      <c r="G3" s="722"/>
      <c r="H3" s="722"/>
      <c r="I3" s="722"/>
    </row>
    <row r="4" spans="1:22" ht="12" x14ac:dyDescent="0.35">
      <c r="A4" s="720" t="s">
        <v>1531</v>
      </c>
      <c r="B4" s="720" t="s">
        <v>2365</v>
      </c>
      <c r="C4" s="723"/>
      <c r="D4" s="723"/>
      <c r="E4" s="723"/>
      <c r="F4" s="722"/>
      <c r="G4" s="722"/>
      <c r="H4" s="722"/>
      <c r="I4" s="722"/>
    </row>
    <row r="5" spans="1:22" x14ac:dyDescent="0.35">
      <c r="A5" s="331" t="s">
        <v>1532</v>
      </c>
      <c r="B5" s="331"/>
      <c r="C5" s="721"/>
      <c r="D5" s="721"/>
      <c r="E5" s="721"/>
      <c r="F5" s="722"/>
      <c r="G5" s="722"/>
      <c r="H5" s="722"/>
      <c r="I5" s="722"/>
    </row>
    <row r="6" spans="1:22" ht="12" x14ac:dyDescent="0.35">
      <c r="A6" s="331" t="s">
        <v>1533</v>
      </c>
      <c r="B6" s="331" t="s">
        <v>2366</v>
      </c>
      <c r="C6" s="724"/>
      <c r="D6" s="724"/>
      <c r="E6" s="724"/>
      <c r="F6" s="725"/>
      <c r="G6" s="725"/>
      <c r="H6" s="725"/>
      <c r="I6" s="725"/>
      <c r="J6" s="725"/>
      <c r="K6" s="725"/>
      <c r="L6" s="725"/>
      <c r="M6" s="725"/>
      <c r="N6" s="725"/>
      <c r="O6" s="725"/>
      <c r="P6" s="725"/>
      <c r="Q6" s="725"/>
      <c r="R6" s="725"/>
      <c r="S6" s="725"/>
      <c r="T6" s="725"/>
      <c r="U6" s="725"/>
    </row>
    <row r="7" spans="1:22" ht="12" x14ac:dyDescent="0.35">
      <c r="A7" s="720" t="s">
        <v>1534</v>
      </c>
      <c r="B7" s="720" t="s">
        <v>2367</v>
      </c>
      <c r="C7" s="724"/>
      <c r="D7" s="724"/>
      <c r="E7" s="724"/>
      <c r="F7" s="725"/>
      <c r="G7" s="725"/>
      <c r="H7" s="725"/>
      <c r="I7" s="725"/>
      <c r="J7" s="725"/>
      <c r="K7" s="725"/>
      <c r="L7" s="725"/>
      <c r="M7" s="725"/>
      <c r="N7" s="725"/>
      <c r="O7" s="725"/>
      <c r="P7" s="725"/>
      <c r="Q7" s="725"/>
      <c r="R7" s="725"/>
      <c r="S7" s="725"/>
      <c r="T7" s="725"/>
      <c r="U7" s="725"/>
    </row>
    <row r="8" spans="1:22" s="674" customFormat="1" ht="12" x14ac:dyDescent="0.35">
      <c r="A8" s="720" t="s">
        <v>2368</v>
      </c>
      <c r="B8" s="646" t="s">
        <v>2307</v>
      </c>
      <c r="C8" s="726">
        <v>156.88399999999999</v>
      </c>
      <c r="D8" s="726">
        <v>-418.58499999999998</v>
      </c>
      <c r="E8" s="726">
        <v>301.42500000000001</v>
      </c>
      <c r="F8" s="727">
        <v>1148.9970000000001</v>
      </c>
      <c r="G8" s="726">
        <v>41.023000000000003</v>
      </c>
      <c r="H8" s="726">
        <v>-1004.495</v>
      </c>
      <c r="I8" s="726">
        <v>-3339.8139999999999</v>
      </c>
      <c r="J8" s="727">
        <v>-3085.4349999999999</v>
      </c>
      <c r="K8" s="727">
        <v>-1688.9380000000001</v>
      </c>
      <c r="L8" s="727">
        <v>298</v>
      </c>
      <c r="M8" s="727">
        <v>2867</v>
      </c>
      <c r="N8" s="727">
        <f>-4845706/1000</f>
        <v>-4845.7060000000001</v>
      </c>
      <c r="O8" s="727">
        <v>-1924.595</v>
      </c>
      <c r="P8" s="727">
        <v>-2704.3490000000002</v>
      </c>
      <c r="Q8" s="727">
        <v>-4531.0680000000002</v>
      </c>
      <c r="R8" s="727">
        <v>-551</v>
      </c>
      <c r="S8" s="727">
        <v>212</v>
      </c>
      <c r="T8" s="727">
        <v>500.99400000000003</v>
      </c>
      <c r="U8" s="727">
        <v>2007.4570000000001</v>
      </c>
      <c r="V8" s="674">
        <v>1050</v>
      </c>
    </row>
    <row r="9" spans="1:22" s="674" customFormat="1" x14ac:dyDescent="0.35">
      <c r="A9" s="331" t="s">
        <v>1532</v>
      </c>
      <c r="B9" s="625"/>
      <c r="C9" s="728"/>
      <c r="D9" s="728"/>
      <c r="E9" s="728"/>
    </row>
    <row r="10" spans="1:22" s="674" customFormat="1" ht="12" x14ac:dyDescent="0.35">
      <c r="A10" s="720" t="s">
        <v>1535</v>
      </c>
      <c r="B10" s="646" t="s">
        <v>2369</v>
      </c>
      <c r="C10" s="728"/>
      <c r="D10" s="728"/>
      <c r="E10" s="728"/>
    </row>
    <row r="11" spans="1:22" s="674" customFormat="1" ht="12" x14ac:dyDescent="0.35">
      <c r="A11" s="331" t="s">
        <v>1536</v>
      </c>
      <c r="B11" s="625" t="s">
        <v>2244</v>
      </c>
      <c r="C11" s="726">
        <v>59.198</v>
      </c>
      <c r="D11" s="726">
        <v>75.188999999999993</v>
      </c>
      <c r="E11" s="726">
        <v>25.033000000000001</v>
      </c>
      <c r="F11" s="727">
        <v>22.974</v>
      </c>
      <c r="G11" s="727">
        <v>37.57</v>
      </c>
      <c r="H11" s="727">
        <v>58.567999999999998</v>
      </c>
      <c r="I11" s="727">
        <v>85.453999999999994</v>
      </c>
      <c r="J11" s="727">
        <v>105.28700000000001</v>
      </c>
      <c r="K11" s="727">
        <v>94.787000000000006</v>
      </c>
      <c r="L11" s="727">
        <f>73422/1000</f>
        <v>73.421999999999997</v>
      </c>
      <c r="M11" s="727">
        <f>219012/1000</f>
        <v>219.012</v>
      </c>
      <c r="N11" s="727">
        <v>170.227</v>
      </c>
      <c r="O11" s="727">
        <f>150958/1000</f>
        <v>150.958</v>
      </c>
      <c r="P11" s="727">
        <v>249.32300000000001</v>
      </c>
      <c r="Q11" s="727">
        <v>276.55</v>
      </c>
      <c r="R11" s="727">
        <v>287.33699999999999</v>
      </c>
      <c r="S11" s="727">
        <v>241.24700000000001</v>
      </c>
      <c r="T11" s="727">
        <v>283.78300000000002</v>
      </c>
      <c r="U11" s="727">
        <v>309.41399999999999</v>
      </c>
    </row>
    <row r="12" spans="1:22" s="674" customFormat="1" ht="12" x14ac:dyDescent="0.35">
      <c r="A12" s="331" t="s">
        <v>1537</v>
      </c>
      <c r="B12" s="729" t="s">
        <v>2370</v>
      </c>
      <c r="C12" s="726">
        <v>-76.984999999999999</v>
      </c>
      <c r="D12" s="726">
        <v>-124.584</v>
      </c>
      <c r="E12" s="726">
        <v>-215.12</v>
      </c>
      <c r="F12" s="727">
        <v>-132.56399999999999</v>
      </c>
      <c r="G12" s="727">
        <v>-364.53800000000001</v>
      </c>
      <c r="H12" s="727">
        <v>-522.20000000000005</v>
      </c>
      <c r="I12" s="727">
        <v>-402.20600000000002</v>
      </c>
      <c r="J12" s="727">
        <v>-378.54300000000001</v>
      </c>
      <c r="K12" s="727">
        <v>-514.48699999999997</v>
      </c>
      <c r="L12" s="727">
        <f>-425478/1000</f>
        <v>-425.47800000000001</v>
      </c>
      <c r="M12" s="727">
        <f>-177743/1000</f>
        <v>-177.74299999999999</v>
      </c>
      <c r="N12" s="727">
        <v>-1410.1120000000001</v>
      </c>
      <c r="O12" s="727">
        <f>-805876/1000</f>
        <v>-805.87599999999998</v>
      </c>
      <c r="P12" s="727">
        <v>-502.77699999999999</v>
      </c>
      <c r="Q12" s="727">
        <v>-548.38</v>
      </c>
      <c r="R12" s="727">
        <v>-686.40499999999997</v>
      </c>
      <c r="S12" s="727">
        <v>-362.863</v>
      </c>
      <c r="T12" s="727">
        <v>-562.47900000000004</v>
      </c>
      <c r="U12" s="727">
        <v>-1066.194</v>
      </c>
    </row>
    <row r="13" spans="1:22" s="674" customFormat="1" ht="12" x14ac:dyDescent="0.35">
      <c r="A13" s="331" t="s">
        <v>1532</v>
      </c>
      <c r="B13" s="625" t="s">
        <v>2371</v>
      </c>
      <c r="C13" s="726"/>
      <c r="D13" s="726"/>
      <c r="E13" s="726"/>
      <c r="F13" s="727"/>
      <c r="G13" s="727"/>
      <c r="H13" s="727">
        <v>-150.98500000000001</v>
      </c>
      <c r="I13" s="727"/>
      <c r="J13" s="727"/>
      <c r="K13" s="727"/>
      <c r="L13" s="727"/>
      <c r="M13" s="727"/>
      <c r="N13" s="727"/>
      <c r="O13" s="727">
        <f>-840/1000</f>
        <v>-0.84</v>
      </c>
      <c r="P13" s="727">
        <v>-388.82400000000001</v>
      </c>
      <c r="Q13" s="727">
        <v>0</v>
      </c>
      <c r="R13" s="727">
        <v>0</v>
      </c>
      <c r="S13" s="727"/>
      <c r="T13" s="727">
        <v>-146.703</v>
      </c>
      <c r="U13" s="727">
        <v>-26.966000000000001</v>
      </c>
    </row>
    <row r="14" spans="1:22" s="674" customFormat="1" ht="12" x14ac:dyDescent="0.35">
      <c r="A14" s="331" t="s">
        <v>2372</v>
      </c>
      <c r="B14" s="331" t="s">
        <v>2373</v>
      </c>
      <c r="C14" s="726">
        <v>3.4340000000000002</v>
      </c>
      <c r="D14" s="726">
        <v>31.010999999999999</v>
      </c>
      <c r="E14" s="726">
        <v>12.836</v>
      </c>
      <c r="F14" s="727">
        <v>8.5470000000000006</v>
      </c>
      <c r="G14" s="727">
        <v>14.862</v>
      </c>
      <c r="H14" s="727">
        <v>30.108000000000001</v>
      </c>
      <c r="I14" s="727">
        <v>11.984</v>
      </c>
      <c r="J14" s="727">
        <v>87.936000000000007</v>
      </c>
      <c r="K14" s="727">
        <v>38.017000000000003</v>
      </c>
      <c r="L14" s="727">
        <f>32818/1000</f>
        <v>32.817999999999998</v>
      </c>
      <c r="M14" s="727">
        <f>37538/1000</f>
        <v>37.537999999999997</v>
      </c>
      <c r="N14" s="727">
        <v>36.615000000000002</v>
      </c>
      <c r="O14" s="727">
        <f>93734/1000</f>
        <v>93.733999999999995</v>
      </c>
      <c r="P14" s="727">
        <v>14.722</v>
      </c>
      <c r="Q14" s="727">
        <v>13.473000000000001</v>
      </c>
      <c r="R14" s="727">
        <v>48.463999999999999</v>
      </c>
      <c r="S14" s="727">
        <f>29.455+427.291</f>
        <v>456.74599999999998</v>
      </c>
      <c r="T14" s="727">
        <v>52.594000000000001</v>
      </c>
      <c r="U14" s="727">
        <v>72.644000000000005</v>
      </c>
    </row>
    <row r="15" spans="1:22" s="674" customFormat="1" ht="12" x14ac:dyDescent="0.35">
      <c r="A15" s="331"/>
      <c r="B15" s="730" t="s">
        <v>2128</v>
      </c>
      <c r="C15" s="726"/>
      <c r="D15" s="726"/>
      <c r="E15" s="726"/>
      <c r="F15" s="727"/>
      <c r="G15" s="727"/>
      <c r="H15" s="727"/>
      <c r="I15" s="727"/>
      <c r="J15" s="727"/>
      <c r="K15" s="727"/>
      <c r="L15" s="727"/>
      <c r="M15" s="727"/>
      <c r="N15" s="727">
        <v>7.2649999999999997</v>
      </c>
      <c r="O15" s="727"/>
      <c r="P15" s="727">
        <v>7.101</v>
      </c>
      <c r="Q15" s="727">
        <v>0</v>
      </c>
      <c r="R15" s="727">
        <v>0</v>
      </c>
      <c r="S15" s="727"/>
      <c r="T15" s="727"/>
      <c r="U15" s="727"/>
    </row>
    <row r="16" spans="1:22" s="674" customFormat="1" ht="12" x14ac:dyDescent="0.35">
      <c r="A16" s="331" t="s">
        <v>2129</v>
      </c>
      <c r="B16" s="331" t="s">
        <v>2130</v>
      </c>
      <c r="C16" s="726"/>
      <c r="D16" s="726"/>
      <c r="E16" s="726"/>
      <c r="F16" s="727"/>
      <c r="G16" s="727"/>
      <c r="H16" s="727">
        <v>0.91</v>
      </c>
      <c r="I16" s="727"/>
      <c r="J16" s="727">
        <v>27.803999999999998</v>
      </c>
      <c r="K16" s="727">
        <v>330.50200000000001</v>
      </c>
      <c r="L16" s="727">
        <f>130720/1000</f>
        <v>130.72</v>
      </c>
      <c r="M16" s="727">
        <f>12375/1000</f>
        <v>12.375</v>
      </c>
      <c r="N16" s="727">
        <v>0</v>
      </c>
      <c r="O16" s="727">
        <v>0</v>
      </c>
      <c r="P16" s="727"/>
      <c r="Q16" s="727"/>
      <c r="R16" s="727"/>
      <c r="S16" s="727"/>
      <c r="T16" s="727"/>
      <c r="U16" s="727"/>
    </row>
    <row r="17" spans="1:21" s="674" customFormat="1" ht="12" x14ac:dyDescent="0.35">
      <c r="A17" s="331" t="s">
        <v>1538</v>
      </c>
      <c r="B17" s="331" t="s">
        <v>2131</v>
      </c>
      <c r="C17" s="726">
        <v>-6.4390000000000001</v>
      </c>
      <c r="D17" s="726">
        <v>3.1680000000000001</v>
      </c>
      <c r="E17" s="726">
        <v>12.601000000000001</v>
      </c>
      <c r="F17" s="727">
        <v>27.766999999999999</v>
      </c>
      <c r="G17" s="727">
        <v>-119.673</v>
      </c>
      <c r="H17" s="727">
        <v>-13.148999999999999</v>
      </c>
      <c r="I17" s="727">
        <v>-60.728999999999999</v>
      </c>
      <c r="J17" s="727"/>
      <c r="K17" s="727">
        <v>338.45100000000002</v>
      </c>
      <c r="L17" s="727">
        <f>369453/1000</f>
        <v>369.45299999999997</v>
      </c>
      <c r="M17" s="727">
        <f>146111/1000</f>
        <v>146.11099999999999</v>
      </c>
      <c r="N17" s="727">
        <v>1983.9960000000001</v>
      </c>
      <c r="O17" s="727">
        <v>0</v>
      </c>
      <c r="P17" s="727"/>
      <c r="Q17" s="727"/>
      <c r="R17" s="727"/>
      <c r="S17" s="727"/>
      <c r="T17" s="727"/>
      <c r="U17" s="727"/>
    </row>
    <row r="18" spans="1:21" s="674" customFormat="1" ht="12" x14ac:dyDescent="0.35">
      <c r="A18" s="331" t="s">
        <v>1539</v>
      </c>
      <c r="B18" s="331" t="s">
        <v>2374</v>
      </c>
      <c r="C18" s="726"/>
      <c r="D18" s="726"/>
      <c r="E18" s="726"/>
      <c r="F18" s="727"/>
      <c r="G18" s="727"/>
      <c r="H18" s="727"/>
      <c r="I18" s="727"/>
      <c r="J18" s="727">
        <v>-127.55</v>
      </c>
      <c r="K18" s="727">
        <v>-677.36800000000005</v>
      </c>
      <c r="L18" s="727">
        <f>-299164/1000</f>
        <v>-299.16399999999999</v>
      </c>
      <c r="M18" s="727">
        <f>-94675/1000</f>
        <v>-94.674999999999997</v>
      </c>
      <c r="N18" s="727">
        <v>0</v>
      </c>
      <c r="O18" s="727">
        <v>0</v>
      </c>
      <c r="P18" s="727"/>
      <c r="Q18" s="727"/>
      <c r="R18" s="727"/>
      <c r="S18" s="727">
        <v>320.83999999999997</v>
      </c>
      <c r="T18" s="727">
        <v>-134.24299999999999</v>
      </c>
      <c r="U18" s="727">
        <v>216.31200000000001</v>
      </c>
    </row>
    <row r="19" spans="1:21" s="674" customFormat="1" ht="12" x14ac:dyDescent="0.35">
      <c r="A19" s="331" t="s">
        <v>1540</v>
      </c>
      <c r="B19" s="331" t="s">
        <v>2375</v>
      </c>
      <c r="C19" s="726"/>
      <c r="D19" s="726"/>
      <c r="E19" s="726">
        <v>-2.238</v>
      </c>
      <c r="F19" s="727">
        <v>2.238</v>
      </c>
      <c r="G19" s="727"/>
      <c r="H19" s="727"/>
      <c r="I19" s="727"/>
      <c r="J19" s="727"/>
      <c r="K19" s="727"/>
      <c r="L19" s="727"/>
      <c r="M19" s="727"/>
      <c r="N19" s="727"/>
      <c r="O19" s="727"/>
      <c r="P19" s="727"/>
      <c r="Q19" s="727"/>
      <c r="R19" s="727"/>
      <c r="S19" s="727"/>
      <c r="T19" s="727"/>
      <c r="U19" s="727"/>
    </row>
    <row r="20" spans="1:21" s="674" customFormat="1" ht="12" x14ac:dyDescent="0.35">
      <c r="A20" s="331" t="s">
        <v>1541</v>
      </c>
      <c r="B20" s="331" t="s">
        <v>2376</v>
      </c>
      <c r="C20" s="726">
        <v>-9.56</v>
      </c>
      <c r="D20" s="726">
        <v>24.664999999999999</v>
      </c>
      <c r="E20" s="726">
        <v>0.96399999999999997</v>
      </c>
      <c r="F20" s="727">
        <v>1.7849999999999999</v>
      </c>
      <c r="G20" s="727">
        <v>8.4849999999999994</v>
      </c>
      <c r="H20" s="727">
        <v>1.4279999999999999</v>
      </c>
      <c r="I20" s="727">
        <v>29.382000000000001</v>
      </c>
      <c r="J20" s="727">
        <v>1</v>
      </c>
      <c r="K20" s="727">
        <v>-0.39100000000000001</v>
      </c>
      <c r="L20" s="727">
        <f>391/1000</f>
        <v>0.39100000000000001</v>
      </c>
      <c r="M20" s="727">
        <f>-139/1000</f>
        <v>-0.13900000000000001</v>
      </c>
      <c r="N20" s="727">
        <v>-21.876999999999999</v>
      </c>
      <c r="O20" s="727">
        <v>0</v>
      </c>
      <c r="P20" s="727"/>
      <c r="Q20" s="727"/>
      <c r="R20" s="727"/>
      <c r="S20" s="727"/>
      <c r="T20" s="727"/>
      <c r="U20" s="727"/>
    </row>
    <row r="21" spans="1:21" s="674" customFormat="1" ht="12" x14ac:dyDescent="0.35">
      <c r="A21" s="331" t="s">
        <v>1542</v>
      </c>
      <c r="B21" s="331" t="s">
        <v>2132</v>
      </c>
      <c r="C21" s="726"/>
      <c r="D21" s="726">
        <v>-4.7699999999999996</v>
      </c>
      <c r="E21" s="726">
        <v>5.1280000000000001</v>
      </c>
      <c r="F21" s="727">
        <v>-1.2689999999999999</v>
      </c>
      <c r="G21" s="727">
        <v>-0.193</v>
      </c>
      <c r="H21" s="727">
        <v>0.79100000000000004</v>
      </c>
      <c r="I21" s="727">
        <v>0.33200000000000002</v>
      </c>
      <c r="J21" s="727">
        <v>0.35399999999999998</v>
      </c>
      <c r="K21" s="727">
        <v>0.14199999999999999</v>
      </c>
      <c r="L21" s="727">
        <f>-3/1000</f>
        <v>-3.0000000000000001E-3</v>
      </c>
      <c r="M21" s="727">
        <f>-5/1000</f>
        <v>-5.0000000000000001E-3</v>
      </c>
      <c r="N21" s="727">
        <v>0</v>
      </c>
      <c r="O21" s="727">
        <v>0</v>
      </c>
      <c r="P21" s="727"/>
      <c r="Q21" s="727"/>
      <c r="R21" s="727"/>
      <c r="S21" s="727"/>
      <c r="T21" s="727"/>
      <c r="U21" s="727"/>
    </row>
    <row r="22" spans="1:21" s="674" customFormat="1" ht="12" x14ac:dyDescent="0.35">
      <c r="A22" s="331"/>
      <c r="B22" s="730" t="s">
        <v>2133</v>
      </c>
      <c r="C22" s="726"/>
      <c r="D22" s="726"/>
      <c r="E22" s="726"/>
      <c r="F22" s="727"/>
      <c r="G22" s="727"/>
      <c r="H22" s="727"/>
      <c r="I22" s="727"/>
      <c r="J22" s="727"/>
      <c r="K22" s="727"/>
      <c r="L22" s="727"/>
      <c r="M22" s="727"/>
      <c r="N22" s="727"/>
      <c r="O22" s="727">
        <v>-1254.4359999999999</v>
      </c>
      <c r="P22" s="727">
        <v>-1090.4480000000001</v>
      </c>
      <c r="Q22" s="727">
        <v>-310.11099999999999</v>
      </c>
      <c r="R22" s="727">
        <v>-1917.905</v>
      </c>
      <c r="S22" s="727">
        <v>-2128.3110000000001</v>
      </c>
      <c r="T22" s="727">
        <v>-88.262</v>
      </c>
      <c r="U22" s="727">
        <v>1212.4939999999999</v>
      </c>
    </row>
    <row r="23" spans="1:21" s="674" customFormat="1" ht="12" x14ac:dyDescent="0.35">
      <c r="A23" s="331"/>
      <c r="B23" s="730" t="s">
        <v>2134</v>
      </c>
      <c r="C23" s="726"/>
      <c r="D23" s="726"/>
      <c r="E23" s="726"/>
      <c r="F23" s="727"/>
      <c r="G23" s="727"/>
      <c r="H23" s="727"/>
      <c r="I23" s="727"/>
      <c r="J23" s="727"/>
      <c r="K23" s="727"/>
      <c r="L23" s="727"/>
      <c r="M23" s="727"/>
      <c r="N23" s="727"/>
      <c r="O23" s="727">
        <v>31.436</v>
      </c>
      <c r="P23" s="727">
        <v>-377.30200000000002</v>
      </c>
      <c r="Q23" s="727">
        <v>-133.536</v>
      </c>
      <c r="R23" s="727">
        <v>640.745</v>
      </c>
      <c r="S23" s="727">
        <v>-368.27699999999999</v>
      </c>
      <c r="T23" s="727">
        <v>78</v>
      </c>
      <c r="U23" s="727">
        <v>-68.129000000000005</v>
      </c>
    </row>
    <row r="24" spans="1:21" s="674" customFormat="1" ht="12" x14ac:dyDescent="0.35">
      <c r="A24" s="331"/>
      <c r="B24" s="730" t="s">
        <v>2135</v>
      </c>
      <c r="C24" s="726"/>
      <c r="D24" s="726"/>
      <c r="E24" s="726"/>
      <c r="F24" s="727"/>
      <c r="G24" s="727"/>
      <c r="H24" s="727"/>
      <c r="I24" s="727"/>
      <c r="J24" s="727"/>
      <c r="K24" s="727"/>
      <c r="L24" s="727"/>
      <c r="M24" s="727"/>
      <c r="N24" s="727"/>
      <c r="O24" s="727">
        <v>-1886.317</v>
      </c>
      <c r="P24" s="727">
        <v>685.12699999999995</v>
      </c>
      <c r="Q24" s="727">
        <v>-54.597000000000001</v>
      </c>
      <c r="R24" s="727">
        <v>0</v>
      </c>
      <c r="S24" s="727"/>
      <c r="T24" s="727"/>
      <c r="U24" s="727"/>
    </row>
    <row r="25" spans="1:21" s="674" customFormat="1" ht="12" x14ac:dyDescent="0.35">
      <c r="A25" s="331" t="s">
        <v>1543</v>
      </c>
      <c r="B25" s="331" t="s">
        <v>2136</v>
      </c>
      <c r="C25" s="726">
        <v>7.5190000000000001</v>
      </c>
      <c r="D25" s="726">
        <v>7.73</v>
      </c>
      <c r="E25" s="726">
        <v>3.258</v>
      </c>
      <c r="F25" s="727">
        <v>17.675000000000001</v>
      </c>
      <c r="G25" s="727">
        <f>21.042+641.319</f>
        <v>662.36099999999999</v>
      </c>
      <c r="H25" s="727">
        <f>19.017+297.447</f>
        <v>316.464</v>
      </c>
      <c r="I25" s="727">
        <f>372.182+11.336</f>
        <v>383.51800000000003</v>
      </c>
      <c r="J25" s="727">
        <f>694.559+9.339</f>
        <v>703.89800000000002</v>
      </c>
      <c r="K25" s="727">
        <f>160.075+40.197</f>
        <v>200.27199999999999</v>
      </c>
      <c r="L25" s="727">
        <f>(267135+16846)/1000</f>
        <v>283.98099999999999</v>
      </c>
      <c r="M25" s="727">
        <f>246838/1000+143172/1000</f>
        <v>390.01</v>
      </c>
      <c r="N25" s="727">
        <v>484.98</v>
      </c>
      <c r="O25" s="727">
        <f>(293065+335263)/1000</f>
        <v>628.32799999999997</v>
      </c>
      <c r="P25" s="727">
        <f>269.688+1841.937</f>
        <v>2111.625</v>
      </c>
      <c r="Q25" s="727">
        <f>1259.45+416.036</f>
        <v>1675.4860000000001</v>
      </c>
      <c r="R25" s="727">
        <f>619.561+25.999</f>
        <v>645.56000000000006</v>
      </c>
      <c r="S25" s="727">
        <f>249.987+590.818</f>
        <v>840.80499999999995</v>
      </c>
      <c r="T25" s="727">
        <f>507.758+110.737</f>
        <v>618.495</v>
      </c>
      <c r="U25" s="727">
        <f>268.886+229.01</f>
        <v>497.89600000000002</v>
      </c>
    </row>
    <row r="26" spans="1:21" s="674" customFormat="1" ht="12" x14ac:dyDescent="0.35">
      <c r="A26" s="331" t="s">
        <v>1544</v>
      </c>
      <c r="B26" s="331" t="s">
        <v>2137</v>
      </c>
      <c r="C26" s="726"/>
      <c r="D26" s="726"/>
      <c r="E26" s="726">
        <v>3.177</v>
      </c>
      <c r="F26" s="727">
        <v>5.9710000000000001</v>
      </c>
      <c r="G26" s="727">
        <v>34.951000000000001</v>
      </c>
      <c r="H26" s="727">
        <v>139.66</v>
      </c>
      <c r="I26" s="727">
        <v>140.24299999999999</v>
      </c>
      <c r="J26" s="727">
        <v>85.384</v>
      </c>
      <c r="K26" s="727">
        <v>15.289</v>
      </c>
      <c r="L26" s="727">
        <f>15458/1000</f>
        <v>15.458</v>
      </c>
      <c r="M26" s="727">
        <f>38928/1000</f>
        <v>38.927999999999997</v>
      </c>
      <c r="N26" s="727">
        <v>29.463999999999999</v>
      </c>
      <c r="O26" s="727">
        <v>0</v>
      </c>
      <c r="P26" s="727"/>
      <c r="Q26" s="727"/>
      <c r="R26" s="727"/>
      <c r="S26" s="727"/>
      <c r="T26" s="727"/>
      <c r="U26" s="727"/>
    </row>
    <row r="27" spans="1:21" s="674" customFormat="1" ht="12" x14ac:dyDescent="0.35">
      <c r="A27" s="331" t="s">
        <v>1545</v>
      </c>
      <c r="B27" s="331" t="s">
        <v>2138</v>
      </c>
      <c r="C27" s="726"/>
      <c r="D27" s="726"/>
      <c r="E27" s="726">
        <v>0.47</v>
      </c>
      <c r="F27" s="727">
        <v>4.0000000000000001E-3</v>
      </c>
      <c r="G27" s="727">
        <v>1.6539999999999999</v>
      </c>
      <c r="H27" s="727">
        <v>1.754</v>
      </c>
      <c r="I27" s="727">
        <v>7.3999999999999996E-2</v>
      </c>
      <c r="J27" s="727">
        <v>0.18099999999999999</v>
      </c>
      <c r="K27" s="727">
        <v>0</v>
      </c>
      <c r="L27" s="727"/>
      <c r="M27" s="727"/>
      <c r="N27" s="727"/>
      <c r="O27" s="727"/>
      <c r="P27" s="727"/>
      <c r="Q27" s="727"/>
      <c r="R27" s="727"/>
      <c r="S27" s="727"/>
      <c r="T27" s="727"/>
      <c r="U27" s="727"/>
    </row>
    <row r="28" spans="1:21" s="674" customFormat="1" ht="12" x14ac:dyDescent="0.35">
      <c r="A28" s="331"/>
      <c r="B28" s="730" t="s">
        <v>2139</v>
      </c>
      <c r="C28" s="726"/>
      <c r="D28" s="726"/>
      <c r="E28" s="726"/>
      <c r="F28" s="727"/>
      <c r="G28" s="727"/>
      <c r="H28" s="727"/>
      <c r="I28" s="727"/>
      <c r="J28" s="727"/>
      <c r="K28" s="727"/>
      <c r="L28" s="727"/>
      <c r="M28" s="727"/>
      <c r="N28" s="727"/>
      <c r="O28" s="727">
        <v>27.138000000000002</v>
      </c>
      <c r="P28" s="727">
        <v>31.154</v>
      </c>
      <c r="Q28" s="727">
        <v>35.384</v>
      </c>
      <c r="R28" s="727">
        <v>109.547</v>
      </c>
      <c r="S28" s="727">
        <v>7.2229999999999999</v>
      </c>
      <c r="T28" s="727">
        <v>21.454000000000001</v>
      </c>
      <c r="U28" s="727">
        <v>11.88</v>
      </c>
    </row>
    <row r="29" spans="1:21" s="674" customFormat="1" ht="12" x14ac:dyDescent="0.35">
      <c r="A29" s="331"/>
      <c r="B29" s="730" t="s">
        <v>2140</v>
      </c>
      <c r="C29" s="726"/>
      <c r="D29" s="726"/>
      <c r="E29" s="726"/>
      <c r="F29" s="727"/>
      <c r="G29" s="727"/>
      <c r="H29" s="727"/>
      <c r="I29" s="727"/>
      <c r="J29" s="727"/>
      <c r="K29" s="727"/>
      <c r="L29" s="727"/>
      <c r="M29" s="727"/>
      <c r="N29" s="727"/>
      <c r="O29" s="727">
        <v>-93.331000000000003</v>
      </c>
      <c r="P29" s="727">
        <v>-402.40699999999998</v>
      </c>
      <c r="Q29" s="727">
        <v>0</v>
      </c>
      <c r="R29" s="727"/>
      <c r="S29" s="727"/>
      <c r="T29" s="727"/>
      <c r="U29" s="727"/>
    </row>
    <row r="30" spans="1:21" s="674" customFormat="1" ht="12" x14ac:dyDescent="0.35">
      <c r="A30" s="331"/>
      <c r="B30" s="730" t="s">
        <v>2141</v>
      </c>
      <c r="C30" s="726"/>
      <c r="D30" s="726"/>
      <c r="E30" s="726"/>
      <c r="F30" s="727"/>
      <c r="G30" s="727"/>
      <c r="H30" s="727"/>
      <c r="I30" s="727"/>
      <c r="J30" s="727"/>
      <c r="K30" s="727"/>
      <c r="L30" s="727"/>
      <c r="M30" s="727"/>
      <c r="N30" s="727"/>
      <c r="O30" s="727">
        <v>39.389000000000003</v>
      </c>
      <c r="P30" s="727">
        <v>291.65800000000002</v>
      </c>
      <c r="Q30" s="727">
        <v>0</v>
      </c>
      <c r="R30" s="727"/>
      <c r="S30" s="727"/>
      <c r="T30" s="727"/>
      <c r="U30" s="727"/>
    </row>
    <row r="31" spans="1:21" s="674" customFormat="1" ht="12" x14ac:dyDescent="0.35">
      <c r="A31" s="331" t="s">
        <v>1532</v>
      </c>
      <c r="B31" s="731" t="s">
        <v>2142</v>
      </c>
      <c r="C31" s="726"/>
      <c r="D31" s="726"/>
      <c r="E31" s="726"/>
      <c r="F31" s="727"/>
      <c r="G31" s="727"/>
      <c r="H31" s="727"/>
      <c r="I31" s="727"/>
      <c r="J31" s="727"/>
      <c r="K31" s="727">
        <v>-1572.596</v>
      </c>
      <c r="L31" s="727">
        <f>-959838/1000</f>
        <v>-959.83799999999997</v>
      </c>
      <c r="M31" s="727">
        <f>-265205/1000</f>
        <v>-265.20499999999998</v>
      </c>
      <c r="N31" s="727">
        <v>-406.99400000000003</v>
      </c>
      <c r="O31" s="727">
        <f>-1152179/1000</f>
        <v>-1152.1790000000001</v>
      </c>
      <c r="P31" s="727">
        <v>-1475.2940000000001</v>
      </c>
      <c r="Q31" s="727">
        <v>190.072</v>
      </c>
      <c r="R31" s="727">
        <v>-2971.5659999999998</v>
      </c>
      <c r="S31" s="727">
        <v>964.41200000000003</v>
      </c>
      <c r="T31" s="727">
        <v>752.52</v>
      </c>
      <c r="U31" s="727">
        <v>-124.24</v>
      </c>
    </row>
    <row r="32" spans="1:21" s="674" customFormat="1" ht="12" x14ac:dyDescent="0.35">
      <c r="A32" s="331" t="s">
        <v>1546</v>
      </c>
      <c r="B32" s="331" t="s">
        <v>2377</v>
      </c>
      <c r="C32" s="726">
        <v>-15.282</v>
      </c>
      <c r="D32" s="726">
        <v>-59.069000000000003</v>
      </c>
      <c r="E32" s="726">
        <v>-3.891</v>
      </c>
      <c r="F32" s="727">
        <v>-3.0840000000000001</v>
      </c>
      <c r="G32" s="727">
        <f>-162.488-123.863</f>
        <v>-286.351</v>
      </c>
      <c r="H32" s="727">
        <v>-54.192</v>
      </c>
      <c r="I32" s="727">
        <v>-38.817</v>
      </c>
      <c r="J32" s="727">
        <v>-54.06</v>
      </c>
      <c r="K32" s="727">
        <v>-183.06100000000001</v>
      </c>
      <c r="L32" s="727">
        <f>-998/1000</f>
        <v>-0.998</v>
      </c>
      <c r="M32" s="727">
        <f>-3407/1000</f>
        <v>-3.407</v>
      </c>
      <c r="N32" s="727">
        <v>-217.41499999999999</v>
      </c>
      <c r="O32" s="727">
        <v>0</v>
      </c>
      <c r="P32" s="727"/>
      <c r="Q32" s="727"/>
      <c r="R32" s="727"/>
      <c r="S32" s="727"/>
      <c r="T32" s="727"/>
      <c r="U32" s="727"/>
    </row>
    <row r="33" spans="1:21" s="674" customFormat="1" ht="12" x14ac:dyDescent="0.35">
      <c r="A33" s="331" t="s">
        <v>1547</v>
      </c>
      <c r="B33" s="331" t="s">
        <v>2378</v>
      </c>
      <c r="C33" s="726">
        <v>17.684999999999999</v>
      </c>
      <c r="D33" s="726">
        <v>102.95699999999999</v>
      </c>
      <c r="E33" s="726">
        <v>4.3109999999999999</v>
      </c>
      <c r="F33" s="727">
        <v>12.334</v>
      </c>
      <c r="G33" s="727">
        <v>0</v>
      </c>
      <c r="H33" s="727">
        <v>39.557000000000002</v>
      </c>
      <c r="I33" s="727">
        <f>0.892+23.4+19.834</f>
        <v>44.125999999999998</v>
      </c>
      <c r="J33" s="727">
        <f>0+23.781+3.628</f>
        <v>27.408999999999999</v>
      </c>
      <c r="K33" s="727">
        <v>282.27699999999999</v>
      </c>
      <c r="L33" s="727">
        <v>0</v>
      </c>
      <c r="M33" s="727">
        <f>19500/1000</f>
        <v>19.5</v>
      </c>
      <c r="N33" s="727">
        <v>0</v>
      </c>
      <c r="O33" s="727">
        <v>0</v>
      </c>
      <c r="P33" s="727"/>
      <c r="Q33" s="727">
        <v>1359.126</v>
      </c>
      <c r="R33" s="727">
        <v>0</v>
      </c>
      <c r="S33" s="727">
        <f>965.328+370.93+219.028</f>
        <v>1555.2860000000001</v>
      </c>
      <c r="T33" s="727">
        <v>499.13099999999997</v>
      </c>
      <c r="U33" s="727">
        <v>0</v>
      </c>
    </row>
    <row r="34" spans="1:21" s="674" customFormat="1" ht="12" x14ac:dyDescent="0.35">
      <c r="A34" s="331" t="s">
        <v>1548</v>
      </c>
      <c r="B34" s="331" t="s">
        <v>2379</v>
      </c>
      <c r="C34" s="726"/>
      <c r="D34" s="726">
        <v>-37.67</v>
      </c>
      <c r="E34" s="726">
        <v>-17.279</v>
      </c>
      <c r="F34" s="727"/>
      <c r="G34" s="727">
        <v>-86.820999999999998</v>
      </c>
      <c r="H34" s="727">
        <v>-4.5060000000000002</v>
      </c>
      <c r="I34" s="727">
        <v>-1.2350000000000001</v>
      </c>
      <c r="J34" s="727">
        <v>-2.3559999999999999</v>
      </c>
      <c r="K34" s="727">
        <v>0</v>
      </c>
      <c r="L34" s="727"/>
      <c r="M34" s="727"/>
      <c r="N34" s="727"/>
      <c r="O34" s="727"/>
      <c r="P34" s="727"/>
      <c r="Q34" s="727"/>
      <c r="R34" s="727"/>
      <c r="S34" s="727"/>
      <c r="T34" s="727"/>
      <c r="U34" s="727"/>
    </row>
    <row r="35" spans="1:21" s="674" customFormat="1" ht="12" x14ac:dyDescent="0.35">
      <c r="A35" s="331" t="s">
        <v>1549</v>
      </c>
      <c r="B35" s="331" t="s">
        <v>2380</v>
      </c>
      <c r="C35" s="726"/>
      <c r="D35" s="726"/>
      <c r="E35" s="726">
        <v>-49.814</v>
      </c>
      <c r="F35" s="727">
        <v>49.814</v>
      </c>
      <c r="G35" s="727"/>
      <c r="H35" s="727"/>
      <c r="I35" s="727"/>
      <c r="J35" s="727"/>
      <c r="K35" s="727"/>
      <c r="L35" s="727"/>
      <c r="M35" s="727"/>
      <c r="N35" s="727"/>
      <c r="O35" s="727"/>
      <c r="P35" s="727"/>
      <c r="Q35" s="727"/>
      <c r="R35" s="727"/>
      <c r="S35" s="727"/>
      <c r="T35" s="727"/>
      <c r="U35" s="727"/>
    </row>
    <row r="36" spans="1:21" s="674" customFormat="1" ht="12" x14ac:dyDescent="0.35">
      <c r="A36" s="331" t="s">
        <v>1550</v>
      </c>
      <c r="B36" s="331" t="s">
        <v>2381</v>
      </c>
      <c r="C36" s="726"/>
      <c r="D36" s="726">
        <v>-135.863</v>
      </c>
      <c r="E36" s="726">
        <v>-39.07</v>
      </c>
      <c r="F36" s="727">
        <v>-76.358000000000004</v>
      </c>
      <c r="G36" s="727">
        <v>-101.99</v>
      </c>
      <c r="H36" s="727"/>
      <c r="I36" s="727"/>
      <c r="J36" s="727"/>
      <c r="K36" s="727"/>
      <c r="L36" s="727"/>
      <c r="M36" s="727"/>
      <c r="N36" s="727"/>
      <c r="O36" s="727"/>
      <c r="P36" s="727"/>
      <c r="Q36" s="727"/>
      <c r="R36" s="727"/>
      <c r="S36" s="727"/>
      <c r="T36" s="727"/>
      <c r="U36" s="727"/>
    </row>
    <row r="37" spans="1:21" s="674" customFormat="1" ht="12" x14ac:dyDescent="0.35">
      <c r="A37" s="331" t="s">
        <v>2382</v>
      </c>
      <c r="B37" s="331" t="s">
        <v>2383</v>
      </c>
      <c r="C37" s="726"/>
      <c r="D37" s="726"/>
      <c r="E37" s="726"/>
      <c r="F37" s="727">
        <v>-577.28</v>
      </c>
      <c r="G37" s="727">
        <v>-104.143</v>
      </c>
      <c r="H37" s="727">
        <v>-52.237000000000002</v>
      </c>
      <c r="I37" s="727">
        <v>-206.965</v>
      </c>
      <c r="J37" s="727">
        <v>-240.10599999999999</v>
      </c>
      <c r="K37" s="727">
        <v>-140.74600000000001</v>
      </c>
      <c r="L37" s="727">
        <f>-36232/1000</f>
        <v>-36.231999999999999</v>
      </c>
      <c r="M37" s="727">
        <f>-90942/1000</f>
        <v>-90.941999999999993</v>
      </c>
      <c r="N37" s="727">
        <v>0</v>
      </c>
      <c r="O37" s="727">
        <v>0</v>
      </c>
      <c r="P37" s="727"/>
      <c r="Q37" s="727"/>
      <c r="R37" s="727"/>
      <c r="S37" s="727"/>
      <c r="T37" s="727"/>
      <c r="U37" s="727"/>
    </row>
    <row r="38" spans="1:21" s="674" customFormat="1" ht="12" x14ac:dyDescent="0.35">
      <c r="A38" s="331" t="s">
        <v>1532</v>
      </c>
      <c r="B38" s="331" t="s">
        <v>2384</v>
      </c>
      <c r="C38" s="726"/>
      <c r="D38" s="726"/>
      <c r="E38" s="726"/>
      <c r="F38" s="727">
        <v>-7.9660000000000002</v>
      </c>
      <c r="G38" s="727">
        <v>44.341999999999999</v>
      </c>
      <c r="H38" s="727"/>
      <c r="I38" s="727">
        <v>-565.95399999999995</v>
      </c>
      <c r="J38" s="727"/>
      <c r="K38" s="727"/>
      <c r="L38" s="727"/>
      <c r="M38" s="727">
        <v>-4825.0550000000003</v>
      </c>
      <c r="N38" s="727">
        <v>-138.80000000000001</v>
      </c>
      <c r="O38" s="727">
        <f>-800000/1000</f>
        <v>-800</v>
      </c>
      <c r="P38" s="727">
        <v>0</v>
      </c>
      <c r="Q38" s="727"/>
      <c r="R38" s="727"/>
      <c r="S38" s="727"/>
      <c r="T38" s="727"/>
      <c r="U38" s="727"/>
    </row>
    <row r="39" spans="1:21" s="674" customFormat="1" ht="12" x14ac:dyDescent="0.35">
      <c r="A39" s="331" t="s">
        <v>1532</v>
      </c>
      <c r="B39" s="331" t="s">
        <v>2385</v>
      </c>
      <c r="C39" s="726"/>
      <c r="D39" s="726"/>
      <c r="E39" s="726"/>
      <c r="F39" s="727"/>
      <c r="G39" s="727">
        <v>-200</v>
      </c>
      <c r="H39" s="727"/>
      <c r="I39" s="727"/>
      <c r="J39" s="727"/>
      <c r="K39" s="727"/>
      <c r="L39" s="727"/>
      <c r="M39" s="727"/>
      <c r="N39" s="727"/>
      <c r="O39" s="727"/>
      <c r="P39" s="727"/>
      <c r="Q39" s="727"/>
      <c r="R39" s="727"/>
      <c r="S39" s="727"/>
      <c r="T39" s="727"/>
      <c r="U39" s="727"/>
    </row>
    <row r="40" spans="1:21" s="674" customFormat="1" ht="12" x14ac:dyDescent="0.35">
      <c r="A40" s="331" t="s">
        <v>1532</v>
      </c>
      <c r="B40" s="331" t="s">
        <v>2386</v>
      </c>
      <c r="C40" s="726"/>
      <c r="D40" s="726"/>
      <c r="E40" s="726"/>
      <c r="F40" s="727"/>
      <c r="G40" s="727"/>
      <c r="H40" s="727">
        <v>352.56799999999998</v>
      </c>
      <c r="I40" s="727">
        <v>123.33499999999999</v>
      </c>
      <c r="J40" s="727">
        <v>189.96100000000001</v>
      </c>
      <c r="K40" s="727">
        <v>0</v>
      </c>
      <c r="L40" s="727"/>
      <c r="M40" s="727"/>
      <c r="N40" s="727"/>
      <c r="O40" s="727"/>
      <c r="P40" s="727"/>
      <c r="Q40" s="727"/>
      <c r="R40" s="727"/>
      <c r="S40" s="727">
        <v>-89.367000000000004</v>
      </c>
      <c r="T40" s="727">
        <v>-90.397000000000006</v>
      </c>
      <c r="U40" s="727">
        <v>0</v>
      </c>
    </row>
    <row r="41" spans="1:21" s="674" customFormat="1" ht="12" x14ac:dyDescent="0.35">
      <c r="A41" s="331" t="s">
        <v>1532</v>
      </c>
      <c r="B41" s="331" t="s">
        <v>2387</v>
      </c>
      <c r="C41" s="726"/>
      <c r="D41" s="726"/>
      <c r="E41" s="726"/>
      <c r="F41" s="727"/>
      <c r="G41" s="727">
        <v>-352.56799999999998</v>
      </c>
      <c r="H41" s="727">
        <v>-308.375</v>
      </c>
      <c r="I41" s="727"/>
      <c r="J41" s="727"/>
      <c r="K41" s="727"/>
      <c r="L41" s="727"/>
      <c r="M41" s="727"/>
      <c r="N41" s="727"/>
      <c r="O41" s="727"/>
      <c r="P41" s="727"/>
      <c r="Q41" s="727"/>
      <c r="R41" s="727"/>
      <c r="S41" s="727"/>
      <c r="T41" s="727"/>
      <c r="U41" s="727"/>
    </row>
    <row r="42" spans="1:21" s="674" customFormat="1" ht="12" x14ac:dyDescent="0.35">
      <c r="A42" s="331" t="s">
        <v>1551</v>
      </c>
      <c r="B42" s="331" t="s">
        <v>2388</v>
      </c>
      <c r="C42" s="726"/>
      <c r="D42" s="726"/>
      <c r="E42" s="726"/>
      <c r="F42" s="727"/>
      <c r="G42" s="727"/>
      <c r="H42" s="727"/>
      <c r="I42" s="727"/>
      <c r="J42" s="727"/>
      <c r="K42" s="727"/>
      <c r="L42" s="727"/>
      <c r="M42" s="727"/>
      <c r="N42" s="727"/>
      <c r="O42" s="727"/>
      <c r="P42" s="727"/>
      <c r="Q42" s="727"/>
      <c r="R42" s="727"/>
      <c r="S42" s="727"/>
      <c r="T42" s="727"/>
      <c r="U42" s="727"/>
    </row>
    <row r="43" spans="1:21" s="674" customFormat="1" ht="12" x14ac:dyDescent="0.35">
      <c r="A43" s="331" t="s">
        <v>2389</v>
      </c>
      <c r="B43" s="331" t="s">
        <v>2390</v>
      </c>
      <c r="C43" s="726"/>
      <c r="D43" s="726"/>
      <c r="E43" s="726"/>
      <c r="F43" s="727">
        <v>11.763999999999999</v>
      </c>
      <c r="G43" s="727"/>
      <c r="H43" s="727"/>
      <c r="I43" s="727"/>
      <c r="J43" s="727"/>
      <c r="K43" s="727"/>
      <c r="L43" s="727">
        <f>26325/1000</f>
        <v>26.324999999999999</v>
      </c>
      <c r="M43" s="727">
        <f>91814/1000</f>
        <v>91.813999999999993</v>
      </c>
      <c r="N43" s="727">
        <v>0</v>
      </c>
      <c r="O43" s="727">
        <v>0</v>
      </c>
      <c r="P43" s="727"/>
      <c r="Q43" s="727"/>
      <c r="R43" s="727"/>
      <c r="S43" s="727"/>
      <c r="T43" s="727">
        <v>9.4339999999999993</v>
      </c>
      <c r="U43" s="727">
        <v>10.194000000000001</v>
      </c>
    </row>
    <row r="44" spans="1:21" s="674" customFormat="1" ht="12" x14ac:dyDescent="0.35">
      <c r="A44" s="331" t="s">
        <v>2391</v>
      </c>
      <c r="B44" s="331" t="s">
        <v>2392</v>
      </c>
      <c r="C44" s="726">
        <v>-57.670999999999999</v>
      </c>
      <c r="D44" s="726">
        <v>-64.537000000000006</v>
      </c>
      <c r="E44" s="726">
        <v>-98.337000000000003</v>
      </c>
      <c r="F44" s="727">
        <v>-16.763999999999999</v>
      </c>
      <c r="G44" s="727">
        <v>-612.89300000000003</v>
      </c>
      <c r="H44" s="727"/>
      <c r="I44" s="727"/>
      <c r="J44" s="727">
        <v>-100.895</v>
      </c>
      <c r="K44" s="727">
        <v>-302.40699999999998</v>
      </c>
      <c r="L44" s="727">
        <f>-203496/1000</f>
        <v>-203.49600000000001</v>
      </c>
      <c r="M44" s="727">
        <f>-1371424/1000</f>
        <v>-1371.424</v>
      </c>
      <c r="N44" s="727">
        <v>-4794.67</v>
      </c>
      <c r="O44" s="727">
        <v>-1950.1969999999999</v>
      </c>
      <c r="P44" s="727">
        <v>-2221.9520000000002</v>
      </c>
      <c r="Q44" s="727">
        <v>-2158.5129999999999</v>
      </c>
      <c r="R44" s="727">
        <v>-1149.4169999999999</v>
      </c>
      <c r="S44" s="727">
        <v>-677.7</v>
      </c>
      <c r="T44" s="727">
        <v>-471.80599999999998</v>
      </c>
      <c r="U44" s="727">
        <v>-4.0949999999999998</v>
      </c>
    </row>
    <row r="45" spans="1:21" s="674" customFormat="1" ht="12" x14ac:dyDescent="0.35">
      <c r="A45" s="331" t="s">
        <v>2393</v>
      </c>
      <c r="B45" s="331" t="s">
        <v>2394</v>
      </c>
      <c r="C45" s="726"/>
      <c r="D45" s="726"/>
      <c r="E45" s="726"/>
      <c r="F45" s="727"/>
      <c r="G45" s="727"/>
      <c r="H45" s="727"/>
      <c r="I45" s="727"/>
      <c r="J45" s="727">
        <v>-500</v>
      </c>
      <c r="K45" s="727">
        <v>0</v>
      </c>
      <c r="L45" s="727">
        <f>-108043/1000</f>
        <v>-108.04300000000001</v>
      </c>
      <c r="M45" s="727">
        <v>0</v>
      </c>
      <c r="N45" s="727">
        <v>0</v>
      </c>
      <c r="O45" s="727">
        <v>0</v>
      </c>
      <c r="P45" s="727"/>
      <c r="Q45" s="727"/>
      <c r="R45" s="727"/>
      <c r="S45" s="727"/>
      <c r="T45" s="727"/>
      <c r="U45" s="727"/>
    </row>
    <row r="46" spans="1:21" s="674" customFormat="1" ht="12" x14ac:dyDescent="0.35">
      <c r="A46" s="331" t="s">
        <v>1532</v>
      </c>
      <c r="B46" s="331" t="s">
        <v>2395</v>
      </c>
      <c r="C46" s="726"/>
      <c r="D46" s="726"/>
      <c r="E46" s="726"/>
      <c r="F46" s="727"/>
      <c r="G46" s="727"/>
      <c r="H46" s="727"/>
      <c r="I46" s="727"/>
      <c r="J46" s="727">
        <v>304.35199999999998</v>
      </c>
      <c r="K46" s="727">
        <v>0</v>
      </c>
      <c r="L46" s="727"/>
      <c r="M46" s="727"/>
      <c r="N46" s="727"/>
      <c r="O46" s="727"/>
      <c r="P46" s="727"/>
      <c r="Q46" s="727"/>
      <c r="R46" s="727"/>
      <c r="S46" s="727"/>
      <c r="T46" s="727"/>
      <c r="U46" s="727"/>
    </row>
    <row r="47" spans="1:21" s="674" customFormat="1" ht="12" x14ac:dyDescent="0.35">
      <c r="A47" s="331" t="s">
        <v>600</v>
      </c>
      <c r="B47" s="331" t="s">
        <v>2396</v>
      </c>
      <c r="C47" s="726">
        <v>12.156000000000001</v>
      </c>
      <c r="D47" s="726">
        <f>-178.224+181.773</f>
        <v>3.5490000000000066</v>
      </c>
      <c r="E47" s="726"/>
      <c r="F47" s="727"/>
      <c r="G47" s="727"/>
      <c r="H47" s="727"/>
      <c r="I47" s="727"/>
      <c r="J47" s="727"/>
      <c r="K47" s="727"/>
      <c r="L47" s="727">
        <f>-21985/1000+187465/1000</f>
        <v>165.48000000000002</v>
      </c>
      <c r="M47" s="727">
        <f>(-181454+434166-69936)/1000</f>
        <v>182.77600000000001</v>
      </c>
      <c r="N47" s="727">
        <v>-522.86800000000005</v>
      </c>
      <c r="O47" s="727">
        <f>(-2601+20824)/1000</f>
        <v>18.222999999999999</v>
      </c>
      <c r="P47" s="727">
        <v>-21.747</v>
      </c>
      <c r="Q47" s="727">
        <v>-20.414000000000001</v>
      </c>
      <c r="R47" s="727">
        <f>-21.852+90.498+10.038-22.713</f>
        <v>55.970999999999997</v>
      </c>
      <c r="S47" s="727">
        <f>-82.156+140.507-317.549</f>
        <v>-259.19799999999998</v>
      </c>
      <c r="T47" s="727">
        <f>46.938+308.073-2.942</f>
        <v>352.06899999999996</v>
      </c>
      <c r="U47" s="727">
        <f>196.597-85.327+3.983-19.672</f>
        <v>95.581000000000017</v>
      </c>
    </row>
    <row r="48" spans="1:21" s="674" customFormat="1" x14ac:dyDescent="0.35">
      <c r="A48" s="720" t="s">
        <v>1532</v>
      </c>
      <c r="B48" s="720"/>
      <c r="C48" s="732"/>
      <c r="D48" s="732"/>
      <c r="E48" s="732"/>
      <c r="F48" s="727"/>
      <c r="G48" s="727"/>
      <c r="H48" s="732"/>
      <c r="I48" s="732"/>
      <c r="J48" s="727"/>
      <c r="K48" s="727"/>
    </row>
    <row r="49" spans="1:22" s="674" customFormat="1" ht="12" x14ac:dyDescent="0.35">
      <c r="A49" s="720" t="s">
        <v>2397</v>
      </c>
      <c r="B49" s="646" t="s">
        <v>2309</v>
      </c>
      <c r="C49" s="733">
        <f t="shared" ref="C49:N49" si="0">SUM(C11:C48)</f>
        <v>-65.944999999999993</v>
      </c>
      <c r="D49" s="733">
        <f t="shared" si="0"/>
        <v>-178.22400000000002</v>
      </c>
      <c r="E49" s="733">
        <f t="shared" si="0"/>
        <v>-357.97099999999995</v>
      </c>
      <c r="F49" s="733">
        <f t="shared" si="0"/>
        <v>-654.41200000000003</v>
      </c>
      <c r="G49" s="733">
        <f t="shared" si="0"/>
        <v>-1424.9449999999999</v>
      </c>
      <c r="H49" s="733">
        <f t="shared" si="0"/>
        <v>-163.83600000000013</v>
      </c>
      <c r="I49" s="733">
        <f t="shared" si="0"/>
        <v>-457.45799999999991</v>
      </c>
      <c r="J49" s="733">
        <f t="shared" si="0"/>
        <v>130.05600000000004</v>
      </c>
      <c r="K49" s="733">
        <f t="shared" si="0"/>
        <v>-2091.319</v>
      </c>
      <c r="L49" s="733">
        <f t="shared" si="0"/>
        <v>-935.20399999999995</v>
      </c>
      <c r="M49" s="733">
        <f t="shared" si="0"/>
        <v>-5690.5309999999999</v>
      </c>
      <c r="N49" s="733">
        <f t="shared" si="0"/>
        <v>-4800.1890000000003</v>
      </c>
      <c r="O49" s="733">
        <f t="shared" ref="O49:T49" si="1">SUM(O11:O47)</f>
        <v>-6953.9700000000012</v>
      </c>
      <c r="P49" s="733">
        <f t="shared" si="1"/>
        <v>-3090.0410000000006</v>
      </c>
      <c r="Q49" s="733">
        <f t="shared" si="1"/>
        <v>324.54000000000065</v>
      </c>
      <c r="R49" s="733">
        <f t="shared" si="1"/>
        <v>-4937.6689999999999</v>
      </c>
      <c r="S49" s="733">
        <f t="shared" si="1"/>
        <v>500.84299999999973</v>
      </c>
      <c r="T49" s="733">
        <f t="shared" si="1"/>
        <v>1173.5899999999999</v>
      </c>
      <c r="U49" s="733">
        <f t="shared" ref="U49" si="2">SUM(U11:U47)</f>
        <v>1136.7910000000002</v>
      </c>
      <c r="V49" s="674">
        <v>1157</v>
      </c>
    </row>
    <row r="50" spans="1:22" s="674" customFormat="1" x14ac:dyDescent="0.35">
      <c r="A50" s="331" t="s">
        <v>1532</v>
      </c>
      <c r="B50" s="331"/>
      <c r="C50" s="728"/>
      <c r="D50" s="728"/>
      <c r="E50" s="728"/>
    </row>
    <row r="51" spans="1:22" s="674" customFormat="1" ht="12" x14ac:dyDescent="0.35">
      <c r="A51" s="720" t="s">
        <v>1532</v>
      </c>
      <c r="B51" s="646" t="s">
        <v>2398</v>
      </c>
      <c r="C51" s="728"/>
      <c r="D51" s="728"/>
      <c r="E51" s="728"/>
      <c r="S51" s="734"/>
    </row>
    <row r="52" spans="1:22" s="674" customFormat="1" ht="12" x14ac:dyDescent="0.35">
      <c r="A52" s="331" t="s">
        <v>2399</v>
      </c>
      <c r="B52" s="331" t="s">
        <v>2400</v>
      </c>
      <c r="C52" s="726">
        <v>-4.7859999999999996</v>
      </c>
      <c r="D52" s="726">
        <v>-1.823</v>
      </c>
      <c r="E52" s="726">
        <v>-20.065000000000001</v>
      </c>
      <c r="F52" s="727">
        <v>-50.448999999999998</v>
      </c>
      <c r="G52" s="727">
        <v>-209.708</v>
      </c>
      <c r="H52" s="727">
        <v>-277.85599999999999</v>
      </c>
      <c r="I52" s="727">
        <v>-350.65600000000001</v>
      </c>
      <c r="J52" s="727">
        <v>-747</v>
      </c>
      <c r="K52" s="727">
        <v>-853.197</v>
      </c>
      <c r="L52" s="727">
        <f>-606160/1000</f>
        <v>-606.16</v>
      </c>
      <c r="M52" s="727">
        <f>-672991/1000</f>
        <v>-672.99099999999999</v>
      </c>
      <c r="N52" s="727">
        <v>-1045.0630000000001</v>
      </c>
      <c r="O52" s="727">
        <f>-1757784/1000</f>
        <v>-1757.7840000000001</v>
      </c>
      <c r="P52" s="727">
        <v>-1966.6210000000001</v>
      </c>
      <c r="Q52" s="727">
        <v>-2735.5259999999998</v>
      </c>
      <c r="R52" s="727">
        <v>-2644.4380000000001</v>
      </c>
      <c r="S52" s="735">
        <v>-3040</v>
      </c>
      <c r="T52" s="727">
        <v>-3308.8330000000001</v>
      </c>
      <c r="U52" s="727">
        <v>-3272.5569999999998</v>
      </c>
    </row>
    <row r="53" spans="1:22" s="674" customFormat="1" ht="12" x14ac:dyDescent="0.35">
      <c r="A53" s="331" t="s">
        <v>1552</v>
      </c>
      <c r="B53" s="331" t="s">
        <v>2401</v>
      </c>
      <c r="C53" s="726">
        <v>7.0570000000000004</v>
      </c>
      <c r="D53" s="726">
        <v>1008.972</v>
      </c>
      <c r="E53" s="726">
        <v>6.3979999999999997</v>
      </c>
      <c r="F53" s="727">
        <f>4.846+1366.094</f>
        <v>1370.94</v>
      </c>
      <c r="G53" s="727">
        <v>5.8360000000000003</v>
      </c>
      <c r="H53" s="727">
        <f>2.321+3584.188</f>
        <v>3586.509</v>
      </c>
      <c r="I53" s="727">
        <f>2271+0.158</f>
        <v>2271.1579999999999</v>
      </c>
      <c r="J53" s="727">
        <v>0.29299999999999998</v>
      </c>
      <c r="K53" s="727">
        <v>1.4410000000000001</v>
      </c>
      <c r="L53" s="727">
        <f>9895/1000</f>
        <v>9.8949999999999996</v>
      </c>
      <c r="M53" s="727">
        <f>4809959/1000</f>
        <v>4809.9589999999998</v>
      </c>
      <c r="N53" s="727">
        <v>6307.3370000000004</v>
      </c>
      <c r="O53" s="727">
        <v>0</v>
      </c>
      <c r="P53" s="727"/>
      <c r="Q53" s="727"/>
      <c r="R53" s="727"/>
      <c r="S53" s="735"/>
      <c r="T53" s="727"/>
      <c r="U53" s="727"/>
    </row>
    <row r="54" spans="1:22" s="674" customFormat="1" ht="12" x14ac:dyDescent="0.35">
      <c r="A54" s="331" t="s">
        <v>1553</v>
      </c>
      <c r="B54" s="331" t="s">
        <v>2402</v>
      </c>
      <c r="C54" s="726">
        <v>0</v>
      </c>
      <c r="D54" s="726">
        <v>-10.842000000000001</v>
      </c>
      <c r="E54" s="726">
        <v>0</v>
      </c>
      <c r="F54" s="727">
        <v>-12.971</v>
      </c>
      <c r="G54" s="727"/>
      <c r="H54" s="727">
        <v>-34.970999999999997</v>
      </c>
      <c r="I54" s="727">
        <v>-41.296999999999997</v>
      </c>
      <c r="J54" s="727">
        <v>0</v>
      </c>
      <c r="K54" s="727">
        <v>0</v>
      </c>
      <c r="L54" s="727"/>
      <c r="M54" s="727"/>
      <c r="N54" s="727"/>
      <c r="O54" s="727"/>
      <c r="P54" s="727"/>
      <c r="Q54" s="727"/>
      <c r="R54" s="727"/>
      <c r="S54" s="735"/>
      <c r="T54" s="727"/>
      <c r="U54" s="727"/>
    </row>
    <row r="55" spans="1:22" s="674" customFormat="1" ht="12" x14ac:dyDescent="0.35">
      <c r="A55" s="331" t="s">
        <v>2403</v>
      </c>
      <c r="B55" s="331" t="s">
        <v>2404</v>
      </c>
      <c r="C55" s="726">
        <f>(-88580-83)/1000</f>
        <v>-88.662999999999997</v>
      </c>
      <c r="D55" s="726">
        <v>-104.13200000000001</v>
      </c>
      <c r="E55" s="726">
        <v>-199.875</v>
      </c>
      <c r="F55" s="727">
        <v>-186.59200000000001</v>
      </c>
      <c r="G55" s="727">
        <v>-251.56100000000001</v>
      </c>
      <c r="H55" s="727">
        <v>-430.38200000000001</v>
      </c>
      <c r="I55" s="727">
        <v>-523.19299999999998</v>
      </c>
      <c r="J55" s="727">
        <v>-699.97400000000005</v>
      </c>
      <c r="K55" s="727">
        <v>-895.25099999999998</v>
      </c>
      <c r="L55" s="727">
        <f>-1210310/1000</f>
        <v>-1210.31</v>
      </c>
      <c r="M55" s="727">
        <f>-1403358/1000</f>
        <v>-1403.3579999999999</v>
      </c>
      <c r="N55" s="727">
        <v>-1481.086</v>
      </c>
      <c r="O55" s="727">
        <f>-1767205/1000</f>
        <v>-1767.2049999999999</v>
      </c>
      <c r="P55" s="727">
        <v>-1413.7639999999999</v>
      </c>
      <c r="Q55" s="727">
        <v>-1666.222</v>
      </c>
      <c r="R55" s="727">
        <v>-1964.67</v>
      </c>
      <c r="S55" s="735">
        <v>-2241.739</v>
      </c>
      <c r="T55" s="727">
        <v>-2594.3739999999998</v>
      </c>
      <c r="U55" s="727">
        <v>-3098.1350000000002</v>
      </c>
    </row>
    <row r="56" spans="1:22" s="674" customFormat="1" ht="12" x14ac:dyDescent="0.35">
      <c r="A56" s="331" t="s">
        <v>1532</v>
      </c>
      <c r="B56" s="331" t="s">
        <v>2405</v>
      </c>
      <c r="C56" s="726"/>
      <c r="D56" s="726"/>
      <c r="E56" s="726"/>
      <c r="F56" s="727"/>
      <c r="G56" s="727"/>
      <c r="H56" s="727"/>
      <c r="I56" s="727"/>
      <c r="J56" s="727">
        <v>-191</v>
      </c>
      <c r="K56" s="727">
        <v>0</v>
      </c>
      <c r="L56" s="727"/>
      <c r="M56" s="727"/>
      <c r="N56" s="727"/>
      <c r="O56" s="727"/>
      <c r="P56" s="727"/>
      <c r="Q56" s="727"/>
      <c r="R56" s="727"/>
      <c r="S56" s="735">
        <v>-67.563000000000002</v>
      </c>
      <c r="T56" s="727">
        <v>-52.072000000000003</v>
      </c>
      <c r="U56" s="727">
        <v>-125.58199999999999</v>
      </c>
    </row>
    <row r="57" spans="1:22" s="674" customFormat="1" ht="12" x14ac:dyDescent="0.35">
      <c r="A57" s="331" t="s">
        <v>1532</v>
      </c>
      <c r="B57" s="731" t="s">
        <v>2406</v>
      </c>
      <c r="C57" s="726"/>
      <c r="D57" s="726"/>
      <c r="E57" s="726"/>
      <c r="F57" s="727"/>
      <c r="G57" s="727"/>
      <c r="H57" s="727"/>
      <c r="I57" s="727"/>
      <c r="J57" s="727">
        <v>36.658000000000001</v>
      </c>
      <c r="K57" s="727">
        <v>178.892</v>
      </c>
      <c r="L57" s="727"/>
      <c r="M57" s="727"/>
      <c r="N57" s="727"/>
      <c r="O57" s="727"/>
      <c r="P57" s="727"/>
      <c r="Q57" s="727"/>
      <c r="R57" s="727"/>
      <c r="S57" s="735"/>
      <c r="T57" s="727"/>
      <c r="U57" s="727"/>
    </row>
    <row r="58" spans="1:22" s="674" customFormat="1" ht="12" x14ac:dyDescent="0.35">
      <c r="A58" s="331" t="s">
        <v>2407</v>
      </c>
      <c r="B58" s="731" t="s">
        <v>2408</v>
      </c>
      <c r="C58" s="726"/>
      <c r="D58" s="726"/>
      <c r="E58" s="726"/>
      <c r="F58" s="727"/>
      <c r="G58" s="727"/>
      <c r="H58" s="727"/>
      <c r="I58" s="727"/>
      <c r="J58" s="727"/>
      <c r="K58" s="727">
        <v>6.3380000000000001</v>
      </c>
      <c r="L58" s="727">
        <f>8646/1000</f>
        <v>8.6460000000000008</v>
      </c>
      <c r="M58" s="727">
        <f>31733/1000</f>
        <v>31.733000000000001</v>
      </c>
      <c r="N58" s="727">
        <v>108.379</v>
      </c>
      <c r="O58" s="727">
        <f>341945/1000</f>
        <v>341.94499999999999</v>
      </c>
      <c r="P58" s="727">
        <v>202.482</v>
      </c>
      <c r="Q58" s="727">
        <v>293.06599999999997</v>
      </c>
      <c r="R58" s="727">
        <v>418.74900000000002</v>
      </c>
      <c r="S58" s="735">
        <v>77.418999999999997</v>
      </c>
      <c r="T58" s="727">
        <v>205.36</v>
      </c>
      <c r="U58" s="727">
        <v>81.375</v>
      </c>
    </row>
    <row r="59" spans="1:22" s="674" customFormat="1" ht="12" x14ac:dyDescent="0.35">
      <c r="A59" s="331" t="s">
        <v>1554</v>
      </c>
      <c r="B59" s="331" t="s">
        <v>2409</v>
      </c>
      <c r="C59" s="726">
        <v>129.81700000000001</v>
      </c>
      <c r="D59" s="726">
        <v>54.356999999999999</v>
      </c>
      <c r="E59" s="726">
        <v>85.594999999999999</v>
      </c>
      <c r="F59" s="727"/>
      <c r="G59" s="727"/>
      <c r="H59" s="727"/>
      <c r="I59" s="727"/>
      <c r="J59" s="727"/>
      <c r="K59" s="727"/>
      <c r="L59" s="727"/>
      <c r="M59" s="727"/>
      <c r="N59" s="727"/>
      <c r="O59" s="727"/>
      <c r="P59" s="727"/>
      <c r="Q59" s="727"/>
      <c r="R59" s="727"/>
      <c r="S59" s="735"/>
      <c r="T59" s="727"/>
      <c r="U59" s="727"/>
    </row>
    <row r="60" spans="1:22" s="674" customFormat="1" ht="12" x14ac:dyDescent="0.35">
      <c r="A60" s="331" t="s">
        <v>1555</v>
      </c>
      <c r="B60" s="331" t="s">
        <v>2410</v>
      </c>
      <c r="C60" s="726">
        <v>-0.96699999999999997</v>
      </c>
      <c r="D60" s="726">
        <v>28.654</v>
      </c>
      <c r="E60" s="726">
        <v>-26.378</v>
      </c>
      <c r="F60" s="727">
        <v>-23.847000000000001</v>
      </c>
      <c r="G60" s="727">
        <v>-214.65799999999999</v>
      </c>
      <c r="H60" s="727">
        <v>164.88900000000001</v>
      </c>
      <c r="I60" s="727">
        <v>128.23099999999999</v>
      </c>
      <c r="J60" s="727">
        <v>0</v>
      </c>
      <c r="K60" s="727"/>
      <c r="L60" s="727"/>
      <c r="M60" s="727"/>
      <c r="N60" s="727"/>
      <c r="O60" s="727"/>
      <c r="P60" s="727"/>
      <c r="Q60" s="727"/>
      <c r="R60" s="727"/>
      <c r="S60" s="735"/>
      <c r="T60" s="727"/>
      <c r="U60" s="727"/>
    </row>
    <row r="61" spans="1:22" s="674" customFormat="1" ht="12" x14ac:dyDescent="0.35">
      <c r="A61" s="331" t="s">
        <v>1556</v>
      </c>
      <c r="B61" s="331" t="s">
        <v>2411</v>
      </c>
      <c r="C61" s="726">
        <v>-142.78299999999999</v>
      </c>
      <c r="D61" s="726">
        <v>0</v>
      </c>
      <c r="E61" s="726">
        <v>-39.353999999999999</v>
      </c>
      <c r="F61" s="727"/>
      <c r="G61" s="727"/>
      <c r="H61" s="727"/>
      <c r="I61" s="727"/>
      <c r="J61" s="727"/>
      <c r="K61" s="727"/>
      <c r="L61" s="727"/>
      <c r="M61" s="727"/>
      <c r="N61" s="727"/>
      <c r="O61" s="727"/>
      <c r="P61" s="727"/>
      <c r="Q61" s="727"/>
      <c r="R61" s="727"/>
      <c r="S61" s="735"/>
      <c r="T61" s="727"/>
      <c r="U61" s="727"/>
    </row>
    <row r="62" spans="1:22" s="674" customFormat="1" ht="12" x14ac:dyDescent="0.35">
      <c r="A62" s="331" t="s">
        <v>1557</v>
      </c>
      <c r="B62" s="331" t="s">
        <v>2412</v>
      </c>
      <c r="C62" s="726">
        <v>0</v>
      </c>
      <c r="D62" s="726">
        <v>-400</v>
      </c>
      <c r="E62" s="726">
        <v>-455</v>
      </c>
      <c r="F62" s="727"/>
      <c r="G62" s="727">
        <v>-845</v>
      </c>
      <c r="H62" s="727">
        <v>-845</v>
      </c>
      <c r="I62" s="727">
        <v>0</v>
      </c>
      <c r="J62" s="727"/>
      <c r="K62" s="727"/>
      <c r="L62" s="727"/>
      <c r="M62" s="727"/>
      <c r="N62" s="727"/>
      <c r="O62" s="727"/>
      <c r="P62" s="727"/>
      <c r="Q62" s="727"/>
      <c r="R62" s="727"/>
      <c r="S62" s="735"/>
      <c r="T62" s="727"/>
      <c r="U62" s="727"/>
    </row>
    <row r="63" spans="1:22" s="674" customFormat="1" ht="12" x14ac:dyDescent="0.35">
      <c r="A63" s="331" t="s">
        <v>1558</v>
      </c>
      <c r="B63" s="331" t="s">
        <v>2413</v>
      </c>
      <c r="C63" s="726">
        <v>-333.70600000000002</v>
      </c>
      <c r="D63" s="726">
        <v>-510</v>
      </c>
      <c r="E63" s="726">
        <v>0</v>
      </c>
      <c r="F63" s="727"/>
      <c r="G63" s="727">
        <v>-1471.2639999999999</v>
      </c>
      <c r="H63" s="727"/>
      <c r="I63" s="727"/>
      <c r="J63" s="727"/>
      <c r="K63" s="727"/>
      <c r="L63" s="727"/>
      <c r="M63" s="727"/>
      <c r="N63" s="727"/>
      <c r="O63" s="727"/>
      <c r="P63" s="727"/>
      <c r="Q63" s="727"/>
      <c r="R63" s="727"/>
      <c r="S63" s="735"/>
      <c r="T63" s="727"/>
      <c r="U63" s="727"/>
    </row>
    <row r="64" spans="1:22" s="674" customFormat="1" ht="12" x14ac:dyDescent="0.35">
      <c r="A64" s="331" t="s">
        <v>1559</v>
      </c>
      <c r="B64" s="331" t="s">
        <v>2414</v>
      </c>
      <c r="C64" s="726">
        <v>0</v>
      </c>
      <c r="D64" s="726">
        <v>-12.173</v>
      </c>
      <c r="E64" s="726">
        <v>86.582999999999998</v>
      </c>
      <c r="F64" s="727">
        <v>1703.578</v>
      </c>
      <c r="G64" s="727">
        <f>707.698+1051.45</f>
        <v>1759.1480000000001</v>
      </c>
      <c r="H64" s="727">
        <v>-1614.4580000000001</v>
      </c>
      <c r="I64" s="727">
        <v>-940.15099999999995</v>
      </c>
      <c r="J64" s="727">
        <v>0</v>
      </c>
      <c r="K64" s="727"/>
      <c r="L64" s="727"/>
      <c r="M64" s="727"/>
      <c r="N64" s="727"/>
      <c r="O64" s="727"/>
      <c r="P64" s="727"/>
      <c r="Q64" s="727"/>
      <c r="R64" s="727"/>
      <c r="S64" s="735"/>
      <c r="T64" s="727"/>
      <c r="U64" s="727"/>
    </row>
    <row r="65" spans="1:21" s="674" customFormat="1" ht="12" x14ac:dyDescent="0.35">
      <c r="A65" s="331" t="s">
        <v>1532</v>
      </c>
      <c r="B65" s="331" t="s">
        <v>2415</v>
      </c>
      <c r="C65" s="726"/>
      <c r="D65" s="726"/>
      <c r="E65" s="726"/>
      <c r="F65" s="727"/>
      <c r="G65" s="727">
        <v>157</v>
      </c>
      <c r="H65" s="727"/>
      <c r="I65" s="727">
        <v>-200</v>
      </c>
      <c r="J65" s="727">
        <v>0</v>
      </c>
      <c r="K65" s="727"/>
      <c r="L65" s="727"/>
      <c r="M65" s="727"/>
      <c r="N65" s="727"/>
      <c r="O65" s="727"/>
      <c r="P65" s="727"/>
      <c r="Q65" s="727"/>
      <c r="R65" s="727"/>
      <c r="S65" s="727"/>
      <c r="T65" s="727"/>
      <c r="U65" s="727"/>
    </row>
    <row r="66" spans="1:21" s="674" customFormat="1" ht="12" x14ac:dyDescent="0.35">
      <c r="A66" s="331" t="s">
        <v>1532</v>
      </c>
      <c r="B66" s="331" t="s">
        <v>2143</v>
      </c>
      <c r="C66" s="726"/>
      <c r="D66" s="726"/>
      <c r="E66" s="726"/>
      <c r="F66" s="727">
        <v>-60.951000000000001</v>
      </c>
      <c r="G66" s="727">
        <v>-392.07299999999998</v>
      </c>
      <c r="H66" s="727"/>
      <c r="I66" s="727"/>
      <c r="J66" s="727"/>
      <c r="K66" s="727"/>
      <c r="L66" s="727"/>
      <c r="M66" s="727"/>
      <c r="N66" s="727"/>
      <c r="O66" s="727"/>
      <c r="P66" s="727"/>
      <c r="Q66" s="727"/>
      <c r="R66" s="727"/>
      <c r="S66" s="727"/>
      <c r="T66" s="727"/>
      <c r="U66" s="727"/>
    </row>
    <row r="67" spans="1:21" s="674" customFormat="1" ht="12" x14ac:dyDescent="0.35">
      <c r="A67" s="331" t="s">
        <v>1560</v>
      </c>
      <c r="B67" s="331" t="s">
        <v>2144</v>
      </c>
      <c r="C67" s="726">
        <v>-15.404</v>
      </c>
      <c r="D67" s="726">
        <v>-8.07</v>
      </c>
      <c r="E67" s="726">
        <v>-13.313000000000001</v>
      </c>
      <c r="F67" s="727">
        <v>-21.591000000000001</v>
      </c>
      <c r="G67" s="727">
        <v>-259.24400000000003</v>
      </c>
      <c r="H67" s="727"/>
      <c r="I67" s="727"/>
      <c r="J67" s="727"/>
      <c r="K67" s="727"/>
      <c r="L67" s="727"/>
      <c r="M67" s="727"/>
      <c r="N67" s="727"/>
      <c r="O67" s="727"/>
      <c r="P67" s="727"/>
      <c r="Q67" s="727"/>
      <c r="R67" s="727">
        <v>-3900</v>
      </c>
      <c r="S67" s="727">
        <v>0</v>
      </c>
      <c r="T67" s="727"/>
      <c r="U67" s="727"/>
    </row>
    <row r="68" spans="1:21" s="674" customFormat="1" ht="12" x14ac:dyDescent="0.35">
      <c r="A68" s="331" t="s">
        <v>2145</v>
      </c>
      <c r="B68" s="331" t="s">
        <v>2146</v>
      </c>
      <c r="C68" s="726">
        <v>-119.533</v>
      </c>
      <c r="D68" s="726">
        <v>-0.24</v>
      </c>
      <c r="E68" s="726">
        <v>0</v>
      </c>
      <c r="F68" s="727">
        <v>-909.09100000000001</v>
      </c>
      <c r="G68" s="727">
        <v>-1000</v>
      </c>
      <c r="H68" s="727"/>
      <c r="I68" s="727">
        <v>-411.505</v>
      </c>
      <c r="J68" s="727">
        <v>-3115.1579999999999</v>
      </c>
      <c r="K68" s="727">
        <v>-1507.6210000000001</v>
      </c>
      <c r="L68" s="727">
        <f>-4075969/1000</f>
        <v>-4075.9690000000001</v>
      </c>
      <c r="M68" s="727">
        <f>-1797945/1000</f>
        <v>-1797.9449999999999</v>
      </c>
      <c r="N68" s="727">
        <v>-7757.2489999999998</v>
      </c>
      <c r="O68" s="727">
        <f>-8960494/1000</f>
        <v>-8960.4940000000006</v>
      </c>
      <c r="P68" s="727">
        <v>-22166.064999999999</v>
      </c>
      <c r="Q68" s="727">
        <v>-28207.922999999999</v>
      </c>
      <c r="R68" s="727">
        <v>-22135.705999999998</v>
      </c>
      <c r="S68" s="727">
        <v>-21297.486000000001</v>
      </c>
      <c r="T68" s="727">
        <v>-24384.823</v>
      </c>
      <c r="U68" s="727">
        <v>-41349.879999999997</v>
      </c>
    </row>
    <row r="69" spans="1:21" s="674" customFormat="1" ht="12" x14ac:dyDescent="0.35">
      <c r="A69" s="331" t="s">
        <v>1561</v>
      </c>
      <c r="B69" s="331" t="s">
        <v>2147</v>
      </c>
      <c r="C69" s="726">
        <v>0</v>
      </c>
      <c r="D69" s="726">
        <v>0</v>
      </c>
      <c r="E69" s="726">
        <v>-15.747999999999999</v>
      </c>
      <c r="F69" s="727"/>
      <c r="G69" s="727"/>
      <c r="H69" s="727"/>
      <c r="I69" s="727"/>
      <c r="J69" s="727"/>
      <c r="K69" s="727"/>
      <c r="L69" s="727"/>
      <c r="M69" s="727"/>
      <c r="N69" s="727"/>
      <c r="O69" s="727"/>
      <c r="P69" s="727"/>
      <c r="Q69" s="727"/>
      <c r="R69" s="727">
        <v>-54.725000000000001</v>
      </c>
      <c r="S69" s="727"/>
      <c r="T69" s="727"/>
      <c r="U69" s="727"/>
    </row>
    <row r="70" spans="1:21" s="674" customFormat="1" ht="12" x14ac:dyDescent="0.35">
      <c r="A70" s="331" t="s">
        <v>1562</v>
      </c>
      <c r="B70" s="331" t="s">
        <v>2148</v>
      </c>
      <c r="C70" s="726">
        <v>-0.157</v>
      </c>
      <c r="D70" s="726">
        <v>-0.17899999999999999</v>
      </c>
      <c r="E70" s="726">
        <v>-0.247</v>
      </c>
      <c r="F70" s="727"/>
      <c r="G70" s="727"/>
      <c r="H70" s="727"/>
      <c r="I70" s="727">
        <v>-0.95099999999999996</v>
      </c>
      <c r="J70" s="727">
        <v>-1.982</v>
      </c>
      <c r="K70" s="727">
        <v>-1.839</v>
      </c>
      <c r="L70" s="727">
        <f>-1542/1000</f>
        <v>-1.542</v>
      </c>
      <c r="M70" s="727">
        <f>-1266/1000</f>
        <v>-1.266</v>
      </c>
      <c r="N70" s="727">
        <v>-2.9000000000000001E-2</v>
      </c>
      <c r="O70" s="727">
        <f>-1026/1000</f>
        <v>-1.026</v>
      </c>
      <c r="P70" s="727">
        <v>0</v>
      </c>
      <c r="Q70" s="727"/>
      <c r="R70" s="727"/>
      <c r="S70" s="727"/>
      <c r="T70" s="727"/>
      <c r="U70" s="727"/>
    </row>
    <row r="71" spans="1:21" s="674" customFormat="1" ht="12" x14ac:dyDescent="0.35">
      <c r="A71" s="331"/>
      <c r="B71" s="730" t="s">
        <v>1833</v>
      </c>
      <c r="C71" s="726"/>
      <c r="D71" s="726"/>
      <c r="E71" s="726"/>
      <c r="F71" s="727"/>
      <c r="G71" s="727"/>
      <c r="H71" s="727"/>
      <c r="I71" s="727"/>
      <c r="J71" s="727"/>
      <c r="K71" s="727"/>
      <c r="L71" s="727"/>
      <c r="M71" s="727"/>
      <c r="N71" s="727"/>
      <c r="O71" s="727">
        <f>-3900000/1000</f>
        <v>-3900</v>
      </c>
      <c r="P71" s="727">
        <v>0</v>
      </c>
      <c r="Q71" s="727"/>
      <c r="R71" s="727"/>
      <c r="S71" s="727"/>
      <c r="T71" s="727"/>
      <c r="U71" s="727"/>
    </row>
    <row r="72" spans="1:21" s="674" customFormat="1" ht="12" x14ac:dyDescent="0.35">
      <c r="A72" s="331" t="s">
        <v>2416</v>
      </c>
      <c r="B72" s="730" t="s">
        <v>1834</v>
      </c>
      <c r="C72" s="726">
        <v>0</v>
      </c>
      <c r="D72" s="726">
        <v>0</v>
      </c>
      <c r="E72" s="726">
        <v>1000</v>
      </c>
      <c r="F72" s="727">
        <v>1738.624</v>
      </c>
      <c r="G72" s="727">
        <v>1944.076</v>
      </c>
      <c r="H72" s="727">
        <v>2345.3809999999999</v>
      </c>
      <c r="I72" s="727">
        <v>5033.38</v>
      </c>
      <c r="J72" s="727">
        <v>4913.8739999999998</v>
      </c>
      <c r="K72" s="727">
        <v>6249.098</v>
      </c>
      <c r="L72" s="727">
        <f>7191039/1000</f>
        <v>7191.0389999999998</v>
      </c>
      <c r="M72" s="727">
        <f>5539363/1000</f>
        <v>5539.3630000000003</v>
      </c>
      <c r="N72" s="727">
        <v>12905.177</v>
      </c>
      <c r="O72" s="727">
        <f>21775393/1000</f>
        <v>21775.393</v>
      </c>
      <c r="P72" s="727">
        <v>27137.45</v>
      </c>
      <c r="Q72" s="727">
        <v>32169.364000000001</v>
      </c>
      <c r="R72" s="727">
        <v>33185.928999999996</v>
      </c>
      <c r="S72" s="727">
        <v>26370.907999999999</v>
      </c>
      <c r="T72" s="727">
        <v>34695.271000000001</v>
      </c>
      <c r="U72" s="727">
        <v>48997.048000000003</v>
      </c>
    </row>
    <row r="73" spans="1:21" s="674" customFormat="1" ht="12" x14ac:dyDescent="0.35">
      <c r="A73" s="331"/>
      <c r="B73" s="730" t="s">
        <v>2417</v>
      </c>
      <c r="C73" s="726"/>
      <c r="D73" s="726"/>
      <c r="E73" s="726"/>
      <c r="F73" s="727"/>
      <c r="G73" s="727"/>
      <c r="H73" s="727"/>
      <c r="I73" s="727"/>
      <c r="J73" s="727"/>
      <c r="K73" s="727"/>
      <c r="L73" s="727"/>
      <c r="M73" s="727"/>
      <c r="N73" s="727"/>
      <c r="O73" s="727"/>
      <c r="P73" s="727">
        <v>2781.6</v>
      </c>
      <c r="Q73" s="727">
        <v>0</v>
      </c>
      <c r="R73" s="727"/>
      <c r="S73" s="727"/>
      <c r="T73" s="727"/>
      <c r="U73" s="727">
        <v>-2622.951</v>
      </c>
    </row>
    <row r="74" spans="1:21" s="674" customFormat="1" ht="12" x14ac:dyDescent="0.35">
      <c r="A74" s="331"/>
      <c r="B74" s="730" t="s">
        <v>2418</v>
      </c>
      <c r="C74" s="726"/>
      <c r="D74" s="726"/>
      <c r="E74" s="726"/>
      <c r="F74" s="727"/>
      <c r="G74" s="727"/>
      <c r="H74" s="727"/>
      <c r="I74" s="727"/>
      <c r="J74" s="727"/>
      <c r="K74" s="727"/>
      <c r="L74" s="727"/>
      <c r="M74" s="727"/>
      <c r="N74" s="727"/>
      <c r="O74" s="727"/>
      <c r="P74" s="727">
        <v>2340</v>
      </c>
      <c r="Q74" s="727">
        <v>664.452</v>
      </c>
      <c r="R74" s="727">
        <v>-2339.223</v>
      </c>
      <c r="S74" s="727">
        <v>232.08199999999999</v>
      </c>
      <c r="T74" s="727">
        <v>-223.714</v>
      </c>
      <c r="U74" s="727">
        <f>270-655.738</f>
        <v>-385.73800000000006</v>
      </c>
    </row>
    <row r="75" spans="1:21" s="674" customFormat="1" ht="12" x14ac:dyDescent="0.35">
      <c r="A75" s="331"/>
      <c r="B75" s="730" t="s">
        <v>2419</v>
      </c>
      <c r="C75" s="726"/>
      <c r="D75" s="726"/>
      <c r="E75" s="726"/>
      <c r="F75" s="727"/>
      <c r="G75" s="727"/>
      <c r="H75" s="727"/>
      <c r="I75" s="727"/>
      <c r="J75" s="727"/>
      <c r="K75" s="727"/>
      <c r="L75" s="727"/>
      <c r="M75" s="727"/>
      <c r="N75" s="727"/>
      <c r="O75" s="727"/>
      <c r="P75" s="727">
        <v>-37.518000000000001</v>
      </c>
      <c r="Q75" s="727">
        <v>-48.411000000000001</v>
      </c>
      <c r="R75" s="727">
        <v>-58.506999999999998</v>
      </c>
      <c r="S75" s="727">
        <v>-94.846999999999994</v>
      </c>
      <c r="T75" s="727">
        <v>-134.273</v>
      </c>
      <c r="U75" s="727">
        <v>-174.07400000000001</v>
      </c>
    </row>
    <row r="76" spans="1:21" s="674" customFormat="1" ht="12" x14ac:dyDescent="0.35">
      <c r="A76" s="331" t="s">
        <v>1532</v>
      </c>
      <c r="B76" s="331" t="s">
        <v>2420</v>
      </c>
      <c r="C76" s="726"/>
      <c r="D76" s="726"/>
      <c r="E76" s="726"/>
      <c r="F76" s="727"/>
      <c r="G76" s="727"/>
      <c r="H76" s="727"/>
      <c r="I76" s="727">
        <v>56.829000000000001</v>
      </c>
      <c r="J76" s="727">
        <v>0</v>
      </c>
      <c r="K76" s="727"/>
      <c r="L76" s="727"/>
      <c r="M76" s="727"/>
      <c r="N76" s="727"/>
      <c r="O76" s="727"/>
      <c r="P76" s="727"/>
      <c r="Q76" s="727"/>
      <c r="R76" s="727"/>
      <c r="S76" s="727"/>
      <c r="T76" s="727"/>
      <c r="U76" s="727"/>
    </row>
    <row r="77" spans="1:21" s="674" customFormat="1" ht="12" x14ac:dyDescent="0.35">
      <c r="A77" s="331" t="s">
        <v>2421</v>
      </c>
      <c r="B77" s="331" t="s">
        <v>2422</v>
      </c>
      <c r="C77" s="726"/>
      <c r="D77" s="726"/>
      <c r="E77" s="726"/>
      <c r="F77" s="727"/>
      <c r="G77" s="727"/>
      <c r="H77" s="727"/>
      <c r="I77" s="727"/>
      <c r="J77" s="736">
        <v>-2.7959999999999998</v>
      </c>
      <c r="K77" s="736">
        <v>-5.5919999999999996</v>
      </c>
      <c r="L77" s="736">
        <f>-6151/1000</f>
        <v>-6.1509999999999998</v>
      </c>
      <c r="M77" s="736">
        <f>-7828/1000</f>
        <v>-7.8280000000000003</v>
      </c>
      <c r="N77" s="736">
        <v>-10.065</v>
      </c>
      <c r="O77" s="736">
        <f>-11183/1000</f>
        <v>-11.183</v>
      </c>
      <c r="P77" s="736">
        <v>-14.265000000000001</v>
      </c>
      <c r="Q77" s="736">
        <v>0</v>
      </c>
      <c r="R77" s="736"/>
      <c r="S77" s="736"/>
      <c r="T77" s="736"/>
      <c r="U77" s="736"/>
    </row>
    <row r="78" spans="1:21" s="674" customFormat="1" ht="12" x14ac:dyDescent="0.35">
      <c r="A78" s="331"/>
      <c r="B78" s="730" t="s">
        <v>1835</v>
      </c>
      <c r="C78" s="726"/>
      <c r="D78" s="726"/>
      <c r="E78" s="726"/>
      <c r="F78" s="727"/>
      <c r="G78" s="727"/>
      <c r="H78" s="727"/>
      <c r="I78" s="727"/>
      <c r="J78" s="736"/>
      <c r="K78" s="736"/>
      <c r="L78" s="736"/>
      <c r="M78" s="736"/>
      <c r="N78" s="736"/>
      <c r="O78" s="736">
        <f>3861468/1000</f>
        <v>3861.4679999999998</v>
      </c>
      <c r="P78" s="736">
        <v>3877.328</v>
      </c>
      <c r="Q78" s="736">
        <v>2802.4789999999998</v>
      </c>
      <c r="R78" s="736">
        <f>3026.634+3885.89</f>
        <v>6912.5239999999994</v>
      </c>
      <c r="S78" s="736">
        <v>4112.808</v>
      </c>
      <c r="T78" s="736">
        <f>1230.425+2200.44</f>
        <v>3430.8649999999998</v>
      </c>
      <c r="U78" s="736">
        <f>1611.29-3900+8062.923</f>
        <v>5774.2129999999997</v>
      </c>
    </row>
    <row r="79" spans="1:21" s="674" customFormat="1" ht="12" x14ac:dyDescent="0.35">
      <c r="A79" s="331"/>
      <c r="B79" s="730" t="s">
        <v>2423</v>
      </c>
      <c r="C79" s="726"/>
      <c r="D79" s="726"/>
      <c r="E79" s="726"/>
      <c r="F79" s="727"/>
      <c r="G79" s="727"/>
      <c r="H79" s="727"/>
      <c r="I79" s="727"/>
      <c r="J79" s="736"/>
      <c r="K79" s="736"/>
      <c r="L79" s="736"/>
      <c r="M79" s="736"/>
      <c r="N79" s="736"/>
      <c r="O79" s="736"/>
      <c r="P79" s="736">
        <v>-234</v>
      </c>
      <c r="Q79" s="736">
        <v>-390</v>
      </c>
      <c r="R79" s="736">
        <v>-456.3</v>
      </c>
      <c r="S79" s="736">
        <v>-288.60000000000002</v>
      </c>
      <c r="T79" s="736">
        <v>-288.60000000000002</v>
      </c>
      <c r="U79" s="736">
        <v>-365.30399999999997</v>
      </c>
    </row>
    <row r="80" spans="1:21" s="674" customFormat="1" ht="12" x14ac:dyDescent="0.35">
      <c r="A80" s="331" t="s">
        <v>1532</v>
      </c>
      <c r="B80" s="331" t="s">
        <v>2424</v>
      </c>
      <c r="C80" s="726"/>
      <c r="D80" s="726"/>
      <c r="E80" s="726"/>
      <c r="F80" s="727"/>
      <c r="G80" s="727"/>
      <c r="H80" s="727"/>
      <c r="I80" s="727"/>
      <c r="J80" s="736">
        <v>3853.1669999999999</v>
      </c>
      <c r="K80" s="736">
        <v>0</v>
      </c>
      <c r="L80" s="736"/>
      <c r="M80" s="736"/>
      <c r="N80" s="736">
        <v>6225.5150000000003</v>
      </c>
      <c r="O80" s="736"/>
      <c r="P80" s="736"/>
      <c r="Q80" s="736"/>
      <c r="R80" s="736"/>
      <c r="S80" s="736">
        <v>-4290</v>
      </c>
      <c r="T80" s="736">
        <v>-2796.4209999999998</v>
      </c>
      <c r="U80" s="736">
        <v>-3807.509</v>
      </c>
    </row>
    <row r="81" spans="1:22" s="674" customFormat="1" x14ac:dyDescent="0.35">
      <c r="A81" s="720" t="s">
        <v>1532</v>
      </c>
      <c r="B81" s="720"/>
      <c r="C81" s="733"/>
      <c r="D81" s="733"/>
      <c r="E81" s="733"/>
    </row>
    <row r="82" spans="1:22" s="674" customFormat="1" ht="12" x14ac:dyDescent="0.35">
      <c r="A82" s="720" t="s">
        <v>1563</v>
      </c>
      <c r="B82" s="646" t="s">
        <v>2310</v>
      </c>
      <c r="C82" s="733">
        <f t="shared" ref="C82:S82" si="3">SUM(C52:C81)</f>
        <v>-569.125</v>
      </c>
      <c r="D82" s="733">
        <f t="shared" si="3"/>
        <v>44.523999999999916</v>
      </c>
      <c r="E82" s="733">
        <f t="shared" si="3"/>
        <v>408.596</v>
      </c>
      <c r="F82" s="733">
        <f t="shared" si="3"/>
        <v>3547.6499999999996</v>
      </c>
      <c r="G82" s="733">
        <f t="shared" si="3"/>
        <v>-777.44799999999941</v>
      </c>
      <c r="H82" s="733">
        <f t="shared" si="3"/>
        <v>2894.1120000000001</v>
      </c>
      <c r="I82" s="733">
        <f t="shared" si="3"/>
        <v>5021.8450000000003</v>
      </c>
      <c r="J82" s="733">
        <f t="shared" si="3"/>
        <v>4046.0819999999994</v>
      </c>
      <c r="K82" s="733">
        <f t="shared" si="3"/>
        <v>3172.2689999999998</v>
      </c>
      <c r="L82" s="733">
        <f t="shared" si="3"/>
        <v>1309.4479999999992</v>
      </c>
      <c r="M82" s="733">
        <f t="shared" si="3"/>
        <v>6497.6669999999995</v>
      </c>
      <c r="N82" s="733">
        <f t="shared" si="3"/>
        <v>15252.916000000001</v>
      </c>
      <c r="O82" s="733">
        <f t="shared" si="3"/>
        <v>9581.1139999999996</v>
      </c>
      <c r="P82" s="733">
        <f t="shared" si="3"/>
        <v>10506.627</v>
      </c>
      <c r="Q82" s="733">
        <f t="shared" si="3"/>
        <v>2881.2790000000018</v>
      </c>
      <c r="R82" s="733">
        <f t="shared" si="3"/>
        <v>6963.6329999999989</v>
      </c>
      <c r="S82" s="733">
        <f t="shared" si="3"/>
        <v>-527.01799999999912</v>
      </c>
      <c r="T82" s="733">
        <f>SUM(T52:T81)</f>
        <v>4548.3859999999986</v>
      </c>
      <c r="U82" s="733">
        <f>SUM(U52:U81)</f>
        <v>-349.09399999999277</v>
      </c>
      <c r="V82" s="674">
        <v>-1250</v>
      </c>
    </row>
    <row r="83" spans="1:22" s="674" customFormat="1" x14ac:dyDescent="0.35">
      <c r="A83" s="331" t="s">
        <v>1532</v>
      </c>
      <c r="B83" s="625"/>
      <c r="C83" s="728"/>
      <c r="D83" s="728"/>
      <c r="E83" s="728"/>
    </row>
    <row r="84" spans="1:22" s="674" customFormat="1" ht="12" x14ac:dyDescent="0.35">
      <c r="A84" s="720" t="s">
        <v>1564</v>
      </c>
      <c r="B84" s="646" t="s">
        <v>2425</v>
      </c>
      <c r="C84" s="733">
        <f t="shared" ref="C84:I84" si="4">C8+C49+C82</f>
        <v>-478.18600000000004</v>
      </c>
      <c r="D84" s="733">
        <f t="shared" si="4"/>
        <v>-552.28500000000008</v>
      </c>
      <c r="E84" s="733">
        <f t="shared" si="4"/>
        <v>352.05000000000007</v>
      </c>
      <c r="F84" s="733">
        <f t="shared" si="4"/>
        <v>4042.2349999999997</v>
      </c>
      <c r="G84" s="733">
        <f t="shared" si="4"/>
        <v>-2161.3699999999994</v>
      </c>
      <c r="H84" s="733">
        <f t="shared" si="4"/>
        <v>1725.7809999999999</v>
      </c>
      <c r="I84" s="733">
        <f t="shared" si="4"/>
        <v>1224.5730000000003</v>
      </c>
      <c r="J84" s="651">
        <f>CF!K31-CF!K30</f>
        <v>1090.7029999999995</v>
      </c>
      <c r="K84" s="651">
        <f>CF!L31-CF!L30</f>
        <v>-607.98800000000028</v>
      </c>
      <c r="L84" s="651">
        <f>CF!M31-CF!M30</f>
        <v>672.24399999999923</v>
      </c>
      <c r="M84" s="651">
        <f>CF!N31-CF!N30</f>
        <v>3674.1359999999995</v>
      </c>
      <c r="N84" s="651">
        <f>CF!O31-CF!O30</f>
        <v>5607.0210000000006</v>
      </c>
      <c r="O84" s="651">
        <f t="shared" ref="O84:R84" si="5">O8+O49+O82</f>
        <v>702.54899999999907</v>
      </c>
      <c r="P84" s="651">
        <f t="shared" si="5"/>
        <v>4712.2369999999992</v>
      </c>
      <c r="Q84" s="651">
        <f t="shared" si="5"/>
        <v>-1325.2489999999975</v>
      </c>
      <c r="R84" s="651">
        <f t="shared" si="5"/>
        <v>1474.963999999999</v>
      </c>
      <c r="S84" s="651">
        <f t="shared" ref="S84:U84" si="6">S8+S49+S82</f>
        <v>185.82500000000061</v>
      </c>
      <c r="T84" s="651">
        <f t="shared" si="6"/>
        <v>6222.9699999999984</v>
      </c>
      <c r="U84" s="651">
        <f t="shared" si="6"/>
        <v>2795.1540000000077</v>
      </c>
    </row>
    <row r="85" spans="1:22" s="674" customFormat="1" ht="12" x14ac:dyDescent="0.35">
      <c r="A85" s="331" t="s">
        <v>1565</v>
      </c>
      <c r="B85" s="625" t="s">
        <v>2426</v>
      </c>
      <c r="C85" s="726">
        <v>2043.2909999999999</v>
      </c>
      <c r="D85" s="726">
        <f>'BS（org）'!E48</f>
        <v>1701.104</v>
      </c>
      <c r="E85" s="726">
        <f>'BS（org）'!F48</f>
        <v>1545</v>
      </c>
      <c r="F85" s="726">
        <f>'BS（org）'!G48</f>
        <v>1900.1690000000001</v>
      </c>
      <c r="G85" s="726">
        <f>F87</f>
        <v>5939.7819999999992</v>
      </c>
      <c r="H85" s="726">
        <f>G87</f>
        <v>3810.0349999999999</v>
      </c>
      <c r="I85" s="726">
        <v>5594.2479999999996</v>
      </c>
      <c r="J85" s="727">
        <v>6921.0910000000003</v>
      </c>
      <c r="K85" s="727">
        <v>8161.25</v>
      </c>
      <c r="L85" s="727">
        <f>7505128/1000</f>
        <v>7505.1279999999997</v>
      </c>
      <c r="M85" s="727">
        <f>8025910/1000</f>
        <v>8025.91</v>
      </c>
      <c r="N85" s="727">
        <f>11484194/1000</f>
        <v>11484.194</v>
      </c>
      <c r="O85" s="727">
        <f>N87</f>
        <v>17570.867999999999</v>
      </c>
      <c r="P85" s="727">
        <f>O87</f>
        <v>17924.195999999996</v>
      </c>
      <c r="Q85" s="727">
        <f>P87</f>
        <v>22600.361999999997</v>
      </c>
      <c r="R85" s="727">
        <v>22411.688999999998</v>
      </c>
      <c r="S85" s="727">
        <f>R87</f>
        <v>24340.322999999997</v>
      </c>
      <c r="T85" s="727">
        <f>S87</f>
        <v>23501.513999999996</v>
      </c>
      <c r="U85" s="727">
        <f>T87</f>
        <v>28391.969999999994</v>
      </c>
    </row>
    <row r="86" spans="1:22" s="674" customFormat="1" ht="12" x14ac:dyDescent="0.35">
      <c r="A86" s="331" t="s">
        <v>1566</v>
      </c>
      <c r="B86" s="625" t="s">
        <v>2427</v>
      </c>
      <c r="C86" s="726">
        <v>2.492</v>
      </c>
      <c r="D86" s="726">
        <v>-1.899</v>
      </c>
      <c r="E86" s="726">
        <v>3.5720000000000001</v>
      </c>
      <c r="F86" s="727">
        <v>-2.6219999999999999</v>
      </c>
      <c r="G86" s="727">
        <v>31.623000000000001</v>
      </c>
      <c r="H86" s="727">
        <v>3.927</v>
      </c>
      <c r="I86" s="727">
        <v>3.835</v>
      </c>
      <c r="J86" s="727">
        <v>149.45599999999999</v>
      </c>
      <c r="K86" s="727">
        <v>-48.134</v>
      </c>
      <c r="L86" s="727">
        <f>-164595/1000</f>
        <v>-164.595</v>
      </c>
      <c r="M86" s="727">
        <f>-216191/1000</f>
        <v>-216.191</v>
      </c>
      <c r="N86" s="727">
        <f>479653/1000</f>
        <v>479.65300000000002</v>
      </c>
      <c r="O86" s="727">
        <f>-(349221)/1000</f>
        <v>-349.221</v>
      </c>
      <c r="P86" s="727">
        <v>-36.070999999999998</v>
      </c>
      <c r="Q86" s="727">
        <v>1137.116</v>
      </c>
      <c r="R86" s="727">
        <v>453.67</v>
      </c>
      <c r="S86" s="727">
        <v>-1024.634</v>
      </c>
      <c r="T86" s="727">
        <v>-1332.5139999999999</v>
      </c>
      <c r="U86" s="727">
        <v>-534.86599999999999</v>
      </c>
    </row>
    <row r="87" spans="1:22" s="674" customFormat="1" ht="12" x14ac:dyDescent="0.35">
      <c r="A87" s="720" t="s">
        <v>1567</v>
      </c>
      <c r="B87" s="646" t="s">
        <v>2428</v>
      </c>
      <c r="C87" s="733">
        <f t="shared" ref="C87:Q87" si="7">C84+C85+C86</f>
        <v>1567.597</v>
      </c>
      <c r="D87" s="733">
        <f t="shared" si="7"/>
        <v>1146.92</v>
      </c>
      <c r="E87" s="733">
        <f t="shared" si="7"/>
        <v>1900.6220000000001</v>
      </c>
      <c r="F87" s="733">
        <f t="shared" si="7"/>
        <v>5939.7819999999992</v>
      </c>
      <c r="G87" s="733">
        <f t="shared" si="7"/>
        <v>3810.0349999999999</v>
      </c>
      <c r="H87" s="733">
        <f t="shared" si="7"/>
        <v>5539.7429999999995</v>
      </c>
      <c r="I87" s="733">
        <f t="shared" si="7"/>
        <v>6822.6559999999999</v>
      </c>
      <c r="J87" s="733">
        <f t="shared" si="7"/>
        <v>8161.25</v>
      </c>
      <c r="K87" s="733">
        <f t="shared" si="7"/>
        <v>7505.1279999999997</v>
      </c>
      <c r="L87" s="733">
        <f t="shared" si="7"/>
        <v>8012.7769999999991</v>
      </c>
      <c r="M87" s="733">
        <f t="shared" si="7"/>
        <v>11483.854999999998</v>
      </c>
      <c r="N87" s="733">
        <f t="shared" si="7"/>
        <v>17570.867999999999</v>
      </c>
      <c r="O87" s="733">
        <f t="shared" si="7"/>
        <v>17924.195999999996</v>
      </c>
      <c r="P87" s="733">
        <f t="shared" si="7"/>
        <v>22600.361999999997</v>
      </c>
      <c r="Q87" s="733">
        <f t="shared" si="7"/>
        <v>22412.228999999999</v>
      </c>
      <c r="R87" s="733">
        <f>R84+R85+R86</f>
        <v>24340.322999999997</v>
      </c>
      <c r="S87" s="733">
        <f t="shared" ref="S87:U87" si="8">S84+S85+S86</f>
        <v>23501.513999999996</v>
      </c>
      <c r="T87" s="733">
        <f t="shared" si="8"/>
        <v>28391.969999999994</v>
      </c>
      <c r="U87" s="733">
        <f t="shared" si="8"/>
        <v>30652.258000000002</v>
      </c>
      <c r="V87" s="674">
        <v>30330</v>
      </c>
    </row>
    <row r="88" spans="1:22" s="674" customFormat="1" x14ac:dyDescent="0.35">
      <c r="A88" s="331" t="s">
        <v>1532</v>
      </c>
      <c r="B88" s="625"/>
      <c r="C88" s="728"/>
      <c r="D88" s="728"/>
      <c r="E88" s="728"/>
    </row>
    <row r="89" spans="1:22" s="674" customFormat="1" x14ac:dyDescent="0.35">
      <c r="A89" s="331" t="s">
        <v>1532</v>
      </c>
      <c r="B89" s="625"/>
      <c r="C89" s="728">
        <f>C87-BS!D39</f>
        <v>-133.50700000000006</v>
      </c>
      <c r="D89" s="728">
        <f>D87-BS!E39</f>
        <v>-398.07999999999993</v>
      </c>
      <c r="E89" s="728">
        <f>E87-BS!F39</f>
        <v>0.45299999999997453</v>
      </c>
      <c r="F89" s="728">
        <f>F87-BS!G39</f>
        <v>193.20899999999892</v>
      </c>
      <c r="G89" s="728">
        <f>G87-BS!H39</f>
        <v>81.93100000000004</v>
      </c>
      <c r="H89" s="728">
        <f>H87-BS!I39</f>
        <v>81.930999999999585</v>
      </c>
      <c r="I89" s="728">
        <f>I87-BS!J39</f>
        <v>105.74300000000039</v>
      </c>
      <c r="J89" s="728">
        <f>J87-BS!K39</f>
        <v>35.067000000000007</v>
      </c>
      <c r="K89" s="728">
        <f>K87-BS!L39</f>
        <v>52.679999999999382</v>
      </c>
      <c r="L89" s="728">
        <f>L87-BS!M39</f>
        <v>-13.447000000001026</v>
      </c>
      <c r="M89" s="728">
        <f>M87-BS!N39</f>
        <v>-0.7970000000022992</v>
      </c>
      <c r="N89" s="728">
        <f>N87-BS!O39</f>
        <v>-22.335000000002765</v>
      </c>
      <c r="O89" s="728">
        <f>O87-BS!P39</f>
        <v>-1.5120000000024447</v>
      </c>
      <c r="P89" s="728">
        <v>-23.259000000001834</v>
      </c>
      <c r="Q89" s="728">
        <v>-43.13300000000163</v>
      </c>
      <c r="R89" s="728"/>
      <c r="S89" s="728"/>
      <c r="T89" s="728"/>
      <c r="U89" s="728"/>
    </row>
    <row r="90" spans="1:22" s="674" customFormat="1" x14ac:dyDescent="0.35">
      <c r="A90" s="331" t="s">
        <v>1532</v>
      </c>
      <c r="B90" s="625"/>
      <c r="C90" s="728"/>
      <c r="D90" s="728"/>
      <c r="E90" s="728"/>
    </row>
    <row r="91" spans="1:22" s="674" customFormat="1" ht="12" x14ac:dyDescent="0.35">
      <c r="A91" s="720" t="s">
        <v>1532</v>
      </c>
      <c r="B91" s="646" t="s">
        <v>2429</v>
      </c>
      <c r="C91" s="728"/>
      <c r="D91" s="728"/>
      <c r="E91" s="728"/>
    </row>
    <row r="92" spans="1:22" s="674" customFormat="1" ht="12" x14ac:dyDescent="0.35">
      <c r="A92" s="720" t="s">
        <v>1532</v>
      </c>
      <c r="B92" s="646" t="s">
        <v>2015</v>
      </c>
      <c r="C92" s="728">
        <f>'PL（org）'!E26</f>
        <v>222.18199999999999</v>
      </c>
      <c r="D92" s="728">
        <f>'PL（org）'!F26</f>
        <v>404.89299999999997</v>
      </c>
      <c r="E92" s="728">
        <f>'PL（org）'!G26</f>
        <v>489.32100000000003</v>
      </c>
      <c r="F92" s="728">
        <f>'PL（org）'!H26</f>
        <v>612.53099999999995</v>
      </c>
      <c r="G92" s="728">
        <f>'PL（org）'!I26</f>
        <v>1036.278</v>
      </c>
      <c r="H92" s="728">
        <f>'PL（org）'!J26</f>
        <v>1507.405</v>
      </c>
      <c r="I92" s="728">
        <f>'PL（org）'!K26</f>
        <v>2131.4589999999998</v>
      </c>
      <c r="J92" s="728">
        <f>'PL（org）'!L26</f>
        <v>2749.5509999999999</v>
      </c>
      <c r="K92" s="728">
        <f>'PL（org）'!M26</f>
        <v>3457.41</v>
      </c>
      <c r="L92" s="728">
        <f>'PL（org）'!N26</f>
        <v>4524.1260000000002</v>
      </c>
      <c r="M92" s="728">
        <f>'PL（org）'!O26</f>
        <v>5130.0659999999998</v>
      </c>
      <c r="N92" s="728">
        <f>'PL（org）'!P26</f>
        <v>5490.0910000000003</v>
      </c>
      <c r="O92" s="728">
        <f>'PL（org）'!Q26</f>
        <v>4500.1480000000001</v>
      </c>
      <c r="P92" s="728">
        <f>'PL（org）'!R26</f>
        <v>5413.2080000000005</v>
      </c>
      <c r="Q92" s="728">
        <f>'PL（org）'!S26</f>
        <v>6015.3680000000004</v>
      </c>
      <c r="R92" s="728">
        <f>'PL（org）'!T26</f>
        <v>6800.8789999999999</v>
      </c>
      <c r="S92" s="728">
        <f>'PL（org）'!U26</f>
        <v>7956.8760000000002</v>
      </c>
      <c r="T92" s="728">
        <f>'PL（org）'!V26</f>
        <v>9164.0450000000001</v>
      </c>
      <c r="U92" s="728">
        <f>'PL（org）'!W26</f>
        <v>8565.3310000000001</v>
      </c>
    </row>
    <row r="93" spans="1:22" s="674" customFormat="1" ht="12" x14ac:dyDescent="0.35">
      <c r="A93" s="331" t="s">
        <v>1532</v>
      </c>
      <c r="B93" s="625" t="s">
        <v>2430</v>
      </c>
      <c r="C93" s="728"/>
      <c r="D93" s="728"/>
      <c r="E93" s="728"/>
      <c r="F93" s="728"/>
      <c r="G93" s="728"/>
      <c r="H93" s="728"/>
      <c r="I93" s="728"/>
    </row>
    <row r="94" spans="1:22" s="674" customFormat="1" ht="12" x14ac:dyDescent="0.35">
      <c r="A94" s="331" t="s">
        <v>775</v>
      </c>
      <c r="B94" s="625" t="s">
        <v>2286</v>
      </c>
      <c r="C94" s="728">
        <f>'PL（org）'!E28</f>
        <v>-0.31900000000000001</v>
      </c>
      <c r="D94" s="728">
        <f>'PL（org）'!F28</f>
        <v>43.061999999999998</v>
      </c>
      <c r="E94" s="728">
        <f>'PL（org）'!G28</f>
        <v>15.068</v>
      </c>
      <c r="F94" s="728">
        <f>'PL（org）'!H28</f>
        <v>0</v>
      </c>
      <c r="G94" s="728">
        <f>'PL（org）'!I28</f>
        <v>83.971000000000004</v>
      </c>
      <c r="H94" s="728">
        <f>'PL（org）'!J28</f>
        <v>2.774</v>
      </c>
      <c r="I94" s="728">
        <f>'PL（org）'!K28</f>
        <v>5.0419999999999998</v>
      </c>
      <c r="J94" s="728">
        <f>'PL（org）'!L28</f>
        <v>-78.864000000000004</v>
      </c>
      <c r="K94" s="728">
        <f>'PL（org）'!M28</f>
        <v>-69.531999999999996</v>
      </c>
      <c r="L94" s="728">
        <f>'PL（org）'!N28</f>
        <v>-51.442999999999998</v>
      </c>
      <c r="M94" s="728">
        <f>'PL（org）'!O28</f>
        <v>-122.85</v>
      </c>
      <c r="N94" s="728">
        <f>'PL（org）'!P28</f>
        <v>44.213000000000001</v>
      </c>
      <c r="O94" s="728">
        <f>'PL（org）'!Q28</f>
        <v>39.484999999999999</v>
      </c>
      <c r="P94" s="728">
        <f>'PL（org）'!R28</f>
        <v>50.206000000000003</v>
      </c>
      <c r="Q94" s="728">
        <f>'PL（org）'!S28</f>
        <v>61.56</v>
      </c>
      <c r="R94" s="728">
        <f>'PL（org）'!T28</f>
        <v>169.87299999999999</v>
      </c>
      <c r="S94" s="728">
        <f>'PL（org）'!U28</f>
        <v>216.76400000000001</v>
      </c>
      <c r="T94" s="728">
        <f>'PL（org）'!V28</f>
        <v>244.11500000000001</v>
      </c>
      <c r="U94" s="728">
        <f>'PL（org）'!W28</f>
        <v>315.654</v>
      </c>
    </row>
    <row r="95" spans="1:22" s="674" customFormat="1" ht="12" x14ac:dyDescent="0.35">
      <c r="A95" s="331"/>
      <c r="B95" s="737" t="s">
        <v>1830</v>
      </c>
      <c r="C95" s="728"/>
      <c r="D95" s="728"/>
      <c r="E95" s="728"/>
      <c r="F95" s="728"/>
      <c r="G95" s="728"/>
      <c r="H95" s="728"/>
      <c r="I95" s="728"/>
      <c r="J95" s="728"/>
      <c r="K95" s="728"/>
      <c r="L95" s="728"/>
      <c r="M95" s="728"/>
      <c r="N95" s="728"/>
      <c r="O95" s="726">
        <v>17</v>
      </c>
      <c r="P95" s="726">
        <v>260.166</v>
      </c>
      <c r="Q95" s="726">
        <v>407.24599999999998</v>
      </c>
      <c r="R95" s="726">
        <v>465.13200000000001</v>
      </c>
      <c r="S95" s="726">
        <f>PL!T107</f>
        <v>295.82400000000001</v>
      </c>
      <c r="T95" s="726">
        <f>PL!U107</f>
        <v>304.78800000000001</v>
      </c>
      <c r="U95" s="726">
        <f>PL!V107</f>
        <v>339.29700000000003</v>
      </c>
    </row>
    <row r="96" spans="1:22" s="674" customFormat="1" ht="12" x14ac:dyDescent="0.35">
      <c r="A96" s="331" t="s">
        <v>1568</v>
      </c>
      <c r="B96" s="331" t="s">
        <v>2149</v>
      </c>
      <c r="C96" s="728">
        <f>-'PL（org）'!E23</f>
        <v>49.180999999999997</v>
      </c>
      <c r="D96" s="728">
        <f>-'PL（org）'!F23</f>
        <v>82.355000000000004</v>
      </c>
      <c r="E96" s="728">
        <f>-'PL（org）'!G23</f>
        <v>66.275999999999996</v>
      </c>
      <c r="F96" s="728">
        <f>-'PL（org）'!H23</f>
        <v>109.54900000000001</v>
      </c>
      <c r="G96" s="728">
        <f>-'PL（org）'!I23</f>
        <v>213.21799999999999</v>
      </c>
      <c r="H96" s="728">
        <f>-'PL（org）'!J23</f>
        <v>334.12200000000001</v>
      </c>
      <c r="I96" s="728">
        <f>-'PL（org）'!K23</f>
        <v>-404.89600000000002</v>
      </c>
      <c r="J96" s="728">
        <f>-'PL（org）'!L23</f>
        <v>503.07100000000003</v>
      </c>
      <c r="K96" s="728">
        <f>-'PL（org）'!M23</f>
        <v>659.71600000000001</v>
      </c>
      <c r="L96" s="728">
        <f>-'PL（org）'!N23</f>
        <v>659.56200000000001</v>
      </c>
      <c r="M96" s="728">
        <f>-'PL（org）'!O23</f>
        <v>1004.504</v>
      </c>
      <c r="N96" s="728">
        <f>-'PL（org）'!P23</f>
        <v>1255.662</v>
      </c>
      <c r="O96" s="728">
        <f>-'PL（org）'!Q23</f>
        <v>1648.8720000000001</v>
      </c>
      <c r="P96" s="728">
        <f>-'PL（org）'!R23</f>
        <v>1560.8910000000001</v>
      </c>
      <c r="Q96" s="728">
        <f>-'PL（org）'!S23</f>
        <v>1760.3019999999999</v>
      </c>
      <c r="R96" s="728">
        <f>-'PL（org）'!T23</f>
        <v>1949.2940000000001</v>
      </c>
      <c r="S96" s="738">
        <f>-'PL（org）'!U23</f>
        <v>2309.221</v>
      </c>
      <c r="T96" s="728">
        <f>-'PL（org）'!V23</f>
        <v>2390.5990000000002</v>
      </c>
      <c r="U96" s="728">
        <f>-'PL（org）'!W23</f>
        <v>2618.9569999999999</v>
      </c>
    </row>
    <row r="97" spans="1:22" s="674" customFormat="1" ht="12" x14ac:dyDescent="0.35">
      <c r="A97" s="331" t="s">
        <v>1569</v>
      </c>
      <c r="B97" s="331" t="s">
        <v>2400</v>
      </c>
      <c r="C97" s="726">
        <v>4.7859999999999996</v>
      </c>
      <c r="D97" s="726">
        <v>1.823</v>
      </c>
      <c r="E97" s="726">
        <v>20.065000000000001</v>
      </c>
      <c r="F97" s="727">
        <v>12.956</v>
      </c>
      <c r="G97" s="727">
        <v>15.552</v>
      </c>
      <c r="H97" s="727">
        <v>192.69</v>
      </c>
      <c r="I97" s="727">
        <v>239.375</v>
      </c>
      <c r="J97" s="727">
        <v>418.44</v>
      </c>
      <c r="K97" s="727">
        <v>455.82900000000001</v>
      </c>
      <c r="L97" s="727">
        <f>607082/1000</f>
        <v>607.08199999999999</v>
      </c>
      <c r="M97" s="727">
        <f>688159/1000</f>
        <v>688.15899999999999</v>
      </c>
      <c r="N97" s="727">
        <v>1069.7540000000001</v>
      </c>
      <c r="O97" s="727">
        <f>1781717/1000</f>
        <v>1781.7170000000001</v>
      </c>
      <c r="P97" s="727">
        <v>2278.9850000000001</v>
      </c>
      <c r="Q97" s="727">
        <v>2679.9769999999999</v>
      </c>
      <c r="R97" s="727">
        <v>2668.2020000000002</v>
      </c>
      <c r="S97" s="727">
        <v>2991.4189999999999</v>
      </c>
      <c r="T97" s="727">
        <v>3204.3090000000002</v>
      </c>
      <c r="U97" s="727">
        <v>3222.1990000000001</v>
      </c>
    </row>
    <row r="98" spans="1:22" s="674" customFormat="1" ht="12" x14ac:dyDescent="0.35">
      <c r="A98" s="331" t="s">
        <v>1570</v>
      </c>
      <c r="B98" s="331" t="s">
        <v>1975</v>
      </c>
      <c r="C98" s="726">
        <v>-242.34700000000001</v>
      </c>
      <c r="D98" s="726">
        <v>-99.7</v>
      </c>
      <c r="E98" s="726">
        <v>-33.469000000000001</v>
      </c>
      <c r="F98" s="727">
        <v>-42.79</v>
      </c>
      <c r="G98" s="727">
        <v>-85.58</v>
      </c>
      <c r="H98" s="727">
        <v>-316.29599999999999</v>
      </c>
      <c r="I98" s="727">
        <v>-238.869</v>
      </c>
      <c r="J98" s="727">
        <f>-126.678-85.565-7.525-1.715-22.101</f>
        <v>-243.584</v>
      </c>
      <c r="K98" s="727">
        <f>-154.661-15.289-13.992-244.166</f>
        <v>-428.10799999999995</v>
      </c>
      <c r="L98" s="727">
        <f>-201583/1000-15458/1000-375127/1000-75682/1000-90569/1000</f>
        <v>-758.41899999999998</v>
      </c>
      <c r="M98" s="727">
        <f>-146328/1000-38928/1000-1123/1000-7816/1000-0/1000</f>
        <v>-194.19499999999999</v>
      </c>
      <c r="N98" s="727">
        <f>(-198518-29464)*0.001</f>
        <v>-227.982</v>
      </c>
      <c r="O98" s="727">
        <f>(-260745-27138)*0.001</f>
        <v>-287.88299999999998</v>
      </c>
      <c r="P98" s="727">
        <f>-444.036-31.154</f>
        <v>-475.19</v>
      </c>
      <c r="Q98" s="727">
        <f>-399.904-35.384</f>
        <v>-435.28800000000001</v>
      </c>
      <c r="R98" s="727">
        <f>-369.548-109.547</f>
        <v>-479.09500000000003</v>
      </c>
      <c r="S98" s="727">
        <f>-320.56-7.223</f>
        <v>-327.78300000000002</v>
      </c>
      <c r="T98" s="727">
        <f>-297.957-21.454</f>
        <v>-319.411</v>
      </c>
      <c r="U98" s="727">
        <f>-329.382-11.88</f>
        <v>-341.262</v>
      </c>
    </row>
    <row r="99" spans="1:22" s="674" customFormat="1" ht="12" x14ac:dyDescent="0.35">
      <c r="A99" s="331"/>
      <c r="B99" s="730" t="s">
        <v>2431</v>
      </c>
      <c r="C99" s="726"/>
      <c r="D99" s="726"/>
      <c r="E99" s="726"/>
      <c r="F99" s="727"/>
      <c r="G99" s="727"/>
      <c r="H99" s="727"/>
      <c r="I99" s="727"/>
      <c r="J99" s="727"/>
      <c r="K99" s="727"/>
      <c r="L99" s="727"/>
      <c r="M99" s="727"/>
      <c r="N99" s="727"/>
      <c r="O99" s="727">
        <v>-0.113</v>
      </c>
      <c r="P99" s="727">
        <v>-7.3760000000000003</v>
      </c>
      <c r="Q99" s="727">
        <v>0</v>
      </c>
      <c r="R99" s="727">
        <v>0</v>
      </c>
      <c r="S99" s="727"/>
      <c r="T99" s="727"/>
      <c r="U99" s="727"/>
    </row>
    <row r="100" spans="1:22" s="674" customFormat="1" ht="12" x14ac:dyDescent="0.35">
      <c r="A100" s="331"/>
      <c r="B100" s="730" t="s">
        <v>2432</v>
      </c>
      <c r="C100" s="726"/>
      <c r="D100" s="726"/>
      <c r="E100" s="726"/>
      <c r="F100" s="727"/>
      <c r="G100" s="727"/>
      <c r="H100" s="727"/>
      <c r="I100" s="727"/>
      <c r="J100" s="727"/>
      <c r="K100" s="727"/>
      <c r="L100" s="727"/>
      <c r="M100" s="727">
        <f>-1202437/1000</f>
        <v>-1202.4369999999999</v>
      </c>
      <c r="N100" s="727">
        <v>-445.64</v>
      </c>
      <c r="O100" s="727">
        <f>6828/1000</f>
        <v>6.8280000000000003</v>
      </c>
      <c r="P100" s="727">
        <v>0</v>
      </c>
      <c r="Q100" s="727">
        <v>186.30199999999999</v>
      </c>
      <c r="R100" s="727">
        <v>-487.72199999999998</v>
      </c>
      <c r="S100" s="727">
        <v>-221.81700000000001</v>
      </c>
      <c r="T100" s="727">
        <v>-305.77800000000002</v>
      </c>
      <c r="U100" s="727">
        <v>159.33699999999999</v>
      </c>
    </row>
    <row r="101" spans="1:22" s="674" customFormat="1" ht="12" x14ac:dyDescent="0.35">
      <c r="A101" s="331" t="s">
        <v>1571</v>
      </c>
      <c r="B101" s="331" t="s">
        <v>2433</v>
      </c>
      <c r="C101" s="726">
        <v>-0.114</v>
      </c>
      <c r="D101" s="726">
        <v>-11.863</v>
      </c>
      <c r="E101" s="726">
        <v>-9.3140000000000001</v>
      </c>
      <c r="F101" s="727">
        <v>-0.57599999999999996</v>
      </c>
      <c r="G101" s="727">
        <v>-12.54</v>
      </c>
      <c r="H101" s="727">
        <v>-16.138999999999999</v>
      </c>
      <c r="I101" s="727">
        <v>-7.992</v>
      </c>
      <c r="J101" s="727">
        <v>-64.629000000000005</v>
      </c>
      <c r="K101" s="727">
        <v>4.1559999999999997</v>
      </c>
      <c r="L101" s="727">
        <f>-1341/1000</f>
        <v>-1.341</v>
      </c>
      <c r="M101" s="727">
        <f>-19966/1000</f>
        <v>-19.966000000000001</v>
      </c>
      <c r="N101" s="727">
        <v>2.0009999999999999</v>
      </c>
      <c r="O101" s="727">
        <v>-0.66900000000000004</v>
      </c>
      <c r="P101" s="727">
        <v>-9.1379999999999999</v>
      </c>
      <c r="Q101" s="727">
        <v>-5.242</v>
      </c>
      <c r="R101" s="727">
        <v>-14.827</v>
      </c>
      <c r="S101" s="727">
        <v>-5.0709999999999997</v>
      </c>
      <c r="T101" s="727">
        <v>-5.2409999999999997</v>
      </c>
      <c r="U101" s="727">
        <v>-21.827000000000002</v>
      </c>
    </row>
    <row r="102" spans="1:22" s="674" customFormat="1" ht="12" x14ac:dyDescent="0.35">
      <c r="A102" s="331"/>
      <c r="B102" s="730" t="s">
        <v>2434</v>
      </c>
      <c r="C102" s="726"/>
      <c r="D102" s="726"/>
      <c r="E102" s="726"/>
      <c r="F102" s="727"/>
      <c r="G102" s="727"/>
      <c r="H102" s="727"/>
      <c r="I102" s="727"/>
      <c r="J102" s="727"/>
      <c r="K102" s="727"/>
      <c r="L102" s="727"/>
      <c r="M102" s="727"/>
      <c r="N102" s="727">
        <v>-3.7520000000000002</v>
      </c>
      <c r="O102" s="727">
        <v>0</v>
      </c>
      <c r="P102" s="727">
        <v>-4.0279999999999996</v>
      </c>
      <c r="Q102" s="727">
        <v>0</v>
      </c>
      <c r="R102" s="727">
        <v>0</v>
      </c>
      <c r="S102" s="727"/>
      <c r="T102" s="727"/>
      <c r="U102" s="727">
        <v>-0.99199999999999999</v>
      </c>
    </row>
    <row r="103" spans="1:22" s="674" customFormat="1" ht="12" x14ac:dyDescent="0.35">
      <c r="A103" s="331"/>
      <c r="B103" s="730" t="s">
        <v>2435</v>
      </c>
      <c r="C103" s="726"/>
      <c r="D103" s="726"/>
      <c r="E103" s="726"/>
      <c r="F103" s="727"/>
      <c r="G103" s="727"/>
      <c r="H103" s="727"/>
      <c r="I103" s="727"/>
      <c r="J103" s="727"/>
      <c r="K103" s="727"/>
      <c r="L103" s="727"/>
      <c r="M103" s="727"/>
      <c r="N103" s="727">
        <v>28.07</v>
      </c>
      <c r="O103" s="727">
        <v>0</v>
      </c>
      <c r="P103" s="727"/>
      <c r="Q103" s="727">
        <v>-570.03499999999997</v>
      </c>
      <c r="R103" s="727">
        <v>-26.323</v>
      </c>
      <c r="S103" s="727">
        <f>-1.625-38.351-189.472-80.654</f>
        <v>-310.10199999999998</v>
      </c>
      <c r="T103" s="727">
        <f>14.871-33.143</f>
        <v>-18.271999999999998</v>
      </c>
      <c r="U103" s="727">
        <v>-68.100999999999999</v>
      </c>
    </row>
    <row r="104" spans="1:22" s="674" customFormat="1" ht="12" x14ac:dyDescent="0.35">
      <c r="A104" s="331"/>
      <c r="B104" s="730" t="s">
        <v>2436</v>
      </c>
      <c r="C104" s="726"/>
      <c r="D104" s="726"/>
      <c r="E104" s="726"/>
      <c r="F104" s="727"/>
      <c r="G104" s="727"/>
      <c r="H104" s="727"/>
      <c r="I104" s="727"/>
      <c r="J104" s="727"/>
      <c r="K104" s="727"/>
      <c r="L104" s="727"/>
      <c r="M104" s="727"/>
      <c r="N104" s="727"/>
      <c r="O104" s="727">
        <f>817000/1000</f>
        <v>817</v>
      </c>
      <c r="P104" s="727"/>
      <c r="Q104" s="727"/>
      <c r="R104" s="727"/>
      <c r="S104" s="727"/>
      <c r="T104" s="727"/>
      <c r="U104" s="727"/>
    </row>
    <row r="105" spans="1:22" s="674" customFormat="1" ht="12" x14ac:dyDescent="0.35">
      <c r="A105" s="331" t="s">
        <v>1532</v>
      </c>
      <c r="B105" s="331" t="s">
        <v>2437</v>
      </c>
      <c r="C105" s="726"/>
      <c r="D105" s="726"/>
      <c r="E105" s="726"/>
      <c r="F105" s="727">
        <v>0</v>
      </c>
      <c r="G105" s="727">
        <v>-19.686</v>
      </c>
      <c r="H105" s="727">
        <v>-20.314</v>
      </c>
      <c r="I105" s="727">
        <v>-56.826999999999998</v>
      </c>
      <c r="J105" s="727">
        <v>0</v>
      </c>
      <c r="K105" s="727">
        <v>0</v>
      </c>
      <c r="L105" s="727"/>
      <c r="M105" s="727">
        <f>225917/1000</f>
        <v>225.917</v>
      </c>
      <c r="N105" s="727"/>
      <c r="O105" s="727">
        <v>0</v>
      </c>
      <c r="P105" s="727"/>
      <c r="Q105" s="727"/>
      <c r="R105" s="727"/>
      <c r="S105" s="727"/>
      <c r="T105" s="727"/>
      <c r="U105" s="727"/>
    </row>
    <row r="106" spans="1:22" s="674" customFormat="1" ht="12" x14ac:dyDescent="0.35">
      <c r="A106" s="331" t="s">
        <v>1572</v>
      </c>
      <c r="B106" s="331" t="s">
        <v>1968</v>
      </c>
      <c r="C106" s="726">
        <v>0</v>
      </c>
      <c r="D106" s="726">
        <v>0</v>
      </c>
      <c r="E106" s="726">
        <v>2.9769999999999999</v>
      </c>
      <c r="F106" s="727"/>
      <c r="G106" s="727"/>
      <c r="H106" s="727"/>
      <c r="I106" s="727"/>
      <c r="J106" s="727"/>
      <c r="K106" s="727"/>
      <c r="L106" s="727"/>
      <c r="M106" s="727"/>
      <c r="N106" s="727"/>
      <c r="O106" s="727">
        <v>0</v>
      </c>
      <c r="P106" s="727"/>
      <c r="Q106" s="727"/>
      <c r="R106" s="727"/>
      <c r="S106" s="727">
        <f>-85.154-467.034</f>
        <v>-552.18799999999999</v>
      </c>
      <c r="T106" s="727">
        <f>-121.144</f>
        <v>-121.14400000000001</v>
      </c>
      <c r="U106" s="727">
        <v>0</v>
      </c>
    </row>
    <row r="107" spans="1:22" s="674" customFormat="1" ht="12" x14ac:dyDescent="0.35">
      <c r="A107" s="331" t="s">
        <v>1573</v>
      </c>
      <c r="B107" s="331" t="s">
        <v>1967</v>
      </c>
      <c r="C107" s="726">
        <v>0</v>
      </c>
      <c r="D107" s="726">
        <v>0</v>
      </c>
      <c r="E107" s="726">
        <v>6.7350000000000003</v>
      </c>
      <c r="F107" s="727"/>
      <c r="G107" s="727"/>
      <c r="H107" s="727"/>
      <c r="I107" s="727"/>
      <c r="J107" s="727"/>
      <c r="K107" s="727"/>
      <c r="L107" s="727"/>
      <c r="M107" s="727"/>
      <c r="N107" s="727"/>
      <c r="O107" s="727">
        <v>0</v>
      </c>
      <c r="P107" s="727"/>
      <c r="Q107" s="727"/>
      <c r="R107" s="727"/>
      <c r="S107" s="727"/>
      <c r="T107" s="727"/>
      <c r="U107" s="727"/>
    </row>
    <row r="108" spans="1:22" s="674" customFormat="1" ht="12" x14ac:dyDescent="0.35">
      <c r="A108" s="331" t="s">
        <v>2438</v>
      </c>
      <c r="B108" s="331" t="s">
        <v>2439</v>
      </c>
      <c r="C108" s="726">
        <v>0</v>
      </c>
      <c r="D108" s="726">
        <v>0</v>
      </c>
      <c r="E108" s="726">
        <v>8.0960000000000001</v>
      </c>
      <c r="F108" s="727">
        <v>5.1749999999999998</v>
      </c>
      <c r="G108" s="727">
        <v>2.9430000000000001</v>
      </c>
      <c r="H108" s="727">
        <v>1.0740000000000001</v>
      </c>
      <c r="I108" s="727"/>
      <c r="J108" s="727">
        <v>1.1080000000000001</v>
      </c>
      <c r="K108" s="727">
        <v>2.9319999999999999</v>
      </c>
      <c r="L108" s="727">
        <f>2800/1000</f>
        <v>2.8</v>
      </c>
      <c r="M108" s="727">
        <f>4060/1000</f>
        <v>4.0599999999999996</v>
      </c>
      <c r="N108" s="727">
        <v>3.931</v>
      </c>
      <c r="O108" s="727">
        <f>-7083/1000</f>
        <v>-7.0830000000000002</v>
      </c>
      <c r="P108" s="727"/>
      <c r="Q108" s="727"/>
      <c r="R108" s="727"/>
      <c r="S108" s="727">
        <v>37.697000000000003</v>
      </c>
      <c r="T108" s="727">
        <v>93.046000000000006</v>
      </c>
      <c r="U108" s="727">
        <v>19.286000000000001</v>
      </c>
    </row>
    <row r="109" spans="1:22" s="674" customFormat="1" ht="12" x14ac:dyDescent="0.35">
      <c r="A109" s="331" t="s">
        <v>1574</v>
      </c>
      <c r="B109" s="331" t="s">
        <v>1969</v>
      </c>
      <c r="C109" s="726">
        <v>0</v>
      </c>
      <c r="D109" s="726">
        <v>0</v>
      </c>
      <c r="E109" s="726">
        <v>-18.292000000000002</v>
      </c>
      <c r="F109" s="727"/>
      <c r="G109" s="727"/>
      <c r="H109" s="727"/>
      <c r="I109" s="727"/>
      <c r="J109" s="727"/>
      <c r="K109" s="727"/>
      <c r="L109" s="727"/>
      <c r="M109" s="727"/>
      <c r="N109" s="727"/>
      <c r="O109" s="727"/>
      <c r="P109" s="727"/>
      <c r="Q109" s="727"/>
      <c r="R109" s="727"/>
      <c r="S109" s="727"/>
      <c r="T109" s="727"/>
      <c r="U109" s="727"/>
    </row>
    <row r="110" spans="1:22" s="674" customFormat="1" ht="12" x14ac:dyDescent="0.35">
      <c r="A110" s="331" t="s">
        <v>2440</v>
      </c>
      <c r="B110" s="331" t="s">
        <v>2441</v>
      </c>
      <c r="C110" s="726">
        <f>(-6860+165)/1000</f>
        <v>-6.6950000000000003</v>
      </c>
      <c r="D110" s="726">
        <v>-8.7880000000000003</v>
      </c>
      <c r="E110" s="726">
        <v>-9.4450000000000003</v>
      </c>
      <c r="F110" s="727">
        <f>-11.592-309.31</f>
        <v>-320.90199999999999</v>
      </c>
      <c r="G110" s="727">
        <f>-20.419-321.745</f>
        <v>-342.16399999999999</v>
      </c>
      <c r="H110" s="727">
        <f>-13.702-379.947</f>
        <v>-393.649</v>
      </c>
      <c r="I110" s="727">
        <f>-413.284-18.255</f>
        <v>-431.53899999999999</v>
      </c>
      <c r="J110" s="727">
        <f>-430.228-21.941</f>
        <v>-452.16899999999998</v>
      </c>
      <c r="K110" s="727">
        <f>-294.345-23.787</f>
        <v>-318.13200000000001</v>
      </c>
      <c r="L110" s="727">
        <f>-423728/1000-72462/1000</f>
        <v>-496.19</v>
      </c>
      <c r="M110" s="727">
        <f>-420295/1000-142670/1000</f>
        <v>-562.96500000000003</v>
      </c>
      <c r="N110" s="727">
        <f>(-731380-160300)*0.001</f>
        <v>-891.68000000000006</v>
      </c>
      <c r="O110" s="727">
        <f>(-705024-342621)/1000</f>
        <v>-1047.645</v>
      </c>
      <c r="P110" s="727">
        <f>-452.654-920.143</f>
        <v>-1372.797</v>
      </c>
      <c r="Q110" s="727">
        <f>-701.944-1879.577</f>
        <v>-2581.5209999999997</v>
      </c>
      <c r="R110" s="727">
        <f>-369.246-782.808</f>
        <v>-1152.0540000000001</v>
      </c>
      <c r="S110" s="727">
        <f>-275.196-333.934</f>
        <v>-609.13000000000011</v>
      </c>
      <c r="T110" s="727">
        <f>-629.969-314.539</f>
        <v>-944.50800000000004</v>
      </c>
      <c r="U110" s="727">
        <f>-637.704-267.555</f>
        <v>-905.25900000000001</v>
      </c>
    </row>
    <row r="111" spans="1:22" s="674" customFormat="1" ht="12" x14ac:dyDescent="0.35">
      <c r="A111" s="331" t="s">
        <v>2442</v>
      </c>
      <c r="B111" s="331" t="s">
        <v>2443</v>
      </c>
      <c r="C111" s="726">
        <v>9.8580000000000005</v>
      </c>
      <c r="D111" s="726">
        <v>9.7409999999999997</v>
      </c>
      <c r="E111" s="726">
        <v>11.218999999999999</v>
      </c>
      <c r="F111" s="727">
        <v>84.754000000000005</v>
      </c>
      <c r="G111" s="727">
        <v>76.659000000000006</v>
      </c>
      <c r="H111" s="727">
        <v>83.858999999999995</v>
      </c>
      <c r="I111" s="727">
        <v>110.90600000000001</v>
      </c>
      <c r="J111" s="727">
        <v>129.13800000000001</v>
      </c>
      <c r="K111" s="727">
        <v>145.084</v>
      </c>
      <c r="L111" s="727">
        <f>139110/1000</f>
        <v>139.11000000000001</v>
      </c>
      <c r="M111" s="727">
        <f>132653/1000</f>
        <v>132.65299999999999</v>
      </c>
      <c r="N111" s="727">
        <f>131786/1000</f>
        <v>131.786</v>
      </c>
      <c r="O111" s="727">
        <f>144910/1000</f>
        <v>144.91</v>
      </c>
      <c r="P111" s="727">
        <v>193.262</v>
      </c>
      <c r="Q111" s="727">
        <v>197.03800000000001</v>
      </c>
      <c r="R111" s="727">
        <v>238.83699999999999</v>
      </c>
      <c r="S111" s="727">
        <v>402.00700000000001</v>
      </c>
      <c r="T111" s="727">
        <v>552.54300000000001</v>
      </c>
      <c r="U111" s="727">
        <v>590.24300000000005</v>
      </c>
      <c r="V111" s="674">
        <v>839</v>
      </c>
    </row>
    <row r="112" spans="1:22" s="674" customFormat="1" ht="12" x14ac:dyDescent="0.35">
      <c r="A112" s="331" t="s">
        <v>2444</v>
      </c>
      <c r="B112" s="331" t="s">
        <v>2445</v>
      </c>
      <c r="C112" s="726">
        <v>0</v>
      </c>
      <c r="D112" s="726">
        <v>0.55000000000000004</v>
      </c>
      <c r="E112" s="726">
        <v>0.91300000000000003</v>
      </c>
      <c r="F112" s="727">
        <v>1.665</v>
      </c>
      <c r="G112" s="727">
        <v>1.052</v>
      </c>
      <c r="H112" s="727">
        <v>1.0580000000000001</v>
      </c>
      <c r="I112" s="727">
        <v>1.0189999999999999</v>
      </c>
      <c r="J112" s="727">
        <v>1.008</v>
      </c>
      <c r="K112" s="727">
        <v>1.0069999999999999</v>
      </c>
      <c r="L112" s="727">
        <f>1003/1000</f>
        <v>1.0029999999999999</v>
      </c>
      <c r="M112" s="727"/>
      <c r="N112" s="727"/>
      <c r="O112" s="727"/>
      <c r="P112" s="727"/>
      <c r="Q112" s="727"/>
      <c r="R112" s="727"/>
      <c r="S112" s="727">
        <v>99.725999999999999</v>
      </c>
      <c r="T112" s="727">
        <v>122.071</v>
      </c>
      <c r="U112" s="727">
        <v>192.22900000000001</v>
      </c>
    </row>
    <row r="113" spans="1:22" s="674" customFormat="1" ht="12" x14ac:dyDescent="0.35">
      <c r="A113" s="331" t="s">
        <v>2446</v>
      </c>
      <c r="B113" s="331" t="s">
        <v>2447</v>
      </c>
      <c r="C113" s="726">
        <v>0.42599999999999999</v>
      </c>
      <c r="D113" s="726">
        <v>0.874</v>
      </c>
      <c r="E113" s="726">
        <v>2.2349999999999999</v>
      </c>
      <c r="F113" s="727">
        <v>2.0910000000000002</v>
      </c>
      <c r="G113" s="727">
        <v>3.516</v>
      </c>
      <c r="H113" s="727">
        <v>4.6740000000000004</v>
      </c>
      <c r="I113" s="727">
        <v>3.851</v>
      </c>
      <c r="J113" s="727">
        <f>8.681</f>
        <v>8.6809999999999992</v>
      </c>
      <c r="K113" s="727">
        <v>6.077</v>
      </c>
      <c r="L113" s="727">
        <f>5420/1000</f>
        <v>5.42</v>
      </c>
      <c r="M113" s="727">
        <f>7240/1000</f>
        <v>7.24</v>
      </c>
      <c r="N113" s="727">
        <v>7.1619999999999999</v>
      </c>
      <c r="O113" s="727">
        <v>7.399</v>
      </c>
      <c r="P113" s="727">
        <v>0.91400000000000003</v>
      </c>
      <c r="Q113" s="727">
        <v>5.9349999999999996</v>
      </c>
      <c r="R113" s="727">
        <v>-6.1310000000000002</v>
      </c>
      <c r="S113" s="727"/>
      <c r="T113" s="727"/>
      <c r="U113" s="727"/>
    </row>
    <row r="114" spans="1:22" s="674" customFormat="1" ht="12" x14ac:dyDescent="0.35">
      <c r="A114" s="331" t="s">
        <v>2448</v>
      </c>
      <c r="B114" s="331" t="s">
        <v>2449</v>
      </c>
      <c r="C114" s="726"/>
      <c r="D114" s="726"/>
      <c r="E114" s="726"/>
      <c r="F114" s="727"/>
      <c r="G114" s="727"/>
      <c r="H114" s="727">
        <v>90.266999999999996</v>
      </c>
      <c r="I114" s="727">
        <v>138.744</v>
      </c>
      <c r="J114" s="727">
        <v>140.47800000000001</v>
      </c>
      <c r="K114" s="727">
        <v>142.25700000000001</v>
      </c>
      <c r="L114" s="727">
        <f>180863/1000</f>
        <v>180.863</v>
      </c>
      <c r="M114" s="727">
        <f>210625/1000</f>
        <v>210.625</v>
      </c>
      <c r="N114" s="727">
        <v>206.95099999999999</v>
      </c>
      <c r="O114" s="727">
        <f>211879/1000</f>
        <v>211.87899999999999</v>
      </c>
      <c r="P114" s="727">
        <v>270.065</v>
      </c>
      <c r="Q114" s="727">
        <v>201.02799999999999</v>
      </c>
      <c r="R114" s="727">
        <v>174.98400000000001</v>
      </c>
      <c r="S114" s="727">
        <v>168.262</v>
      </c>
      <c r="T114" s="727">
        <v>161.67400000000001</v>
      </c>
      <c r="U114" s="727">
        <v>157.964</v>
      </c>
      <c r="V114" s="674">
        <v>163.47499999999999</v>
      </c>
    </row>
    <row r="115" spans="1:22" s="674" customFormat="1" ht="12" x14ac:dyDescent="0.35">
      <c r="A115" s="331" t="s">
        <v>2450</v>
      </c>
      <c r="B115" s="331" t="s">
        <v>2451</v>
      </c>
      <c r="C115" s="726"/>
      <c r="D115" s="726"/>
      <c r="E115" s="726"/>
      <c r="F115" s="727"/>
      <c r="G115" s="727"/>
      <c r="H115" s="727"/>
      <c r="I115" s="727">
        <v>19.466000000000001</v>
      </c>
      <c r="J115" s="727">
        <v>25.954999999999998</v>
      </c>
      <c r="K115" s="727">
        <v>25.956</v>
      </c>
      <c r="L115" s="727">
        <f>14615/1000</f>
        <v>14.615</v>
      </c>
      <c r="M115" s="727">
        <f>10835/1000</f>
        <v>10.835000000000001</v>
      </c>
      <c r="N115" s="727">
        <v>17.684999999999999</v>
      </c>
      <c r="O115" s="727">
        <f>17848/1000</f>
        <v>17.847999999999999</v>
      </c>
      <c r="P115" s="727">
        <v>17.597999999999999</v>
      </c>
      <c r="Q115" s="727">
        <v>17.454000000000001</v>
      </c>
      <c r="R115" s="727">
        <v>17.966999999999999</v>
      </c>
      <c r="S115" s="727">
        <v>17.693000000000001</v>
      </c>
      <c r="T115" s="727">
        <v>17.423999999999999</v>
      </c>
      <c r="U115" s="727">
        <v>17.273</v>
      </c>
    </row>
    <row r="116" spans="1:22" s="674" customFormat="1" ht="12" x14ac:dyDescent="0.35">
      <c r="A116" s="331" t="s">
        <v>1532</v>
      </c>
      <c r="B116" s="331" t="s">
        <v>2452</v>
      </c>
      <c r="C116" s="726"/>
      <c r="D116" s="726"/>
      <c r="E116" s="726"/>
      <c r="F116" s="727">
        <v>-17.635999999999999</v>
      </c>
      <c r="G116" s="727">
        <v>-26.466000000000001</v>
      </c>
      <c r="H116" s="727">
        <v>-2.4169999999999998</v>
      </c>
      <c r="I116" s="727">
        <v>-9.6120000000000001</v>
      </c>
      <c r="J116" s="727">
        <v>-2.9020000000000001</v>
      </c>
      <c r="K116" s="727">
        <v>1.873</v>
      </c>
      <c r="L116" s="727">
        <f>20126/1000</f>
        <v>20.126000000000001</v>
      </c>
      <c r="M116" s="727">
        <f>43623/1000</f>
        <v>43.622999999999998</v>
      </c>
      <c r="N116" s="727">
        <v>-47.849000000000004</v>
      </c>
      <c r="O116" s="727">
        <f>-30408/1000</f>
        <v>-30.408000000000001</v>
      </c>
      <c r="P116" s="727">
        <v>45.256</v>
      </c>
      <c r="Q116" s="727">
        <v>161.28399999999999</v>
      </c>
      <c r="R116" s="727">
        <v>123.128</v>
      </c>
      <c r="S116" s="727">
        <v>3.1E-2</v>
      </c>
      <c r="T116" s="727"/>
      <c r="U116" s="727"/>
    </row>
    <row r="117" spans="1:22" s="674" customFormat="1" ht="12" x14ac:dyDescent="0.35">
      <c r="A117" s="331" t="s">
        <v>1575</v>
      </c>
      <c r="B117" s="331" t="s">
        <v>2453</v>
      </c>
      <c r="C117" s="726">
        <v>4.7789999999999999</v>
      </c>
      <c r="D117" s="726">
        <v>2.7930000000000001</v>
      </c>
      <c r="E117" s="726">
        <v>1.6879999999999999</v>
      </c>
      <c r="F117" s="727">
        <v>0.93400000000000005</v>
      </c>
      <c r="G117" s="727">
        <v>0.36199999999999999</v>
      </c>
      <c r="H117" s="727">
        <v>0</v>
      </c>
      <c r="I117" s="727"/>
      <c r="J117" s="727"/>
      <c r="K117" s="727"/>
      <c r="L117" s="727"/>
      <c r="M117" s="727"/>
      <c r="N117" s="727"/>
      <c r="O117" s="727"/>
      <c r="P117" s="727"/>
      <c r="Q117" s="727"/>
      <c r="R117" s="727">
        <v>44.54</v>
      </c>
      <c r="S117" s="727">
        <v>34.127000000000002</v>
      </c>
      <c r="T117" s="727">
        <v>6.57</v>
      </c>
      <c r="U117" s="727">
        <v>7.3970000000000002</v>
      </c>
    </row>
    <row r="118" spans="1:22" s="674" customFormat="1" ht="12" x14ac:dyDescent="0.35">
      <c r="A118" s="331" t="s">
        <v>1532</v>
      </c>
      <c r="B118" s="730" t="s">
        <v>551</v>
      </c>
      <c r="C118" s="726"/>
      <c r="D118" s="726"/>
      <c r="E118" s="726"/>
      <c r="F118" s="727">
        <v>-18.483000000000001</v>
      </c>
      <c r="G118" s="727">
        <v>0</v>
      </c>
      <c r="H118" s="727"/>
      <c r="I118" s="727"/>
      <c r="J118" s="727"/>
      <c r="K118" s="727"/>
      <c r="L118" s="727"/>
      <c r="M118" s="727"/>
      <c r="N118" s="727"/>
      <c r="O118" s="727"/>
      <c r="P118" s="727"/>
      <c r="Q118" s="727"/>
      <c r="R118" s="727"/>
      <c r="S118" s="727"/>
      <c r="T118" s="727">
        <f>23.555+117.782</f>
        <v>141.33699999999999</v>
      </c>
      <c r="U118" s="727">
        <v>5.4829999999999997</v>
      </c>
    </row>
    <row r="119" spans="1:22" s="651" customFormat="1" ht="12" x14ac:dyDescent="0.35">
      <c r="A119" s="720" t="s">
        <v>1576</v>
      </c>
      <c r="B119" s="720" t="s">
        <v>2454</v>
      </c>
      <c r="C119" s="733">
        <f t="shared" ref="C119:Q119" si="9">SUM(C92:C118)</f>
        <v>41.736999999999981</v>
      </c>
      <c r="D119" s="733">
        <f t="shared" si="9"/>
        <v>425.73999999999995</v>
      </c>
      <c r="E119" s="733">
        <f t="shared" si="9"/>
        <v>554.07299999999998</v>
      </c>
      <c r="F119" s="733">
        <f t="shared" si="9"/>
        <v>429.26799999999997</v>
      </c>
      <c r="G119" s="733">
        <f t="shared" si="9"/>
        <v>947.11500000000012</v>
      </c>
      <c r="H119" s="733">
        <f t="shared" si="9"/>
        <v>1469.1079999999999</v>
      </c>
      <c r="I119" s="733">
        <f t="shared" si="9"/>
        <v>1500.1269999999997</v>
      </c>
      <c r="J119" s="733">
        <f t="shared" si="9"/>
        <v>3135.2820000000002</v>
      </c>
      <c r="K119" s="733">
        <f t="shared" si="9"/>
        <v>4086.5249999999996</v>
      </c>
      <c r="L119" s="733">
        <f t="shared" si="9"/>
        <v>4847.3140000000003</v>
      </c>
      <c r="M119" s="733">
        <f t="shared" si="9"/>
        <v>5355.2689999999993</v>
      </c>
      <c r="N119" s="733">
        <f t="shared" si="9"/>
        <v>6640.4029999999993</v>
      </c>
      <c r="O119" s="733">
        <f t="shared" si="9"/>
        <v>7819.2849999999989</v>
      </c>
      <c r="P119" s="733">
        <f t="shared" si="9"/>
        <v>8222.021999999999</v>
      </c>
      <c r="Q119" s="733">
        <f t="shared" si="9"/>
        <v>8101.4080000000004</v>
      </c>
      <c r="R119" s="733">
        <f>SUM(R92:R118)</f>
        <v>10486.684000000005</v>
      </c>
      <c r="S119" s="733">
        <f>SUM(S92:S118)</f>
        <v>12503.556</v>
      </c>
      <c r="T119" s="733">
        <f>SUM(T92:T118)</f>
        <v>14688.166999999999</v>
      </c>
      <c r="U119" s="733">
        <f>SUM(U92:U118)</f>
        <v>14873.209000000001</v>
      </c>
    </row>
    <row r="120" spans="1:22" s="651" customFormat="1" x14ac:dyDescent="0.35">
      <c r="A120" s="720"/>
      <c r="B120" s="720"/>
      <c r="C120" s="733"/>
      <c r="D120" s="733"/>
      <c r="E120" s="733"/>
      <c r="F120" s="733"/>
      <c r="G120" s="733"/>
      <c r="H120" s="733"/>
      <c r="I120" s="733"/>
      <c r="J120" s="733"/>
      <c r="K120" s="733"/>
      <c r="L120" s="733"/>
      <c r="M120" s="733"/>
      <c r="N120" s="733"/>
      <c r="O120" s="733"/>
      <c r="P120" s="733"/>
      <c r="Q120" s="733"/>
      <c r="R120" s="733"/>
      <c r="S120" s="733"/>
      <c r="T120" s="733"/>
      <c r="U120" s="733"/>
    </row>
    <row r="121" spans="1:22" s="674" customFormat="1" ht="12" x14ac:dyDescent="0.35">
      <c r="A121" s="331" t="s">
        <v>2455</v>
      </c>
      <c r="B121" s="331" t="s">
        <v>2456</v>
      </c>
      <c r="C121" s="726">
        <v>0</v>
      </c>
      <c r="D121" s="726">
        <v>10.204000000000001</v>
      </c>
      <c r="E121" s="726">
        <v>15.837</v>
      </c>
      <c r="F121" s="727">
        <v>-5.91</v>
      </c>
      <c r="G121" s="727">
        <v>-19.106000000000002</v>
      </c>
      <c r="H121" s="727">
        <v>48.341999999999999</v>
      </c>
      <c r="I121" s="727">
        <v>43.776000000000003</v>
      </c>
      <c r="J121" s="727">
        <v>-14.943</v>
      </c>
      <c r="K121" s="727">
        <v>-178.66900000000001</v>
      </c>
      <c r="L121" s="727">
        <f>-117091/1000</f>
        <v>-117.09099999999999</v>
      </c>
      <c r="M121" s="727">
        <f>23366/1000</f>
        <v>23.366</v>
      </c>
      <c r="N121" s="727">
        <v>-98.451000000000008</v>
      </c>
      <c r="O121" s="727">
        <f>430569/1000</f>
        <v>430.56900000000002</v>
      </c>
      <c r="P121" s="727">
        <v>31.23</v>
      </c>
      <c r="Q121" s="727">
        <v>494.34399999999999</v>
      </c>
      <c r="R121" s="727">
        <v>399.5</v>
      </c>
      <c r="S121" s="727">
        <v>-39.037999999999997</v>
      </c>
      <c r="T121" s="727">
        <v>1052.3620000000001</v>
      </c>
      <c r="U121" s="727">
        <v>1053.3620000000001</v>
      </c>
    </row>
    <row r="122" spans="1:22" s="674" customFormat="1" ht="12" x14ac:dyDescent="0.35">
      <c r="A122" s="331" t="s">
        <v>1532</v>
      </c>
      <c r="B122" s="331" t="s">
        <v>2457</v>
      </c>
      <c r="C122" s="726"/>
      <c r="D122" s="726"/>
      <c r="E122" s="726"/>
      <c r="F122" s="727">
        <v>-988.48699999999997</v>
      </c>
      <c r="G122" s="727">
        <v>-2756.3420000000001</v>
      </c>
      <c r="H122" s="727">
        <v>-669.07</v>
      </c>
      <c r="I122" s="727">
        <v>-675.05600000000004</v>
      </c>
      <c r="J122" s="727">
        <v>-726.65700000000004</v>
      </c>
      <c r="K122" s="727">
        <v>-253.53700000000001</v>
      </c>
      <c r="L122" s="727">
        <f>-38263/1000</f>
        <v>-38.262999999999998</v>
      </c>
      <c r="M122" s="727">
        <v>0</v>
      </c>
      <c r="N122" s="727"/>
      <c r="O122" s="727"/>
      <c r="P122" s="727"/>
      <c r="Q122" s="727"/>
      <c r="R122" s="727"/>
      <c r="S122" s="727"/>
      <c r="T122" s="727"/>
      <c r="U122" s="727"/>
    </row>
    <row r="123" spans="1:22" s="674" customFormat="1" ht="12" x14ac:dyDescent="0.35">
      <c r="A123" s="331" t="s">
        <v>1577</v>
      </c>
      <c r="B123" s="331" t="s">
        <v>2458</v>
      </c>
      <c r="C123" s="726">
        <v>-305.94900000000001</v>
      </c>
      <c r="D123" s="726">
        <v>-402.76600000000002</v>
      </c>
      <c r="E123" s="726">
        <v>-351.48599999999999</v>
      </c>
      <c r="F123" s="727">
        <f>207.094-65.979</f>
        <v>141.11500000000001</v>
      </c>
      <c r="G123" s="727">
        <f>-677.451+130.671</f>
        <v>-546.78</v>
      </c>
      <c r="H123" s="727">
        <f>-1475.544+48.268</f>
        <v>-1427.2760000000001</v>
      </c>
      <c r="I123" s="727">
        <f>-4156.519-273.738</f>
        <v>-4430.2570000000005</v>
      </c>
      <c r="J123" s="727">
        <f>-6272.893+171.31</f>
        <v>-6101.5829999999996</v>
      </c>
      <c r="K123" s="727">
        <f>-7661.711-98.284</f>
        <v>-7759.9949999999999</v>
      </c>
      <c r="L123" s="727">
        <f>-7699473/1000-12014/1000</f>
        <v>-7711.4870000000001</v>
      </c>
      <c r="M123" s="727">
        <f>-6934882/1000+83536/1000</f>
        <v>-6851.3459999999995</v>
      </c>
      <c r="N123" s="727">
        <f>(-9720182+270462)*0.001</f>
        <v>-9449.7199999999993</v>
      </c>
      <c r="O123" s="727">
        <f>(-16220149+26846)/1000</f>
        <v>-16193.303</v>
      </c>
      <c r="P123" s="727">
        <f>-13565.721-236.706</f>
        <v>-13802.427</v>
      </c>
      <c r="Q123" s="727">
        <f>-14691.559-986.051</f>
        <v>-15677.609999999999</v>
      </c>
      <c r="R123" s="727">
        <f>-17212.892+446.752</f>
        <v>-16766.14</v>
      </c>
      <c r="S123" s="727">
        <f>-13972.263+209.494</f>
        <v>-13762.769</v>
      </c>
      <c r="T123" s="727">
        <f>-16236.18-108.146</f>
        <v>-16344.326000000001</v>
      </c>
      <c r="U123" s="727">
        <f>-16236.18-108.146</f>
        <v>-16344.326000000001</v>
      </c>
    </row>
    <row r="124" spans="1:22" s="674" customFormat="1" ht="12" x14ac:dyDescent="0.35">
      <c r="A124" s="331" t="s">
        <v>2459</v>
      </c>
      <c r="B124" s="331" t="s">
        <v>2460</v>
      </c>
      <c r="C124" s="726">
        <v>-4.9009999999999998</v>
      </c>
      <c r="D124" s="726">
        <v>-9.3520000000000003</v>
      </c>
      <c r="E124" s="726">
        <v>-10.332000000000001</v>
      </c>
      <c r="F124" s="727">
        <v>10.183</v>
      </c>
      <c r="G124" s="727">
        <v>-40.905000000000001</v>
      </c>
      <c r="H124" s="727">
        <v>-31.847999999999999</v>
      </c>
      <c r="I124" s="727">
        <v>-31.62</v>
      </c>
      <c r="J124" s="727">
        <v>24.21</v>
      </c>
      <c r="K124" s="727">
        <v>3.1379999999999999</v>
      </c>
      <c r="L124" s="727">
        <f>51454/1000</f>
        <v>51.454000000000001</v>
      </c>
      <c r="M124" s="727">
        <f>-22530/1000</f>
        <v>-22.53</v>
      </c>
      <c r="N124" s="727">
        <v>-83.878</v>
      </c>
      <c r="O124" s="727">
        <f>-66165/1000</f>
        <v>-66.165000000000006</v>
      </c>
      <c r="P124" s="727">
        <v>17.571999999999999</v>
      </c>
      <c r="Q124" s="727">
        <f>-130.626</f>
        <v>-130.626</v>
      </c>
      <c r="R124" s="727">
        <v>52.627000000000002</v>
      </c>
      <c r="S124" s="727">
        <v>-245.048</v>
      </c>
      <c r="T124" s="727">
        <v>55.31</v>
      </c>
      <c r="U124" s="727">
        <v>56.31</v>
      </c>
    </row>
    <row r="125" spans="1:22" s="674" customFormat="1" ht="12" x14ac:dyDescent="0.35">
      <c r="A125" s="331"/>
      <c r="B125" s="730" t="s">
        <v>1831</v>
      </c>
      <c r="C125" s="726"/>
      <c r="D125" s="726"/>
      <c r="E125" s="726"/>
      <c r="F125" s="727"/>
      <c r="G125" s="727"/>
      <c r="H125" s="727"/>
      <c r="I125" s="727"/>
      <c r="J125" s="727"/>
      <c r="K125" s="727"/>
      <c r="L125" s="727"/>
      <c r="M125" s="727"/>
      <c r="N125" s="727"/>
      <c r="O125" s="727">
        <f>-1549510/1000</f>
        <v>-1549.51</v>
      </c>
      <c r="P125" s="727">
        <v>532.02800000000002</v>
      </c>
      <c r="Q125" s="727">
        <v>-1958.58</v>
      </c>
      <c r="R125" s="727">
        <v>-1757.7280000000001</v>
      </c>
      <c r="S125" s="727">
        <v>-2841.7429999999999</v>
      </c>
      <c r="T125" s="727">
        <v>-3432.3020000000001</v>
      </c>
      <c r="U125" s="727">
        <v>-3431.3020000000001</v>
      </c>
    </row>
    <row r="126" spans="1:22" s="674" customFormat="1" ht="12" x14ac:dyDescent="0.35">
      <c r="A126" s="331" t="s">
        <v>1532</v>
      </c>
      <c r="B126" s="331" t="s">
        <v>2461</v>
      </c>
      <c r="C126" s="726"/>
      <c r="D126" s="726"/>
      <c r="E126" s="726"/>
      <c r="F126" s="727">
        <v>1.4710000000000001</v>
      </c>
      <c r="G126" s="727">
        <v>0</v>
      </c>
      <c r="H126" s="727"/>
      <c r="I126" s="727"/>
      <c r="J126" s="727">
        <v>0</v>
      </c>
      <c r="K126" s="727">
        <v>0</v>
      </c>
      <c r="L126" s="727"/>
      <c r="M126" s="727"/>
      <c r="N126" s="727"/>
      <c r="O126" s="727">
        <f>-296020/1000</f>
        <v>-296.02</v>
      </c>
      <c r="P126" s="727">
        <v>-1026.5899999999999</v>
      </c>
      <c r="Q126" s="727">
        <v>-55.177</v>
      </c>
      <c r="R126" s="727">
        <v>425.964</v>
      </c>
      <c r="S126" s="727">
        <v>240.298</v>
      </c>
      <c r="T126" s="727">
        <v>1045.0809999999999</v>
      </c>
      <c r="U126" s="727">
        <v>1046.0809999999999</v>
      </c>
    </row>
    <row r="127" spans="1:22" s="674" customFormat="1" ht="12" x14ac:dyDescent="0.35">
      <c r="A127" s="331" t="s">
        <v>2462</v>
      </c>
      <c r="B127" s="331" t="s">
        <v>2463</v>
      </c>
      <c r="C127" s="726">
        <v>58.441000000000003</v>
      </c>
      <c r="D127" s="726">
        <v>-278.39400000000001</v>
      </c>
      <c r="E127" s="726">
        <v>88.652000000000001</v>
      </c>
      <c r="F127" s="727">
        <v>-49.454000000000001</v>
      </c>
      <c r="G127" s="727">
        <v>303.25599999999997</v>
      </c>
      <c r="H127" s="727">
        <v>-2743.6190000000001</v>
      </c>
      <c r="I127" s="727">
        <v>-2545.81</v>
      </c>
      <c r="J127" s="727">
        <v>-2950.3739999999998</v>
      </c>
      <c r="K127" s="727">
        <v>559.21699999999998</v>
      </c>
      <c r="L127" s="727">
        <f>-64001/1000</f>
        <v>-64.001000000000005</v>
      </c>
      <c r="M127" s="727">
        <f>-3531437/1000</f>
        <v>-3531.4369999999999</v>
      </c>
      <c r="N127" s="727">
        <v>-3357.9470000000001</v>
      </c>
      <c r="O127" s="727"/>
      <c r="P127" s="727"/>
      <c r="Q127" s="727"/>
      <c r="R127" s="727"/>
      <c r="S127" s="727"/>
      <c r="T127" s="727"/>
      <c r="U127" s="727"/>
    </row>
    <row r="128" spans="1:22" s="674" customFormat="1" ht="12" x14ac:dyDescent="0.35">
      <c r="A128" s="331"/>
      <c r="B128" s="730" t="s">
        <v>1832</v>
      </c>
      <c r="C128" s="726"/>
      <c r="D128" s="726"/>
      <c r="E128" s="726"/>
      <c r="F128" s="727"/>
      <c r="G128" s="727"/>
      <c r="H128" s="727"/>
      <c r="I128" s="727"/>
      <c r="J128" s="727"/>
      <c r="K128" s="727"/>
      <c r="L128" s="727"/>
      <c r="M128" s="727"/>
      <c r="N128" s="727"/>
      <c r="O128" s="727">
        <f>5171038/1000</f>
        <v>5171.0379999999996</v>
      </c>
      <c r="P128" s="727">
        <v>-4253.4639999999999</v>
      </c>
      <c r="Q128" s="727">
        <v>1253.1510000000001</v>
      </c>
      <c r="R128" s="727">
        <v>82.72</v>
      </c>
      <c r="S128" s="727">
        <v>-6768.1459999999997</v>
      </c>
      <c r="T128" s="727">
        <v>-1602.777</v>
      </c>
      <c r="U128" s="727">
        <v>-1601.777</v>
      </c>
    </row>
    <row r="129" spans="1:22" s="674" customFormat="1" ht="12" x14ac:dyDescent="0.35">
      <c r="A129" s="331" t="s">
        <v>1578</v>
      </c>
      <c r="B129" s="331" t="s">
        <v>2464</v>
      </c>
      <c r="C129" s="726">
        <v>-390.12200000000001</v>
      </c>
      <c r="D129" s="726">
        <v>69.86</v>
      </c>
      <c r="E129" s="726">
        <v>-4.5549999999999997</v>
      </c>
      <c r="F129" s="727">
        <v>260.58199999999999</v>
      </c>
      <c r="G129" s="727">
        <v>273.24099999999999</v>
      </c>
      <c r="H129" s="727">
        <v>662.32299999999998</v>
      </c>
      <c r="I129" s="727">
        <v>0</v>
      </c>
      <c r="J129" s="727">
        <v>0</v>
      </c>
      <c r="K129" s="727">
        <v>0</v>
      </c>
      <c r="L129" s="727"/>
      <c r="M129" s="727"/>
      <c r="N129" s="727"/>
      <c r="O129" s="727"/>
      <c r="P129" s="727"/>
      <c r="Q129" s="727"/>
      <c r="R129" s="727"/>
      <c r="S129" s="727"/>
      <c r="T129" s="727"/>
      <c r="U129" s="727"/>
    </row>
    <row r="130" spans="1:22" s="674" customFormat="1" x14ac:dyDescent="0.35">
      <c r="A130" s="331" t="s">
        <v>1532</v>
      </c>
      <c r="B130" s="331"/>
      <c r="C130" s="726"/>
      <c r="D130" s="726"/>
      <c r="E130" s="726"/>
      <c r="F130" s="727"/>
      <c r="G130" s="727"/>
      <c r="H130" s="727"/>
      <c r="I130" s="727"/>
      <c r="J130" s="727"/>
      <c r="K130" s="727"/>
      <c r="L130" s="727"/>
      <c r="M130" s="727"/>
      <c r="N130" s="727"/>
      <c r="O130" s="727"/>
      <c r="P130" s="727"/>
      <c r="Q130" s="727"/>
      <c r="R130" s="727"/>
      <c r="S130" s="727"/>
      <c r="T130" s="727"/>
      <c r="U130" s="727"/>
    </row>
    <row r="131" spans="1:22" s="674" customFormat="1" ht="12" x14ac:dyDescent="0.35">
      <c r="A131" s="331" t="s">
        <v>1579</v>
      </c>
      <c r="B131" s="331" t="s">
        <v>2465</v>
      </c>
      <c r="C131" s="726">
        <v>555.14300000000003</v>
      </c>
      <c r="D131" s="726">
        <v>-152.23599999999999</v>
      </c>
      <c r="E131" s="726">
        <v>-49.375</v>
      </c>
      <c r="F131" s="727">
        <f>-106.563+43.503</f>
        <v>-63.06</v>
      </c>
      <c r="G131" s="727">
        <f>712.363+36.831</f>
        <v>749.19400000000007</v>
      </c>
      <c r="H131" s="727">
        <f>1058.977+11.029</f>
        <v>1070.0060000000001</v>
      </c>
      <c r="I131" s="727">
        <f>1609.431+439.545</f>
        <v>2048.9760000000001</v>
      </c>
      <c r="J131" s="727">
        <f>2978.47+600.484</f>
        <v>3578.9539999999997</v>
      </c>
      <c r="K131" s="727">
        <f>4278.046-935.685</f>
        <v>3342.3610000000003</v>
      </c>
      <c r="L131" s="727">
        <f>3993957/1000-100319/1000</f>
        <v>3893.6379999999999</v>
      </c>
      <c r="M131" s="727">
        <f>8225524/1000+151542/1000</f>
        <v>8377.0659999999989</v>
      </c>
      <c r="N131" s="727">
        <f>(2079333-42366)*0.001</f>
        <v>2036.9670000000001</v>
      </c>
      <c r="O131" s="727">
        <f>(4791972-1221609)/1000</f>
        <v>3570.3629999999998</v>
      </c>
      <c r="P131" s="727">
        <f>8101.855+4.521</f>
        <v>8106.3759999999993</v>
      </c>
      <c r="Q131" s="727">
        <f>4992.385+26.974</f>
        <v>5019.3590000000004</v>
      </c>
      <c r="R131" s="727">
        <f>8372.364+1.494</f>
        <v>8373.8580000000002</v>
      </c>
      <c r="S131" s="727">
        <f>13192.93-8.349</f>
        <v>13184.581</v>
      </c>
      <c r="T131" s="727">
        <f>6881.17-3.316</f>
        <v>6877.8540000000003</v>
      </c>
      <c r="U131" s="727">
        <f>6881.17-3.316</f>
        <v>6877.8540000000003</v>
      </c>
    </row>
    <row r="132" spans="1:22" s="674" customFormat="1" ht="12" x14ac:dyDescent="0.35">
      <c r="A132" s="331" t="s">
        <v>2466</v>
      </c>
      <c r="B132" s="331" t="s">
        <v>2467</v>
      </c>
      <c r="C132" s="726"/>
      <c r="D132" s="726"/>
      <c r="E132" s="726"/>
      <c r="F132" s="727"/>
      <c r="G132" s="727"/>
      <c r="H132" s="727"/>
      <c r="I132" s="727"/>
      <c r="J132" s="727">
        <v>-6.3780000000000001</v>
      </c>
      <c r="K132" s="727">
        <v>-1.1339999999999999</v>
      </c>
      <c r="L132" s="727">
        <f>-26480/1000</f>
        <v>-26.48</v>
      </c>
      <c r="M132" s="727">
        <v>0</v>
      </c>
      <c r="N132" s="727"/>
      <c r="O132" s="727"/>
      <c r="P132" s="727"/>
      <c r="Q132" s="727"/>
      <c r="R132" s="727"/>
      <c r="S132" s="727"/>
      <c r="T132" s="727"/>
      <c r="U132" s="727"/>
    </row>
    <row r="133" spans="1:22" s="674" customFormat="1" ht="12" x14ac:dyDescent="0.35">
      <c r="A133" s="331" t="s">
        <v>2468</v>
      </c>
      <c r="B133" s="331" t="s">
        <v>2469</v>
      </c>
      <c r="C133" s="726"/>
      <c r="D133" s="726"/>
      <c r="E133" s="726"/>
      <c r="F133" s="727"/>
      <c r="G133" s="727"/>
      <c r="H133" s="727"/>
      <c r="I133" s="727"/>
      <c r="J133" s="727">
        <v>0</v>
      </c>
      <c r="K133" s="727">
        <v>-1273.675</v>
      </c>
      <c r="L133" s="727">
        <v>0</v>
      </c>
      <c r="M133" s="727">
        <v>0</v>
      </c>
      <c r="N133" s="727"/>
      <c r="O133" s="727"/>
      <c r="P133" s="727"/>
      <c r="Q133" s="727"/>
      <c r="R133" s="727"/>
      <c r="S133" s="727"/>
      <c r="T133" s="727"/>
      <c r="U133" s="727"/>
    </row>
    <row r="134" spans="1:22" s="674" customFormat="1" ht="12" x14ac:dyDescent="0.35">
      <c r="A134" s="331" t="s">
        <v>1580</v>
      </c>
      <c r="B134" s="331" t="s">
        <v>2470</v>
      </c>
      <c r="C134" s="726">
        <v>7.835</v>
      </c>
      <c r="D134" s="726">
        <v>-17.527999999999999</v>
      </c>
      <c r="E134" s="726">
        <v>51.362000000000002</v>
      </c>
      <c r="F134" s="727">
        <v>56.491999999999997</v>
      </c>
      <c r="G134" s="727">
        <v>-86.423000000000002</v>
      </c>
      <c r="H134" s="727">
        <v>-275.18799999999999</v>
      </c>
      <c r="I134" s="727">
        <v>-210.53800000000001</v>
      </c>
      <c r="J134" s="727"/>
      <c r="K134" s="727"/>
      <c r="L134" s="727"/>
      <c r="M134" s="727"/>
      <c r="N134" s="727"/>
      <c r="O134" s="727"/>
      <c r="P134" s="727"/>
      <c r="Q134" s="727"/>
      <c r="R134" s="727"/>
      <c r="S134" s="727"/>
      <c r="T134" s="727"/>
      <c r="U134" s="727"/>
    </row>
    <row r="135" spans="1:22" s="674" customFormat="1" ht="12" x14ac:dyDescent="0.35">
      <c r="A135" s="331" t="s">
        <v>1581</v>
      </c>
      <c r="B135" s="331" t="s">
        <v>2471</v>
      </c>
      <c r="C135" s="726">
        <v>412.86599999999999</v>
      </c>
      <c r="D135" s="726">
        <v>-156.917</v>
      </c>
      <c r="E135" s="726">
        <v>7.766</v>
      </c>
      <c r="F135" s="727">
        <f>-20.266+8.846</f>
        <v>-11.419999999999998</v>
      </c>
      <c r="G135" s="727">
        <f>1083.467+100.284</f>
        <v>1183.7510000000002</v>
      </c>
      <c r="H135" s="727">
        <f>-508.129+1284.476</f>
        <v>776.34700000000009</v>
      </c>
      <c r="I135" s="727">
        <f>-471.61+739.099</f>
        <v>267.48900000000003</v>
      </c>
      <c r="J135" s="727"/>
      <c r="K135" s="727"/>
      <c r="L135" s="727"/>
      <c r="M135" s="727"/>
      <c r="N135" s="727"/>
      <c r="O135" s="727"/>
      <c r="P135" s="727"/>
      <c r="Q135" s="727"/>
      <c r="R135" s="727"/>
      <c r="S135" s="727"/>
      <c r="T135" s="727"/>
      <c r="U135" s="727"/>
    </row>
    <row r="136" spans="1:22" s="674" customFormat="1" ht="12" x14ac:dyDescent="0.35">
      <c r="A136" s="331" t="s">
        <v>1582</v>
      </c>
      <c r="B136" s="331" t="s">
        <v>2472</v>
      </c>
      <c r="C136" s="726">
        <v>-3.226</v>
      </c>
      <c r="D136" s="726">
        <v>13.741</v>
      </c>
      <c r="E136" s="726">
        <v>-6.335</v>
      </c>
      <c r="F136" s="727">
        <v>15.071999999999999</v>
      </c>
      <c r="G136" s="727">
        <v>24.033999999999999</v>
      </c>
      <c r="H136" s="727">
        <f>-43.12-10.99+16.851</f>
        <v>-37.259</v>
      </c>
      <c r="I136" s="727">
        <f>-15.949+27.37-16.851</f>
        <v>-5.4299999999999979</v>
      </c>
      <c r="J136" s="727"/>
      <c r="K136" s="727"/>
      <c r="L136" s="727"/>
      <c r="M136" s="727"/>
      <c r="N136" s="727"/>
      <c r="O136" s="727"/>
      <c r="P136" s="727"/>
      <c r="Q136" s="727"/>
      <c r="R136" s="727"/>
      <c r="S136" s="727"/>
      <c r="T136" s="727"/>
      <c r="U136" s="727"/>
    </row>
    <row r="137" spans="1:22" s="674" customFormat="1" ht="12" x14ac:dyDescent="0.35">
      <c r="A137" s="331" t="s">
        <v>1532</v>
      </c>
      <c r="B137" s="331" t="s">
        <v>2473</v>
      </c>
      <c r="C137" s="726"/>
      <c r="D137" s="726"/>
      <c r="E137" s="726"/>
      <c r="F137" s="727"/>
      <c r="G137" s="727"/>
      <c r="H137" s="727">
        <v>51.218000000000004</v>
      </c>
      <c r="I137" s="727">
        <v>7.8010000000000002</v>
      </c>
      <c r="J137" s="727"/>
      <c r="K137" s="727"/>
      <c r="L137" s="727"/>
      <c r="M137" s="727"/>
      <c r="N137" s="727"/>
      <c r="O137" s="727"/>
      <c r="P137" s="727"/>
      <c r="Q137" s="727"/>
      <c r="R137" s="727"/>
      <c r="S137" s="727"/>
      <c r="T137" s="727"/>
      <c r="U137" s="727"/>
    </row>
    <row r="138" spans="1:22" s="674" customFormat="1" ht="12" x14ac:dyDescent="0.35">
      <c r="A138" s="331" t="s">
        <v>1583</v>
      </c>
      <c r="B138" s="331" t="s">
        <v>2474</v>
      </c>
      <c r="C138" s="726">
        <v>13.923</v>
      </c>
      <c r="D138" s="726">
        <v>28.69</v>
      </c>
      <c r="E138" s="726">
        <v>28.280999999999999</v>
      </c>
      <c r="F138" s="727">
        <v>16.094999999999999</v>
      </c>
      <c r="G138" s="727">
        <v>65.858999999999995</v>
      </c>
      <c r="H138" s="727">
        <v>157.536</v>
      </c>
      <c r="I138" s="727">
        <v>104.446</v>
      </c>
      <c r="J138" s="727">
        <v>95.412000000000006</v>
      </c>
      <c r="K138" s="727">
        <v>100.922</v>
      </c>
      <c r="L138" s="727">
        <f>54232/1000</f>
        <v>54.231999999999999</v>
      </c>
      <c r="M138" s="727">
        <f>-13997/1000</f>
        <v>-13.997</v>
      </c>
      <c r="N138" s="727">
        <v>110.343</v>
      </c>
      <c r="O138" s="727">
        <v>0</v>
      </c>
      <c r="P138" s="727">
        <v>0</v>
      </c>
      <c r="Q138" s="727"/>
      <c r="R138" s="727"/>
      <c r="S138" s="727"/>
      <c r="T138" s="727"/>
      <c r="U138" s="727"/>
    </row>
    <row r="139" spans="1:22" s="674" customFormat="1" ht="12" x14ac:dyDescent="0.35">
      <c r="A139" s="331"/>
      <c r="B139" s="739" t="s">
        <v>2694</v>
      </c>
      <c r="C139" s="740"/>
      <c r="D139" s="740"/>
      <c r="E139" s="740"/>
      <c r="F139" s="741"/>
      <c r="G139" s="741"/>
      <c r="H139" s="741"/>
      <c r="I139" s="741"/>
      <c r="J139" s="741"/>
      <c r="K139" s="741"/>
      <c r="L139" s="622">
        <f t="shared" ref="L139:S139" si="10">SUM(L121:L138)</f>
        <v>-3957.998000000001</v>
      </c>
      <c r="M139" s="622">
        <f t="shared" si="10"/>
        <v>-2018.8780000000013</v>
      </c>
      <c r="N139" s="622">
        <f t="shared" si="10"/>
        <v>-10842.685999999998</v>
      </c>
      <c r="O139" s="622">
        <f t="shared" si="10"/>
        <v>-8933.0280000000002</v>
      </c>
      <c r="P139" s="622">
        <f t="shared" si="10"/>
        <v>-10395.274999999998</v>
      </c>
      <c r="Q139" s="622">
        <f t="shared" si="10"/>
        <v>-11055.139000000001</v>
      </c>
      <c r="R139" s="622">
        <f t="shared" si="10"/>
        <v>-9189.1989999999969</v>
      </c>
      <c r="S139" s="622">
        <f t="shared" si="10"/>
        <v>-10231.865000000003</v>
      </c>
      <c r="T139" s="622">
        <f t="shared" ref="T139:U139" si="11">SUM(T121:T138)</f>
        <v>-12348.798000000003</v>
      </c>
      <c r="U139" s="622">
        <f t="shared" si="11"/>
        <v>-12343.798000000003</v>
      </c>
    </row>
    <row r="140" spans="1:22" s="651" customFormat="1" ht="12" x14ac:dyDescent="0.35">
      <c r="A140" s="720" t="s">
        <v>1584</v>
      </c>
      <c r="B140" s="720" t="s">
        <v>2475</v>
      </c>
      <c r="C140" s="733">
        <f t="shared" ref="C140:Q140" si="12">SUM(C119:C138)</f>
        <v>385.7469999999999</v>
      </c>
      <c r="D140" s="733">
        <f t="shared" si="12"/>
        <v>-468.95800000000014</v>
      </c>
      <c r="E140" s="733">
        <f t="shared" si="12"/>
        <v>323.88800000000003</v>
      </c>
      <c r="F140" s="733">
        <f t="shared" si="12"/>
        <v>-188.05300000000003</v>
      </c>
      <c r="G140" s="733">
        <f t="shared" si="12"/>
        <v>96.893999999999522</v>
      </c>
      <c r="H140" s="733">
        <f t="shared" si="12"/>
        <v>-949.37999999999988</v>
      </c>
      <c r="I140" s="733">
        <f t="shared" si="12"/>
        <v>-3926.096</v>
      </c>
      <c r="J140" s="733">
        <f t="shared" si="12"/>
        <v>-2966.0770000000002</v>
      </c>
      <c r="K140" s="733">
        <f t="shared" si="12"/>
        <v>-1374.8469999999991</v>
      </c>
      <c r="L140" s="733">
        <f t="shared" si="12"/>
        <v>889.3159999999998</v>
      </c>
      <c r="M140" s="733">
        <f t="shared" si="12"/>
        <v>3336.3909999999992</v>
      </c>
      <c r="N140" s="733">
        <f t="shared" si="12"/>
        <v>-4202.2830000000004</v>
      </c>
      <c r="O140" s="733">
        <f t="shared" si="12"/>
        <v>-1113.7430000000008</v>
      </c>
      <c r="P140" s="733">
        <f t="shared" si="12"/>
        <v>-2173.2530000000015</v>
      </c>
      <c r="Q140" s="733">
        <f t="shared" si="12"/>
        <v>-2953.7309999999979</v>
      </c>
      <c r="R140" s="733">
        <f>SUM(R119:R138)</f>
        <v>1297.485000000006</v>
      </c>
      <c r="S140" s="733">
        <f>SUM(S119:S138)</f>
        <v>2271.6910000000007</v>
      </c>
      <c r="T140" s="733">
        <f>SUM(T119:T138)</f>
        <v>2339.3689999999979</v>
      </c>
      <c r="U140" s="733">
        <f>SUM(U119:U138)</f>
        <v>2529.4109999999991</v>
      </c>
    </row>
    <row r="141" spans="1:22" s="674" customFormat="1" ht="12" x14ac:dyDescent="0.35">
      <c r="A141" s="331" t="s">
        <v>1585</v>
      </c>
      <c r="B141" s="331" t="s">
        <v>2476</v>
      </c>
      <c r="C141" s="726">
        <v>-40.600999999999999</v>
      </c>
      <c r="D141" s="726">
        <v>-44.567999999999998</v>
      </c>
      <c r="E141" s="726">
        <v>-66.256</v>
      </c>
      <c r="F141" s="727">
        <v>-37.801000000000002</v>
      </c>
      <c r="G141" s="727">
        <v>-55.871000000000002</v>
      </c>
      <c r="H141" s="727">
        <v>-60.942999999999998</v>
      </c>
      <c r="I141" s="727">
        <v>-130.999</v>
      </c>
      <c r="J141" s="727">
        <v>-123.813</v>
      </c>
      <c r="K141" s="727">
        <v>-336.94400000000002</v>
      </c>
      <c r="L141" s="727">
        <f>-223035/1000</f>
        <v>-223.035</v>
      </c>
      <c r="M141" s="727">
        <f>-476427/1000</f>
        <v>-476.42700000000002</v>
      </c>
      <c r="N141" s="727">
        <v>-698.83199999999999</v>
      </c>
      <c r="O141" s="727">
        <f>-834746/1000</f>
        <v>-834.74599999999998</v>
      </c>
      <c r="P141" s="727">
        <v>-560.57000000000005</v>
      </c>
      <c r="Q141" s="727">
        <v>-1579.5139999999999</v>
      </c>
      <c r="R141" s="727">
        <v>-1870.8530000000001</v>
      </c>
      <c r="S141" s="727">
        <v>-2233.627</v>
      </c>
      <c r="T141" s="727">
        <v>-1891.3869999999999</v>
      </c>
      <c r="U141" s="727">
        <v>-1890.3869999999999</v>
      </c>
    </row>
    <row r="142" spans="1:22" s="674" customFormat="1" ht="12" x14ac:dyDescent="0.35">
      <c r="A142" s="331" t="s">
        <v>1586</v>
      </c>
      <c r="B142" s="331" t="s">
        <v>2477</v>
      </c>
      <c r="C142" s="726">
        <v>5.4889999999999999</v>
      </c>
      <c r="D142" s="726">
        <v>10.391</v>
      </c>
      <c r="E142" s="726">
        <v>43.792999999999999</v>
      </c>
      <c r="F142" s="726"/>
      <c r="G142" s="727"/>
      <c r="H142" s="727">
        <v>5.8280000000000003</v>
      </c>
      <c r="I142" s="727">
        <v>1.3140000000000001</v>
      </c>
      <c r="J142" s="727">
        <v>4.3940000000000001</v>
      </c>
      <c r="K142" s="727">
        <v>22.853000000000002</v>
      </c>
      <c r="L142" s="727">
        <f>9905/1000</f>
        <v>9.9049999999999994</v>
      </c>
      <c r="M142" s="727">
        <f>7375/1000</f>
        <v>7.375</v>
      </c>
      <c r="N142" s="727">
        <v>55.408999999999999</v>
      </c>
      <c r="O142" s="727">
        <f>23894/1000</f>
        <v>23.893999999999998</v>
      </c>
      <c r="P142" s="727">
        <v>29.474</v>
      </c>
      <c r="Q142" s="727">
        <v>1.637</v>
      </c>
      <c r="R142" s="727">
        <v>21.876000000000001</v>
      </c>
      <c r="S142" s="727">
        <v>174.05500000000001</v>
      </c>
      <c r="T142" s="727">
        <v>53.012</v>
      </c>
      <c r="U142" s="727">
        <v>54.012</v>
      </c>
    </row>
    <row r="143" spans="1:22" s="674" customFormat="1" x14ac:dyDescent="0.35">
      <c r="A143" s="331"/>
      <c r="B143" s="331"/>
      <c r="C143" s="728"/>
      <c r="D143" s="728"/>
      <c r="E143" s="728"/>
    </row>
    <row r="144" spans="1:22" s="674" customFormat="1" ht="12" x14ac:dyDescent="0.35">
      <c r="A144" s="720"/>
      <c r="B144" s="646" t="s">
        <v>2307</v>
      </c>
      <c r="C144" s="733">
        <f t="shared" ref="C144:S144" si="13">C140+C141+C142</f>
        <v>350.63499999999988</v>
      </c>
      <c r="D144" s="733">
        <f t="shared" si="13"/>
        <v>-503.13500000000016</v>
      </c>
      <c r="E144" s="733">
        <f t="shared" si="13"/>
        <v>301.42500000000007</v>
      </c>
      <c r="F144" s="733">
        <f t="shared" si="13"/>
        <v>-225.85400000000004</v>
      </c>
      <c r="G144" s="733">
        <f t="shared" si="13"/>
        <v>41.02299999999952</v>
      </c>
      <c r="H144" s="733">
        <f t="shared" si="13"/>
        <v>-1004.4949999999999</v>
      </c>
      <c r="I144" s="733">
        <f t="shared" si="13"/>
        <v>-4055.7809999999999</v>
      </c>
      <c r="J144" s="733">
        <f t="shared" si="13"/>
        <v>-3085.4960000000005</v>
      </c>
      <c r="K144" s="733">
        <f t="shared" si="13"/>
        <v>-1688.937999999999</v>
      </c>
      <c r="L144" s="733">
        <f t="shared" si="13"/>
        <v>676.18599999999981</v>
      </c>
      <c r="M144" s="733">
        <f t="shared" si="13"/>
        <v>2867.338999999999</v>
      </c>
      <c r="N144" s="733">
        <f t="shared" si="13"/>
        <v>-4845.706000000001</v>
      </c>
      <c r="O144" s="733">
        <f t="shared" si="13"/>
        <v>-1924.5950000000009</v>
      </c>
      <c r="P144" s="733">
        <f t="shared" si="13"/>
        <v>-2704.3490000000015</v>
      </c>
      <c r="Q144" s="733">
        <f t="shared" si="13"/>
        <v>-4531.6079999999984</v>
      </c>
      <c r="R144" s="733">
        <f t="shared" si="13"/>
        <v>-551.49199999999405</v>
      </c>
      <c r="S144" s="733">
        <f t="shared" si="13"/>
        <v>212.11900000000077</v>
      </c>
      <c r="T144" s="733">
        <f t="shared" ref="T144:U144" si="14">T140+T141+T142</f>
        <v>500.99399999999792</v>
      </c>
      <c r="U144" s="733">
        <f t="shared" si="14"/>
        <v>693.03599999999915</v>
      </c>
      <c r="V144" s="674">
        <v>1050</v>
      </c>
    </row>
    <row r="145" spans="1:21" s="674" customFormat="1" x14ac:dyDescent="0.35">
      <c r="A145" s="331"/>
      <c r="B145" s="625"/>
      <c r="C145" s="728"/>
      <c r="D145" s="728"/>
      <c r="E145" s="728"/>
    </row>
    <row r="146" spans="1:21" s="674" customFormat="1" ht="12" x14ac:dyDescent="0.35">
      <c r="A146" s="720" t="s">
        <v>2478</v>
      </c>
      <c r="B146" s="646" t="s">
        <v>2479</v>
      </c>
      <c r="C146" s="728">
        <f t="shared" ref="C146:K146" si="15">C144-C8</f>
        <v>193.75099999999989</v>
      </c>
      <c r="D146" s="728">
        <f t="shared" si="15"/>
        <v>-84.550000000000182</v>
      </c>
      <c r="E146" s="728">
        <f t="shared" si="15"/>
        <v>0</v>
      </c>
      <c r="F146" s="728">
        <f t="shared" si="15"/>
        <v>-1374.8510000000001</v>
      </c>
      <c r="G146" s="728">
        <f t="shared" si="15"/>
        <v>-4.8316906031686813E-13</v>
      </c>
      <c r="H146" s="728">
        <f t="shared" si="15"/>
        <v>0</v>
      </c>
      <c r="I146" s="728">
        <f t="shared" si="15"/>
        <v>-715.9670000000001</v>
      </c>
      <c r="J146" s="728">
        <f t="shared" si="15"/>
        <v>-6.1000000000603904E-2</v>
      </c>
      <c r="K146" s="728">
        <f t="shared" si="15"/>
        <v>0</v>
      </c>
      <c r="L146" s="728"/>
      <c r="M146" s="728"/>
      <c r="N146" s="728"/>
      <c r="O146" s="728"/>
      <c r="P146" s="728"/>
      <c r="Q146" s="728"/>
      <c r="R146" s="728"/>
      <c r="S146" s="728"/>
      <c r="T146" s="728"/>
      <c r="U146" s="728"/>
    </row>
    <row r="147" spans="1:21" s="674" customFormat="1" x14ac:dyDescent="0.35">
      <c r="A147" s="331"/>
      <c r="B147" s="625"/>
      <c r="L147" s="728"/>
      <c r="M147" s="728"/>
      <c r="N147" s="728"/>
      <c r="O147" s="728"/>
      <c r="P147" s="728"/>
      <c r="Q147" s="728"/>
      <c r="R147" s="728"/>
      <c r="S147" s="728"/>
      <c r="T147" s="728"/>
      <c r="U147" s="728"/>
    </row>
    <row r="148" spans="1:21" s="674" customFormat="1" ht="12" x14ac:dyDescent="0.35">
      <c r="A148" s="646" t="s">
        <v>2327</v>
      </c>
      <c r="B148" s="646" t="s">
        <v>2480</v>
      </c>
      <c r="C148" s="728"/>
      <c r="D148" s="728"/>
      <c r="E148" s="728"/>
    </row>
    <row r="149" spans="1:21" s="727" customFormat="1" ht="12" x14ac:dyDescent="0.35">
      <c r="A149" s="625" t="s">
        <v>514</v>
      </c>
      <c r="B149" s="331" t="s">
        <v>2481</v>
      </c>
      <c r="C149" s="726">
        <v>1507.58</v>
      </c>
      <c r="D149" s="726">
        <v>1619.758</v>
      </c>
      <c r="E149" s="726">
        <v>1868.404</v>
      </c>
      <c r="F149" s="727">
        <v>1960.625</v>
      </c>
      <c r="G149" s="727">
        <v>2411.61</v>
      </c>
      <c r="H149" s="727">
        <v>2933.154</v>
      </c>
      <c r="I149" s="727">
        <v>3396.529</v>
      </c>
      <c r="J149" s="727">
        <v>3785.5770000000002</v>
      </c>
      <c r="K149" s="727">
        <f>4518731/1000</f>
        <v>4518.7309999999998</v>
      </c>
      <c r="L149" s="727">
        <f>4650060/1000</f>
        <v>4650.0600000000004</v>
      </c>
      <c r="M149" s="727">
        <f>4557065/1000</f>
        <v>4557.0649999999996</v>
      </c>
      <c r="N149" s="727">
        <v>6227.9170000000004</v>
      </c>
      <c r="O149" s="727">
        <f>6750592/1000</f>
        <v>6750.5919999999996</v>
      </c>
      <c r="P149" s="727">
        <v>7019.9359999999997</v>
      </c>
      <c r="Q149" s="727">
        <v>7956.3090000000002</v>
      </c>
      <c r="R149" s="727">
        <v>8648.1939999999995</v>
      </c>
      <c r="S149" s="727">
        <v>8469.598</v>
      </c>
      <c r="T149" s="727">
        <v>9649.3590000000004</v>
      </c>
      <c r="U149" s="727">
        <v>9650.3590000000004</v>
      </c>
    </row>
    <row r="150" spans="1:21" s="727" customFormat="1" ht="12" x14ac:dyDescent="0.35">
      <c r="A150" s="625" t="s">
        <v>2482</v>
      </c>
      <c r="B150" s="331" t="s">
        <v>2483</v>
      </c>
      <c r="C150" s="726">
        <v>609.43299999999999</v>
      </c>
      <c r="D150" s="726">
        <v>647.80499999999995</v>
      </c>
      <c r="E150" s="726">
        <v>761.12900000000002</v>
      </c>
      <c r="F150" s="727">
        <v>837.64499999999998</v>
      </c>
      <c r="G150" s="727">
        <v>957.16499999999996</v>
      </c>
      <c r="H150" s="727">
        <v>1063.1210000000001</v>
      </c>
      <c r="I150" s="727">
        <v>1205.578</v>
      </c>
      <c r="J150" s="727">
        <v>1443.4140000000002</v>
      </c>
      <c r="K150" s="727">
        <f>1691431/1000</f>
        <v>1691.431</v>
      </c>
      <c r="L150" s="727">
        <f>1878070/1000</f>
        <v>1878.07</v>
      </c>
      <c r="M150" s="727">
        <f>2063304/1000</f>
        <v>2063.3040000000001</v>
      </c>
      <c r="N150" s="727">
        <v>2409.1109999999999</v>
      </c>
      <c r="O150" s="727">
        <f>2600786/1000</f>
        <v>2600.7860000000001</v>
      </c>
      <c r="P150" s="727">
        <v>2779.5630000000001</v>
      </c>
      <c r="Q150" s="727">
        <v>3137.134</v>
      </c>
      <c r="R150" s="727">
        <v>3504.8359999999998</v>
      </c>
      <c r="S150" s="727">
        <v>3599.7820000000002</v>
      </c>
      <c r="T150" s="727">
        <v>3984.5329999999999</v>
      </c>
      <c r="U150" s="727">
        <v>3985.5329999999999</v>
      </c>
    </row>
    <row r="151" spans="1:21" s="727" customFormat="1" ht="12" x14ac:dyDescent="0.35">
      <c r="A151" s="625" t="s">
        <v>378</v>
      </c>
      <c r="B151" s="331" t="s">
        <v>2484</v>
      </c>
      <c r="C151" s="727">
        <v>0</v>
      </c>
      <c r="D151" s="727">
        <v>0</v>
      </c>
      <c r="E151" s="727">
        <v>0</v>
      </c>
      <c r="F151" s="727">
        <v>0</v>
      </c>
      <c r="G151" s="727">
        <v>0</v>
      </c>
      <c r="H151" s="727">
        <v>0</v>
      </c>
      <c r="I151" s="727">
        <v>0</v>
      </c>
      <c r="J151" s="727">
        <v>0</v>
      </c>
      <c r="K151" s="727">
        <v>0</v>
      </c>
      <c r="L151" s="727">
        <v>0</v>
      </c>
      <c r="M151" s="727">
        <v>0</v>
      </c>
      <c r="N151" s="727">
        <v>0</v>
      </c>
      <c r="O151" s="727">
        <v>0</v>
      </c>
      <c r="P151" s="727">
        <v>0</v>
      </c>
      <c r="Q151" s="727">
        <v>0</v>
      </c>
      <c r="R151" s="727">
        <v>0</v>
      </c>
    </row>
    <row r="152" spans="1:21" s="727" customFormat="1" ht="12" x14ac:dyDescent="0.35">
      <c r="A152" s="625"/>
      <c r="B152" s="730" t="s">
        <v>2485</v>
      </c>
      <c r="P152" s="727">
        <v>486.005</v>
      </c>
      <c r="Q152" s="727">
        <v>571.37199999999996</v>
      </c>
      <c r="R152" s="727">
        <v>554.97799999999995</v>
      </c>
      <c r="S152" s="727">
        <v>570.02499999999998</v>
      </c>
      <c r="T152" s="727">
        <v>600.33199999999999</v>
      </c>
      <c r="U152" s="727">
        <v>601.33199999999999</v>
      </c>
    </row>
    <row r="153" spans="1:21" s="674" customFormat="1" ht="12" x14ac:dyDescent="0.35">
      <c r="A153" s="646" t="s">
        <v>2331</v>
      </c>
      <c r="B153" s="720" t="s">
        <v>1850</v>
      </c>
      <c r="C153" s="651">
        <f t="shared" ref="C153:S153" si="16">C149-C150</f>
        <v>898.14699999999993</v>
      </c>
      <c r="D153" s="651">
        <f t="shared" si="16"/>
        <v>971.95300000000009</v>
      </c>
      <c r="E153" s="651">
        <f t="shared" si="16"/>
        <v>1107.2750000000001</v>
      </c>
      <c r="F153" s="651">
        <f t="shared" si="16"/>
        <v>1122.98</v>
      </c>
      <c r="G153" s="651">
        <f t="shared" si="16"/>
        <v>1454.4450000000002</v>
      </c>
      <c r="H153" s="651">
        <f t="shared" si="16"/>
        <v>1870.0329999999999</v>
      </c>
      <c r="I153" s="651">
        <f t="shared" si="16"/>
        <v>2190.951</v>
      </c>
      <c r="J153" s="651">
        <f t="shared" si="16"/>
        <v>2342.163</v>
      </c>
      <c r="K153" s="651">
        <f t="shared" si="16"/>
        <v>2827.2999999999997</v>
      </c>
      <c r="L153" s="651">
        <f t="shared" si="16"/>
        <v>2771.9900000000007</v>
      </c>
      <c r="M153" s="651">
        <f t="shared" si="16"/>
        <v>2493.7609999999995</v>
      </c>
      <c r="N153" s="651">
        <f t="shared" si="16"/>
        <v>3818.8060000000005</v>
      </c>
      <c r="O153" s="651">
        <f t="shared" si="16"/>
        <v>4149.8059999999996</v>
      </c>
      <c r="P153" s="651">
        <f t="shared" si="16"/>
        <v>4240.3729999999996</v>
      </c>
      <c r="Q153" s="651">
        <f t="shared" si="16"/>
        <v>4819.1750000000002</v>
      </c>
      <c r="R153" s="651">
        <f t="shared" si="16"/>
        <v>5143.3580000000002</v>
      </c>
      <c r="S153" s="651">
        <f t="shared" si="16"/>
        <v>4869.8159999999998</v>
      </c>
      <c r="T153" s="651">
        <f t="shared" ref="T153:U153" si="17">T149-T150</f>
        <v>5664.8260000000009</v>
      </c>
      <c r="U153" s="651">
        <f t="shared" si="17"/>
        <v>5664.8260000000009</v>
      </c>
    </row>
    <row r="154" spans="1:21" s="674" customFormat="1" x14ac:dyDescent="0.35">
      <c r="A154" s="331"/>
      <c r="B154" s="625"/>
    </row>
    <row r="155" spans="1:21" s="674" customFormat="1" x14ac:dyDescent="0.35">
      <c r="A155" s="331"/>
      <c r="B155" s="625"/>
      <c r="C155" s="728"/>
      <c r="D155" s="728"/>
      <c r="E155" s="728"/>
    </row>
    <row r="156" spans="1:21" s="674" customFormat="1" ht="12" x14ac:dyDescent="0.35">
      <c r="A156" s="646" t="s">
        <v>2486</v>
      </c>
      <c r="B156" s="720" t="s">
        <v>2487</v>
      </c>
      <c r="C156" s="728"/>
      <c r="D156" s="728"/>
      <c r="E156" s="728"/>
      <c r="M156" s="720"/>
      <c r="N156" s="720"/>
      <c r="O156" s="720"/>
      <c r="P156" s="720"/>
      <c r="Q156" s="720"/>
      <c r="R156" s="720"/>
      <c r="S156" s="720"/>
      <c r="T156" s="720"/>
      <c r="U156" s="720"/>
    </row>
    <row r="157" spans="1:21" s="727" customFormat="1" ht="12" x14ac:dyDescent="0.35">
      <c r="A157" s="625" t="s">
        <v>514</v>
      </c>
      <c r="B157" s="331" t="s">
        <v>2481</v>
      </c>
      <c r="C157" s="728"/>
      <c r="D157" s="726">
        <v>14.791</v>
      </c>
      <c r="E157" s="726">
        <v>53.834000000000003</v>
      </c>
      <c r="F157" s="727">
        <v>53.843000000000004</v>
      </c>
      <c r="G157" s="727">
        <v>54.043999999999997</v>
      </c>
      <c r="H157" s="727">
        <v>54.343000000000004</v>
      </c>
      <c r="I157" s="727">
        <v>54.341999999999999</v>
      </c>
      <c r="J157" s="727">
        <v>54.341999999999999</v>
      </c>
      <c r="K157" s="727">
        <f>54516/1000</f>
        <v>54.515999999999998</v>
      </c>
      <c r="L157" s="727">
        <f>2726676/1000</f>
        <v>2726.6759999999999</v>
      </c>
      <c r="M157" s="727">
        <f>3050468/1000</f>
        <v>3050.4679999999998</v>
      </c>
      <c r="N157" s="727">
        <v>4249.5200000000004</v>
      </c>
      <c r="O157" s="727">
        <f>4750265/1000</f>
        <v>4750.2650000000003</v>
      </c>
      <c r="P157" s="727">
        <v>4680.7759999999998</v>
      </c>
      <c r="Q157" s="727">
        <v>5067.3329999999996</v>
      </c>
      <c r="R157" s="727">
        <v>4643.3310000000001</v>
      </c>
      <c r="S157" s="727">
        <f>R160</f>
        <v>5126.232</v>
      </c>
      <c r="T157" s="727">
        <f>S160</f>
        <v>7080.2719999999999</v>
      </c>
      <c r="U157" s="727">
        <f>T160</f>
        <v>6923.8490000000002</v>
      </c>
    </row>
    <row r="158" spans="1:21" s="727" customFormat="1" ht="12" x14ac:dyDescent="0.35">
      <c r="A158" s="625" t="s">
        <v>2488</v>
      </c>
      <c r="B158" s="331" t="s">
        <v>2489</v>
      </c>
      <c r="C158" s="728"/>
      <c r="D158" s="726">
        <v>5.0860000000000003</v>
      </c>
      <c r="E158" s="726">
        <v>9.1419999999999995</v>
      </c>
      <c r="F158" s="727">
        <v>10.811999999999999</v>
      </c>
      <c r="G158" s="727">
        <v>12.006</v>
      </c>
      <c r="H158" s="727">
        <v>13.279</v>
      </c>
      <c r="I158" s="727">
        <v>14.298</v>
      </c>
      <c r="J158" s="727">
        <v>15.306000000000001</v>
      </c>
      <c r="K158" s="727">
        <f>16443/1000</f>
        <v>16.443000000000001</v>
      </c>
      <c r="L158" s="727">
        <f>(326628-2836)/1000</f>
        <v>323.79199999999997</v>
      </c>
      <c r="M158" s="727">
        <f>(1202437-3385)/1000</f>
        <v>1199.0519999999999</v>
      </c>
      <c r="N158" s="727">
        <f>(18512+83674-50398-3513+445640+6830)*0.001</f>
        <v>500.745</v>
      </c>
      <c r="O158" s="727">
        <f>(840-56767-6734-6828)/1000</f>
        <v>-69.489000000000004</v>
      </c>
      <c r="P158" s="727">
        <f>388.824+10.53-3.073-9.724</f>
        <v>386.55700000000002</v>
      </c>
      <c r="Q158" s="727">
        <f>-267.676+29.976-186.302</f>
        <v>-424.00199999999995</v>
      </c>
      <c r="R158" s="727">
        <f>-35.872+31.051+487.722</f>
        <v>482.90099999999995</v>
      </c>
      <c r="S158" s="727">
        <f>S160-S157</f>
        <v>1954.04</v>
      </c>
      <c r="T158" s="727">
        <f>T160-T157</f>
        <v>-156.42299999999977</v>
      </c>
      <c r="U158" s="727">
        <f>U160-U157</f>
        <v>-486.39599999999973</v>
      </c>
    </row>
    <row r="159" spans="1:21" s="727" customFormat="1" ht="12" x14ac:dyDescent="0.35">
      <c r="A159" s="625" t="s">
        <v>378</v>
      </c>
      <c r="B159" s="331" t="s">
        <v>2484</v>
      </c>
      <c r="D159" s="727">
        <v>0</v>
      </c>
      <c r="E159" s="727">
        <v>0</v>
      </c>
      <c r="F159" s="727">
        <v>0</v>
      </c>
      <c r="G159" s="727">
        <v>0</v>
      </c>
      <c r="H159" s="727">
        <v>0</v>
      </c>
      <c r="I159" s="727">
        <v>0</v>
      </c>
      <c r="J159" s="727">
        <v>0</v>
      </c>
      <c r="K159" s="727">
        <v>0</v>
      </c>
    </row>
    <row r="160" spans="1:21" s="674" customFormat="1" ht="12" x14ac:dyDescent="0.35">
      <c r="A160" s="646" t="s">
        <v>2331</v>
      </c>
      <c r="B160" s="720" t="s">
        <v>1850</v>
      </c>
      <c r="C160" s="651">
        <v>10.065</v>
      </c>
      <c r="D160" s="651">
        <f t="shared" ref="D160:K160" si="18">D157-D158</f>
        <v>9.7050000000000001</v>
      </c>
      <c r="E160" s="651">
        <f t="shared" si="18"/>
        <v>44.692000000000007</v>
      </c>
      <c r="F160" s="651">
        <f t="shared" si="18"/>
        <v>43.031000000000006</v>
      </c>
      <c r="G160" s="651">
        <f t="shared" si="18"/>
        <v>42.037999999999997</v>
      </c>
      <c r="H160" s="651">
        <f t="shared" si="18"/>
        <v>41.064000000000007</v>
      </c>
      <c r="I160" s="651">
        <f t="shared" si="18"/>
        <v>40.043999999999997</v>
      </c>
      <c r="J160" s="651">
        <f t="shared" si="18"/>
        <v>39.036000000000001</v>
      </c>
      <c r="K160" s="651">
        <f t="shared" si="18"/>
        <v>38.072999999999993</v>
      </c>
      <c r="L160" s="651">
        <f t="shared" ref="L160:R160" si="19">L157+L158</f>
        <v>3050.4679999999998</v>
      </c>
      <c r="M160" s="651">
        <f t="shared" si="19"/>
        <v>4249.5199999999995</v>
      </c>
      <c r="N160" s="651">
        <f t="shared" si="19"/>
        <v>4750.2650000000003</v>
      </c>
      <c r="O160" s="651">
        <f t="shared" si="19"/>
        <v>4680.7760000000007</v>
      </c>
      <c r="P160" s="651">
        <f t="shared" si="19"/>
        <v>5067.3329999999996</v>
      </c>
      <c r="Q160" s="651">
        <f t="shared" si="19"/>
        <v>4643.3310000000001</v>
      </c>
      <c r="R160" s="651">
        <f t="shared" si="19"/>
        <v>5126.232</v>
      </c>
      <c r="S160" s="651">
        <f>BS!T5</f>
        <v>7080.2719999999999</v>
      </c>
      <c r="T160" s="651">
        <f>BS!U5</f>
        <v>6923.8490000000002</v>
      </c>
      <c r="U160" s="651">
        <f>BS!V5</f>
        <v>6437.4530000000004</v>
      </c>
    </row>
    <row r="161" spans="1:21" s="674" customFormat="1" x14ac:dyDescent="0.35">
      <c r="A161" s="331"/>
      <c r="B161" s="625"/>
      <c r="C161" s="674">
        <f>C160-'BS（org）'!E6</f>
        <v>0</v>
      </c>
      <c r="D161" s="674">
        <f>D160-'BS（org）'!F6</f>
        <v>0</v>
      </c>
      <c r="E161" s="674">
        <f>E160-'BS（org）'!G6</f>
        <v>0</v>
      </c>
      <c r="F161" s="674">
        <f>F160-'BS（org）'!H6</f>
        <v>0</v>
      </c>
      <c r="G161" s="674">
        <f>G160-'BS（org）'!I6</f>
        <v>0</v>
      </c>
      <c r="H161" s="674">
        <f>H160-'BS（org）'!J6</f>
        <v>1.0000000000047748E-3</v>
      </c>
    </row>
    <row r="162" spans="1:21" x14ac:dyDescent="0.35">
      <c r="C162" s="724"/>
      <c r="D162" s="724"/>
      <c r="E162" s="724"/>
      <c r="F162" s="725"/>
      <c r="G162" s="725"/>
      <c r="H162" s="725"/>
      <c r="I162" s="725"/>
      <c r="J162" s="725"/>
      <c r="K162" s="725"/>
      <c r="L162" s="725"/>
      <c r="M162" s="725"/>
      <c r="N162" s="725"/>
      <c r="O162" s="725"/>
      <c r="P162" s="725"/>
      <c r="Q162" s="725"/>
      <c r="R162" s="725"/>
      <c r="S162" s="725"/>
      <c r="T162" s="725"/>
      <c r="U162" s="725"/>
    </row>
    <row r="163" spans="1:21" x14ac:dyDescent="0.35">
      <c r="C163" s="742"/>
      <c r="D163" s="742"/>
      <c r="E163" s="742"/>
      <c r="F163" s="743"/>
    </row>
    <row r="164" spans="1:21" x14ac:dyDescent="0.35">
      <c r="C164" s="742"/>
      <c r="D164" s="742"/>
      <c r="E164" s="742"/>
      <c r="F164" s="743"/>
    </row>
    <row r="165" spans="1:21" x14ac:dyDescent="0.35">
      <c r="C165" s="742"/>
      <c r="D165" s="742"/>
      <c r="E165" s="742"/>
      <c r="F165" s="743"/>
    </row>
    <row r="166" spans="1:21" x14ac:dyDescent="0.35">
      <c r="C166" s="742"/>
      <c r="D166" s="742"/>
      <c r="E166" s="742"/>
      <c r="F166" s="743"/>
    </row>
    <row r="167" spans="1:21" x14ac:dyDescent="0.35">
      <c r="C167" s="742"/>
      <c r="D167" s="742"/>
      <c r="E167" s="742"/>
      <c r="F167" s="743"/>
    </row>
    <row r="168" spans="1:21" x14ac:dyDescent="0.35">
      <c r="C168" s="742"/>
      <c r="D168" s="742"/>
      <c r="E168" s="742"/>
      <c r="F168" s="743"/>
    </row>
    <row r="169" spans="1:21" x14ac:dyDescent="0.35">
      <c r="C169" s="742"/>
      <c r="D169" s="742"/>
      <c r="E169" s="742"/>
      <c r="F169" s="743"/>
    </row>
    <row r="170" spans="1:21" x14ac:dyDescent="0.35">
      <c r="C170" s="742"/>
      <c r="D170" s="742"/>
      <c r="E170" s="742"/>
      <c r="F170" s="743"/>
    </row>
    <row r="171" spans="1:21" x14ac:dyDescent="0.35">
      <c r="C171" s="742"/>
      <c r="D171" s="742"/>
      <c r="E171" s="742"/>
      <c r="F171" s="743"/>
    </row>
    <row r="172" spans="1:21" x14ac:dyDescent="0.35">
      <c r="C172" s="742"/>
      <c r="D172" s="742"/>
      <c r="E172" s="742"/>
      <c r="F172" s="743"/>
    </row>
    <row r="173" spans="1:21" x14ac:dyDescent="0.35">
      <c r="C173" s="742"/>
      <c r="D173" s="742"/>
      <c r="E173" s="742"/>
      <c r="F173" s="743"/>
    </row>
    <row r="174" spans="1:21" x14ac:dyDescent="0.35">
      <c r="C174" s="742"/>
      <c r="D174" s="742"/>
      <c r="E174" s="742"/>
      <c r="F174" s="743"/>
    </row>
    <row r="175" spans="1:21" x14ac:dyDescent="0.35">
      <c r="C175" s="742"/>
      <c r="D175" s="742"/>
      <c r="E175" s="742"/>
      <c r="F175" s="743"/>
    </row>
    <row r="176" spans="1:21" x14ac:dyDescent="0.35">
      <c r="C176" s="742"/>
      <c r="D176" s="742"/>
      <c r="E176" s="742"/>
      <c r="F176" s="743"/>
    </row>
    <row r="177" spans="3:6" s="625" customFormat="1" x14ac:dyDescent="0.35">
      <c r="C177" s="742"/>
      <c r="D177" s="742"/>
      <c r="E177" s="742"/>
      <c r="F177" s="743"/>
    </row>
    <row r="178" spans="3:6" s="625" customFormat="1" x14ac:dyDescent="0.35">
      <c r="C178" s="742"/>
      <c r="D178" s="742"/>
      <c r="E178" s="742"/>
      <c r="F178" s="743"/>
    </row>
    <row r="179" spans="3:6" s="625" customFormat="1" x14ac:dyDescent="0.35">
      <c r="C179" s="742"/>
      <c r="D179" s="742"/>
      <c r="E179" s="742"/>
      <c r="F179" s="743"/>
    </row>
    <row r="180" spans="3:6" s="625" customFormat="1" x14ac:dyDescent="0.35">
      <c r="C180" s="742"/>
      <c r="D180" s="742"/>
      <c r="E180" s="742"/>
      <c r="F180" s="743"/>
    </row>
    <row r="181" spans="3:6" s="625" customFormat="1" x14ac:dyDescent="0.35">
      <c r="C181" s="742"/>
      <c r="D181" s="742"/>
      <c r="E181" s="742"/>
      <c r="F181" s="743"/>
    </row>
    <row r="182" spans="3:6" s="625" customFormat="1" x14ac:dyDescent="0.35">
      <c r="C182" s="742"/>
      <c r="D182" s="742"/>
      <c r="E182" s="742"/>
      <c r="F182" s="743"/>
    </row>
    <row r="183" spans="3:6" s="625" customFormat="1" x14ac:dyDescent="0.35">
      <c r="C183" s="742"/>
      <c r="D183" s="742"/>
      <c r="E183" s="742"/>
      <c r="F183" s="743"/>
    </row>
    <row r="184" spans="3:6" s="625" customFormat="1" x14ac:dyDescent="0.35">
      <c r="C184" s="742"/>
      <c r="D184" s="742"/>
      <c r="E184" s="742"/>
      <c r="F184" s="743"/>
    </row>
    <row r="185" spans="3:6" s="625" customFormat="1" x14ac:dyDescent="0.35">
      <c r="C185" s="742"/>
      <c r="D185" s="742"/>
      <c r="E185" s="742"/>
      <c r="F185" s="743"/>
    </row>
    <row r="186" spans="3:6" s="625" customFormat="1" x14ac:dyDescent="0.35">
      <c r="C186" s="742"/>
      <c r="D186" s="742"/>
      <c r="E186" s="742"/>
      <c r="F186" s="743"/>
    </row>
    <row r="187" spans="3:6" s="625" customFormat="1" x14ac:dyDescent="0.35">
      <c r="C187" s="744"/>
      <c r="D187" s="744"/>
      <c r="E187" s="744"/>
    </row>
  </sheetData>
  <phoneticPr fontId="51" type="noConversion"/>
  <pageMargins left="0.75" right="0.75" top="1" bottom="1" header="0.5" footer="0.5"/>
  <pageSetup paperSize="9" scale="58"/>
  <headerFooter alignWithMargins="0"/>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640000"/>
    <pageSetUpPr fitToPage="1"/>
  </sheetPr>
  <dimension ref="A1:BU303"/>
  <sheetViews>
    <sheetView showGridLines="0" tabSelected="1" zoomScale="130" zoomScaleNormal="115" workbookViewId="0">
      <pane xSplit="2" ySplit="1" topLeftCell="V127" activePane="bottomRight" state="frozen"/>
      <selection pane="topRight"/>
      <selection pane="bottomLeft"/>
      <selection pane="bottomRight" activeCell="X85" sqref="X85"/>
    </sheetView>
  </sheetViews>
  <sheetFormatPr defaultColWidth="7.0625" defaultRowHeight="10.9" outlineLevelRow="1" outlineLevelCol="1" x14ac:dyDescent="0.35"/>
  <cols>
    <col min="1" max="1" width="20.5" style="1624" customWidth="1"/>
    <col min="2" max="2" width="19.5625" style="745" hidden="1" customWidth="1" outlineLevel="1"/>
    <col min="3" max="3" width="1.5625" style="148" customWidth="1" collapsed="1"/>
    <col min="4" max="15" width="7.0625" style="148" hidden="1" customWidth="1" outlineLevel="1"/>
    <col min="16" max="16" width="7.0625" style="148" hidden="1" customWidth="1" collapsed="1"/>
    <col min="17" max="18" width="7.0625" style="148" hidden="1" customWidth="1"/>
    <col min="19" max="22" width="7.0625" style="148" customWidth="1"/>
    <col min="23" max="24" width="7.0625" style="148" customWidth="1" outlineLevel="1"/>
    <col min="25" max="25" width="1.5625" style="148" customWidth="1"/>
    <col min="26" max="35" width="7.0625" style="148" hidden="1" customWidth="1" outlineLevel="1"/>
    <col min="36" max="37" width="8.5" style="148" hidden="1" customWidth="1" outlineLevel="1"/>
    <col min="38" max="38" width="8.5" style="148" customWidth="1" collapsed="1"/>
    <col min="39" max="47" width="8.5" style="148" customWidth="1"/>
    <col min="48" max="51" width="7.0625" style="148" customWidth="1"/>
    <col min="52" max="53" width="8.5" style="148" customWidth="1"/>
    <col min="54" max="54" width="7.0625" style="148" customWidth="1"/>
    <col min="55" max="55" width="8.5" style="148" customWidth="1"/>
    <col min="56" max="57" width="7.0625" style="148" customWidth="1"/>
    <col min="58" max="16384" width="7.0625" style="148"/>
  </cols>
  <sheetData>
    <row r="1" spans="1:73" ht="10.5" x14ac:dyDescent="0.35">
      <c r="A1" s="1616" t="s">
        <v>2926</v>
      </c>
      <c r="B1" s="746" t="s">
        <v>2350</v>
      </c>
      <c r="C1" s="747"/>
      <c r="D1" s="747" t="s">
        <v>328</v>
      </c>
      <c r="E1" s="747" t="s">
        <v>323</v>
      </c>
      <c r="F1" s="747" t="s">
        <v>198</v>
      </c>
      <c r="G1" s="748" t="s">
        <v>331</v>
      </c>
      <c r="H1" s="748" t="s">
        <v>21</v>
      </c>
      <c r="I1" s="748" t="s">
        <v>721</v>
      </c>
      <c r="J1" s="748" t="s">
        <v>832</v>
      </c>
      <c r="K1" s="748" t="s">
        <v>831</v>
      </c>
      <c r="L1" s="748" t="s">
        <v>1376</v>
      </c>
      <c r="M1" s="748" t="s">
        <v>1510</v>
      </c>
      <c r="N1" s="748" t="s">
        <v>1747</v>
      </c>
      <c r="O1" s="748" t="s">
        <v>1739</v>
      </c>
      <c r="P1" s="748" t="s">
        <v>1810</v>
      </c>
      <c r="Q1" s="749" t="s">
        <v>1818</v>
      </c>
      <c r="R1" s="749" t="str">
        <f>PL!Q3</f>
        <v>2019A</v>
      </c>
      <c r="S1" s="749" t="str">
        <f>PL!R3</f>
        <v>2020A</v>
      </c>
      <c r="T1" s="749" t="str">
        <f>PL!S3</f>
        <v>2021A</v>
      </c>
      <c r="U1" s="749" t="str">
        <f>PL!T3</f>
        <v>2022A</v>
      </c>
      <c r="V1" s="749" t="str">
        <f>PL!U3</f>
        <v>2023A</v>
      </c>
      <c r="W1" s="749" t="str">
        <f>PL!V3</f>
        <v>2024A</v>
      </c>
      <c r="X1" s="749" t="str">
        <f>PL!W3</f>
        <v>2025A</v>
      </c>
      <c r="Y1" s="750"/>
      <c r="Z1" s="748" t="s">
        <v>1518</v>
      </c>
      <c r="AA1" s="748" t="s">
        <v>1866</v>
      </c>
      <c r="AB1" s="748" t="s">
        <v>1740</v>
      </c>
      <c r="AC1" s="748" t="s">
        <v>1865</v>
      </c>
      <c r="AD1" s="748" t="s">
        <v>1749</v>
      </c>
      <c r="AE1" s="748" t="s">
        <v>1811</v>
      </c>
      <c r="AF1" s="748" t="s">
        <v>1813</v>
      </c>
      <c r="AG1" s="748" t="s">
        <v>1819</v>
      </c>
      <c r="AH1" s="748" t="s">
        <v>1877</v>
      </c>
      <c r="AI1" s="748" t="s">
        <v>1876</v>
      </c>
      <c r="AJ1" s="748" t="s">
        <v>2075</v>
      </c>
      <c r="AK1" s="748" t="s">
        <v>2594</v>
      </c>
      <c r="AL1" s="748" t="s">
        <v>2613</v>
      </c>
      <c r="AM1" s="748" t="s">
        <v>2620</v>
      </c>
      <c r="AN1" s="748" t="s">
        <v>2791</v>
      </c>
      <c r="AO1" s="748" t="s">
        <v>2833</v>
      </c>
      <c r="AP1" s="748" t="s">
        <v>2850</v>
      </c>
      <c r="AQ1" s="749" t="s">
        <v>2880</v>
      </c>
      <c r="AR1" s="1614" t="s">
        <v>2907</v>
      </c>
      <c r="AS1" s="749" t="s">
        <v>2887</v>
      </c>
      <c r="AT1" s="1614" t="s">
        <v>2906</v>
      </c>
      <c r="AU1" s="1614" t="s">
        <v>3148</v>
      </c>
      <c r="AW1" s="748" t="s">
        <v>2790</v>
      </c>
      <c r="AX1" s="748" t="s">
        <v>2865</v>
      </c>
      <c r="AY1" s="748" t="s">
        <v>2842</v>
      </c>
      <c r="AZ1" s="748" t="s">
        <v>2851</v>
      </c>
      <c r="BA1" s="749" t="s">
        <v>2863</v>
      </c>
      <c r="BB1" s="1606" t="s">
        <v>2888</v>
      </c>
      <c r="BC1" s="1607" t="s">
        <v>2889</v>
      </c>
      <c r="BD1" s="1606" t="s">
        <v>2892</v>
      </c>
      <c r="BE1" s="1606" t="s">
        <v>2903</v>
      </c>
      <c r="BG1" s="748" t="s">
        <v>2790</v>
      </c>
      <c r="BH1" s="748" t="s">
        <v>2794</v>
      </c>
      <c r="BI1" s="748" t="s">
        <v>2830</v>
      </c>
      <c r="BJ1" s="748" t="s">
        <v>2831</v>
      </c>
      <c r="BK1" s="748" t="s">
        <v>2842</v>
      </c>
      <c r="BL1" s="748" t="s">
        <v>2852</v>
      </c>
      <c r="BM1" s="748" t="s">
        <v>2864</v>
      </c>
      <c r="BN1" s="748" t="s">
        <v>2890</v>
      </c>
      <c r="BO1" s="748" t="s">
        <v>2877</v>
      </c>
      <c r="BP1" s="748" t="s">
        <v>2879</v>
      </c>
      <c r="BQ1" s="748" t="s">
        <v>2891</v>
      </c>
      <c r="BR1" s="748" t="s">
        <v>2878</v>
      </c>
      <c r="BS1" s="1606" t="s">
        <v>2915</v>
      </c>
      <c r="BT1" s="1606" t="s">
        <v>2904</v>
      </c>
      <c r="BU1" s="1606" t="s">
        <v>2905</v>
      </c>
    </row>
    <row r="2" spans="1:73" x14ac:dyDescent="0.35">
      <c r="A2" s="1617" t="s">
        <v>2923</v>
      </c>
      <c r="B2" s="751" t="s">
        <v>343</v>
      </c>
      <c r="C2" s="752"/>
      <c r="D2" s="752"/>
      <c r="E2" s="752">
        <f>HK!C3</f>
        <v>4536.9800000000005</v>
      </c>
      <c r="F2" s="752">
        <f>HK!D3</f>
        <v>5070</v>
      </c>
      <c r="G2" s="752">
        <f>HK!E3</f>
        <v>9480</v>
      </c>
      <c r="H2" s="752">
        <f>HK!F3</f>
        <v>10850</v>
      </c>
      <c r="I2" s="752">
        <f>HK!G3</f>
        <v>16510</v>
      </c>
      <c r="J2" s="752">
        <f>HK!H3</f>
        <v>5740</v>
      </c>
      <c r="K2" s="752">
        <f>HK!I3</f>
        <v>17600</v>
      </c>
      <c r="L2" s="752">
        <f>HK!J3</f>
        <v>17891.718000000001</v>
      </c>
      <c r="M2" s="752">
        <f>HK!K3</f>
        <v>9140</v>
      </c>
      <c r="N2" s="752">
        <f>HK!L3</f>
        <v>13660</v>
      </c>
      <c r="O2" s="752">
        <f>HK!M3</f>
        <v>16340</v>
      </c>
      <c r="P2" s="752">
        <f>HK!N3</f>
        <v>19450</v>
      </c>
      <c r="Q2" s="752">
        <f>HK!O3</f>
        <v>26320</v>
      </c>
      <c r="R2" s="752">
        <f>HK!P3</f>
        <v>38130</v>
      </c>
      <c r="S2" s="752">
        <f>HK!Q3</f>
        <v>27100</v>
      </c>
      <c r="T2" s="752">
        <f>HK!R3</f>
        <v>36050</v>
      </c>
      <c r="U2" s="752">
        <f>HK!S3</f>
        <v>44896</v>
      </c>
      <c r="V2" s="752">
        <f>HK!T3</f>
        <v>70921</v>
      </c>
      <c r="W2" s="752">
        <f>HK!U3</f>
        <v>90048</v>
      </c>
      <c r="X2" s="752">
        <f>HK!V3</f>
        <v>44949</v>
      </c>
      <c r="Y2" s="752"/>
      <c r="Z2" s="752">
        <v>11800</v>
      </c>
      <c r="AA2" s="752">
        <f>N2-Z2</f>
        <v>1860</v>
      </c>
      <c r="AB2" s="752">
        <v>12000</v>
      </c>
      <c r="AC2" s="752">
        <f>O2-AB2</f>
        <v>4340</v>
      </c>
      <c r="AD2" s="752">
        <v>12420</v>
      </c>
      <c r="AE2" s="752">
        <f>P2-AD2</f>
        <v>7030</v>
      </c>
      <c r="AF2" s="752">
        <v>15880</v>
      </c>
      <c r="AG2" s="752">
        <f>Q2-AF2</f>
        <v>10440</v>
      </c>
      <c r="AH2" s="752">
        <v>21270</v>
      </c>
      <c r="AI2" s="752">
        <f>R2-AH2</f>
        <v>16860</v>
      </c>
      <c r="AJ2" s="752">
        <v>13430</v>
      </c>
      <c r="AK2" s="752">
        <f>S2-AJ2</f>
        <v>13670</v>
      </c>
      <c r="AL2" s="752">
        <v>17180</v>
      </c>
      <c r="AM2" s="752">
        <f>T2-AL2</f>
        <v>18870</v>
      </c>
      <c r="AN2" s="752">
        <v>27390</v>
      </c>
      <c r="AO2" s="752">
        <f>U2-AN2</f>
        <v>17506</v>
      </c>
      <c r="AP2" s="752">
        <v>37360</v>
      </c>
      <c r="AQ2" s="752">
        <f>V2-AP2</f>
        <v>33561</v>
      </c>
      <c r="AR2" s="752">
        <v>57640</v>
      </c>
      <c r="AS2" s="752">
        <f>W2-AR2</f>
        <v>32408</v>
      </c>
      <c r="AT2" s="752">
        <f>25800</f>
        <v>25800</v>
      </c>
      <c r="AU2" s="752">
        <f>X2-AT2</f>
        <v>19149</v>
      </c>
      <c r="AZ2" s="752">
        <v>37360</v>
      </c>
    </row>
    <row r="3" spans="1:73" x14ac:dyDescent="0.35">
      <c r="A3" s="1618" t="s">
        <v>577</v>
      </c>
      <c r="B3" s="753" t="s">
        <v>577</v>
      </c>
      <c r="C3" s="754"/>
      <c r="D3" s="755"/>
      <c r="E3" s="755"/>
      <c r="F3" s="755">
        <f t="shared" ref="F3:X3" si="0">F2/E2-1</f>
        <v>0.11748343611829881</v>
      </c>
      <c r="G3" s="755">
        <f t="shared" si="0"/>
        <v>0.86982248520710059</v>
      </c>
      <c r="H3" s="755">
        <f t="shared" si="0"/>
        <v>0.14451476793248941</v>
      </c>
      <c r="I3" s="755">
        <f t="shared" si="0"/>
        <v>0.5216589861751153</v>
      </c>
      <c r="J3" s="755">
        <f t="shared" si="0"/>
        <v>-0.65233192004845542</v>
      </c>
      <c r="K3" s="755">
        <f t="shared" si="0"/>
        <v>2.0662020905923346</v>
      </c>
      <c r="L3" s="755">
        <f t="shared" si="0"/>
        <v>1.6574886363636354E-2</v>
      </c>
      <c r="M3" s="755">
        <f t="shared" si="0"/>
        <v>-0.48914911357310686</v>
      </c>
      <c r="N3" s="755">
        <f t="shared" si="0"/>
        <v>0.49452954048140052</v>
      </c>
      <c r="O3" s="755">
        <f t="shared" si="0"/>
        <v>0.19619326500732059</v>
      </c>
      <c r="P3" s="755">
        <f t="shared" si="0"/>
        <v>0.19033047735618114</v>
      </c>
      <c r="Q3" s="755">
        <f t="shared" si="0"/>
        <v>0.35321336760925459</v>
      </c>
      <c r="R3" s="755">
        <f t="shared" si="0"/>
        <v>0.44870820668693012</v>
      </c>
      <c r="S3" s="755">
        <f t="shared" si="0"/>
        <v>-0.28927353789666932</v>
      </c>
      <c r="T3" s="755">
        <f t="shared" si="0"/>
        <v>0.33025830258302591</v>
      </c>
      <c r="U3" s="755">
        <f t="shared" si="0"/>
        <v>0.24538141470180297</v>
      </c>
      <c r="V3" s="755">
        <f t="shared" si="0"/>
        <v>0.57967302209550953</v>
      </c>
      <c r="W3" s="755">
        <f t="shared" si="0"/>
        <v>0.26969444875283766</v>
      </c>
      <c r="X3" s="755">
        <f t="shared" si="0"/>
        <v>-0.5008328891257996</v>
      </c>
      <c r="Y3" s="756"/>
      <c r="Z3" s="755"/>
      <c r="AA3" s="755"/>
      <c r="AB3" s="755">
        <f t="shared" ref="AB3:AO3" si="1">AB2/Z2-1</f>
        <v>1.6949152542372836E-2</v>
      </c>
      <c r="AC3" s="755">
        <f t="shared" si="1"/>
        <v>1.3333333333333335</v>
      </c>
      <c r="AD3" s="755">
        <f t="shared" si="1"/>
        <v>3.499999999999992E-2</v>
      </c>
      <c r="AE3" s="755">
        <f t="shared" si="1"/>
        <v>0.6198156682027649</v>
      </c>
      <c r="AF3" s="755">
        <f t="shared" si="1"/>
        <v>0.27858293075684371</v>
      </c>
      <c r="AG3" s="755">
        <f t="shared" si="1"/>
        <v>0.48506401137980082</v>
      </c>
      <c r="AH3" s="755">
        <f t="shared" si="1"/>
        <v>0.33942065491183881</v>
      </c>
      <c r="AI3" s="755">
        <f t="shared" si="1"/>
        <v>0.61494252873563227</v>
      </c>
      <c r="AJ3" s="755">
        <f t="shared" si="1"/>
        <v>-0.36859426422190877</v>
      </c>
      <c r="AK3" s="755">
        <f t="shared" si="1"/>
        <v>-0.18920521945432978</v>
      </c>
      <c r="AL3" s="755">
        <f t="shared" si="1"/>
        <v>0.2792256142963514</v>
      </c>
      <c r="AM3" s="755">
        <f t="shared" si="1"/>
        <v>0.38039502560351135</v>
      </c>
      <c r="AN3" s="755">
        <f t="shared" si="1"/>
        <v>0.59429569266589066</v>
      </c>
      <c r="AO3" s="755">
        <f t="shared" si="1"/>
        <v>-7.2284048754637009E-2</v>
      </c>
      <c r="AP3" s="755">
        <f t="shared" ref="AP3:AU3" si="2">AP2/AN2-1</f>
        <v>0.36400146038700254</v>
      </c>
      <c r="AQ3" s="755">
        <f t="shared" si="2"/>
        <v>0.91711413229749805</v>
      </c>
      <c r="AR3" s="755">
        <f t="shared" si="2"/>
        <v>0.54282655246252687</v>
      </c>
      <c r="AS3" s="755">
        <f t="shared" si="2"/>
        <v>-3.4355352939423711E-2</v>
      </c>
      <c r="AT3" s="755">
        <f t="shared" si="2"/>
        <v>-0.55239417071478147</v>
      </c>
      <c r="AU3" s="755">
        <f t="shared" si="2"/>
        <v>-0.40912737595655391</v>
      </c>
      <c r="AZ3" s="755">
        <v>0.36400146038700254</v>
      </c>
    </row>
    <row r="4" spans="1:73" ht="10.5" hidden="1" outlineLevel="1" x14ac:dyDescent="0.35">
      <c r="A4" s="1619" t="s">
        <v>2927</v>
      </c>
      <c r="B4" s="757" t="s">
        <v>2076</v>
      </c>
      <c r="C4" s="752"/>
      <c r="D4" s="752"/>
      <c r="E4" s="752"/>
      <c r="F4" s="752"/>
      <c r="G4" s="752"/>
      <c r="H4" s="752"/>
      <c r="I4" s="752"/>
      <c r="J4" s="752"/>
      <c r="K4" s="752"/>
      <c r="L4" s="752"/>
      <c r="M4" s="752"/>
      <c r="N4" s="752"/>
      <c r="O4" s="752"/>
      <c r="P4" s="752"/>
      <c r="Q4" s="752"/>
      <c r="R4" s="752"/>
      <c r="S4" s="752"/>
      <c r="T4" s="752"/>
      <c r="U4" s="752"/>
      <c r="V4" s="752"/>
      <c r="W4" s="752"/>
      <c r="X4" s="752"/>
      <c r="Y4" s="752"/>
    </row>
    <row r="5" spans="1:73" ht="10.5" hidden="1" outlineLevel="1" x14ac:dyDescent="0.35">
      <c r="A5" s="1620" t="s">
        <v>577</v>
      </c>
      <c r="B5" s="758" t="s">
        <v>577</v>
      </c>
      <c r="C5" s="754"/>
      <c r="D5" s="755"/>
      <c r="E5" s="755"/>
      <c r="F5" s="755"/>
      <c r="G5" s="755"/>
      <c r="H5" s="755"/>
      <c r="I5" s="755"/>
      <c r="J5" s="755"/>
      <c r="K5" s="755"/>
      <c r="L5" s="755"/>
      <c r="M5" s="755"/>
      <c r="N5" s="755"/>
      <c r="O5" s="755"/>
      <c r="P5" s="755"/>
      <c r="Q5" s="755"/>
      <c r="R5" s="755"/>
      <c r="S5" s="755"/>
      <c r="T5" s="755"/>
      <c r="U5" s="755"/>
      <c r="V5" s="755"/>
      <c r="W5" s="755"/>
      <c r="X5" s="755"/>
      <c r="Y5" s="756"/>
    </row>
    <row r="6" spans="1:73" ht="10.5" hidden="1" outlineLevel="1" x14ac:dyDescent="0.35">
      <c r="A6" s="1619" t="s">
        <v>2928</v>
      </c>
      <c r="B6" s="757" t="s">
        <v>1878</v>
      </c>
      <c r="C6" s="752"/>
      <c r="D6" s="752"/>
      <c r="E6" s="752"/>
      <c r="F6" s="752"/>
      <c r="G6" s="752"/>
      <c r="H6" s="752"/>
      <c r="I6" s="752"/>
      <c r="J6" s="752"/>
      <c r="K6" s="752"/>
      <c r="L6" s="752"/>
      <c r="M6" s="752"/>
      <c r="N6" s="752"/>
      <c r="O6" s="752"/>
      <c r="P6" s="752"/>
      <c r="Q6" s="752"/>
      <c r="R6" s="752"/>
      <c r="S6" s="752"/>
      <c r="T6" s="752"/>
      <c r="U6" s="752"/>
      <c r="V6" s="752"/>
      <c r="W6" s="752"/>
      <c r="X6" s="752"/>
      <c r="Y6" s="752"/>
    </row>
    <row r="7" spans="1:73" ht="10.5" hidden="1" outlineLevel="1" x14ac:dyDescent="0.35">
      <c r="A7" s="1620" t="s">
        <v>577</v>
      </c>
      <c r="B7" s="758" t="s">
        <v>577</v>
      </c>
      <c r="C7" s="754"/>
      <c r="D7" s="755"/>
      <c r="E7" s="755"/>
      <c r="F7" s="755"/>
      <c r="G7" s="755"/>
      <c r="H7" s="755"/>
      <c r="I7" s="755"/>
      <c r="J7" s="755"/>
      <c r="K7" s="755"/>
      <c r="L7" s="755"/>
      <c r="M7" s="755"/>
      <c r="N7" s="755"/>
      <c r="O7" s="755"/>
      <c r="P7" s="755"/>
      <c r="Q7" s="755"/>
      <c r="R7" s="755"/>
      <c r="S7" s="755"/>
      <c r="T7" s="755"/>
      <c r="U7" s="755"/>
      <c r="V7" s="755"/>
      <c r="W7" s="755"/>
      <c r="X7" s="755"/>
      <c r="Y7" s="756"/>
    </row>
    <row r="8" spans="1:73" ht="10.5" hidden="1" outlineLevel="1" x14ac:dyDescent="0.35">
      <c r="A8" s="1619" t="s">
        <v>551</v>
      </c>
      <c r="B8" s="757" t="s">
        <v>600</v>
      </c>
      <c r="C8" s="752"/>
      <c r="D8" s="752"/>
      <c r="E8" s="752"/>
      <c r="F8" s="752"/>
      <c r="G8" s="752"/>
      <c r="H8" s="752"/>
      <c r="I8" s="752"/>
      <c r="J8" s="752"/>
      <c r="K8" s="752"/>
      <c r="L8" s="752"/>
      <c r="M8" s="752"/>
      <c r="N8" s="752"/>
      <c r="O8" s="752"/>
      <c r="P8" s="752"/>
      <c r="Q8" s="752"/>
      <c r="R8" s="752"/>
      <c r="S8" s="752"/>
      <c r="T8" s="752"/>
      <c r="U8" s="752"/>
      <c r="V8" s="752"/>
      <c r="W8" s="752"/>
      <c r="X8" s="752"/>
      <c r="Y8" s="752"/>
    </row>
    <row r="9" spans="1:73" ht="10.5" hidden="1" outlineLevel="1" x14ac:dyDescent="0.35">
      <c r="A9" s="1620" t="s">
        <v>577</v>
      </c>
      <c r="B9" s="758" t="s">
        <v>577</v>
      </c>
      <c r="C9" s="754"/>
      <c r="D9" s="755"/>
      <c r="E9" s="755"/>
      <c r="F9" s="755"/>
      <c r="G9" s="755"/>
      <c r="H9" s="755"/>
      <c r="I9" s="755"/>
      <c r="J9" s="755"/>
      <c r="K9" s="755"/>
      <c r="L9" s="755"/>
      <c r="M9" s="755"/>
      <c r="N9" s="755"/>
      <c r="O9" s="755"/>
      <c r="P9" s="755"/>
      <c r="Q9" s="755"/>
      <c r="R9" s="755"/>
      <c r="S9" s="755"/>
      <c r="T9" s="755"/>
      <c r="U9" s="755"/>
      <c r="V9" s="755"/>
      <c r="W9" s="755"/>
      <c r="X9" s="755"/>
      <c r="Y9" s="756"/>
    </row>
    <row r="10" spans="1:73" collapsed="1" x14ac:dyDescent="0.35">
      <c r="A10" s="1617" t="s">
        <v>2924</v>
      </c>
      <c r="B10" s="751" t="s">
        <v>359</v>
      </c>
      <c r="C10" s="752"/>
      <c r="D10" s="756"/>
      <c r="E10" s="752">
        <f>Macau!D3</f>
        <v>7989.0300000000007</v>
      </c>
      <c r="F10" s="752">
        <f>Macau!E3</f>
        <v>4343</v>
      </c>
      <c r="G10" s="752">
        <f>Macau!F3</f>
        <v>1614</v>
      </c>
      <c r="H10" s="752">
        <f>Macau!G3</f>
        <v>40</v>
      </c>
      <c r="I10" s="752">
        <f>Macau!H3</f>
        <v>650</v>
      </c>
      <c r="J10" s="752">
        <f>Macau!I3</f>
        <v>4760</v>
      </c>
      <c r="K10" s="752">
        <f>Macau!J3</f>
        <v>880</v>
      </c>
      <c r="L10" s="752">
        <f>Macau!K3</f>
        <v>2777.0859999999998</v>
      </c>
      <c r="M10" s="752">
        <f>Macau!L3</f>
        <v>10480</v>
      </c>
      <c r="N10" s="752">
        <f>Macau!M3</f>
        <v>5500</v>
      </c>
      <c r="O10" s="752">
        <f>Macau!N3</f>
        <v>5750</v>
      </c>
      <c r="P10" s="752">
        <f>Macau!O3</f>
        <v>4410</v>
      </c>
      <c r="Q10" s="752">
        <f>Macau!P3</f>
        <v>7100</v>
      </c>
      <c r="R10" s="752">
        <f>Macau!Q3</f>
        <v>12010</v>
      </c>
      <c r="S10" s="752">
        <f>Macau!R3</f>
        <v>13280</v>
      </c>
      <c r="T10" s="752">
        <f>Macau!S3</f>
        <v>14640</v>
      </c>
      <c r="U10" s="752">
        <f>Macau!T3</f>
        <v>13775</v>
      </c>
      <c r="V10" s="752">
        <f>Macau!U3</f>
        <v>9541</v>
      </c>
      <c r="W10" s="752">
        <f>Macau!V3</f>
        <v>10003</v>
      </c>
      <c r="X10" s="752">
        <f>Macau!W3</f>
        <v>11814</v>
      </c>
      <c r="Y10" s="752"/>
      <c r="Z10" s="752">
        <v>5460</v>
      </c>
      <c r="AA10" s="752">
        <f>N10-Z10</f>
        <v>40</v>
      </c>
      <c r="AB10" s="752">
        <v>5750</v>
      </c>
      <c r="AC10" s="752">
        <f>O10-AB10</f>
        <v>0</v>
      </c>
      <c r="AD10" s="752">
        <v>4140</v>
      </c>
      <c r="AE10" s="752">
        <f>P10-AD10</f>
        <v>270</v>
      </c>
      <c r="AF10" s="752">
        <v>6280</v>
      </c>
      <c r="AG10" s="752">
        <f>Q10-AF10</f>
        <v>820</v>
      </c>
      <c r="AH10" s="752">
        <v>10110</v>
      </c>
      <c r="AI10" s="752">
        <f>R10-AH10</f>
        <v>1900</v>
      </c>
      <c r="AJ10" s="752">
        <v>12750</v>
      </c>
      <c r="AK10" s="752">
        <f>S10-AJ10</f>
        <v>530</v>
      </c>
      <c r="AL10" s="752">
        <v>12600</v>
      </c>
      <c r="AM10" s="752">
        <f>T10-AL10</f>
        <v>2040</v>
      </c>
      <c r="AN10" s="752">
        <v>12090</v>
      </c>
      <c r="AO10" s="752">
        <f>U10-AN10</f>
        <v>1685</v>
      </c>
      <c r="AP10" s="752">
        <v>4250</v>
      </c>
      <c r="AQ10" s="752">
        <f>V10-AP10</f>
        <v>5291</v>
      </c>
      <c r="AR10" s="752">
        <v>4530</v>
      </c>
      <c r="AS10" s="752">
        <f>W10-AR10</f>
        <v>5473</v>
      </c>
      <c r="AT10" s="752">
        <f>10150</f>
        <v>10150</v>
      </c>
      <c r="AU10" s="752">
        <f>X10-AT10</f>
        <v>1664</v>
      </c>
      <c r="AZ10" s="752">
        <v>4250</v>
      </c>
    </row>
    <row r="11" spans="1:73" x14ac:dyDescent="0.35">
      <c r="A11" s="1618" t="s">
        <v>577</v>
      </c>
      <c r="B11" s="753" t="s">
        <v>577</v>
      </c>
      <c r="C11" s="754"/>
      <c r="D11" s="755"/>
      <c r="E11" s="755"/>
      <c r="F11" s="755">
        <f t="shared" ref="F11:X11" si="3">F10/E10-1</f>
        <v>-0.45637956047229766</v>
      </c>
      <c r="G11" s="755">
        <f t="shared" si="3"/>
        <v>-0.62836748791158192</v>
      </c>
      <c r="H11" s="755">
        <f t="shared" si="3"/>
        <v>-0.97521685254027257</v>
      </c>
      <c r="I11" s="755">
        <f t="shared" si="3"/>
        <v>15.25</v>
      </c>
      <c r="J11" s="755">
        <f t="shared" si="3"/>
        <v>6.3230769230769228</v>
      </c>
      <c r="K11" s="755">
        <f t="shared" si="3"/>
        <v>-0.81512605042016806</v>
      </c>
      <c r="L11" s="755">
        <f t="shared" si="3"/>
        <v>2.1557795454545454</v>
      </c>
      <c r="M11" s="755">
        <f t="shared" si="3"/>
        <v>2.7737398121628214</v>
      </c>
      <c r="N11" s="755">
        <f t="shared" si="3"/>
        <v>-0.47519083969465647</v>
      </c>
      <c r="O11" s="755">
        <f t="shared" si="3"/>
        <v>4.5454545454545414E-2</v>
      </c>
      <c r="P11" s="755">
        <f t="shared" si="3"/>
        <v>-0.23304347826086957</v>
      </c>
      <c r="Q11" s="755">
        <f t="shared" si="3"/>
        <v>0.60997732426303863</v>
      </c>
      <c r="R11" s="755">
        <f t="shared" si="3"/>
        <v>0.69154929577464785</v>
      </c>
      <c r="S11" s="755">
        <f t="shared" si="3"/>
        <v>0.10574521232306422</v>
      </c>
      <c r="T11" s="755">
        <f t="shared" si="3"/>
        <v>0.10240963855421681</v>
      </c>
      <c r="U11" s="755">
        <f t="shared" si="3"/>
        <v>-5.9084699453551881E-2</v>
      </c>
      <c r="V11" s="755">
        <f t="shared" si="3"/>
        <v>-0.30736842105263162</v>
      </c>
      <c r="W11" s="755">
        <f t="shared" si="3"/>
        <v>4.8422597212032237E-2</v>
      </c>
      <c r="X11" s="755">
        <f t="shared" si="3"/>
        <v>0.18104568629411166</v>
      </c>
      <c r="Y11" s="756"/>
      <c r="Z11" s="755"/>
      <c r="AA11" s="755"/>
      <c r="AB11" s="755">
        <f>AB10/Z10-1</f>
        <v>5.3113553113553147E-2</v>
      </c>
      <c r="AC11" s="755">
        <f>AC10/AA10-1</f>
        <v>-1</v>
      </c>
      <c r="AD11" s="755">
        <f>AD10/AB10-1</f>
        <v>-0.28000000000000003</v>
      </c>
      <c r="AE11" s="755" t="s">
        <v>6</v>
      </c>
      <c r="AF11" s="755">
        <f t="shared" ref="AF11:AU13" si="4">AF10/AD10-1</f>
        <v>0.51690821256038655</v>
      </c>
      <c r="AG11" s="755">
        <f t="shared" si="4"/>
        <v>2.0370370370370372</v>
      </c>
      <c r="AH11" s="755">
        <f t="shared" si="4"/>
        <v>0.60987261146496818</v>
      </c>
      <c r="AI11" s="755">
        <f t="shared" si="4"/>
        <v>1.3170731707317072</v>
      </c>
      <c r="AJ11" s="755">
        <f t="shared" si="4"/>
        <v>0.26112759643916905</v>
      </c>
      <c r="AK11" s="755">
        <f t="shared" si="4"/>
        <v>-0.72105263157894739</v>
      </c>
      <c r="AL11" s="755">
        <f t="shared" si="4"/>
        <v>-1.1764705882352899E-2</v>
      </c>
      <c r="AM11" s="755">
        <f t="shared" si="4"/>
        <v>2.8490566037735849</v>
      </c>
      <c r="AN11" s="755">
        <f t="shared" si="4"/>
        <v>-4.0476190476190443E-2</v>
      </c>
      <c r="AO11" s="755">
        <f t="shared" si="4"/>
        <v>-0.1740196078431373</v>
      </c>
      <c r="AP11" s="755">
        <f t="shared" si="4"/>
        <v>-0.64846980976013235</v>
      </c>
      <c r="AQ11" s="755">
        <f t="shared" si="4"/>
        <v>2.1400593471810088</v>
      </c>
      <c r="AR11" s="755">
        <f t="shared" si="4"/>
        <v>6.5882352941176503E-2</v>
      </c>
      <c r="AS11" s="755">
        <f t="shared" si="4"/>
        <v>3.4398034398034349E-2</v>
      </c>
      <c r="AT11" s="755">
        <f>AT10/AR10-1</f>
        <v>1.240618101545254</v>
      </c>
      <c r="AU11" s="755">
        <f t="shared" si="4"/>
        <v>-0.69596199524940616</v>
      </c>
      <c r="AZ11" s="755">
        <v>-0.64846980976013235</v>
      </c>
    </row>
    <row r="12" spans="1:73" x14ac:dyDescent="0.35">
      <c r="A12" s="1617" t="s">
        <v>143</v>
      </c>
      <c r="B12" s="751" t="s">
        <v>1836</v>
      </c>
      <c r="C12" s="752"/>
      <c r="D12" s="756"/>
      <c r="E12" s="752">
        <f>'MainLand China'!D3</f>
        <v>0</v>
      </c>
      <c r="F12" s="752">
        <f>'MainLand China'!E3</f>
        <v>0</v>
      </c>
      <c r="G12" s="752">
        <f>'MainLand China'!F3</f>
        <v>1260</v>
      </c>
      <c r="H12" s="752">
        <f>'MainLand China'!G3</f>
        <v>5880</v>
      </c>
      <c r="I12" s="752">
        <f>'MainLand China'!H3</f>
        <v>7770</v>
      </c>
      <c r="J12" s="752">
        <f>'MainLand China'!I3</f>
        <v>19780</v>
      </c>
      <c r="K12" s="752">
        <f>'MainLand China'!J3</f>
        <v>15590</v>
      </c>
      <c r="L12" s="752">
        <f>'MainLand China'!K3</f>
        <v>23040</v>
      </c>
      <c r="M12" s="752">
        <f>'MainLand China'!L3</f>
        <v>38660</v>
      </c>
      <c r="N12" s="752">
        <f>'MainLand China'!M3</f>
        <v>48250</v>
      </c>
      <c r="O12" s="752">
        <f>'MainLand China'!N3</f>
        <v>58540</v>
      </c>
      <c r="P12" s="752">
        <f>'MainLand China'!O3</f>
        <v>75100</v>
      </c>
      <c r="Q12" s="752">
        <f>'MainLand China'!P3</f>
        <v>81940</v>
      </c>
      <c r="R12" s="752">
        <f>'MainLand China'!Q3</f>
        <v>55430</v>
      </c>
      <c r="S12" s="752">
        <f>'MainLand China'!R3</f>
        <v>65580</v>
      </c>
      <c r="T12" s="752">
        <f>'MainLand China'!S3</f>
        <v>81150</v>
      </c>
      <c r="U12" s="752">
        <f>'MainLand China'!T3</f>
        <v>91930</v>
      </c>
      <c r="V12" s="752">
        <f>'MainLand China'!U3</f>
        <v>96055</v>
      </c>
      <c r="W12" s="752">
        <f>'MainLand China'!V3</f>
        <v>100190</v>
      </c>
      <c r="X12" s="752">
        <f>'MainLand China'!W3</f>
        <v>106911</v>
      </c>
      <c r="Y12" s="752"/>
      <c r="Z12" s="752">
        <f>Z24-Z2-Z10-Z22</f>
        <v>18050</v>
      </c>
      <c r="AA12" s="752">
        <f>N12-Z12</f>
        <v>30200</v>
      </c>
      <c r="AB12" s="752">
        <f>AB24-AB2-AB10-AB22</f>
        <v>23390</v>
      </c>
      <c r="AC12" s="752">
        <f>O12-AB12</f>
        <v>35150</v>
      </c>
      <c r="AD12" s="752">
        <f>AD24-AD2-AD10-AD22</f>
        <v>34440</v>
      </c>
      <c r="AE12" s="752">
        <f>P12-AD12</f>
        <v>40660</v>
      </c>
      <c r="AF12" s="752">
        <v>39080</v>
      </c>
      <c r="AG12" s="752">
        <f>Q12-AF12</f>
        <v>42860</v>
      </c>
      <c r="AH12" s="752">
        <v>24580</v>
      </c>
      <c r="AI12" s="752">
        <f>R12-AH12</f>
        <v>30850</v>
      </c>
      <c r="AJ12" s="752">
        <v>21460</v>
      </c>
      <c r="AK12" s="752">
        <f>S12-AJ12</f>
        <v>44120</v>
      </c>
      <c r="AL12" s="752">
        <v>36200</v>
      </c>
      <c r="AM12" s="752">
        <f>T12-AL12</f>
        <v>44950</v>
      </c>
      <c r="AN12" s="752">
        <v>44990</v>
      </c>
      <c r="AO12" s="752">
        <f>U12-AN12</f>
        <v>46940</v>
      </c>
      <c r="AP12" s="752">
        <v>48590</v>
      </c>
      <c r="AQ12" s="752">
        <f>V12-AP12</f>
        <v>47465</v>
      </c>
      <c r="AR12" s="752">
        <v>56920</v>
      </c>
      <c r="AS12" s="752">
        <f>W12-AR12</f>
        <v>43270</v>
      </c>
      <c r="AT12" s="752">
        <f>52270</f>
        <v>52270</v>
      </c>
      <c r="AU12" s="752">
        <f>X12-AT12</f>
        <v>54641</v>
      </c>
      <c r="AZ12" s="752">
        <v>48590</v>
      </c>
    </row>
    <row r="13" spans="1:73" x14ac:dyDescent="0.35">
      <c r="A13" s="1618" t="s">
        <v>577</v>
      </c>
      <c r="B13" s="753" t="s">
        <v>577</v>
      </c>
      <c r="C13" s="754"/>
      <c r="D13" s="755"/>
      <c r="E13" s="755"/>
      <c r="F13" s="755"/>
      <c r="G13" s="755"/>
      <c r="H13" s="755">
        <f t="shared" ref="H13:X13" si="5">H12/G12-1</f>
        <v>3.666666666666667</v>
      </c>
      <c r="I13" s="755">
        <f t="shared" si="5"/>
        <v>0.3214285714285714</v>
      </c>
      <c r="J13" s="755">
        <f t="shared" si="5"/>
        <v>1.5456885456885456</v>
      </c>
      <c r="K13" s="755">
        <f t="shared" si="5"/>
        <v>-0.2118301314459049</v>
      </c>
      <c r="L13" s="755">
        <f t="shared" si="5"/>
        <v>0.47787042976266836</v>
      </c>
      <c r="M13" s="755">
        <f t="shared" si="5"/>
        <v>0.67795138888888884</v>
      </c>
      <c r="N13" s="755">
        <f t="shared" si="5"/>
        <v>0.24806001034661151</v>
      </c>
      <c r="O13" s="755">
        <f t="shared" si="5"/>
        <v>0.21326424870466321</v>
      </c>
      <c r="P13" s="755">
        <f t="shared" si="5"/>
        <v>0.28288349846258964</v>
      </c>
      <c r="Q13" s="755">
        <f t="shared" si="5"/>
        <v>9.1078561917443457E-2</v>
      </c>
      <c r="R13" s="755">
        <f t="shared" si="5"/>
        <v>-0.32352941176470584</v>
      </c>
      <c r="S13" s="755">
        <f t="shared" si="5"/>
        <v>0.18311383727223518</v>
      </c>
      <c r="T13" s="755">
        <f t="shared" si="5"/>
        <v>0.23741994510521502</v>
      </c>
      <c r="U13" s="755">
        <f t="shared" si="5"/>
        <v>0.13284041897720278</v>
      </c>
      <c r="V13" s="755">
        <f t="shared" si="5"/>
        <v>4.4871097574241237E-2</v>
      </c>
      <c r="W13" s="755">
        <f t="shared" si="5"/>
        <v>4.3048253604705655E-2</v>
      </c>
      <c r="X13" s="755">
        <f t="shared" si="5"/>
        <v>6.7082543167980901E-2</v>
      </c>
      <c r="Y13" s="756"/>
      <c r="Z13" s="755"/>
      <c r="AA13" s="755"/>
      <c r="AB13" s="755">
        <f t="shared" ref="AB13:AT13" si="6">AB12/Z12-1</f>
        <v>0.29584487534626036</v>
      </c>
      <c r="AC13" s="755">
        <f t="shared" si="6"/>
        <v>0.16390728476821192</v>
      </c>
      <c r="AD13" s="755">
        <f t="shared" si="6"/>
        <v>0.47242411286874741</v>
      </c>
      <c r="AE13" s="755">
        <f t="shared" si="6"/>
        <v>0.15675675675675671</v>
      </c>
      <c r="AF13" s="755">
        <f t="shared" si="6"/>
        <v>0.13472706155632985</v>
      </c>
      <c r="AG13" s="755">
        <f t="shared" si="6"/>
        <v>5.4107230693556385E-2</v>
      </c>
      <c r="AH13" s="755">
        <f t="shared" si="6"/>
        <v>-0.37103377686796313</v>
      </c>
      <c r="AI13" s="755">
        <f t="shared" si="6"/>
        <v>-0.28021465235650955</v>
      </c>
      <c r="AJ13" s="755">
        <f t="shared" si="6"/>
        <v>-0.12693246541903991</v>
      </c>
      <c r="AK13" s="755">
        <f t="shared" si="6"/>
        <v>0.43014586709886538</v>
      </c>
      <c r="AL13" s="755">
        <f t="shared" si="6"/>
        <v>0.68685927306616956</v>
      </c>
      <c r="AM13" s="755">
        <f t="shared" si="6"/>
        <v>1.8812330009066125E-2</v>
      </c>
      <c r="AN13" s="755">
        <f t="shared" si="6"/>
        <v>0.24281767955801103</v>
      </c>
      <c r="AO13" s="755">
        <f t="shared" si="6"/>
        <v>4.4271412680756406E-2</v>
      </c>
      <c r="AP13" s="755">
        <f t="shared" si="6"/>
        <v>8.0017781729273096E-2</v>
      </c>
      <c r="AQ13" s="755">
        <f t="shared" si="6"/>
        <v>1.1184490839369454E-2</v>
      </c>
      <c r="AR13" s="755">
        <f t="shared" si="6"/>
        <v>0.17143445153323733</v>
      </c>
      <c r="AS13" s="755">
        <f t="shared" si="4"/>
        <v>-8.8380912251132426E-2</v>
      </c>
      <c r="AT13" s="755">
        <f t="shared" si="6"/>
        <v>-8.1693605059732999E-2</v>
      </c>
      <c r="AU13" s="755">
        <f t="shared" si="4"/>
        <v>0.2627917725907094</v>
      </c>
      <c r="AZ13" s="755">
        <v>8.0017781729273096E-2</v>
      </c>
    </row>
    <row r="14" spans="1:73" hidden="1" outlineLevel="1" x14ac:dyDescent="0.35">
      <c r="A14" s="1621" t="s">
        <v>2929</v>
      </c>
      <c r="B14" s="759" t="s">
        <v>2648</v>
      </c>
      <c r="C14" s="752"/>
      <c r="D14" s="756"/>
      <c r="E14" s="752"/>
      <c r="F14" s="752"/>
      <c r="G14" s="752"/>
      <c r="H14" s="752"/>
      <c r="I14" s="752"/>
      <c r="J14" s="752"/>
      <c r="K14" s="752"/>
      <c r="L14" s="752"/>
      <c r="M14" s="752"/>
      <c r="N14" s="752"/>
      <c r="O14" s="752"/>
      <c r="P14" s="752"/>
      <c r="Q14" s="752"/>
      <c r="R14" s="752">
        <f>R$12*(44%+9%)</f>
        <v>29377.9</v>
      </c>
      <c r="S14" s="752">
        <f>S$12*(69%+15%)</f>
        <v>55087.199999999997</v>
      </c>
      <c r="T14" s="752">
        <f>T12*76%</f>
        <v>61674</v>
      </c>
      <c r="U14" s="752"/>
      <c r="V14" s="752"/>
      <c r="W14" s="752"/>
      <c r="X14" s="752"/>
      <c r="Y14" s="752"/>
      <c r="Z14" s="752"/>
      <c r="AA14" s="752"/>
      <c r="AB14" s="752"/>
      <c r="AC14" s="752"/>
      <c r="AD14" s="752"/>
      <c r="AE14" s="752"/>
      <c r="AF14" s="752"/>
      <c r="AG14" s="752"/>
      <c r="AH14" s="752">
        <f>AH$12*(10%+5%+3%)</f>
        <v>4424.4000000000005</v>
      </c>
      <c r="AI14" s="752">
        <f>R14-AH14</f>
        <v>24953.5</v>
      </c>
      <c r="AJ14" s="752">
        <f>AJ$12*(60%+3%+22%)</f>
        <v>18241</v>
      </c>
      <c r="AK14" s="752">
        <f>S14-AJ14</f>
        <v>36846.199999999997</v>
      </c>
      <c r="AL14" s="752">
        <f>AL$12*87%</f>
        <v>31494</v>
      </c>
      <c r="AM14" s="752"/>
      <c r="AN14" s="752"/>
      <c r="AO14" s="752"/>
      <c r="AP14" s="752"/>
      <c r="AQ14" s="752"/>
      <c r="AR14" s="752"/>
      <c r="AS14" s="752"/>
      <c r="AT14" s="752"/>
      <c r="AU14" s="752"/>
      <c r="AZ14" s="752"/>
    </row>
    <row r="15" spans="1:73" hidden="1" outlineLevel="1" x14ac:dyDescent="0.35">
      <c r="A15" s="1622" t="s">
        <v>577</v>
      </c>
      <c r="B15" s="760" t="s">
        <v>577</v>
      </c>
      <c r="C15" s="754"/>
      <c r="D15" s="755"/>
      <c r="E15" s="755"/>
      <c r="F15" s="755"/>
      <c r="G15" s="755"/>
      <c r="H15" s="755"/>
      <c r="I15" s="755"/>
      <c r="J15" s="755"/>
      <c r="K15" s="755"/>
      <c r="L15" s="755"/>
      <c r="M15" s="755"/>
      <c r="N15" s="755"/>
      <c r="O15" s="755"/>
      <c r="P15" s="755"/>
      <c r="Q15" s="755"/>
      <c r="R15" s="755"/>
      <c r="S15" s="755">
        <f>S14/R14-1</f>
        <v>0.87512381756354252</v>
      </c>
      <c r="T15" s="755">
        <f>T14/S14-1</f>
        <v>0.11957042652376604</v>
      </c>
      <c r="U15" s="755"/>
      <c r="V15" s="755"/>
      <c r="W15" s="755"/>
      <c r="X15" s="755"/>
      <c r="Y15" s="756"/>
      <c r="Z15" s="755"/>
      <c r="AA15" s="755"/>
      <c r="AB15" s="755"/>
      <c r="AC15" s="755"/>
      <c r="AD15" s="755"/>
      <c r="AE15" s="755"/>
      <c r="AF15" s="755"/>
      <c r="AG15" s="755"/>
      <c r="AH15" s="755"/>
      <c r="AI15" s="755"/>
      <c r="AJ15" s="755">
        <f>AJ14/AH14-1</f>
        <v>3.1228189132989783</v>
      </c>
      <c r="AK15" s="755">
        <f>AK14/AI14-1</f>
        <v>0.47659446570621333</v>
      </c>
      <c r="AL15" s="755">
        <f>AL14/AJ14-1</f>
        <v>0.72655007949125605</v>
      </c>
      <c r="AM15" s="755"/>
      <c r="AN15" s="755"/>
      <c r="AO15" s="755"/>
      <c r="AP15" s="755"/>
      <c r="AQ15" s="755"/>
      <c r="AR15" s="755"/>
      <c r="AS15" s="755"/>
      <c r="AT15" s="755"/>
      <c r="AU15" s="755"/>
      <c r="AZ15" s="755"/>
    </row>
    <row r="16" spans="1:73" hidden="1" outlineLevel="1" x14ac:dyDescent="0.35">
      <c r="A16" s="1621" t="s">
        <v>2646</v>
      </c>
      <c r="B16" s="759" t="s">
        <v>2646</v>
      </c>
      <c r="C16" s="752"/>
      <c r="D16" s="756"/>
      <c r="E16" s="752"/>
      <c r="F16" s="752"/>
      <c r="G16" s="752"/>
      <c r="H16" s="752"/>
      <c r="I16" s="752"/>
      <c r="J16" s="752"/>
      <c r="K16" s="752"/>
      <c r="L16" s="752"/>
      <c r="M16" s="752"/>
      <c r="N16" s="752"/>
      <c r="O16" s="752"/>
      <c r="P16" s="752"/>
      <c r="Q16" s="752"/>
      <c r="R16" s="752">
        <f>R$12*10%</f>
        <v>5543</v>
      </c>
      <c r="S16" s="752">
        <f>S$12*13%</f>
        <v>8525.4</v>
      </c>
      <c r="T16" s="752">
        <f>T12*24%</f>
        <v>19476</v>
      </c>
      <c r="U16" s="752"/>
      <c r="V16" s="752"/>
      <c r="W16" s="752"/>
      <c r="X16" s="752"/>
      <c r="Y16" s="752"/>
      <c r="Z16" s="752"/>
      <c r="AA16" s="752"/>
      <c r="AB16" s="752"/>
      <c r="AC16" s="752"/>
      <c r="AD16" s="752"/>
      <c r="AE16" s="752"/>
      <c r="AF16" s="752"/>
      <c r="AG16" s="752"/>
      <c r="AH16" s="752">
        <f>AH$12*10%</f>
        <v>2458</v>
      </c>
      <c r="AI16" s="752">
        <f>R16-AH16</f>
        <v>3085</v>
      </c>
      <c r="AJ16" s="752">
        <f>AJ$12*6%</f>
        <v>1287.5999999999999</v>
      </c>
      <c r="AK16" s="752">
        <f>S16-AJ16</f>
        <v>7237.7999999999993</v>
      </c>
      <c r="AL16" s="752">
        <f>AL$12*13%</f>
        <v>4706</v>
      </c>
      <c r="AM16" s="752"/>
      <c r="AN16" s="752"/>
      <c r="AO16" s="752"/>
      <c r="AP16" s="752"/>
      <c r="AQ16" s="752"/>
      <c r="AR16" s="752"/>
      <c r="AS16" s="752"/>
      <c r="AT16" s="752"/>
      <c r="AU16" s="752"/>
      <c r="AZ16" s="752"/>
    </row>
    <row r="17" spans="1:73" hidden="1" outlineLevel="1" x14ac:dyDescent="0.35">
      <c r="A17" s="1622" t="s">
        <v>577</v>
      </c>
      <c r="B17" s="760" t="s">
        <v>577</v>
      </c>
      <c r="C17" s="754"/>
      <c r="D17" s="755"/>
      <c r="E17" s="755"/>
      <c r="F17" s="755"/>
      <c r="G17" s="755"/>
      <c r="H17" s="755"/>
      <c r="I17" s="755"/>
      <c r="J17" s="755"/>
      <c r="K17" s="755"/>
      <c r="L17" s="755"/>
      <c r="M17" s="755"/>
      <c r="N17" s="755"/>
      <c r="O17" s="755"/>
      <c r="P17" s="755"/>
      <c r="Q17" s="755"/>
      <c r="R17" s="755"/>
      <c r="S17" s="755">
        <f>S16/R16-1</f>
        <v>0.53804798845390578</v>
      </c>
      <c r="T17" s="755">
        <f>T16/S16-1</f>
        <v>1.284467590963474</v>
      </c>
      <c r="U17" s="755"/>
      <c r="V17" s="755"/>
      <c r="W17" s="755"/>
      <c r="X17" s="755"/>
      <c r="Y17" s="756"/>
      <c r="Z17" s="755"/>
      <c r="AA17" s="755"/>
      <c r="AB17" s="755"/>
      <c r="AC17" s="755"/>
      <c r="AD17" s="755"/>
      <c r="AE17" s="755"/>
      <c r="AF17" s="755"/>
      <c r="AG17" s="755"/>
      <c r="AH17" s="755"/>
      <c r="AI17" s="755"/>
      <c r="AJ17" s="755">
        <f>AJ16/AH16-1</f>
        <v>-0.47615947925142399</v>
      </c>
      <c r="AK17" s="755">
        <f>AK16/AI16-1</f>
        <v>1.34612641815235</v>
      </c>
      <c r="AL17" s="755">
        <f>AL16/AJ16-1</f>
        <v>2.6548617583100342</v>
      </c>
      <c r="AM17" s="755"/>
      <c r="AN17" s="755"/>
      <c r="AO17" s="755"/>
      <c r="AP17" s="755"/>
      <c r="AQ17" s="755"/>
      <c r="AR17" s="755"/>
      <c r="AS17" s="755"/>
      <c r="AT17" s="755"/>
      <c r="AU17" s="755"/>
      <c r="AZ17" s="755"/>
    </row>
    <row r="18" spans="1:73" hidden="1" outlineLevel="1" x14ac:dyDescent="0.35">
      <c r="A18" s="1621" t="s">
        <v>2647</v>
      </c>
      <c r="B18" s="759" t="s">
        <v>2647</v>
      </c>
      <c r="C18" s="752"/>
      <c r="D18" s="756"/>
      <c r="E18" s="752"/>
      <c r="F18" s="752"/>
      <c r="G18" s="752"/>
      <c r="H18" s="752"/>
      <c r="I18" s="752"/>
      <c r="J18" s="752"/>
      <c r="K18" s="752"/>
      <c r="L18" s="752"/>
      <c r="M18" s="752"/>
      <c r="N18" s="752"/>
      <c r="O18" s="752"/>
      <c r="P18" s="752"/>
      <c r="Q18" s="752"/>
      <c r="R18" s="752">
        <f>R$12*37%</f>
        <v>20509.099999999999</v>
      </c>
      <c r="S18" s="752">
        <f>S$12*3%</f>
        <v>1967.3999999999999</v>
      </c>
      <c r="T18" s="752">
        <v>0</v>
      </c>
      <c r="U18" s="752"/>
      <c r="V18" s="752"/>
      <c r="W18" s="752"/>
      <c r="X18" s="752"/>
      <c r="Y18" s="752"/>
      <c r="Z18" s="752"/>
      <c r="AA18" s="752"/>
      <c r="AB18" s="752"/>
      <c r="AC18" s="752"/>
      <c r="AD18" s="752"/>
      <c r="AE18" s="752"/>
      <c r="AF18" s="752"/>
      <c r="AG18" s="752"/>
      <c r="AH18" s="752">
        <f>AH$12*72%</f>
        <v>17697.599999999999</v>
      </c>
      <c r="AI18" s="752">
        <f>R18-AH18</f>
        <v>2811.5</v>
      </c>
      <c r="AJ18" s="752">
        <f>AJ$12*9.167%</f>
        <v>1967.2382</v>
      </c>
      <c r="AK18" s="752">
        <f>S18-AJ18</f>
        <v>0.16179999999985739</v>
      </c>
      <c r="AL18" s="752">
        <f>AL$12*0%</f>
        <v>0</v>
      </c>
      <c r="AM18" s="752"/>
      <c r="AN18" s="752"/>
      <c r="AO18" s="752"/>
      <c r="AP18" s="752"/>
      <c r="AQ18" s="752"/>
      <c r="AR18" s="752"/>
      <c r="AS18" s="752"/>
      <c r="AT18" s="752"/>
      <c r="AU18" s="752"/>
      <c r="AZ18" s="752"/>
    </row>
    <row r="19" spans="1:73" hidden="1" outlineLevel="1" x14ac:dyDescent="0.35">
      <c r="A19" s="1622" t="s">
        <v>577</v>
      </c>
      <c r="B19" s="760" t="s">
        <v>577</v>
      </c>
      <c r="C19" s="754"/>
      <c r="D19" s="755"/>
      <c r="E19" s="755"/>
      <c r="F19" s="755"/>
      <c r="G19" s="755"/>
      <c r="H19" s="755"/>
      <c r="I19" s="755"/>
      <c r="J19" s="755"/>
      <c r="K19" s="755"/>
      <c r="L19" s="755"/>
      <c r="M19" s="755"/>
      <c r="N19" s="755"/>
      <c r="O19" s="755"/>
      <c r="P19" s="755"/>
      <c r="Q19" s="755"/>
      <c r="R19" s="755"/>
      <c r="S19" s="755">
        <f>S18/R18-1</f>
        <v>-0.90407185103198096</v>
      </c>
      <c r="T19" s="755">
        <f>T18/S18-1</f>
        <v>-1</v>
      </c>
      <c r="U19" s="755"/>
      <c r="V19" s="755"/>
      <c r="W19" s="755"/>
      <c r="X19" s="755"/>
      <c r="Y19" s="756"/>
      <c r="Z19" s="755"/>
      <c r="AA19" s="755"/>
      <c r="AB19" s="755"/>
      <c r="AC19" s="755"/>
      <c r="AD19" s="755"/>
      <c r="AE19" s="755"/>
      <c r="AF19" s="755"/>
      <c r="AG19" s="755"/>
      <c r="AH19" s="755"/>
      <c r="AI19" s="755"/>
      <c r="AJ19" s="755">
        <f>AJ18/AH18-1</f>
        <v>-0.88884152653467141</v>
      </c>
      <c r="AK19" s="755">
        <f>AK18/AI18-1</f>
        <v>-0.99994245064911969</v>
      </c>
      <c r="AL19" s="755">
        <f>AL18/AJ18-1</f>
        <v>-1</v>
      </c>
      <c r="AM19" s="755"/>
      <c r="AN19" s="755"/>
      <c r="AO19" s="755"/>
      <c r="AP19" s="755"/>
      <c r="AQ19" s="755"/>
      <c r="AR19" s="755"/>
      <c r="AS19" s="755"/>
      <c r="AT19" s="755"/>
      <c r="AU19" s="755"/>
      <c r="AZ19" s="755"/>
    </row>
    <row r="20" spans="1:73" hidden="1" outlineLevel="1" x14ac:dyDescent="0.35">
      <c r="A20" s="1617" t="s">
        <v>2930</v>
      </c>
      <c r="B20" s="751" t="s">
        <v>718</v>
      </c>
      <c r="C20" s="752"/>
      <c r="D20" s="756"/>
      <c r="E20" s="752">
        <f>Overseas!D3</f>
        <v>1563.99</v>
      </c>
      <c r="F20" s="752">
        <f>Overseas!E3</f>
        <v>2695</v>
      </c>
      <c r="G20" s="752">
        <f>Overseas!F3</f>
        <v>1820</v>
      </c>
      <c r="H20" s="752">
        <f>Overseas!G3</f>
        <v>330</v>
      </c>
      <c r="I20" s="752">
        <f>Overseas!H3</f>
        <v>0</v>
      </c>
      <c r="J20" s="752">
        <f>Overseas!I3</f>
        <v>0</v>
      </c>
      <c r="K20" s="752">
        <f>Overseas!J3</f>
        <v>0</v>
      </c>
      <c r="L20" s="752">
        <f>Overseas!K3</f>
        <v>0</v>
      </c>
      <c r="M20" s="752">
        <f>Overseas!L3</f>
        <v>0</v>
      </c>
      <c r="N20" s="752">
        <f>Overseas!M3</f>
        <v>0</v>
      </c>
      <c r="O20" s="752">
        <f>Overseas!N3</f>
        <v>0</v>
      </c>
      <c r="P20" s="752">
        <f>Overseas!O3</f>
        <v>0</v>
      </c>
      <c r="Q20" s="752">
        <f>Overseas!P3</f>
        <v>0</v>
      </c>
      <c r="R20" s="752">
        <f>Overseas!Q3</f>
        <v>0</v>
      </c>
      <c r="S20" s="752">
        <f>Overseas!R3</f>
        <v>0</v>
      </c>
      <c r="T20" s="752">
        <f>Overseas!S3</f>
        <v>0</v>
      </c>
      <c r="U20" s="752">
        <f>Overseas!T3</f>
        <v>0</v>
      </c>
      <c r="V20" s="752">
        <f>Overseas!U3</f>
        <v>0</v>
      </c>
      <c r="W20" s="752">
        <f>Overseas!V3</f>
        <v>0</v>
      </c>
      <c r="X20" s="752">
        <f>Overseas!W3</f>
        <v>0</v>
      </c>
      <c r="Y20" s="752"/>
    </row>
    <row r="21" spans="1:73" hidden="1" outlineLevel="1" x14ac:dyDescent="0.35">
      <c r="A21" s="1618" t="s">
        <v>577</v>
      </c>
      <c r="B21" s="753" t="s">
        <v>577</v>
      </c>
      <c r="C21" s="754"/>
      <c r="D21" s="755"/>
      <c r="E21" s="755"/>
      <c r="F21" s="755">
        <f>F20/E20-1</f>
        <v>0.72315679767773444</v>
      </c>
      <c r="G21" s="755">
        <f>G20/F20-1</f>
        <v>-0.32467532467532467</v>
      </c>
      <c r="H21" s="755">
        <f>H20/G20-1</f>
        <v>-0.81868131868131866</v>
      </c>
      <c r="I21" s="755">
        <f>I20/H20-1</f>
        <v>-1</v>
      </c>
      <c r="J21" s="755"/>
      <c r="K21" s="755"/>
      <c r="L21" s="755"/>
      <c r="M21" s="755"/>
      <c r="N21" s="755"/>
      <c r="O21" s="755"/>
      <c r="P21" s="755"/>
      <c r="Q21" s="755"/>
      <c r="R21" s="755"/>
      <c r="S21" s="755"/>
      <c r="T21" s="755"/>
      <c r="U21" s="755"/>
      <c r="V21" s="755"/>
      <c r="W21" s="755"/>
      <c r="X21" s="755"/>
      <c r="Y21" s="756"/>
    </row>
    <row r="22" spans="1:73" collapsed="1" x14ac:dyDescent="0.35">
      <c r="A22" s="1617" t="s">
        <v>2675</v>
      </c>
      <c r="B22" s="751" t="s">
        <v>1837</v>
      </c>
      <c r="C22" s="752"/>
      <c r="D22" s="756"/>
      <c r="E22" s="752"/>
      <c r="F22" s="752"/>
      <c r="G22" s="752"/>
      <c r="H22" s="752"/>
      <c r="I22" s="752"/>
      <c r="J22" s="752"/>
      <c r="K22" s="752">
        <f>CSCD!C3</f>
        <v>2730</v>
      </c>
      <c r="L22" s="752">
        <f>CSCD!D3</f>
        <v>1821.04</v>
      </c>
      <c r="M22" s="752">
        <f>CSCD!E3</f>
        <v>1960</v>
      </c>
      <c r="N22" s="752">
        <f>CSCD!F3</f>
        <v>2680</v>
      </c>
      <c r="O22" s="752">
        <f>CSCD!G3</f>
        <v>3140</v>
      </c>
      <c r="P22" s="752">
        <f>CSCD!H3</f>
        <v>4180</v>
      </c>
      <c r="Q22" s="752">
        <f>CSCD!I3</f>
        <v>4790</v>
      </c>
      <c r="R22" s="752">
        <f>CSCD!J3</f>
        <v>5050</v>
      </c>
      <c r="S22" s="752">
        <f>CSCD!K3</f>
        <v>5120</v>
      </c>
      <c r="T22" s="752">
        <f>CSCD!L3</f>
        <v>8210</v>
      </c>
      <c r="U22" s="752">
        <f>CSCD!M3</f>
        <v>10130</v>
      </c>
      <c r="V22" s="752">
        <f>CSCD!N3</f>
        <v>11501</v>
      </c>
      <c r="W22" s="752">
        <f>CSCD!O3</f>
        <v>11020</v>
      </c>
      <c r="X22" s="752">
        <f>CSCD!P3</f>
        <v>6540</v>
      </c>
      <c r="Y22" s="752"/>
      <c r="Z22" s="752">
        <v>1530</v>
      </c>
      <c r="AA22" s="752">
        <f>N22-Z22</f>
        <v>1150</v>
      </c>
      <c r="AB22" s="752">
        <v>1850</v>
      </c>
      <c r="AC22" s="752">
        <f>O22-AB22</f>
        <v>1290</v>
      </c>
      <c r="AD22" s="752">
        <v>1880</v>
      </c>
      <c r="AE22" s="752">
        <f>P22-AD22</f>
        <v>2300</v>
      </c>
      <c r="AF22" s="752">
        <v>2790</v>
      </c>
      <c r="AG22" s="752">
        <f>Q22-AF22</f>
        <v>2000</v>
      </c>
      <c r="AH22" s="752">
        <v>2450</v>
      </c>
      <c r="AI22" s="752">
        <f>R22-AH22</f>
        <v>2600</v>
      </c>
      <c r="AJ22" s="752">
        <v>2580</v>
      </c>
      <c r="AK22" s="752">
        <f>S22-AJ22</f>
        <v>2540</v>
      </c>
      <c r="AL22" s="752">
        <v>4550</v>
      </c>
      <c r="AM22" s="752">
        <f>T22-AL22</f>
        <v>3660</v>
      </c>
      <c r="AN22" s="752">
        <v>6010</v>
      </c>
      <c r="AO22" s="752">
        <f>U22-AN22</f>
        <v>4120</v>
      </c>
      <c r="AP22" s="752">
        <v>6620</v>
      </c>
      <c r="AQ22" s="752">
        <f>V22-AP22</f>
        <v>4881</v>
      </c>
      <c r="AR22" s="752">
        <v>6040</v>
      </c>
      <c r="AS22" s="752">
        <f>W22-AR22</f>
        <v>4980</v>
      </c>
      <c r="AT22" s="752">
        <f>4380</f>
        <v>4380</v>
      </c>
      <c r="AU22" s="752">
        <f>X22-AT22</f>
        <v>2160</v>
      </c>
      <c r="AZ22" s="752">
        <v>6620</v>
      </c>
    </row>
    <row r="23" spans="1:73" x14ac:dyDescent="0.35">
      <c r="A23" s="1618" t="s">
        <v>577</v>
      </c>
      <c r="B23" s="753" t="s">
        <v>577</v>
      </c>
      <c r="C23" s="754"/>
      <c r="D23" s="755"/>
      <c r="E23" s="755"/>
      <c r="F23" s="755"/>
      <c r="G23" s="755"/>
      <c r="H23" s="755"/>
      <c r="I23" s="755"/>
      <c r="J23" s="755"/>
      <c r="K23" s="755"/>
      <c r="L23" s="755">
        <f t="shared" ref="L23:X23" si="7">L22/K22-1</f>
        <v>-0.332952380952381</v>
      </c>
      <c r="M23" s="755">
        <f t="shared" si="7"/>
        <v>7.6308043755216826E-2</v>
      </c>
      <c r="N23" s="755">
        <f t="shared" si="7"/>
        <v>0.36734693877551017</v>
      </c>
      <c r="O23" s="755">
        <f t="shared" si="7"/>
        <v>0.17164179104477606</v>
      </c>
      <c r="P23" s="755">
        <f t="shared" si="7"/>
        <v>0.33121019108280247</v>
      </c>
      <c r="Q23" s="755">
        <f t="shared" si="7"/>
        <v>0.14593301435406691</v>
      </c>
      <c r="R23" s="755">
        <f t="shared" si="7"/>
        <v>5.4279749478079342E-2</v>
      </c>
      <c r="S23" s="755">
        <f t="shared" si="7"/>
        <v>1.3861386138613874E-2</v>
      </c>
      <c r="T23" s="755">
        <f t="shared" si="7"/>
        <v>0.603515625</v>
      </c>
      <c r="U23" s="755">
        <f t="shared" si="7"/>
        <v>0.23386114494518884</v>
      </c>
      <c r="V23" s="755">
        <f t="shared" si="7"/>
        <v>0.13534057255676202</v>
      </c>
      <c r="W23" s="755">
        <f t="shared" si="7"/>
        <v>-4.182245022171982E-2</v>
      </c>
      <c r="X23" s="755">
        <f t="shared" si="7"/>
        <v>-0.40653357531760437</v>
      </c>
      <c r="Y23" s="756"/>
      <c r="Z23" s="755"/>
      <c r="AA23" s="755"/>
      <c r="AB23" s="755">
        <f t="shared" ref="AB23:AU23" si="8">AB22/Z22-1</f>
        <v>0.20915032679738554</v>
      </c>
      <c r="AC23" s="755">
        <f t="shared" si="8"/>
        <v>0.12173913043478257</v>
      </c>
      <c r="AD23" s="755">
        <f t="shared" si="8"/>
        <v>1.6216216216216273E-2</v>
      </c>
      <c r="AE23" s="755">
        <f t="shared" si="8"/>
        <v>0.78294573643410859</v>
      </c>
      <c r="AF23" s="755">
        <f t="shared" si="8"/>
        <v>0.48404255319148937</v>
      </c>
      <c r="AG23" s="755">
        <f t="shared" si="8"/>
        <v>-0.13043478260869568</v>
      </c>
      <c r="AH23" s="755">
        <f t="shared" si="8"/>
        <v>-0.12186379928315416</v>
      </c>
      <c r="AI23" s="755">
        <f t="shared" si="8"/>
        <v>0.30000000000000004</v>
      </c>
      <c r="AJ23" s="755">
        <f t="shared" si="8"/>
        <v>5.3061224489795888E-2</v>
      </c>
      <c r="AK23" s="755">
        <f t="shared" si="8"/>
        <v>-2.3076923076923106E-2</v>
      </c>
      <c r="AL23" s="755">
        <f t="shared" si="8"/>
        <v>0.76356589147286824</v>
      </c>
      <c r="AM23" s="755">
        <f t="shared" si="8"/>
        <v>0.44094488188976388</v>
      </c>
      <c r="AN23" s="755">
        <f t="shared" si="8"/>
        <v>0.32087912087912085</v>
      </c>
      <c r="AO23" s="755">
        <f t="shared" si="8"/>
        <v>0.12568306010928953</v>
      </c>
      <c r="AP23" s="755">
        <f t="shared" si="8"/>
        <v>0.10149750415973369</v>
      </c>
      <c r="AQ23" s="755">
        <f t="shared" si="8"/>
        <v>0.18470873786407771</v>
      </c>
      <c r="AR23" s="755">
        <f t="shared" si="8"/>
        <v>-8.7613293051359564E-2</v>
      </c>
      <c r="AS23" s="755">
        <f t="shared" si="8"/>
        <v>2.0282728948985973E-2</v>
      </c>
      <c r="AT23" s="755">
        <f t="shared" si="8"/>
        <v>-0.27483443708609268</v>
      </c>
      <c r="AU23" s="755">
        <f t="shared" si="8"/>
        <v>-0.56626506024096379</v>
      </c>
      <c r="AV23" s="752"/>
      <c r="AW23" s="752"/>
      <c r="AX23" s="752"/>
      <c r="AY23" s="752"/>
      <c r="AZ23" s="755">
        <v>0.10149750415973369</v>
      </c>
      <c r="BA23" s="752"/>
      <c r="BB23" s="752"/>
      <c r="BC23" s="752"/>
      <c r="BD23" s="752"/>
      <c r="BE23" s="752"/>
    </row>
    <row r="24" spans="1:73" x14ac:dyDescent="0.35">
      <c r="A24" s="1617" t="s">
        <v>96</v>
      </c>
      <c r="B24" s="751" t="s">
        <v>512</v>
      </c>
      <c r="C24" s="761"/>
      <c r="D24" s="761"/>
      <c r="E24" s="762">
        <f t="shared" ref="E24:X24" si="9">E2+E10+E12+E20+E22</f>
        <v>14090.000000000002</v>
      </c>
      <c r="F24" s="762">
        <f t="shared" si="9"/>
        <v>12108</v>
      </c>
      <c r="G24" s="762">
        <f t="shared" si="9"/>
        <v>14174</v>
      </c>
      <c r="H24" s="762">
        <f t="shared" si="9"/>
        <v>17100</v>
      </c>
      <c r="I24" s="762">
        <f t="shared" si="9"/>
        <v>24930</v>
      </c>
      <c r="J24" s="762">
        <f t="shared" si="9"/>
        <v>30280</v>
      </c>
      <c r="K24" s="762">
        <f t="shared" si="9"/>
        <v>36800</v>
      </c>
      <c r="L24" s="762">
        <f t="shared" si="9"/>
        <v>45529.844000000005</v>
      </c>
      <c r="M24" s="762">
        <f t="shared" si="9"/>
        <v>60240</v>
      </c>
      <c r="N24" s="762">
        <f t="shared" si="9"/>
        <v>70090</v>
      </c>
      <c r="O24" s="762">
        <f t="shared" si="9"/>
        <v>83770</v>
      </c>
      <c r="P24" s="762">
        <f t="shared" si="9"/>
        <v>103140</v>
      </c>
      <c r="Q24" s="762">
        <f t="shared" si="9"/>
        <v>120150</v>
      </c>
      <c r="R24" s="762">
        <f t="shared" si="9"/>
        <v>110620</v>
      </c>
      <c r="S24" s="762">
        <f t="shared" si="9"/>
        <v>111080</v>
      </c>
      <c r="T24" s="762">
        <f t="shared" si="9"/>
        <v>140050</v>
      </c>
      <c r="U24" s="762">
        <f t="shared" si="9"/>
        <v>160731</v>
      </c>
      <c r="V24" s="762">
        <f t="shared" si="9"/>
        <v>188018</v>
      </c>
      <c r="W24" s="762">
        <f>W2+W10+W12+W20+W22</f>
        <v>211261</v>
      </c>
      <c r="X24" s="762">
        <f t="shared" si="9"/>
        <v>170214</v>
      </c>
      <c r="Y24" s="762"/>
      <c r="Z24" s="752">
        <v>36840</v>
      </c>
      <c r="AA24" s="752">
        <f>N24-Z24</f>
        <v>33250</v>
      </c>
      <c r="AB24" s="752">
        <v>42990</v>
      </c>
      <c r="AC24" s="752">
        <f>O24-AB24</f>
        <v>40780</v>
      </c>
      <c r="AD24" s="752">
        <v>52880</v>
      </c>
      <c r="AE24" s="752">
        <f>P24-AD24</f>
        <v>50260</v>
      </c>
      <c r="AF24" s="762">
        <f t="shared" ref="AF24:AM24" si="10">AF2+AF10+AF12+AF20+AF22</f>
        <v>64030</v>
      </c>
      <c r="AG24" s="762">
        <f t="shared" si="10"/>
        <v>56120</v>
      </c>
      <c r="AH24" s="762">
        <f t="shared" si="10"/>
        <v>58410</v>
      </c>
      <c r="AI24" s="762">
        <f t="shared" si="10"/>
        <v>52210</v>
      </c>
      <c r="AJ24" s="762">
        <f t="shared" si="10"/>
        <v>50220</v>
      </c>
      <c r="AK24" s="762">
        <f t="shared" si="10"/>
        <v>60860</v>
      </c>
      <c r="AL24" s="762">
        <f t="shared" si="10"/>
        <v>70530</v>
      </c>
      <c r="AM24" s="762">
        <f t="shared" si="10"/>
        <v>69520</v>
      </c>
      <c r="AN24" s="762">
        <f>AN2+AN10+AN12+AN20+AN22</f>
        <v>90480</v>
      </c>
      <c r="AO24" s="762">
        <f>U24-AN24</f>
        <v>70251</v>
      </c>
      <c r="AP24" s="762">
        <f>AP2+AP10+AP12+AP20+AP22</f>
        <v>96820</v>
      </c>
      <c r="AQ24" s="762">
        <f>V24-AP24</f>
        <v>91198</v>
      </c>
      <c r="AR24" s="762">
        <f>AR2+AR10+AR12+AR20+AR22</f>
        <v>125130</v>
      </c>
      <c r="AS24" s="762">
        <f>W24-AR24</f>
        <v>86131</v>
      </c>
      <c r="AT24" s="762">
        <f>AT2+AT10+AT12+AT20+AT22</f>
        <v>92600</v>
      </c>
      <c r="AU24" s="762">
        <f>X24-AT24</f>
        <v>77614</v>
      </c>
      <c r="AV24" s="752"/>
      <c r="AW24" s="752"/>
      <c r="AX24" s="752"/>
      <c r="AY24" s="752"/>
      <c r="AZ24" s="762">
        <v>96820</v>
      </c>
      <c r="BA24" s="752"/>
      <c r="BB24" s="752"/>
      <c r="BC24" s="752"/>
      <c r="BD24" s="752"/>
      <c r="BE24" s="752"/>
    </row>
    <row r="25" spans="1:73" x14ac:dyDescent="0.35">
      <c r="A25" s="1618" t="s">
        <v>577</v>
      </c>
      <c r="B25" s="753" t="s">
        <v>577</v>
      </c>
      <c r="C25" s="763"/>
      <c r="D25" s="763"/>
      <c r="E25" s="763"/>
      <c r="F25" s="755">
        <f t="shared" ref="F25:X25" si="11">F24/E24-1</f>
        <v>-0.14066713981547208</v>
      </c>
      <c r="G25" s="755">
        <f t="shared" si="11"/>
        <v>0.17063098777667651</v>
      </c>
      <c r="H25" s="755">
        <f t="shared" si="11"/>
        <v>0.20643431635388731</v>
      </c>
      <c r="I25" s="755">
        <f t="shared" si="11"/>
        <v>0.45789473684210535</v>
      </c>
      <c r="J25" s="755">
        <f t="shared" si="11"/>
        <v>0.21460088247091846</v>
      </c>
      <c r="K25" s="755">
        <f t="shared" si="11"/>
        <v>0.215323645970938</v>
      </c>
      <c r="L25" s="755">
        <f t="shared" si="11"/>
        <v>0.2372240217391306</v>
      </c>
      <c r="M25" s="755">
        <f t="shared" si="11"/>
        <v>0.32308821440284308</v>
      </c>
      <c r="N25" s="755">
        <f t="shared" si="11"/>
        <v>0.1635126162018592</v>
      </c>
      <c r="O25" s="755">
        <f t="shared" si="11"/>
        <v>0.19517762876301892</v>
      </c>
      <c r="P25" s="755">
        <f t="shared" si="11"/>
        <v>0.23122836337591024</v>
      </c>
      <c r="Q25" s="755">
        <f t="shared" si="11"/>
        <v>0.16492146596858648</v>
      </c>
      <c r="R25" s="755">
        <f t="shared" si="11"/>
        <v>-7.9317519766958E-2</v>
      </c>
      <c r="S25" s="755">
        <f t="shared" si="11"/>
        <v>4.1583800397757553E-3</v>
      </c>
      <c r="T25" s="755">
        <f>T24/S24-1</f>
        <v>0.26080302484695705</v>
      </c>
      <c r="U25" s="755">
        <f t="shared" si="11"/>
        <v>0.14766868975365943</v>
      </c>
      <c r="V25" s="755">
        <f t="shared" si="11"/>
        <v>0.16976812189310087</v>
      </c>
      <c r="W25" s="755">
        <f t="shared" si="11"/>
        <v>0.12362114265655411</v>
      </c>
      <c r="X25" s="755">
        <f t="shared" si="11"/>
        <v>-0.1942952082968461</v>
      </c>
      <c r="Y25" s="756"/>
      <c r="Z25" s="755"/>
      <c r="AA25" s="755"/>
      <c r="AB25" s="755">
        <f t="shared" ref="AB25:AU25" si="12">AB24/Z24-1</f>
        <v>0.16693811074918563</v>
      </c>
      <c r="AC25" s="755">
        <f t="shared" si="12"/>
        <v>0.22646616541353382</v>
      </c>
      <c r="AD25" s="755">
        <f t="shared" si="12"/>
        <v>0.23005350081414289</v>
      </c>
      <c r="AE25" s="755">
        <f t="shared" si="12"/>
        <v>0.23246689553702793</v>
      </c>
      <c r="AF25" s="755">
        <f t="shared" si="12"/>
        <v>0.21085476550680782</v>
      </c>
      <c r="AG25" s="755">
        <f t="shared" si="12"/>
        <v>0.11659371269399132</v>
      </c>
      <c r="AH25" s="755">
        <f t="shared" si="12"/>
        <v>-8.7771357176323561E-2</v>
      </c>
      <c r="AI25" s="755">
        <f t="shared" si="12"/>
        <v>-6.9672131147541005E-2</v>
      </c>
      <c r="AJ25" s="755">
        <f t="shared" si="12"/>
        <v>-0.1402157164869029</v>
      </c>
      <c r="AK25" s="755">
        <f t="shared" si="12"/>
        <v>0.1656770733575943</v>
      </c>
      <c r="AL25" s="755">
        <f t="shared" si="12"/>
        <v>0.40442054958183982</v>
      </c>
      <c r="AM25" s="755">
        <f t="shared" si="12"/>
        <v>0.14229378902398948</v>
      </c>
      <c r="AN25" s="755">
        <f t="shared" si="12"/>
        <v>0.28285835814547</v>
      </c>
      <c r="AO25" s="755">
        <f>AO24/AM24-1</f>
        <v>1.0514959723820549E-2</v>
      </c>
      <c r="AP25" s="755">
        <f t="shared" si="12"/>
        <v>7.0070733863837331E-2</v>
      </c>
      <c r="AQ25" s="755">
        <f>AQ24/AO24-1</f>
        <v>0.29817369147770134</v>
      </c>
      <c r="AR25" s="755">
        <f t="shared" si="12"/>
        <v>0.29239826482131792</v>
      </c>
      <c r="AS25" s="755">
        <f t="shared" si="12"/>
        <v>-5.5560428956775376E-2</v>
      </c>
      <c r="AT25" s="755">
        <f t="shared" si="12"/>
        <v>-0.25996963158315356</v>
      </c>
      <c r="AU25" s="755">
        <f t="shared" si="12"/>
        <v>-9.8884257700479483E-2</v>
      </c>
      <c r="AZ25" s="755">
        <v>7.0070733863837331E-2</v>
      </c>
    </row>
    <row r="26" spans="1:73" x14ac:dyDescent="0.35">
      <c r="A26" s="1623"/>
      <c r="B26" s="765"/>
      <c r="C26" s="752"/>
      <c r="D26" s="756"/>
      <c r="E26" s="756"/>
      <c r="F26" s="752"/>
      <c r="G26" s="752"/>
      <c r="H26" s="752"/>
      <c r="I26" s="752"/>
      <c r="J26" s="752"/>
      <c r="K26" s="752"/>
      <c r="L26" s="752"/>
      <c r="M26" s="752"/>
      <c r="N26" s="752"/>
      <c r="O26" s="766"/>
      <c r="P26" s="752"/>
      <c r="Q26" s="752"/>
      <c r="R26" s="752"/>
      <c r="S26" s="752"/>
      <c r="T26" s="767"/>
      <c r="U26" s="767"/>
      <c r="V26" s="752"/>
      <c r="W26" s="752"/>
      <c r="X26" s="752"/>
      <c r="Y26" s="752"/>
    </row>
    <row r="27" spans="1:73" x14ac:dyDescent="0.35">
      <c r="A27" s="1624" t="s">
        <v>2837</v>
      </c>
      <c r="C27" s="752"/>
      <c r="D27" s="768"/>
      <c r="E27" s="768"/>
      <c r="F27" s="752"/>
      <c r="G27" s="752"/>
      <c r="H27" s="752"/>
      <c r="I27" s="752"/>
      <c r="J27" s="752"/>
      <c r="K27" s="752"/>
      <c r="L27" s="752"/>
      <c r="M27" s="752"/>
      <c r="N27" s="752"/>
      <c r="O27" s="766"/>
      <c r="P27" s="752"/>
      <c r="Q27" s="752"/>
      <c r="R27" s="752"/>
      <c r="S27" s="752"/>
      <c r="T27" s="767"/>
      <c r="U27" s="767"/>
      <c r="V27" s="769">
        <v>180000</v>
      </c>
      <c r="W27" s="769">
        <v>210000</v>
      </c>
      <c r="X27" s="769">
        <f>W27*1.1</f>
        <v>231000.00000000003</v>
      </c>
      <c r="Y27" s="752"/>
    </row>
    <row r="28" spans="1:73" x14ac:dyDescent="0.35">
      <c r="A28" s="1623" t="s">
        <v>2836</v>
      </c>
      <c r="B28" s="765"/>
      <c r="C28" s="752"/>
      <c r="D28" s="756"/>
      <c r="E28" s="756"/>
      <c r="F28" s="752"/>
      <c r="G28" s="752"/>
      <c r="H28" s="752"/>
      <c r="I28" s="752"/>
      <c r="J28" s="752"/>
      <c r="K28" s="752"/>
      <c r="L28" s="752"/>
      <c r="M28" s="752"/>
      <c r="N28" s="752"/>
      <c r="O28" s="766"/>
      <c r="P28" s="752"/>
      <c r="Q28" s="752"/>
      <c r="R28" s="752"/>
      <c r="S28" s="752"/>
      <c r="T28" s="767"/>
      <c r="U28" s="767"/>
      <c r="V28" s="770">
        <f>V27/U24-1</f>
        <v>0.11988353211266034</v>
      </c>
      <c r="W28" s="770">
        <f>W27/V24-1</f>
        <v>0.11691433798891593</v>
      </c>
      <c r="X28" s="770">
        <f>X27/W24-1</f>
        <v>9.3434188042279542E-2</v>
      </c>
      <c r="Y28" s="752"/>
    </row>
    <row r="29" spans="1:73" x14ac:dyDescent="0.35">
      <c r="A29" s="1623"/>
      <c r="B29" s="765"/>
      <c r="C29" s="752"/>
      <c r="D29" s="756"/>
      <c r="E29" s="756"/>
      <c r="F29" s="752"/>
      <c r="G29" s="752"/>
      <c r="H29" s="752"/>
      <c r="I29" s="752"/>
      <c r="J29" s="752"/>
      <c r="K29" s="752"/>
      <c r="L29" s="752"/>
      <c r="M29" s="752"/>
      <c r="N29" s="752"/>
      <c r="O29" s="766"/>
      <c r="P29" s="752"/>
      <c r="Q29" s="752"/>
      <c r="R29" s="752"/>
      <c r="S29" s="752"/>
      <c r="T29" s="767"/>
      <c r="U29" s="767"/>
      <c r="V29" s="752"/>
      <c r="W29" s="752"/>
      <c r="X29" s="752"/>
      <c r="Y29" s="752"/>
    </row>
    <row r="30" spans="1:73" x14ac:dyDescent="0.35">
      <c r="A30" s="1617" t="s">
        <v>2845</v>
      </c>
      <c r="B30" s="765"/>
      <c r="C30" s="752"/>
      <c r="D30" s="752"/>
      <c r="E30" s="752"/>
      <c r="F30" s="752"/>
      <c r="G30" s="752"/>
      <c r="H30" s="752"/>
      <c r="I30" s="752"/>
      <c r="J30" s="752"/>
      <c r="K30" s="752"/>
      <c r="L30" s="752"/>
      <c r="M30" s="752"/>
      <c r="N30" s="752"/>
      <c r="O30" s="752"/>
      <c r="P30" s="752"/>
      <c r="Q30" s="752"/>
      <c r="R30" s="752"/>
      <c r="S30" s="752"/>
      <c r="T30" s="752">
        <v>30240</v>
      </c>
      <c r="U30" s="752">
        <v>51590</v>
      </c>
      <c r="V30" s="752">
        <v>74620</v>
      </c>
      <c r="W30" s="752">
        <v>87860</v>
      </c>
      <c r="X30" s="752">
        <f>85389</f>
        <v>85389</v>
      </c>
      <c r="Y30" s="752"/>
      <c r="AL30" s="752"/>
      <c r="AM30" s="752"/>
      <c r="AN30" s="752">
        <v>39640</v>
      </c>
      <c r="AO30" s="762">
        <f>U30-AN30</f>
        <v>11950</v>
      </c>
      <c r="AP30" s="752">
        <v>49450</v>
      </c>
      <c r="AQ30" s="762">
        <f>V30-AP30</f>
        <v>25170</v>
      </c>
      <c r="AR30" s="752">
        <v>60000</v>
      </c>
      <c r="AS30" s="752">
        <f t="shared" ref="AS30" si="13">W30-AR30</f>
        <v>27860</v>
      </c>
      <c r="AT30" s="752">
        <f>AT$24*AT54</f>
        <v>44448</v>
      </c>
      <c r="AU30" s="752">
        <f>X30-AT30</f>
        <v>40941</v>
      </c>
      <c r="AW30" s="752"/>
      <c r="AX30" s="752">
        <v>49600</v>
      </c>
      <c r="AY30" s="752">
        <v>9190</v>
      </c>
      <c r="AZ30" s="752">
        <v>49450</v>
      </c>
      <c r="BA30" s="752">
        <v>56310</v>
      </c>
      <c r="BB30" s="752">
        <v>54800</v>
      </c>
      <c r="BC30" s="752">
        <v>68600</v>
      </c>
      <c r="BD30" s="752">
        <v>21300</v>
      </c>
      <c r="BE30" s="752">
        <f>BE$38*48.5%</f>
        <v>62084.85</v>
      </c>
      <c r="BG30" s="752"/>
      <c r="BH30" s="752"/>
      <c r="BI30" s="752"/>
      <c r="BJ30" s="752"/>
      <c r="BK30" s="752">
        <f>AY30</f>
        <v>9190</v>
      </c>
      <c r="BL30" s="752">
        <f>AP30-BK30</f>
        <v>40260</v>
      </c>
      <c r="BM30" s="752">
        <f>BA30-AP30</f>
        <v>6860</v>
      </c>
      <c r="BN30" s="752">
        <f>V30-BA30</f>
        <v>18310</v>
      </c>
      <c r="BO30" s="752">
        <f>BB30</f>
        <v>54800</v>
      </c>
      <c r="BP30" s="752">
        <f>AR30-BB30</f>
        <v>5200</v>
      </c>
      <c r="BQ30" s="752">
        <f>BC30-AR30</f>
        <v>8600</v>
      </c>
      <c r="BR30" s="752">
        <f>W30-BC30</f>
        <v>19260</v>
      </c>
      <c r="BS30" s="752">
        <f>BD30</f>
        <v>21300</v>
      </c>
      <c r="BT30" s="752">
        <f>AT30-BD30</f>
        <v>23148</v>
      </c>
      <c r="BU30" s="752">
        <f>BE30-AT30</f>
        <v>17636.849999999999</v>
      </c>
    </row>
    <row r="31" spans="1:73" x14ac:dyDescent="0.35">
      <c r="A31" s="1618" t="s">
        <v>577</v>
      </c>
      <c r="B31" s="765"/>
      <c r="C31" s="755"/>
      <c r="D31" s="755"/>
      <c r="E31" s="755"/>
      <c r="F31" s="755"/>
      <c r="G31" s="755"/>
      <c r="H31" s="755"/>
      <c r="I31" s="755"/>
      <c r="J31" s="755"/>
      <c r="K31" s="755"/>
      <c r="L31" s="755"/>
      <c r="M31" s="755"/>
      <c r="N31" s="755"/>
      <c r="O31" s="755"/>
      <c r="P31" s="755"/>
      <c r="Q31" s="755"/>
      <c r="R31" s="755"/>
      <c r="S31" s="755"/>
      <c r="T31" s="755"/>
      <c r="U31" s="755">
        <f t="shared" ref="U31:X31" si="14">U30/T30-1</f>
        <v>0.7060185185185186</v>
      </c>
      <c r="V31" s="755">
        <f t="shared" si="14"/>
        <v>0.44640434192673006</v>
      </c>
      <c r="W31" s="755">
        <f t="shared" si="14"/>
        <v>0.17743232377378715</v>
      </c>
      <c r="X31" s="755">
        <f t="shared" si="14"/>
        <v>-2.812428864101979E-2</v>
      </c>
      <c r="Y31" s="752"/>
      <c r="AL31" s="755"/>
      <c r="AM31" s="755"/>
      <c r="AN31" s="755"/>
      <c r="AO31" s="755"/>
      <c r="AP31" s="755">
        <f>AP30/AN30-1</f>
        <v>0.24747729566094856</v>
      </c>
      <c r="AQ31" s="755">
        <f>AQ30/AO30-1</f>
        <v>1.1062761506276151</v>
      </c>
      <c r="AR31" s="755">
        <f>AR30/AP30-1</f>
        <v>0.21334681496461072</v>
      </c>
      <c r="AS31" s="755">
        <f t="shared" ref="AS31:AU31" si="15">AS30/AQ30-1</f>
        <v>0.10687326181962664</v>
      </c>
      <c r="AT31" s="755">
        <f>AT30/AR30-1</f>
        <v>-0.25919999999999999</v>
      </c>
      <c r="AU31" s="755">
        <f t="shared" si="15"/>
        <v>0.46952620244077536</v>
      </c>
      <c r="AW31" s="755"/>
      <c r="AX31" s="755"/>
      <c r="AY31" s="755"/>
      <c r="AZ31" s="755">
        <v>0.24747729566094856</v>
      </c>
      <c r="BA31" s="755">
        <f>BA30/AX30-1</f>
        <v>0.1352822580645161</v>
      </c>
      <c r="BB31" s="755"/>
      <c r="BC31" s="755">
        <v>0.11290322580645151</v>
      </c>
      <c r="BD31" s="755"/>
      <c r="BE31" s="755"/>
      <c r="BG31" s="755"/>
      <c r="BH31" s="755"/>
      <c r="BI31" s="755"/>
      <c r="BJ31" s="755"/>
      <c r="BK31" s="755"/>
      <c r="BL31" s="755"/>
      <c r="BM31" s="755"/>
      <c r="BN31" s="755"/>
      <c r="BO31" s="755">
        <f t="shared" ref="BO31:BQ31" si="16">BO30/BK30-1</f>
        <v>4.9630032644178455</v>
      </c>
      <c r="BP31" s="755">
        <f t="shared" si="16"/>
        <v>-0.87083954297069055</v>
      </c>
      <c r="BQ31" s="755">
        <f t="shared" si="16"/>
        <v>0.25364431486880457</v>
      </c>
      <c r="BR31" s="755">
        <f>BR30/BN30-1</f>
        <v>5.188421627525952E-2</v>
      </c>
      <c r="BS31" s="755">
        <f>BS30/BO30-1</f>
        <v>-0.61131386861313874</v>
      </c>
      <c r="BT31" s="755">
        <f>BT30/BP30-1</f>
        <v>3.4515384615384619</v>
      </c>
      <c r="BU31" s="755">
        <f>BU30/BQ30-1</f>
        <v>1.0507965116279068</v>
      </c>
    </row>
    <row r="32" spans="1:73" x14ac:dyDescent="0.35">
      <c r="A32" s="1617" t="s">
        <v>2846</v>
      </c>
      <c r="B32" s="765"/>
      <c r="C32" s="752"/>
      <c r="D32" s="752"/>
      <c r="E32" s="752"/>
      <c r="F32" s="752"/>
      <c r="G32" s="752"/>
      <c r="H32" s="752"/>
      <c r="I32" s="752"/>
      <c r="J32" s="752"/>
      <c r="K32" s="752"/>
      <c r="L32" s="752"/>
      <c r="M32" s="752"/>
      <c r="N32" s="752"/>
      <c r="O32" s="752"/>
      <c r="P32" s="752"/>
      <c r="Q32" s="752"/>
      <c r="R32" s="752"/>
      <c r="S32" s="752"/>
      <c r="T32" s="752">
        <v>61390</v>
      </c>
      <c r="U32" s="752">
        <v>53320</v>
      </c>
      <c r="V32" s="752">
        <v>64570</v>
      </c>
      <c r="W32" s="752">
        <v>52080</v>
      </c>
      <c r="X32" s="752">
        <f>X38*X55</f>
        <v>53276.982000000004</v>
      </c>
      <c r="Y32" s="752"/>
      <c r="AL32" s="752"/>
      <c r="AM32" s="752"/>
      <c r="AN32" s="752">
        <v>23990</v>
      </c>
      <c r="AO32" s="762">
        <f>U32-AN32</f>
        <v>29330</v>
      </c>
      <c r="AP32" s="752">
        <v>24320</v>
      </c>
      <c r="AQ32" s="762">
        <f>V32-AP32</f>
        <v>40250</v>
      </c>
      <c r="AR32" s="752">
        <v>22730</v>
      </c>
      <c r="AS32" s="752">
        <f t="shared" ref="AS32" si="17">W32-AR32</f>
        <v>29350</v>
      </c>
      <c r="AT32" s="752">
        <f>AT$24*AT55</f>
        <v>32687.8</v>
      </c>
      <c r="AU32" s="752">
        <f>X32-AT32</f>
        <v>20589.182000000004</v>
      </c>
      <c r="AW32" s="752"/>
      <c r="AX32" s="752">
        <v>31000</v>
      </c>
      <c r="AY32" s="752">
        <v>14840</v>
      </c>
      <c r="AZ32" s="752">
        <v>24320</v>
      </c>
      <c r="BA32" s="752">
        <v>44330</v>
      </c>
      <c r="BB32" s="752">
        <v>12230</v>
      </c>
      <c r="BC32" s="752">
        <v>31320</v>
      </c>
      <c r="BD32" s="752">
        <v>11400</v>
      </c>
      <c r="BE32" s="752">
        <f>BE$38*28.2%</f>
        <v>36098.82</v>
      </c>
      <c r="BG32" s="752"/>
      <c r="BH32" s="752"/>
      <c r="BI32" s="752"/>
      <c r="BJ32" s="752"/>
      <c r="BK32" s="752">
        <f>AY32</f>
        <v>14840</v>
      </c>
      <c r="BL32" s="752">
        <f>AP32-BK32</f>
        <v>9480</v>
      </c>
      <c r="BM32" s="752">
        <f>BA32-AP32</f>
        <v>20010</v>
      </c>
      <c r="BN32" s="752">
        <f>V32-BA32</f>
        <v>20240</v>
      </c>
      <c r="BO32" s="752">
        <f>BB32</f>
        <v>12230</v>
      </c>
      <c r="BP32" s="752">
        <f>AR32-BB32</f>
        <v>10500</v>
      </c>
      <c r="BQ32" s="752">
        <f>BC32-AR32</f>
        <v>8590</v>
      </c>
      <c r="BR32" s="752">
        <f>W32-BC32</f>
        <v>20760</v>
      </c>
      <c r="BS32" s="752">
        <f>BD32</f>
        <v>11400</v>
      </c>
      <c r="BT32" s="752">
        <f>AT32-BD32</f>
        <v>21287.8</v>
      </c>
      <c r="BU32" s="752">
        <f>BE32-AT32</f>
        <v>3411.0200000000004</v>
      </c>
    </row>
    <row r="33" spans="1:73" x14ac:dyDescent="0.35">
      <c r="A33" s="1618" t="s">
        <v>577</v>
      </c>
      <c r="B33" s="765"/>
      <c r="C33" s="755"/>
      <c r="D33" s="755"/>
      <c r="E33" s="755"/>
      <c r="F33" s="755"/>
      <c r="G33" s="755"/>
      <c r="H33" s="755"/>
      <c r="I33" s="755"/>
      <c r="J33" s="755"/>
      <c r="K33" s="755"/>
      <c r="L33" s="755"/>
      <c r="M33" s="755"/>
      <c r="N33" s="755"/>
      <c r="O33" s="755"/>
      <c r="P33" s="755"/>
      <c r="Q33" s="755"/>
      <c r="R33" s="755"/>
      <c r="S33" s="755"/>
      <c r="T33" s="755"/>
      <c r="U33" s="755">
        <f t="shared" ref="U33:X33" si="18">U32/T32-1</f>
        <v>-0.1314546343052615</v>
      </c>
      <c r="V33" s="755">
        <f t="shared" si="18"/>
        <v>0.21099024756189055</v>
      </c>
      <c r="W33" s="755">
        <f t="shared" si="18"/>
        <v>-0.19343348304166019</v>
      </c>
      <c r="X33" s="755">
        <f t="shared" si="18"/>
        <v>2.2983525345622091E-2</v>
      </c>
      <c r="Y33" s="752"/>
      <c r="AL33" s="755"/>
      <c r="AM33" s="755"/>
      <c r="AN33" s="755"/>
      <c r="AO33" s="755"/>
      <c r="AP33" s="755">
        <f>AP32/AN32-1</f>
        <v>1.3755731554814465E-2</v>
      </c>
      <c r="AQ33" s="755">
        <f>AQ32/AO32-1</f>
        <v>0.37231503579952263</v>
      </c>
      <c r="AR33" s="755">
        <f>AR32/AP32-1</f>
        <v>-6.5378289473684181E-2</v>
      </c>
      <c r="AS33" s="755">
        <f t="shared" ref="AS33:AU33" si="19">AS32/AQ32-1</f>
        <v>-0.27080745341614909</v>
      </c>
      <c r="AT33" s="755">
        <f>AT32/AR32-1</f>
        <v>0.43809062912450503</v>
      </c>
      <c r="AU33" s="755">
        <f t="shared" si="19"/>
        <v>-0.29849465076660975</v>
      </c>
      <c r="AW33" s="755"/>
      <c r="AX33" s="755"/>
      <c r="AY33" s="755"/>
      <c r="AZ33" s="755">
        <v>1.3755731554814465E-2</v>
      </c>
      <c r="BA33" s="755">
        <f>BA32/AX32-1</f>
        <v>0.42999999999999994</v>
      </c>
      <c r="BB33" s="755"/>
      <c r="BC33" s="755">
        <v>-7.3225806451612918E-2</v>
      </c>
      <c r="BD33" s="755"/>
      <c r="BE33" s="755"/>
      <c r="BG33" s="755"/>
      <c r="BH33" s="755"/>
      <c r="BI33" s="755"/>
      <c r="BJ33" s="755"/>
      <c r="BK33" s="755"/>
      <c r="BL33" s="755"/>
      <c r="BM33" s="755"/>
      <c r="BN33" s="755"/>
      <c r="BO33" s="755">
        <f t="shared" ref="BO33" si="20">BO32/BK32-1</f>
        <v>-0.17587601078167114</v>
      </c>
      <c r="BP33" s="755">
        <f t="shared" ref="BP33" si="21">BP32/BL32-1</f>
        <v>0.10759493670886067</v>
      </c>
      <c r="BQ33" s="755">
        <f t="shared" ref="BQ33" si="22">BQ32/BM32-1</f>
        <v>-0.57071464267866068</v>
      </c>
      <c r="BR33" s="755">
        <f>BR32/BN32-1</f>
        <v>2.5691699604743157E-2</v>
      </c>
      <c r="BS33" s="755">
        <f>BS32/BO32-1</f>
        <v>-6.7865903515944348E-2</v>
      </c>
      <c r="BT33" s="755">
        <f>BT32/BP32-1</f>
        <v>1.0274095238095238</v>
      </c>
      <c r="BU33" s="755">
        <f>BU32/BQ32-1</f>
        <v>-0.60290803259604187</v>
      </c>
    </row>
    <row r="34" spans="1:73" x14ac:dyDescent="0.35">
      <c r="A34" s="1617" t="s">
        <v>2847</v>
      </c>
      <c r="B34" s="765"/>
      <c r="C34" s="752"/>
      <c r="D34" s="752"/>
      <c r="E34" s="752"/>
      <c r="F34" s="752"/>
      <c r="G34" s="752"/>
      <c r="H34" s="752"/>
      <c r="I34" s="752"/>
      <c r="J34" s="752"/>
      <c r="K34" s="752"/>
      <c r="L34" s="752"/>
      <c r="M34" s="752"/>
      <c r="N34" s="752"/>
      <c r="O34" s="752"/>
      <c r="P34" s="752"/>
      <c r="Q34" s="752"/>
      <c r="R34" s="752"/>
      <c r="S34" s="752"/>
      <c r="T34" s="752">
        <v>46490</v>
      </c>
      <c r="U34" s="752">
        <v>53910</v>
      </c>
      <c r="V34" s="752">
        <v>46460</v>
      </c>
      <c r="W34" s="752">
        <v>69140</v>
      </c>
      <c r="X34" s="752">
        <f>X38*X56</f>
        <v>29957.663999999997</v>
      </c>
      <c r="Y34" s="752"/>
      <c r="AL34" s="752"/>
      <c r="AM34" s="752"/>
      <c r="AN34" s="752">
        <v>25900</v>
      </c>
      <c r="AO34" s="762">
        <f>U34-AN34</f>
        <v>28010</v>
      </c>
      <c r="AP34" s="752">
        <v>22080</v>
      </c>
      <c r="AQ34" s="762">
        <f>V34-AP34</f>
        <v>24380</v>
      </c>
      <c r="AR34" s="752">
        <v>41400</v>
      </c>
      <c r="AS34" s="752">
        <f t="shared" ref="AS34" si="23">W34-AR34</f>
        <v>27740</v>
      </c>
      <c r="AT34" s="752">
        <f>AT$24*AT56</f>
        <v>14353</v>
      </c>
      <c r="AU34" s="752">
        <f>X34-AT34</f>
        <v>15604.663999999997</v>
      </c>
      <c r="AW34" s="752"/>
      <c r="AX34" s="752">
        <v>43690</v>
      </c>
      <c r="AY34" s="752">
        <v>22480</v>
      </c>
      <c r="AZ34" s="752">
        <v>22080</v>
      </c>
      <c r="BA34" s="752">
        <v>37800</v>
      </c>
      <c r="BB34" s="752">
        <v>12650</v>
      </c>
      <c r="BC34" s="752">
        <v>66500</v>
      </c>
      <c r="BD34" s="752">
        <v>17580</v>
      </c>
      <c r="BE34" s="752">
        <f>BE$38*22.3%</f>
        <v>28546.23</v>
      </c>
      <c r="BG34" s="752"/>
      <c r="BH34" s="752"/>
      <c r="BI34" s="752"/>
      <c r="BJ34" s="752"/>
      <c r="BK34" s="752">
        <f>AY34</f>
        <v>22480</v>
      </c>
      <c r="BL34" s="752">
        <f>AP34-BK34</f>
        <v>-400</v>
      </c>
      <c r="BM34" s="752">
        <f>BA34-AP34</f>
        <v>15720</v>
      </c>
      <c r="BN34" s="752">
        <f>V34-BA34</f>
        <v>8660</v>
      </c>
      <c r="BO34" s="752">
        <f>BB34</f>
        <v>12650</v>
      </c>
      <c r="BP34" s="752">
        <f>AR34-BB34</f>
        <v>28750</v>
      </c>
      <c r="BQ34" s="752">
        <f>BC34-AR34</f>
        <v>25100</v>
      </c>
      <c r="BR34" s="752">
        <f>W34-BC34</f>
        <v>2640</v>
      </c>
      <c r="BS34" s="752">
        <f>BD34</f>
        <v>17580</v>
      </c>
      <c r="BT34" s="752">
        <f>AT34-BD34</f>
        <v>-3227</v>
      </c>
      <c r="BU34" s="752">
        <f>BE34-AT34</f>
        <v>14193.23</v>
      </c>
    </row>
    <row r="35" spans="1:73" x14ac:dyDescent="0.35">
      <c r="A35" s="1618" t="s">
        <v>577</v>
      </c>
      <c r="B35" s="765"/>
      <c r="C35" s="755"/>
      <c r="D35" s="755"/>
      <c r="E35" s="755"/>
      <c r="F35" s="755"/>
      <c r="G35" s="755"/>
      <c r="H35" s="755"/>
      <c r="I35" s="755"/>
      <c r="J35" s="755"/>
      <c r="K35" s="755"/>
      <c r="L35" s="755"/>
      <c r="M35" s="755"/>
      <c r="N35" s="755"/>
      <c r="O35" s="755"/>
      <c r="P35" s="755"/>
      <c r="Q35" s="755"/>
      <c r="R35" s="755"/>
      <c r="S35" s="755"/>
      <c r="T35" s="755"/>
      <c r="U35" s="755">
        <f t="shared" ref="U35:X35" si="24">U34/T34-1</f>
        <v>0.15960421596042162</v>
      </c>
      <c r="V35" s="755">
        <f t="shared" si="24"/>
        <v>-0.13819328510480433</v>
      </c>
      <c r="W35" s="755">
        <f t="shared" si="24"/>
        <v>0.4881618596642272</v>
      </c>
      <c r="X35" s="755">
        <f t="shared" si="24"/>
        <v>-0.56671009545849005</v>
      </c>
      <c r="Y35" s="752"/>
      <c r="AL35" s="755"/>
      <c r="AM35" s="755"/>
      <c r="AN35" s="755"/>
      <c r="AO35" s="755"/>
      <c r="AP35" s="755">
        <f>AP34/AN34-1</f>
        <v>-0.14749034749034751</v>
      </c>
      <c r="AQ35" s="755">
        <f>AQ34/AO34-1</f>
        <v>-0.12959657265262403</v>
      </c>
      <c r="AR35" s="755">
        <f>AR34/AP34-1</f>
        <v>0.875</v>
      </c>
      <c r="AS35" s="755">
        <f t="shared" ref="AS35:AU35" si="25">AS34/AQ34-1</f>
        <v>0.1378178835110746</v>
      </c>
      <c r="AT35" s="755">
        <f>AT34/AR34-1</f>
        <v>-0.65330917874396133</v>
      </c>
      <c r="AU35" s="755">
        <f t="shared" si="25"/>
        <v>-0.43746705118961804</v>
      </c>
      <c r="AW35" s="755"/>
      <c r="AX35" s="755"/>
      <c r="AY35" s="755"/>
      <c r="AZ35" s="755">
        <v>-0.14749034749034751</v>
      </c>
      <c r="BA35" s="755">
        <f>BA34/AX34-1</f>
        <v>-0.13481345845731285</v>
      </c>
      <c r="BB35" s="755"/>
      <c r="BC35" s="755">
        <v>0.24765392538338293</v>
      </c>
      <c r="BD35" s="755"/>
      <c r="BE35" s="755"/>
      <c r="BG35" s="755"/>
      <c r="BH35" s="755"/>
      <c r="BI35" s="755"/>
      <c r="BJ35" s="755"/>
      <c r="BK35" s="755"/>
      <c r="BL35" s="755"/>
      <c r="BM35" s="755"/>
      <c r="BN35" s="755"/>
      <c r="BO35" s="755">
        <f t="shared" ref="BO35" si="26">BO34/BK34-1</f>
        <v>-0.43727758007117434</v>
      </c>
      <c r="BP35" s="755">
        <f t="shared" ref="BP35" si="27">BP34/BL34-1</f>
        <v>-72.875</v>
      </c>
      <c r="BQ35" s="755">
        <f t="shared" ref="BQ35" si="28">BQ34/BM34-1</f>
        <v>0.59669211195928762</v>
      </c>
      <c r="BR35" s="755">
        <f>BR34/BN34-1</f>
        <v>-0.69515011547344119</v>
      </c>
      <c r="BS35" s="755">
        <f t="shared" ref="BS35" si="29">BS34/BO34-1</f>
        <v>0.38972332015810274</v>
      </c>
      <c r="BT35" s="755">
        <f>BT34/BP34-1</f>
        <v>-1.1122434782608697</v>
      </c>
      <c r="BU35" s="755">
        <f>BU34/BQ34-1</f>
        <v>-0.43453266932270918</v>
      </c>
    </row>
    <row r="36" spans="1:73" x14ac:dyDescent="0.35">
      <c r="A36" s="1617" t="s">
        <v>2848</v>
      </c>
      <c r="B36" s="765"/>
      <c r="C36" s="752"/>
      <c r="D36" s="752"/>
      <c r="E36" s="752"/>
      <c r="F36" s="752"/>
      <c r="G36" s="752"/>
      <c r="H36" s="752"/>
      <c r="I36" s="752"/>
      <c r="J36" s="752"/>
      <c r="K36" s="752"/>
      <c r="L36" s="752"/>
      <c r="M36" s="752"/>
      <c r="N36" s="752"/>
      <c r="O36" s="752"/>
      <c r="P36" s="752"/>
      <c r="Q36" s="752"/>
      <c r="R36" s="752"/>
      <c r="S36" s="752"/>
      <c r="T36" s="752">
        <v>1920</v>
      </c>
      <c r="U36" s="752">
        <v>1910</v>
      </c>
      <c r="V36" s="752">
        <v>2360</v>
      </c>
      <c r="W36" s="752">
        <v>2190</v>
      </c>
      <c r="X36" s="752">
        <f>X38*X57</f>
        <v>1702.14</v>
      </c>
      <c r="Y36" s="752"/>
      <c r="AL36" s="752"/>
      <c r="AM36" s="752"/>
      <c r="AN36" s="752">
        <v>1130</v>
      </c>
      <c r="AO36" s="762">
        <f>U36-AN36</f>
        <v>780</v>
      </c>
      <c r="AP36" s="752">
        <v>970</v>
      </c>
      <c r="AQ36" s="762">
        <f>V36-AP36</f>
        <v>1390</v>
      </c>
      <c r="AR36" s="752">
        <v>990</v>
      </c>
      <c r="AS36" s="752">
        <f t="shared" ref="AS36" si="30">W36-AR36</f>
        <v>1200</v>
      </c>
      <c r="AT36" s="752">
        <f>AT$24*AT57</f>
        <v>1111.2</v>
      </c>
      <c r="AU36" s="752">
        <f>X36-AT36</f>
        <v>590.94000000000005</v>
      </c>
      <c r="AW36" s="752"/>
      <c r="AX36" s="752">
        <v>1450</v>
      </c>
      <c r="AY36" s="752">
        <v>720</v>
      </c>
      <c r="AZ36" s="752">
        <v>970</v>
      </c>
      <c r="BA36" s="752">
        <v>1970</v>
      </c>
      <c r="BB36" s="752">
        <v>410</v>
      </c>
      <c r="BC36" s="752">
        <v>1550</v>
      </c>
      <c r="BD36" s="752">
        <v>220</v>
      </c>
      <c r="BE36" s="752">
        <f>BE$38*1.1%</f>
        <v>1408.1100000000001</v>
      </c>
      <c r="BG36" s="752"/>
      <c r="BH36" s="752"/>
      <c r="BI36" s="752"/>
      <c r="BJ36" s="752"/>
      <c r="BK36" s="752">
        <f>AY36</f>
        <v>720</v>
      </c>
      <c r="BL36" s="752">
        <f>AP36-BK36</f>
        <v>250</v>
      </c>
      <c r="BM36" s="752">
        <f>BA36-AP36</f>
        <v>1000</v>
      </c>
      <c r="BN36" s="752">
        <f>V36-BA36</f>
        <v>390</v>
      </c>
      <c r="BO36" s="752">
        <f>BB36</f>
        <v>410</v>
      </c>
      <c r="BP36" s="752">
        <f>AR36-BB36</f>
        <v>580</v>
      </c>
      <c r="BQ36" s="752">
        <f>BC36-AR36</f>
        <v>560</v>
      </c>
      <c r="BR36" s="752">
        <f>W36-BC36</f>
        <v>640</v>
      </c>
      <c r="BS36" s="752">
        <f>BD36</f>
        <v>220</v>
      </c>
      <c r="BT36" s="752">
        <f>AT36-BD36</f>
        <v>891.2</v>
      </c>
      <c r="BU36" s="752">
        <f>BE36-AT36</f>
        <v>296.91000000000008</v>
      </c>
    </row>
    <row r="37" spans="1:73" x14ac:dyDescent="0.35">
      <c r="A37" s="1618" t="s">
        <v>577</v>
      </c>
      <c r="B37" s="765"/>
      <c r="C37" s="755"/>
      <c r="D37" s="755"/>
      <c r="E37" s="755"/>
      <c r="F37" s="755"/>
      <c r="G37" s="755"/>
      <c r="H37" s="755"/>
      <c r="I37" s="755"/>
      <c r="J37" s="755"/>
      <c r="K37" s="755"/>
      <c r="L37" s="755"/>
      <c r="M37" s="755"/>
      <c r="N37" s="755"/>
      <c r="O37" s="755"/>
      <c r="P37" s="755"/>
      <c r="Q37" s="755"/>
      <c r="R37" s="755"/>
      <c r="S37" s="755"/>
      <c r="T37" s="755"/>
      <c r="U37" s="755">
        <f t="shared" ref="U37:X39" si="31">U36/T36-1</f>
        <v>-5.2083333333333703E-3</v>
      </c>
      <c r="V37" s="755">
        <f t="shared" si="31"/>
        <v>0.23560209424083767</v>
      </c>
      <c r="W37" s="755">
        <f t="shared" si="31"/>
        <v>-7.2033898305084776E-2</v>
      </c>
      <c r="X37" s="755">
        <f t="shared" si="31"/>
        <v>-0.22276712328767123</v>
      </c>
      <c r="Y37" s="752"/>
      <c r="AL37" s="755"/>
      <c r="AM37" s="755"/>
      <c r="AN37" s="755"/>
      <c r="AO37" s="755"/>
      <c r="AP37" s="755">
        <f>AP36/AN36-1</f>
        <v>-0.1415929203539823</v>
      </c>
      <c r="AQ37" s="755">
        <f>AQ36/AO36-1</f>
        <v>0.78205128205128216</v>
      </c>
      <c r="AR37" s="755">
        <f>AR36/AP36-1</f>
        <v>2.0618556701030855E-2</v>
      </c>
      <c r="AS37" s="755">
        <f t="shared" ref="AS37:AU37" si="32">AS36/AQ36-1</f>
        <v>-0.13669064748201443</v>
      </c>
      <c r="AT37" s="755">
        <f>AT36/AR36-1</f>
        <v>0.12242424242424255</v>
      </c>
      <c r="AU37" s="755">
        <f t="shared" si="32"/>
        <v>-0.50754999999999995</v>
      </c>
      <c r="AW37" s="755"/>
      <c r="AX37" s="755"/>
      <c r="AY37" s="755"/>
      <c r="AZ37" s="755">
        <v>-0.1415929203539823</v>
      </c>
      <c r="BA37" s="755">
        <f>BA36/AX36-1</f>
        <v>0.35862068965517246</v>
      </c>
      <c r="BB37" s="755"/>
      <c r="BC37" s="755">
        <v>0.35862068965517246</v>
      </c>
      <c r="BD37" s="755"/>
      <c r="BE37" s="755"/>
      <c r="BG37" s="755"/>
      <c r="BH37" s="755"/>
      <c r="BI37" s="755"/>
      <c r="BJ37" s="755"/>
      <c r="BK37" s="755"/>
      <c r="BL37" s="755"/>
      <c r="BM37" s="755"/>
      <c r="BN37" s="755"/>
      <c r="BO37" s="755">
        <f t="shared" ref="BO37" si="33">BO36/BK36-1</f>
        <v>-0.43055555555555558</v>
      </c>
      <c r="BP37" s="755">
        <f t="shared" ref="BP37" si="34">BP36/BL36-1</f>
        <v>1.3199999999999998</v>
      </c>
      <c r="BQ37" s="755">
        <f t="shared" ref="BQ37" si="35">BQ36/BM36-1</f>
        <v>-0.43999999999999995</v>
      </c>
      <c r="BR37" s="755">
        <f>BR36/BN36-1</f>
        <v>0.64102564102564097</v>
      </c>
      <c r="BS37" s="755">
        <f t="shared" ref="BS37" si="36">BS36/BO36-1</f>
        <v>-0.46341463414634143</v>
      </c>
      <c r="BT37" s="755">
        <f>BT36/BP36-1</f>
        <v>0.53655172413793117</v>
      </c>
      <c r="BU37" s="755">
        <f>BU36/BQ36-1</f>
        <v>-0.46980357142857132</v>
      </c>
    </row>
    <row r="38" spans="1:73" x14ac:dyDescent="0.35">
      <c r="A38" s="1617" t="s">
        <v>2849</v>
      </c>
      <c r="B38" s="765"/>
      <c r="C38" s="752"/>
      <c r="D38" s="752"/>
      <c r="E38" s="752"/>
      <c r="F38" s="752"/>
      <c r="G38" s="752"/>
      <c r="H38" s="752"/>
      <c r="I38" s="752"/>
      <c r="J38" s="752"/>
      <c r="K38" s="752"/>
      <c r="L38" s="752"/>
      <c r="M38" s="752"/>
      <c r="N38" s="752"/>
      <c r="O38" s="752"/>
      <c r="P38" s="752"/>
      <c r="Q38" s="752"/>
      <c r="R38" s="752"/>
      <c r="S38" s="752"/>
      <c r="T38" s="752">
        <f>SUM(T30,T32,T34,T36)</f>
        <v>140040</v>
      </c>
      <c r="U38" s="752">
        <f>SUM(U30,U32,U34,U36)</f>
        <v>160730</v>
      </c>
      <c r="V38" s="752">
        <f>SUM(V30,V32,V34,V36)</f>
        <v>188010</v>
      </c>
      <c r="W38" s="752">
        <f>SUM(W30,W32,W34,W36)</f>
        <v>211270</v>
      </c>
      <c r="X38" s="752">
        <f>X24</f>
        <v>170214</v>
      </c>
      <c r="Y38" s="752"/>
      <c r="AL38" s="752"/>
      <c r="AM38" s="752"/>
      <c r="AN38" s="752">
        <f>SUM(AN30,AN32,AN34,AN36)</f>
        <v>90660</v>
      </c>
      <c r="AO38" s="752">
        <f>SUM(AO30,AO32,AO34,AO36)</f>
        <v>70070</v>
      </c>
      <c r="AP38" s="752">
        <f>SUM(AP30,AP32,AP34,AP36)</f>
        <v>96820</v>
      </c>
      <c r="AQ38" s="752">
        <f>SUM(AQ30,AQ32,AQ34,AQ36)</f>
        <v>91190</v>
      </c>
      <c r="AR38" s="752">
        <f>SUM(AR30,AR32,AR34,AR36)</f>
        <v>125120</v>
      </c>
      <c r="AS38" s="752">
        <f t="shared" ref="AS38" si="37">W38-AR38</f>
        <v>86150</v>
      </c>
      <c r="AT38" s="752">
        <f>AT24</f>
        <v>92600</v>
      </c>
      <c r="AU38" s="752">
        <f>X38-AT38</f>
        <v>77614</v>
      </c>
      <c r="AW38" s="752">
        <f>AY38/(1+AY39)</f>
        <v>45023.832221163015</v>
      </c>
      <c r="AX38" s="752">
        <v>125740</v>
      </c>
      <c r="AY38" s="752">
        <v>47230</v>
      </c>
      <c r="AZ38" s="752">
        <v>96820</v>
      </c>
      <c r="BA38" s="752">
        <f>SUM(BA30,BA32,BA34,BA36)</f>
        <v>140410</v>
      </c>
      <c r="BB38" s="752">
        <f>SUM(BB30,BB32,BB34,BB36)</f>
        <v>80090</v>
      </c>
      <c r="BC38" s="752">
        <f>SUM(BC30,BC32,BC34,BC36)</f>
        <v>167970</v>
      </c>
      <c r="BD38" s="752">
        <f>SUM(BD30,BD32,BD34,BD36)</f>
        <v>50500</v>
      </c>
      <c r="BE38" s="752">
        <v>128010</v>
      </c>
      <c r="BG38" s="752"/>
      <c r="BH38" s="752"/>
      <c r="BI38" s="752"/>
      <c r="BJ38" s="752"/>
      <c r="BK38" s="752">
        <f>AY38</f>
        <v>47230</v>
      </c>
      <c r="BL38" s="752">
        <f>AP38-BK38</f>
        <v>49590</v>
      </c>
      <c r="BM38" s="752">
        <f>BA38-AP38</f>
        <v>43590</v>
      </c>
      <c r="BN38" s="752">
        <f>V38-BA38</f>
        <v>47600</v>
      </c>
      <c r="BO38" s="752">
        <f>BB38</f>
        <v>80090</v>
      </c>
      <c r="BP38" s="752">
        <f>AR38-BB38</f>
        <v>45030</v>
      </c>
      <c r="BQ38" s="752">
        <f>BC38-AR38</f>
        <v>42850</v>
      </c>
      <c r="BR38" s="752">
        <f>W38-BC38</f>
        <v>43300</v>
      </c>
      <c r="BS38" s="752">
        <f>BD38</f>
        <v>50500</v>
      </c>
      <c r="BT38" s="752">
        <f>AT38-BD38</f>
        <v>42100</v>
      </c>
      <c r="BU38" s="752">
        <f>BE38-AT38</f>
        <v>35410</v>
      </c>
    </row>
    <row r="39" spans="1:73" x14ac:dyDescent="0.35">
      <c r="A39" s="1618" t="s">
        <v>577</v>
      </c>
      <c r="B39" s="765"/>
      <c r="C39" s="755"/>
      <c r="D39" s="755"/>
      <c r="E39" s="755"/>
      <c r="F39" s="755"/>
      <c r="G39" s="755"/>
      <c r="H39" s="755"/>
      <c r="I39" s="755"/>
      <c r="J39" s="755"/>
      <c r="K39" s="755"/>
      <c r="L39" s="755"/>
      <c r="M39" s="755"/>
      <c r="N39" s="755"/>
      <c r="O39" s="755"/>
      <c r="P39" s="755"/>
      <c r="Q39" s="755"/>
      <c r="R39" s="755"/>
      <c r="S39" s="755"/>
      <c r="T39" s="755"/>
      <c r="U39" s="755">
        <f t="shared" si="31"/>
        <v>0.14774350185661245</v>
      </c>
      <c r="V39" s="755">
        <f t="shared" si="31"/>
        <v>0.16972562682759906</v>
      </c>
      <c r="W39" s="755">
        <f t="shared" si="31"/>
        <v>0.12371682357321423</v>
      </c>
      <c r="X39" s="755">
        <f t="shared" si="31"/>
        <v>-0.1943295309319828</v>
      </c>
      <c r="Y39" s="752"/>
      <c r="AL39" s="755"/>
      <c r="AM39" s="755"/>
      <c r="AN39" s="755"/>
      <c r="AO39" s="755"/>
      <c r="AP39" s="755">
        <f>AP38/AN38-1</f>
        <v>6.7946172512684866E-2</v>
      </c>
      <c r="AQ39" s="755">
        <f>AQ38/AO38-1</f>
        <v>0.30141287284144425</v>
      </c>
      <c r="AR39" s="755">
        <f>AR38/AP38-1</f>
        <v>0.29229498037595536</v>
      </c>
      <c r="AS39" s="755">
        <f t="shared" ref="AS39:AU39" si="38">AS38/AQ38-1</f>
        <v>-5.5269218116021479E-2</v>
      </c>
      <c r="AT39" s="755">
        <f>AT38/AR38-1</f>
        <v>-0.25991048593350385</v>
      </c>
      <c r="AU39" s="755">
        <f t="shared" si="38"/>
        <v>-9.908299477655258E-2</v>
      </c>
      <c r="AW39" s="755"/>
      <c r="AX39" s="755"/>
      <c r="AY39" s="755">
        <v>4.9000000000000002E-2</v>
      </c>
      <c r="AZ39" s="755">
        <v>6.7946172512684866E-2</v>
      </c>
      <c r="BA39" s="755">
        <v>0.11700000000000001</v>
      </c>
      <c r="BB39" s="755">
        <v>4.9000000000000002E-2</v>
      </c>
      <c r="BC39" s="755">
        <v>0.11700000000000001</v>
      </c>
      <c r="BD39" s="755">
        <v>-0.29099999999999998</v>
      </c>
      <c r="BE39" s="755"/>
      <c r="BG39" s="755"/>
      <c r="BH39" s="755"/>
      <c r="BI39" s="755"/>
      <c r="BJ39" s="755"/>
      <c r="BK39" s="755"/>
      <c r="BL39" s="755"/>
      <c r="BM39" s="755"/>
      <c r="BN39" s="755"/>
      <c r="BO39" s="755">
        <f t="shared" ref="BO39" si="39">BO38/BK38-1</f>
        <v>0.69574423036205801</v>
      </c>
      <c r="BP39" s="755">
        <f t="shared" ref="BP39" si="40">BP38/BL38-1</f>
        <v>-9.1954022988505746E-2</v>
      </c>
      <c r="BQ39" s="755">
        <f t="shared" ref="BQ39" si="41">BQ38/BM38-1</f>
        <v>-1.6976370727231016E-2</v>
      </c>
      <c r="BR39" s="755">
        <f>BR38/BN38-1</f>
        <v>-9.0336134453781525E-2</v>
      </c>
      <c r="BS39" s="755">
        <f t="shared" ref="BS39" si="42">BS38/BO38-1</f>
        <v>-0.36945935822200027</v>
      </c>
      <c r="BT39" s="755">
        <f>BT38/BP38-1</f>
        <v>-6.506773262269594E-2</v>
      </c>
      <c r="BU39" s="755">
        <f>BU38/BQ38-1</f>
        <v>-0.17362893815635938</v>
      </c>
    </row>
    <row r="40" spans="1:73" x14ac:dyDescent="0.35">
      <c r="A40" s="1623"/>
      <c r="B40" s="765"/>
      <c r="C40" s="752"/>
      <c r="D40" s="756"/>
      <c r="E40" s="756"/>
      <c r="F40" s="752"/>
      <c r="G40" s="752"/>
      <c r="H40" s="752"/>
      <c r="I40" s="752"/>
      <c r="J40" s="752"/>
      <c r="K40" s="752"/>
      <c r="L40" s="752"/>
      <c r="M40" s="752"/>
      <c r="N40" s="752"/>
      <c r="O40" s="766"/>
      <c r="P40" s="752"/>
      <c r="Q40" s="752"/>
      <c r="R40" s="752"/>
      <c r="S40" s="752"/>
      <c r="T40" s="767"/>
      <c r="U40" s="767"/>
      <c r="V40" s="752"/>
      <c r="W40" s="752"/>
      <c r="X40" s="752"/>
      <c r="Y40" s="752"/>
    </row>
    <row r="41" spans="1:73" ht="10.5" x14ac:dyDescent="0.35">
      <c r="A41" s="1616" t="s">
        <v>2931</v>
      </c>
      <c r="B41" s="746" t="s">
        <v>2077</v>
      </c>
      <c r="C41" s="747"/>
      <c r="D41" s="747" t="s">
        <v>328</v>
      </c>
      <c r="E41" s="747" t="s">
        <v>323</v>
      </c>
      <c r="F41" s="747" t="s">
        <v>198</v>
      </c>
      <c r="G41" s="748" t="s">
        <v>331</v>
      </c>
      <c r="H41" s="748" t="s">
        <v>21</v>
      </c>
      <c r="I41" s="748" t="s">
        <v>721</v>
      </c>
      <c r="J41" s="748" t="s">
        <v>832</v>
      </c>
      <c r="K41" s="748" t="s">
        <v>831</v>
      </c>
      <c r="L41" s="748" t="s">
        <v>1376</v>
      </c>
      <c r="M41" s="748" t="s">
        <v>1510</v>
      </c>
      <c r="N41" s="748" t="s">
        <v>1747</v>
      </c>
      <c r="O41" s="748" t="s">
        <v>1739</v>
      </c>
      <c r="P41" s="748" t="s">
        <v>1810</v>
      </c>
      <c r="Q41" s="749" t="s">
        <v>1818</v>
      </c>
      <c r="R41" s="749" t="str">
        <f t="shared" ref="R41:X41" si="43">R1</f>
        <v>2019A</v>
      </c>
      <c r="S41" s="749" t="str">
        <f t="shared" si="43"/>
        <v>2020A</v>
      </c>
      <c r="T41" s="749" t="str">
        <f t="shared" si="43"/>
        <v>2021A</v>
      </c>
      <c r="U41" s="749" t="str">
        <f t="shared" si="43"/>
        <v>2022A</v>
      </c>
      <c r="V41" s="749" t="str">
        <f t="shared" si="43"/>
        <v>2023A</v>
      </c>
      <c r="W41" s="749" t="str">
        <f t="shared" si="43"/>
        <v>2024A</v>
      </c>
      <c r="X41" s="749" t="str">
        <f t="shared" si="43"/>
        <v>2025A</v>
      </c>
      <c r="Y41" s="750"/>
      <c r="Z41" s="748" t="s">
        <v>1518</v>
      </c>
      <c r="AA41" s="748" t="s">
        <v>1866</v>
      </c>
      <c r="AB41" s="748" t="s">
        <v>1740</v>
      </c>
      <c r="AC41" s="748" t="s">
        <v>1865</v>
      </c>
      <c r="AD41" s="748" t="s">
        <v>1749</v>
      </c>
      <c r="AE41" s="748" t="s">
        <v>1811</v>
      </c>
      <c r="AF41" s="748" t="s">
        <v>1813</v>
      </c>
      <c r="AG41" s="748" t="s">
        <v>1819</v>
      </c>
      <c r="AH41" s="748" t="str">
        <f t="shared" ref="AH41:AO41" si="44">AH1</f>
        <v>1H19</v>
      </c>
      <c r="AI41" s="748" t="str">
        <f t="shared" si="44"/>
        <v>2H19</v>
      </c>
      <c r="AJ41" s="748" t="str">
        <f t="shared" si="44"/>
        <v>1H20</v>
      </c>
      <c r="AK41" s="748" t="str">
        <f t="shared" si="44"/>
        <v>2H20</v>
      </c>
      <c r="AL41" s="748" t="str">
        <f t="shared" si="44"/>
        <v>1H21</v>
      </c>
      <c r="AM41" s="748" t="str">
        <f t="shared" si="44"/>
        <v>2H21</v>
      </c>
      <c r="AN41" s="748" t="str">
        <f t="shared" si="44"/>
        <v>1H22</v>
      </c>
      <c r="AO41" s="748" t="str">
        <f t="shared" si="44"/>
        <v>2H22</v>
      </c>
      <c r="AP41" s="748" t="str">
        <f t="shared" ref="AP41:AR41" si="45">AP1</f>
        <v>1H23</v>
      </c>
      <c r="AQ41" s="748" t="str">
        <f t="shared" si="45"/>
        <v>2H23</v>
      </c>
      <c r="AR41" s="748" t="str">
        <f t="shared" si="45"/>
        <v>1H24</v>
      </c>
      <c r="AS41" s="749" t="s">
        <v>2887</v>
      </c>
      <c r="AT41" s="748" t="str">
        <f t="shared" ref="AT41:AU41" si="46">AT1</f>
        <v>1H25</v>
      </c>
      <c r="AU41" s="748" t="str">
        <f t="shared" si="46"/>
        <v>2H25</v>
      </c>
    </row>
    <row r="42" spans="1:73" x14ac:dyDescent="0.35">
      <c r="A42" s="1617" t="s">
        <v>2923</v>
      </c>
      <c r="B42" s="751" t="s">
        <v>343</v>
      </c>
      <c r="C42" s="752"/>
      <c r="D42" s="752"/>
      <c r="E42" s="771">
        <f t="shared" ref="E42:X42" si="47">E2/E24</f>
        <v>0.32200000000000001</v>
      </c>
      <c r="F42" s="771">
        <f t="shared" si="47"/>
        <v>0.41873141724479684</v>
      </c>
      <c r="G42" s="771">
        <f t="shared" si="47"/>
        <v>0.66883025257513762</v>
      </c>
      <c r="H42" s="771">
        <f t="shared" si="47"/>
        <v>0.63450292397660824</v>
      </c>
      <c r="I42" s="771">
        <f t="shared" si="47"/>
        <v>0.66225431207380669</v>
      </c>
      <c r="J42" s="771">
        <f t="shared" si="47"/>
        <v>0.18956406869220607</v>
      </c>
      <c r="K42" s="771">
        <f t="shared" si="47"/>
        <v>0.47826086956521741</v>
      </c>
      <c r="L42" s="771">
        <f t="shared" si="47"/>
        <v>0.39296681974135467</v>
      </c>
      <c r="M42" s="771">
        <f t="shared" si="47"/>
        <v>0.15172642762284197</v>
      </c>
      <c r="N42" s="771">
        <f t="shared" si="47"/>
        <v>0.19489228135254671</v>
      </c>
      <c r="O42" s="771">
        <f t="shared" si="47"/>
        <v>0.19505789662170228</v>
      </c>
      <c r="P42" s="771">
        <f t="shared" si="47"/>
        <v>0.18857863098700794</v>
      </c>
      <c r="Q42" s="771">
        <f t="shared" si="47"/>
        <v>0.2190595089471494</v>
      </c>
      <c r="R42" s="771">
        <f t="shared" si="47"/>
        <v>0.34469354547098174</v>
      </c>
      <c r="S42" s="771">
        <f t="shared" si="47"/>
        <v>0.24396831112711559</v>
      </c>
      <c r="T42" s="771">
        <f t="shared" si="47"/>
        <v>0.25740806854694753</v>
      </c>
      <c r="U42" s="771">
        <f t="shared" si="47"/>
        <v>0.27932383920961107</v>
      </c>
      <c r="V42" s="771">
        <f t="shared" si="47"/>
        <v>0.37720324649767578</v>
      </c>
      <c r="W42" s="771">
        <f>W2/W24</f>
        <v>0.42624052712048133</v>
      </c>
      <c r="X42" s="771">
        <f t="shared" si="47"/>
        <v>0.26407346046741159</v>
      </c>
      <c r="Y42" s="771"/>
      <c r="Z42" s="771">
        <f t="shared" ref="Z42:AN42" si="48">Z2/Z24</f>
        <v>0.32030401737242126</v>
      </c>
      <c r="AA42" s="771">
        <f t="shared" si="48"/>
        <v>5.5939849624060151E-2</v>
      </c>
      <c r="AB42" s="771">
        <f t="shared" si="48"/>
        <v>0.27913468248429868</v>
      </c>
      <c r="AC42" s="771">
        <f t="shared" si="48"/>
        <v>0.10642471799901913</v>
      </c>
      <c r="AD42" s="771">
        <f t="shared" si="48"/>
        <v>0.23487140695915279</v>
      </c>
      <c r="AE42" s="771">
        <f t="shared" si="48"/>
        <v>0.13987266215678473</v>
      </c>
      <c r="AF42" s="771">
        <f t="shared" si="48"/>
        <v>0.24800874590035921</v>
      </c>
      <c r="AG42" s="771">
        <f t="shared" si="48"/>
        <v>0.18602993585174626</v>
      </c>
      <c r="AH42" s="771">
        <f t="shared" si="48"/>
        <v>0.36414997431946583</v>
      </c>
      <c r="AI42" s="771">
        <f t="shared" si="48"/>
        <v>0.32292664240566943</v>
      </c>
      <c r="AJ42" s="771">
        <f t="shared" si="48"/>
        <v>0.26742333731581042</v>
      </c>
      <c r="AK42" s="771">
        <f t="shared" si="48"/>
        <v>0.22461386789352614</v>
      </c>
      <c r="AL42" s="771">
        <f t="shared" si="48"/>
        <v>0.24358429037289098</v>
      </c>
      <c r="AM42" s="771">
        <f t="shared" si="48"/>
        <v>0.27143268124280784</v>
      </c>
      <c r="AN42" s="771">
        <f t="shared" si="48"/>
        <v>0.30271883289124668</v>
      </c>
      <c r="AO42" s="771">
        <f t="shared" ref="AO42" si="49">AO2/AO24</f>
        <v>0.24919218231768941</v>
      </c>
      <c r="AP42" s="771">
        <f t="shared" ref="AP42:AU42" si="50">AP2/AP24</f>
        <v>0.38587068787440609</v>
      </c>
      <c r="AQ42" s="771">
        <f t="shared" si="50"/>
        <v>0.36800149126077325</v>
      </c>
      <c r="AR42" s="771">
        <f t="shared" si="50"/>
        <v>0.46064093342923362</v>
      </c>
      <c r="AS42" s="771">
        <f t="shared" si="50"/>
        <v>0.37626406288096037</v>
      </c>
      <c r="AT42" s="771">
        <f t="shared" si="50"/>
        <v>0.27861771058315332</v>
      </c>
      <c r="AU42" s="771">
        <f t="shared" si="50"/>
        <v>0.24672095240549385</v>
      </c>
    </row>
    <row r="43" spans="1:73" x14ac:dyDescent="0.35">
      <c r="A43" s="1625" t="s">
        <v>2924</v>
      </c>
      <c r="B43" s="772" t="s">
        <v>359</v>
      </c>
      <c r="C43" s="754"/>
      <c r="D43" s="755"/>
      <c r="E43" s="773">
        <f t="shared" ref="E43:X43" si="51">E10/E24</f>
        <v>0.56699999999999995</v>
      </c>
      <c r="F43" s="773">
        <f t="shared" si="51"/>
        <v>0.35868847043277174</v>
      </c>
      <c r="G43" s="773">
        <f t="shared" si="51"/>
        <v>0.11387046705234938</v>
      </c>
      <c r="H43" s="773">
        <f t="shared" si="51"/>
        <v>2.3391812865497076E-3</v>
      </c>
      <c r="I43" s="773">
        <f t="shared" si="51"/>
        <v>2.6073004412354592E-2</v>
      </c>
      <c r="J43" s="773">
        <f t="shared" si="51"/>
        <v>0.1571994715984148</v>
      </c>
      <c r="K43" s="773">
        <f t="shared" si="51"/>
        <v>2.391304347826087E-2</v>
      </c>
      <c r="L43" s="773">
        <f t="shared" si="51"/>
        <v>6.0994849883518151E-2</v>
      </c>
      <c r="M43" s="773">
        <f t="shared" si="51"/>
        <v>0.17397078353253653</v>
      </c>
      <c r="N43" s="773">
        <f t="shared" si="51"/>
        <v>7.847053787986874E-2</v>
      </c>
      <c r="O43" s="773">
        <f t="shared" si="51"/>
        <v>6.8640324698579447E-2</v>
      </c>
      <c r="P43" s="773">
        <f t="shared" si="51"/>
        <v>4.2757417102966842E-2</v>
      </c>
      <c r="Q43" s="773">
        <f t="shared" si="51"/>
        <v>5.9092800665834375E-2</v>
      </c>
      <c r="R43" s="773">
        <f t="shared" si="51"/>
        <v>0.10856987886458146</v>
      </c>
      <c r="S43" s="773">
        <f t="shared" si="51"/>
        <v>0.11955347497299244</v>
      </c>
      <c r="T43" s="773">
        <f t="shared" si="51"/>
        <v>0.10453409496608354</v>
      </c>
      <c r="U43" s="773">
        <f t="shared" si="51"/>
        <v>8.5702198082510533E-2</v>
      </c>
      <c r="V43" s="773">
        <f t="shared" si="51"/>
        <v>5.0745141422629751E-2</v>
      </c>
      <c r="W43" s="773">
        <f t="shared" si="51"/>
        <v>4.7349013779164159E-2</v>
      </c>
      <c r="X43" s="773">
        <f t="shared" si="51"/>
        <v>6.9406746801085689E-2</v>
      </c>
      <c r="Y43" s="771"/>
      <c r="Z43" s="773">
        <f t="shared" ref="Z43:AN43" si="52">Z10/Z24</f>
        <v>0.1482084690553746</v>
      </c>
      <c r="AA43" s="773">
        <f t="shared" si="52"/>
        <v>1.2030075187969924E-3</v>
      </c>
      <c r="AB43" s="773">
        <f t="shared" si="52"/>
        <v>0.13375203535705979</v>
      </c>
      <c r="AC43" s="773">
        <f t="shared" si="52"/>
        <v>0</v>
      </c>
      <c r="AD43" s="773">
        <f t="shared" si="52"/>
        <v>7.8290468986384268E-2</v>
      </c>
      <c r="AE43" s="773">
        <f t="shared" si="52"/>
        <v>5.3720652606446479E-3</v>
      </c>
      <c r="AF43" s="773">
        <f t="shared" si="52"/>
        <v>9.8079025456817112E-2</v>
      </c>
      <c r="AG43" s="773">
        <f t="shared" si="52"/>
        <v>1.4611546685673557E-2</v>
      </c>
      <c r="AH43" s="773">
        <f t="shared" si="52"/>
        <v>0.17308680020544429</v>
      </c>
      <c r="AI43" s="773">
        <f t="shared" si="52"/>
        <v>3.6391495882014943E-2</v>
      </c>
      <c r="AJ43" s="773">
        <f t="shared" si="52"/>
        <v>0.25388291517323774</v>
      </c>
      <c r="AK43" s="773">
        <f t="shared" si="52"/>
        <v>8.7085113374958927E-3</v>
      </c>
      <c r="AL43" s="773">
        <f t="shared" si="52"/>
        <v>0.1786473840918758</v>
      </c>
      <c r="AM43" s="773">
        <f t="shared" si="52"/>
        <v>2.9344073647871116E-2</v>
      </c>
      <c r="AN43" s="773">
        <f t="shared" si="52"/>
        <v>0.1336206896551724</v>
      </c>
      <c r="AO43" s="773">
        <f t="shared" ref="AO43" si="53">AO10/AO24</f>
        <v>2.3985423695036371E-2</v>
      </c>
      <c r="AP43" s="773">
        <f t="shared" ref="AP43:AR43" si="54">AP10/AP24</f>
        <v>4.3895889279074569E-2</v>
      </c>
      <c r="AQ43" s="773">
        <f t="shared" ref="AQ43" si="55">AQ10/AQ24</f>
        <v>5.8016623171560783E-2</v>
      </c>
      <c r="AR43" s="773">
        <f t="shared" si="54"/>
        <v>3.6202349556461282E-2</v>
      </c>
      <c r="AS43" s="773">
        <f t="shared" ref="AS43:AT43" si="56">AS10/AS24</f>
        <v>6.3542743030964466E-2</v>
      </c>
      <c r="AT43" s="773">
        <f t="shared" si="56"/>
        <v>0.10961123110151189</v>
      </c>
      <c r="AU43" s="773">
        <f t="shared" ref="AU43" si="57">AU10/AU24</f>
        <v>2.143943103048419E-2</v>
      </c>
    </row>
    <row r="44" spans="1:73" x14ac:dyDescent="0.35">
      <c r="A44" s="1617" t="s">
        <v>143</v>
      </c>
      <c r="B44" s="751" t="s">
        <v>1836</v>
      </c>
      <c r="C44" s="752"/>
      <c r="D44" s="756"/>
      <c r="E44" s="771">
        <f t="shared" ref="E44:X44" si="58">E12/E24</f>
        <v>0</v>
      </c>
      <c r="F44" s="771">
        <f t="shared" si="58"/>
        <v>0</v>
      </c>
      <c r="G44" s="771">
        <f t="shared" si="58"/>
        <v>8.8895160152391697E-2</v>
      </c>
      <c r="H44" s="771">
        <f t="shared" si="58"/>
        <v>0.34385964912280703</v>
      </c>
      <c r="I44" s="771">
        <f t="shared" si="58"/>
        <v>0.31167268351383876</v>
      </c>
      <c r="J44" s="771">
        <f t="shared" si="58"/>
        <v>0.65323645970937916</v>
      </c>
      <c r="K44" s="771">
        <f t="shared" si="58"/>
        <v>0.4236413043478261</v>
      </c>
      <c r="L44" s="771">
        <f t="shared" si="58"/>
        <v>0.506041707500689</v>
      </c>
      <c r="M44" s="771">
        <f t="shared" si="58"/>
        <v>0.64176626826029215</v>
      </c>
      <c r="N44" s="771">
        <f t="shared" si="58"/>
        <v>0.688400627764303</v>
      </c>
      <c r="O44" s="771">
        <f t="shared" si="58"/>
        <v>0.69881819267040701</v>
      </c>
      <c r="P44" s="771">
        <f t="shared" si="58"/>
        <v>0.72813651347682762</v>
      </c>
      <c r="Q44" s="771">
        <f t="shared" si="58"/>
        <v>0.68198085726175617</v>
      </c>
      <c r="R44" s="771">
        <f t="shared" si="58"/>
        <v>0.50108479479298496</v>
      </c>
      <c r="S44" s="771">
        <f t="shared" si="58"/>
        <v>0.59038530788620813</v>
      </c>
      <c r="T44" s="771">
        <f t="shared" si="58"/>
        <v>0.57943591574437703</v>
      </c>
      <c r="U44" s="771">
        <f t="shared" si="58"/>
        <v>0.57194940615064926</v>
      </c>
      <c r="V44" s="771">
        <f t="shared" si="58"/>
        <v>0.51088193683583483</v>
      </c>
      <c r="W44" s="771">
        <f t="shared" si="58"/>
        <v>0.47424749480500422</v>
      </c>
      <c r="X44" s="771">
        <f t="shared" si="58"/>
        <v>0.62809757129260813</v>
      </c>
      <c r="Y44" s="771"/>
      <c r="Z44" s="771">
        <f t="shared" ref="Z44:AN44" si="59">Z12/Z24</f>
        <v>0.48995656894679696</v>
      </c>
      <c r="AA44" s="771">
        <f t="shared" si="59"/>
        <v>0.90827067669172934</v>
      </c>
      <c r="AB44" s="771">
        <f t="shared" si="59"/>
        <v>0.54408001860897881</v>
      </c>
      <c r="AC44" s="771">
        <f t="shared" si="59"/>
        <v>0.86194212849436003</v>
      </c>
      <c r="AD44" s="771">
        <f t="shared" si="59"/>
        <v>0.65128593040847205</v>
      </c>
      <c r="AE44" s="771">
        <f t="shared" si="59"/>
        <v>0.80899323517707922</v>
      </c>
      <c r="AF44" s="771">
        <f t="shared" si="59"/>
        <v>0.61033890363891929</v>
      </c>
      <c r="AG44" s="771">
        <f t="shared" si="59"/>
        <v>0.7637205987170349</v>
      </c>
      <c r="AH44" s="771">
        <f t="shared" si="59"/>
        <v>0.42081835302174286</v>
      </c>
      <c r="AI44" s="771">
        <f t="shared" si="59"/>
        <v>0.59088297261061096</v>
      </c>
      <c r="AJ44" s="771">
        <f t="shared" si="59"/>
        <v>0.42731979291119077</v>
      </c>
      <c r="AK44" s="771">
        <f t="shared" si="59"/>
        <v>0.72494249096286556</v>
      </c>
      <c r="AL44" s="771">
        <f t="shared" si="59"/>
        <v>0.51325677016872251</v>
      </c>
      <c r="AM44" s="771">
        <f t="shared" si="59"/>
        <v>0.64657652474108174</v>
      </c>
      <c r="AN44" s="771">
        <f t="shared" si="59"/>
        <v>0.49723695844385501</v>
      </c>
      <c r="AO44" s="771">
        <f t="shared" ref="AO44" si="60">AO12/AO24</f>
        <v>0.66817554198516749</v>
      </c>
      <c r="AP44" s="771">
        <f t="shared" ref="AP44:AR44" si="61">AP12/AP24</f>
        <v>0.50185912001652555</v>
      </c>
      <c r="AQ44" s="771">
        <f t="shared" ref="AQ44" si="62">AQ12/AQ24</f>
        <v>0.520460975021382</v>
      </c>
      <c r="AR44" s="771">
        <f t="shared" si="61"/>
        <v>0.45488691760569006</v>
      </c>
      <c r="AS44" s="771">
        <f t="shared" ref="AS44:AT44" si="63">AS12/AS24</f>
        <v>0.50237429032520231</v>
      </c>
      <c r="AT44" s="771">
        <f t="shared" si="63"/>
        <v>0.56447084233261335</v>
      </c>
      <c r="AU44" s="771">
        <f t="shared" ref="AU44" si="64">AU12/AU24</f>
        <v>0.70400958589945117</v>
      </c>
    </row>
    <row r="45" spans="1:73" hidden="1" outlineLevel="1" x14ac:dyDescent="0.35">
      <c r="A45" s="1626" t="s">
        <v>2925</v>
      </c>
      <c r="B45" s="751" t="s">
        <v>2649</v>
      </c>
      <c r="C45" s="752"/>
      <c r="D45" s="756"/>
      <c r="E45" s="771"/>
      <c r="F45" s="771"/>
      <c r="G45" s="771"/>
      <c r="H45" s="771"/>
      <c r="I45" s="771"/>
      <c r="J45" s="771"/>
      <c r="K45" s="771"/>
      <c r="L45" s="771"/>
      <c r="M45" s="771"/>
      <c r="N45" s="771"/>
      <c r="O45" s="771"/>
      <c r="P45" s="771"/>
      <c r="Q45" s="771"/>
      <c r="R45" s="771"/>
      <c r="S45" s="771"/>
      <c r="T45" s="771"/>
      <c r="U45" s="771"/>
      <c r="V45" s="771"/>
      <c r="W45" s="771"/>
      <c r="X45" s="771"/>
      <c r="Y45" s="771"/>
      <c r="Z45" s="771"/>
      <c r="AA45" s="771"/>
      <c r="AB45" s="771"/>
      <c r="AC45" s="771"/>
      <c r="AD45" s="771"/>
      <c r="AE45" s="771"/>
      <c r="AF45" s="771"/>
      <c r="AG45" s="771"/>
      <c r="AH45" s="771"/>
      <c r="AI45" s="771"/>
      <c r="AJ45" s="771"/>
      <c r="AK45" s="771"/>
      <c r="AL45" s="771"/>
      <c r="AM45" s="771"/>
      <c r="AN45" s="771"/>
      <c r="AO45" s="771"/>
      <c r="AP45" s="771"/>
      <c r="AQ45" s="771"/>
      <c r="AR45" s="771"/>
      <c r="AS45" s="771"/>
      <c r="AT45" s="771"/>
      <c r="AU45" s="771"/>
    </row>
    <row r="46" spans="1:73" hidden="1" outlineLevel="1" x14ac:dyDescent="0.35">
      <c r="A46" s="1627" t="s">
        <v>2929</v>
      </c>
      <c r="B46" s="774" t="s">
        <v>2648</v>
      </c>
      <c r="C46" s="775"/>
      <c r="D46" s="756"/>
      <c r="E46" s="768"/>
      <c r="F46" s="768"/>
      <c r="G46" s="768"/>
      <c r="H46" s="768"/>
      <c r="I46" s="768"/>
      <c r="J46" s="768"/>
      <c r="K46" s="768"/>
      <c r="L46" s="768"/>
      <c r="M46" s="768"/>
      <c r="N46" s="768"/>
      <c r="O46" s="768"/>
      <c r="P46" s="768"/>
      <c r="Q46" s="768"/>
      <c r="R46" s="768">
        <f>R14/R$12</f>
        <v>0.53</v>
      </c>
      <c r="S46" s="768">
        <f>S14/S$12</f>
        <v>0.84</v>
      </c>
      <c r="T46" s="768"/>
      <c r="U46" s="768"/>
      <c r="V46" s="768"/>
      <c r="W46" s="768"/>
      <c r="X46" s="768"/>
      <c r="Y46" s="768"/>
      <c r="Z46" s="768"/>
      <c r="AA46" s="768"/>
      <c r="AB46" s="768"/>
      <c r="AC46" s="768"/>
      <c r="AD46" s="768"/>
      <c r="AE46" s="768"/>
      <c r="AF46" s="768"/>
      <c r="AG46" s="768"/>
      <c r="AH46" s="768">
        <f t="shared" ref="AH46:AN46" si="65">AH14/AH$12</f>
        <v>0.18000000000000002</v>
      </c>
      <c r="AI46" s="768">
        <f t="shared" si="65"/>
        <v>0.80886547811993514</v>
      </c>
      <c r="AJ46" s="768">
        <f t="shared" si="65"/>
        <v>0.85</v>
      </c>
      <c r="AK46" s="768">
        <f t="shared" si="65"/>
        <v>0.83513599274705341</v>
      </c>
      <c r="AL46" s="768">
        <f t="shared" si="65"/>
        <v>0.87</v>
      </c>
      <c r="AM46" s="768">
        <f t="shared" si="65"/>
        <v>0</v>
      </c>
      <c r="AN46" s="768">
        <f t="shared" si="65"/>
        <v>0</v>
      </c>
      <c r="AO46" s="768">
        <f t="shared" ref="AO46" si="66">AO14/AO$12</f>
        <v>0</v>
      </c>
      <c r="AP46" s="768">
        <f t="shared" ref="AP46:AR46" si="67">AP14/AP$12</f>
        <v>0</v>
      </c>
      <c r="AQ46" s="768">
        <f t="shared" ref="AQ46" si="68">AQ14/AQ$12</f>
        <v>0</v>
      </c>
      <c r="AR46" s="768">
        <f t="shared" si="67"/>
        <v>0</v>
      </c>
      <c r="AS46" s="768">
        <f t="shared" ref="AS46:AT46" si="69">AS14/AS$12</f>
        <v>0</v>
      </c>
      <c r="AT46" s="768">
        <f t="shared" si="69"/>
        <v>0</v>
      </c>
      <c r="AU46" s="768">
        <f t="shared" ref="AU46" si="70">AU14/AU$12</f>
        <v>0</v>
      </c>
    </row>
    <row r="47" spans="1:73" hidden="1" outlineLevel="1" x14ac:dyDescent="0.35">
      <c r="A47" s="1627" t="s">
        <v>2646</v>
      </c>
      <c r="B47" s="774" t="s">
        <v>2646</v>
      </c>
      <c r="C47" s="775"/>
      <c r="D47" s="756"/>
      <c r="E47" s="768"/>
      <c r="F47" s="768"/>
      <c r="G47" s="768"/>
      <c r="H47" s="768"/>
      <c r="I47" s="768"/>
      <c r="J47" s="768"/>
      <c r="K47" s="768"/>
      <c r="L47" s="768"/>
      <c r="M47" s="768"/>
      <c r="N47" s="768"/>
      <c r="O47" s="768"/>
      <c r="P47" s="768"/>
      <c r="Q47" s="768"/>
      <c r="R47" s="768">
        <f>R16/R$12</f>
        <v>0.1</v>
      </c>
      <c r="S47" s="768">
        <f>S16/S$12</f>
        <v>0.13</v>
      </c>
      <c r="T47" s="768"/>
      <c r="U47" s="768"/>
      <c r="V47" s="768"/>
      <c r="W47" s="768"/>
      <c r="X47" s="768"/>
      <c r="Y47" s="768"/>
      <c r="Z47" s="768"/>
      <c r="AA47" s="768"/>
      <c r="AB47" s="768"/>
      <c r="AC47" s="768"/>
      <c r="AD47" s="768"/>
      <c r="AE47" s="768"/>
      <c r="AF47" s="768"/>
      <c r="AG47" s="768"/>
      <c r="AH47" s="768">
        <f t="shared" ref="AH47:AN47" si="71">AH16/AH$12</f>
        <v>0.1</v>
      </c>
      <c r="AI47" s="768">
        <f t="shared" si="71"/>
        <v>0.1</v>
      </c>
      <c r="AJ47" s="768">
        <f t="shared" si="71"/>
        <v>0.06</v>
      </c>
      <c r="AK47" s="768">
        <f t="shared" si="71"/>
        <v>0.16404805077062554</v>
      </c>
      <c r="AL47" s="768">
        <f t="shared" si="71"/>
        <v>0.13</v>
      </c>
      <c r="AM47" s="768">
        <f t="shared" si="71"/>
        <v>0</v>
      </c>
      <c r="AN47" s="768">
        <f t="shared" si="71"/>
        <v>0</v>
      </c>
      <c r="AO47" s="768">
        <f t="shared" ref="AO47" si="72">AO16/AO$12</f>
        <v>0</v>
      </c>
      <c r="AP47" s="768">
        <f t="shared" ref="AP47:AR47" si="73">AP16/AP$12</f>
        <v>0</v>
      </c>
      <c r="AQ47" s="768">
        <f t="shared" ref="AQ47" si="74">AQ16/AQ$12</f>
        <v>0</v>
      </c>
      <c r="AR47" s="768">
        <f t="shared" si="73"/>
        <v>0</v>
      </c>
      <c r="AS47" s="768">
        <f t="shared" ref="AS47:AT47" si="75">AS16/AS$12</f>
        <v>0</v>
      </c>
      <c r="AT47" s="768">
        <f t="shared" si="75"/>
        <v>0</v>
      </c>
      <c r="AU47" s="768">
        <f t="shared" ref="AU47" si="76">AU16/AU$12</f>
        <v>0</v>
      </c>
    </row>
    <row r="48" spans="1:73" hidden="1" outlineLevel="1" x14ac:dyDescent="0.35">
      <c r="A48" s="1627" t="s">
        <v>2647</v>
      </c>
      <c r="B48" s="774" t="s">
        <v>2647</v>
      </c>
      <c r="C48" s="775"/>
      <c r="D48" s="756"/>
      <c r="E48" s="768"/>
      <c r="F48" s="768"/>
      <c r="G48" s="768"/>
      <c r="H48" s="768"/>
      <c r="I48" s="768"/>
      <c r="J48" s="768"/>
      <c r="K48" s="768"/>
      <c r="L48" s="768"/>
      <c r="M48" s="768"/>
      <c r="N48" s="768"/>
      <c r="O48" s="768"/>
      <c r="P48" s="768"/>
      <c r="Q48" s="768"/>
      <c r="R48" s="768">
        <f>R18/R$12</f>
        <v>0.37</v>
      </c>
      <c r="S48" s="768">
        <f>S18/S$12</f>
        <v>0.03</v>
      </c>
      <c r="T48" s="768"/>
      <c r="U48" s="768"/>
      <c r="V48" s="768"/>
      <c r="W48" s="768"/>
      <c r="X48" s="768"/>
      <c r="Y48" s="768"/>
      <c r="Z48" s="768"/>
      <c r="AA48" s="768"/>
      <c r="AB48" s="768"/>
      <c r="AC48" s="768"/>
      <c r="AD48" s="768"/>
      <c r="AE48" s="768"/>
      <c r="AF48" s="768"/>
      <c r="AG48" s="768"/>
      <c r="AH48" s="768">
        <f t="shared" ref="AH48:AN48" si="77">AH18/AH$12</f>
        <v>0.72</v>
      </c>
      <c r="AI48" s="768">
        <f t="shared" si="77"/>
        <v>9.1134521880064837E-2</v>
      </c>
      <c r="AJ48" s="768">
        <f t="shared" si="77"/>
        <v>9.1670000000000001E-2</v>
      </c>
      <c r="AK48" s="768">
        <f t="shared" si="77"/>
        <v>3.6672710788725612E-6</v>
      </c>
      <c r="AL48" s="768">
        <f t="shared" si="77"/>
        <v>0</v>
      </c>
      <c r="AM48" s="768">
        <f t="shared" si="77"/>
        <v>0</v>
      </c>
      <c r="AN48" s="768">
        <f t="shared" si="77"/>
        <v>0</v>
      </c>
      <c r="AO48" s="768">
        <f t="shared" ref="AO48" si="78">AO18/AO$12</f>
        <v>0</v>
      </c>
      <c r="AP48" s="768">
        <f t="shared" ref="AP48:AR48" si="79">AP18/AP$12</f>
        <v>0</v>
      </c>
      <c r="AQ48" s="768">
        <f t="shared" ref="AQ48" si="80">AQ18/AQ$12</f>
        <v>0</v>
      </c>
      <c r="AR48" s="768">
        <f t="shared" si="79"/>
        <v>0</v>
      </c>
      <c r="AS48" s="768">
        <f t="shared" ref="AS48:AT48" si="81">AS18/AS$12</f>
        <v>0</v>
      </c>
      <c r="AT48" s="768">
        <f t="shared" si="81"/>
        <v>0</v>
      </c>
      <c r="AU48" s="768">
        <f t="shared" ref="AU48" si="82">AU18/AU$12</f>
        <v>0</v>
      </c>
    </row>
    <row r="49" spans="1:58" collapsed="1" x14ac:dyDescent="0.35">
      <c r="A49" s="1625" t="s">
        <v>2930</v>
      </c>
      <c r="B49" s="772" t="s">
        <v>718</v>
      </c>
      <c r="C49" s="754"/>
      <c r="D49" s="755"/>
      <c r="E49" s="773">
        <f t="shared" ref="E49:X49" si="83">E20/E24</f>
        <v>0.11099999999999999</v>
      </c>
      <c r="F49" s="773">
        <f t="shared" si="83"/>
        <v>0.22258011232243144</v>
      </c>
      <c r="G49" s="773">
        <f t="shared" si="83"/>
        <v>0.12840412022012135</v>
      </c>
      <c r="H49" s="773">
        <f t="shared" si="83"/>
        <v>1.9298245614035089E-2</v>
      </c>
      <c r="I49" s="773">
        <f t="shared" si="83"/>
        <v>0</v>
      </c>
      <c r="J49" s="773">
        <f t="shared" si="83"/>
        <v>0</v>
      </c>
      <c r="K49" s="773">
        <f t="shared" si="83"/>
        <v>0</v>
      </c>
      <c r="L49" s="773">
        <f t="shared" si="83"/>
        <v>0</v>
      </c>
      <c r="M49" s="773">
        <f t="shared" si="83"/>
        <v>0</v>
      </c>
      <c r="N49" s="773">
        <f t="shared" si="83"/>
        <v>0</v>
      </c>
      <c r="O49" s="773">
        <f t="shared" si="83"/>
        <v>0</v>
      </c>
      <c r="P49" s="773">
        <f t="shared" si="83"/>
        <v>0</v>
      </c>
      <c r="Q49" s="773">
        <f t="shared" si="83"/>
        <v>0</v>
      </c>
      <c r="R49" s="773">
        <f t="shared" si="83"/>
        <v>0</v>
      </c>
      <c r="S49" s="773">
        <f t="shared" si="83"/>
        <v>0</v>
      </c>
      <c r="T49" s="773">
        <f t="shared" si="83"/>
        <v>0</v>
      </c>
      <c r="U49" s="773">
        <f t="shared" si="83"/>
        <v>0</v>
      </c>
      <c r="V49" s="773">
        <f t="shared" si="83"/>
        <v>0</v>
      </c>
      <c r="W49" s="773">
        <f t="shared" si="83"/>
        <v>0</v>
      </c>
      <c r="X49" s="773">
        <f t="shared" si="83"/>
        <v>0</v>
      </c>
      <c r="Y49" s="771"/>
      <c r="Z49" s="773"/>
      <c r="AA49" s="773"/>
      <c r="AB49" s="773"/>
      <c r="AC49" s="773"/>
      <c r="AD49" s="773"/>
      <c r="AE49" s="773"/>
      <c r="AF49" s="773"/>
      <c r="AG49" s="773"/>
      <c r="AH49" s="773">
        <f t="shared" ref="AH49:AN49" si="84">AH20/AH24</f>
        <v>0</v>
      </c>
      <c r="AI49" s="773">
        <f t="shared" si="84"/>
        <v>0</v>
      </c>
      <c r="AJ49" s="773">
        <f t="shared" si="84"/>
        <v>0</v>
      </c>
      <c r="AK49" s="773">
        <f t="shared" si="84"/>
        <v>0</v>
      </c>
      <c r="AL49" s="773">
        <f t="shared" si="84"/>
        <v>0</v>
      </c>
      <c r="AM49" s="773">
        <f t="shared" si="84"/>
        <v>0</v>
      </c>
      <c r="AN49" s="773">
        <f t="shared" si="84"/>
        <v>0</v>
      </c>
      <c r="AO49" s="773">
        <f t="shared" ref="AO49" si="85">AO20/AO24</f>
        <v>0</v>
      </c>
      <c r="AP49" s="773">
        <f t="shared" ref="AP49:AR49" si="86">AP20/AP24</f>
        <v>0</v>
      </c>
      <c r="AQ49" s="773">
        <f t="shared" ref="AQ49" si="87">AQ20/AQ24</f>
        <v>0</v>
      </c>
      <c r="AR49" s="773">
        <f t="shared" si="86"/>
        <v>0</v>
      </c>
      <c r="AS49" s="773">
        <f t="shared" ref="AS49:AT49" si="88">AS20/AS24</f>
        <v>0</v>
      </c>
      <c r="AT49" s="773">
        <f t="shared" si="88"/>
        <v>0</v>
      </c>
      <c r="AU49" s="773">
        <f t="shared" ref="AU49" si="89">AU20/AU24</f>
        <v>0</v>
      </c>
    </row>
    <row r="50" spans="1:58" x14ac:dyDescent="0.35">
      <c r="A50" s="1617" t="s">
        <v>2675</v>
      </c>
      <c r="B50" s="751" t="s">
        <v>1869</v>
      </c>
      <c r="C50" s="752"/>
      <c r="D50" s="756"/>
      <c r="E50" s="771">
        <f t="shared" ref="E50:X50" si="90">E22/E24</f>
        <v>0</v>
      </c>
      <c r="F50" s="771">
        <f t="shared" si="90"/>
        <v>0</v>
      </c>
      <c r="G50" s="771">
        <f t="shared" si="90"/>
        <v>0</v>
      </c>
      <c r="H50" s="771">
        <f t="shared" si="90"/>
        <v>0</v>
      </c>
      <c r="I50" s="771">
        <f t="shared" si="90"/>
        <v>0</v>
      </c>
      <c r="J50" s="771">
        <f t="shared" si="90"/>
        <v>0</v>
      </c>
      <c r="K50" s="771">
        <f t="shared" si="90"/>
        <v>7.4184782608695654E-2</v>
      </c>
      <c r="L50" s="771">
        <f t="shared" si="90"/>
        <v>3.9996622874438136E-2</v>
      </c>
      <c r="M50" s="771">
        <f t="shared" si="90"/>
        <v>3.2536520584329348E-2</v>
      </c>
      <c r="N50" s="771">
        <f t="shared" si="90"/>
        <v>3.8236553003281493E-2</v>
      </c>
      <c r="O50" s="771">
        <f t="shared" si="90"/>
        <v>3.7483586009311211E-2</v>
      </c>
      <c r="P50" s="771">
        <f t="shared" si="90"/>
        <v>4.0527438433197595E-2</v>
      </c>
      <c r="Q50" s="771">
        <f t="shared" si="90"/>
        <v>3.9866833125260091E-2</v>
      </c>
      <c r="R50" s="771">
        <f t="shared" si="90"/>
        <v>4.5651780871451816E-2</v>
      </c>
      <c r="S50" s="771">
        <f t="shared" si="90"/>
        <v>4.6092906013683835E-2</v>
      </c>
      <c r="T50" s="771">
        <f t="shared" si="90"/>
        <v>5.8621920742591933E-2</v>
      </c>
      <c r="U50" s="771">
        <f t="shared" si="90"/>
        <v>6.3024556557229161E-2</v>
      </c>
      <c r="V50" s="771">
        <f t="shared" si="90"/>
        <v>6.1169675243859634E-2</v>
      </c>
      <c r="W50" s="771">
        <f t="shared" si="90"/>
        <v>5.2162964295350299E-2</v>
      </c>
      <c r="X50" s="771">
        <f t="shared" si="90"/>
        <v>3.8422221438894566E-2</v>
      </c>
      <c r="Y50" s="771"/>
      <c r="Z50" s="771">
        <f t="shared" ref="Z50:AN50" si="91">Z22/Z24</f>
        <v>4.1530944625407164E-2</v>
      </c>
      <c r="AA50" s="771">
        <f t="shared" si="91"/>
        <v>3.4586466165413533E-2</v>
      </c>
      <c r="AB50" s="771">
        <f t="shared" si="91"/>
        <v>4.3033263549662713E-2</v>
      </c>
      <c r="AC50" s="771">
        <f t="shared" si="91"/>
        <v>3.1633153506620895E-2</v>
      </c>
      <c r="AD50" s="771">
        <f t="shared" si="91"/>
        <v>3.5552193645990923E-2</v>
      </c>
      <c r="AE50" s="771">
        <f t="shared" si="91"/>
        <v>4.5762037405491444E-2</v>
      </c>
      <c r="AF50" s="771">
        <f t="shared" si="91"/>
        <v>4.3573325003904421E-2</v>
      </c>
      <c r="AG50" s="771">
        <f t="shared" si="91"/>
        <v>3.5637918745545262E-2</v>
      </c>
      <c r="AH50" s="771">
        <f t="shared" si="91"/>
        <v>4.1944872453347028E-2</v>
      </c>
      <c r="AI50" s="771">
        <f t="shared" si="91"/>
        <v>4.9798889101704658E-2</v>
      </c>
      <c r="AJ50" s="771">
        <f t="shared" si="91"/>
        <v>5.1373954599761053E-2</v>
      </c>
      <c r="AK50" s="771">
        <f t="shared" si="91"/>
        <v>4.1735129806112388E-2</v>
      </c>
      <c r="AL50" s="771">
        <f t="shared" si="91"/>
        <v>6.4511555366510709E-2</v>
      </c>
      <c r="AM50" s="771">
        <f t="shared" si="91"/>
        <v>5.2646720368239357E-2</v>
      </c>
      <c r="AN50" s="771">
        <f t="shared" si="91"/>
        <v>6.6423519009725901E-2</v>
      </c>
      <c r="AO50" s="771">
        <f t="shared" ref="AO50" si="92">AO22/AO24</f>
        <v>5.8646852002106731E-2</v>
      </c>
      <c r="AP50" s="771">
        <f t="shared" ref="AP50:AR50" si="93">AP22/AP24</f>
        <v>6.8374302829993808E-2</v>
      </c>
      <c r="AQ50" s="771">
        <f t="shared" ref="AQ50" si="94">AQ22/AQ24</f>
        <v>5.3520910546283912E-2</v>
      </c>
      <c r="AR50" s="771">
        <f t="shared" si="93"/>
        <v>4.826979940861504E-2</v>
      </c>
      <c r="AS50" s="771">
        <f t="shared" ref="AS50:AT50" si="95">AS22/AS24</f>
        <v>5.7818903762872832E-2</v>
      </c>
      <c r="AT50" s="771">
        <f t="shared" si="95"/>
        <v>4.7300215982721383E-2</v>
      </c>
      <c r="AU50" s="771">
        <f t="shared" ref="AU50" si="96">AU22/AU24</f>
        <v>2.7830030664570824E-2</v>
      </c>
    </row>
    <row r="51" spans="1:58" x14ac:dyDescent="0.35">
      <c r="A51" s="1617" t="s">
        <v>96</v>
      </c>
      <c r="B51" s="751" t="s">
        <v>512</v>
      </c>
      <c r="C51" s="752"/>
      <c r="D51" s="752"/>
      <c r="E51" s="771">
        <f t="shared" ref="E51:X51" si="97">SUM(E42:E50)</f>
        <v>1</v>
      </c>
      <c r="F51" s="771">
        <f t="shared" si="97"/>
        <v>1</v>
      </c>
      <c r="G51" s="771">
        <f t="shared" si="97"/>
        <v>1</v>
      </c>
      <c r="H51" s="771">
        <f t="shared" si="97"/>
        <v>1.0000000000000002</v>
      </c>
      <c r="I51" s="771">
        <f t="shared" si="97"/>
        <v>1</v>
      </c>
      <c r="J51" s="771">
        <f t="shared" si="97"/>
        <v>1</v>
      </c>
      <c r="K51" s="771">
        <f t="shared" si="97"/>
        <v>1</v>
      </c>
      <c r="L51" s="771">
        <f t="shared" si="97"/>
        <v>1</v>
      </c>
      <c r="M51" s="771">
        <f t="shared" si="97"/>
        <v>1</v>
      </c>
      <c r="N51" s="771">
        <f t="shared" si="97"/>
        <v>1</v>
      </c>
      <c r="O51" s="771">
        <f t="shared" si="97"/>
        <v>1</v>
      </c>
      <c r="P51" s="771">
        <f t="shared" si="97"/>
        <v>1</v>
      </c>
      <c r="Q51" s="771">
        <f t="shared" si="97"/>
        <v>1</v>
      </c>
      <c r="R51" s="771">
        <f t="shared" si="97"/>
        <v>2</v>
      </c>
      <c r="S51" s="771">
        <f t="shared" si="97"/>
        <v>1.9999999999999998</v>
      </c>
      <c r="T51" s="771">
        <f t="shared" si="97"/>
        <v>1</v>
      </c>
      <c r="U51" s="771">
        <f t="shared" si="97"/>
        <v>1</v>
      </c>
      <c r="V51" s="771">
        <f t="shared" si="97"/>
        <v>1</v>
      </c>
      <c r="W51" s="771">
        <f t="shared" si="97"/>
        <v>1</v>
      </c>
      <c r="X51" s="771">
        <f t="shared" si="97"/>
        <v>1</v>
      </c>
      <c r="Y51" s="771"/>
      <c r="Z51" s="771">
        <f t="shared" ref="Z51:AI51" si="98">SUM(Z42:Z50)</f>
        <v>1</v>
      </c>
      <c r="AA51" s="771">
        <f t="shared" si="98"/>
        <v>1</v>
      </c>
      <c r="AB51" s="771">
        <f t="shared" si="98"/>
        <v>1</v>
      </c>
      <c r="AC51" s="771">
        <f t="shared" si="98"/>
        <v>1</v>
      </c>
      <c r="AD51" s="771">
        <f t="shared" si="98"/>
        <v>1</v>
      </c>
      <c r="AE51" s="771">
        <f t="shared" si="98"/>
        <v>1</v>
      </c>
      <c r="AF51" s="771">
        <f t="shared" si="98"/>
        <v>1</v>
      </c>
      <c r="AG51" s="771">
        <f t="shared" si="98"/>
        <v>0.99999999999999989</v>
      </c>
      <c r="AH51" s="771">
        <f t="shared" si="98"/>
        <v>2</v>
      </c>
      <c r="AI51" s="771">
        <f t="shared" si="98"/>
        <v>2</v>
      </c>
      <c r="AJ51" s="771">
        <f t="shared" ref="AJ51:AP51" si="99">SUM(AJ42:AJ50)-AJ46-AJ47-AJ48</f>
        <v>0.99999999999999967</v>
      </c>
      <c r="AK51" s="771">
        <f t="shared" si="99"/>
        <v>0.99999999999999989</v>
      </c>
      <c r="AL51" s="771">
        <f t="shared" si="99"/>
        <v>0.99999999999999989</v>
      </c>
      <c r="AM51" s="771">
        <f t="shared" si="99"/>
        <v>1</v>
      </c>
      <c r="AN51" s="771">
        <f t="shared" si="99"/>
        <v>0.99999999999999989</v>
      </c>
      <c r="AO51" s="771">
        <f t="shared" si="99"/>
        <v>1</v>
      </c>
      <c r="AP51" s="771">
        <f t="shared" si="99"/>
        <v>1</v>
      </c>
      <c r="AQ51" s="771">
        <f t="shared" ref="AQ51" si="100">SUM(AQ42:AQ50)-AQ46-AQ47-AQ48</f>
        <v>1</v>
      </c>
      <c r="AR51" s="771">
        <f t="shared" ref="AR51:AS51" si="101">SUM(AR42:AR50)-AR46-AR47-AR48</f>
        <v>1</v>
      </c>
      <c r="AS51" s="771">
        <f t="shared" si="101"/>
        <v>0.99999999999999989</v>
      </c>
      <c r="AT51" s="771">
        <f t="shared" ref="AT51:AU51" si="102">SUM(AT42:AT50)-AT46-AT47-AT48</f>
        <v>1</v>
      </c>
      <c r="AU51" s="771">
        <f t="shared" si="102"/>
        <v>1</v>
      </c>
    </row>
    <row r="52" spans="1:58" s="764" customFormat="1" x14ac:dyDescent="0.35">
      <c r="A52" s="1626" t="s">
        <v>2932</v>
      </c>
      <c r="B52" s="776" t="s">
        <v>1871</v>
      </c>
      <c r="C52" s="777"/>
      <c r="D52" s="777"/>
      <c r="E52" s="756">
        <f t="shared" ref="E52:X52" si="103">E42+E43</f>
        <v>0.88900000000000001</v>
      </c>
      <c r="F52" s="756">
        <f t="shared" si="103"/>
        <v>0.77741988767756864</v>
      </c>
      <c r="G52" s="756">
        <f t="shared" si="103"/>
        <v>0.782700719627487</v>
      </c>
      <c r="H52" s="756">
        <f t="shared" si="103"/>
        <v>0.63684210526315799</v>
      </c>
      <c r="I52" s="756">
        <f t="shared" si="103"/>
        <v>0.6883273164861613</v>
      </c>
      <c r="J52" s="756">
        <f t="shared" si="103"/>
        <v>0.34676354029062084</v>
      </c>
      <c r="K52" s="756">
        <f t="shared" si="103"/>
        <v>0.50217391304347825</v>
      </c>
      <c r="L52" s="756">
        <f t="shared" si="103"/>
        <v>0.45396166962487283</v>
      </c>
      <c r="M52" s="756">
        <f t="shared" si="103"/>
        <v>0.32569721115537853</v>
      </c>
      <c r="N52" s="756">
        <f t="shared" si="103"/>
        <v>0.27336281923241545</v>
      </c>
      <c r="O52" s="756">
        <f t="shared" si="103"/>
        <v>0.26369822132028176</v>
      </c>
      <c r="P52" s="756">
        <f t="shared" si="103"/>
        <v>0.23133604808997479</v>
      </c>
      <c r="Q52" s="756">
        <f t="shared" si="103"/>
        <v>0.27815230961298376</v>
      </c>
      <c r="R52" s="756">
        <f t="shared" si="103"/>
        <v>0.45326342433556321</v>
      </c>
      <c r="S52" s="756">
        <f t="shared" si="103"/>
        <v>0.36352178610010805</v>
      </c>
      <c r="T52" s="756">
        <f t="shared" si="103"/>
        <v>0.3619421635130311</v>
      </c>
      <c r="U52" s="756">
        <f t="shared" si="103"/>
        <v>0.36502603729212157</v>
      </c>
      <c r="V52" s="756">
        <f t="shared" si="103"/>
        <v>0.42794838792030554</v>
      </c>
      <c r="W52" s="756">
        <f t="shared" si="103"/>
        <v>0.4735895408996455</v>
      </c>
      <c r="X52" s="756">
        <f t="shared" si="103"/>
        <v>0.33348020726849725</v>
      </c>
      <c r="Y52" s="756"/>
      <c r="Z52" s="756">
        <f t="shared" ref="Z52:AN52" si="104">Z42+Z43</f>
        <v>0.46851248642779586</v>
      </c>
      <c r="AA52" s="756">
        <f t="shared" si="104"/>
        <v>5.7142857142857141E-2</v>
      </c>
      <c r="AB52" s="756">
        <f t="shared" si="104"/>
        <v>0.41288671784135844</v>
      </c>
      <c r="AC52" s="756">
        <f t="shared" si="104"/>
        <v>0.10642471799901913</v>
      </c>
      <c r="AD52" s="756">
        <f t="shared" si="104"/>
        <v>0.31316187594553707</v>
      </c>
      <c r="AE52" s="756">
        <f t="shared" si="104"/>
        <v>0.14524472741742939</v>
      </c>
      <c r="AF52" s="756">
        <f t="shared" si="104"/>
        <v>0.34608777135717633</v>
      </c>
      <c r="AG52" s="756">
        <f t="shared" si="104"/>
        <v>0.20064148253741981</v>
      </c>
      <c r="AH52" s="756">
        <f t="shared" si="104"/>
        <v>0.53723677452491014</v>
      </c>
      <c r="AI52" s="756">
        <f t="shared" si="104"/>
        <v>0.35931813828768439</v>
      </c>
      <c r="AJ52" s="756">
        <f t="shared" si="104"/>
        <v>0.52130625248904816</v>
      </c>
      <c r="AK52" s="756">
        <f t="shared" si="104"/>
        <v>0.23332237923102203</v>
      </c>
      <c r="AL52" s="756">
        <f t="shared" si="104"/>
        <v>0.42223167446476678</v>
      </c>
      <c r="AM52" s="756">
        <f t="shared" si="104"/>
        <v>0.30077675489067895</v>
      </c>
      <c r="AN52" s="756">
        <f t="shared" si="104"/>
        <v>0.43633952254641906</v>
      </c>
      <c r="AO52" s="756">
        <f t="shared" ref="AO52" si="105">AO42+AO43</f>
        <v>0.27317760601272578</v>
      </c>
      <c r="AP52" s="756">
        <f t="shared" ref="AP52:AR52" si="106">AP42+AP43</f>
        <v>0.42976657715348066</v>
      </c>
      <c r="AQ52" s="756">
        <f t="shared" ref="AQ52" si="107">AQ42+AQ43</f>
        <v>0.42601811443233406</v>
      </c>
      <c r="AR52" s="756">
        <f t="shared" si="106"/>
        <v>0.49684328298569491</v>
      </c>
      <c r="AS52" s="756">
        <f t="shared" ref="AS52:AT52" si="108">AS42+AS43</f>
        <v>0.43980680591192484</v>
      </c>
      <c r="AT52" s="756">
        <f t="shared" si="108"/>
        <v>0.38822894168466521</v>
      </c>
      <c r="AU52" s="756">
        <f t="shared" ref="AU52" si="109">AU42+AU43</f>
        <v>0.26816038343597803</v>
      </c>
      <c r="AW52" s="148"/>
      <c r="AX52" s="148"/>
      <c r="AY52" s="148"/>
      <c r="AZ52" s="148"/>
      <c r="BA52" s="148"/>
      <c r="BB52" s="148"/>
      <c r="BC52" s="148"/>
      <c r="BD52" s="148"/>
      <c r="BE52" s="148"/>
      <c r="BF52" s="148"/>
    </row>
    <row r="53" spans="1:58" x14ac:dyDescent="0.35">
      <c r="A53" s="1623"/>
      <c r="B53" s="765"/>
      <c r="C53" s="752"/>
      <c r="D53" s="756"/>
      <c r="E53" s="756"/>
      <c r="F53" s="752"/>
      <c r="G53" s="752"/>
      <c r="H53" s="752"/>
      <c r="I53" s="752"/>
      <c r="J53" s="752"/>
      <c r="K53" s="752"/>
      <c r="L53" s="752"/>
      <c r="M53" s="752"/>
      <c r="N53" s="752"/>
      <c r="O53" s="766"/>
      <c r="P53" s="752"/>
      <c r="Q53" s="752"/>
      <c r="R53" s="752"/>
      <c r="S53" s="752"/>
      <c r="T53" s="752"/>
      <c r="U53" s="752"/>
      <c r="V53" s="752"/>
      <c r="W53" s="752"/>
      <c r="X53" s="752"/>
      <c r="Y53" s="752"/>
    </row>
    <row r="54" spans="1:58" ht="10.5" x14ac:dyDescent="0.35">
      <c r="A54" s="1628" t="s">
        <v>2845</v>
      </c>
      <c r="B54" s="771"/>
      <c r="C54" s="771"/>
      <c r="D54" s="771"/>
      <c r="E54" s="771"/>
      <c r="F54" s="771"/>
      <c r="G54" s="771"/>
      <c r="H54" s="771"/>
      <c r="I54" s="771"/>
      <c r="J54" s="771"/>
      <c r="K54" s="771"/>
      <c r="L54" s="771"/>
      <c r="M54" s="771"/>
      <c r="N54" s="771"/>
      <c r="O54" s="771"/>
      <c r="P54" s="771"/>
      <c r="Q54" s="771"/>
      <c r="R54" s="771"/>
      <c r="S54" s="771"/>
      <c r="T54" s="771">
        <f t="shared" ref="T54" si="110">T30/T$38</f>
        <v>0.21593830334190231</v>
      </c>
      <c r="U54" s="771">
        <f>U30/U$38</f>
        <v>0.32097306041187085</v>
      </c>
      <c r="V54" s="771">
        <f>V30/V$38</f>
        <v>0.39689378224562522</v>
      </c>
      <c r="W54" s="771">
        <f>W30/W$38</f>
        <v>0.41586595351919348</v>
      </c>
      <c r="X54" s="1724">
        <v>0.501</v>
      </c>
      <c r="Y54" s="752"/>
      <c r="AL54" s="771"/>
      <c r="AM54" s="771"/>
      <c r="AN54" s="771">
        <f t="shared" ref="AN54:AS54" si="111">AN30/AN$38</f>
        <v>0.43723803220825058</v>
      </c>
      <c r="AO54" s="771">
        <f t="shared" si="111"/>
        <v>0.1705437419723134</v>
      </c>
      <c r="AP54" s="771">
        <f t="shared" si="111"/>
        <v>0.51074158231770295</v>
      </c>
      <c r="AQ54" s="771">
        <f t="shared" si="111"/>
        <v>0.27601710713894068</v>
      </c>
      <c r="AR54" s="771">
        <f>AR30/AR$38</f>
        <v>0.479539641943734</v>
      </c>
      <c r="AS54" s="771">
        <f t="shared" si="111"/>
        <v>0.32338943702843875</v>
      </c>
      <c r="AT54" s="771">
        <v>0.48</v>
      </c>
      <c r="AU54" s="771">
        <f t="shared" ref="AU54" si="112">AU30/AU$38</f>
        <v>0.52749503955471955</v>
      </c>
    </row>
    <row r="55" spans="1:58" ht="10.5" x14ac:dyDescent="0.35">
      <c r="A55" s="1629" t="s">
        <v>2846</v>
      </c>
      <c r="B55" s="773"/>
      <c r="C55" s="773"/>
      <c r="D55" s="773"/>
      <c r="E55" s="773"/>
      <c r="F55" s="773"/>
      <c r="G55" s="773"/>
      <c r="H55" s="773"/>
      <c r="I55" s="773"/>
      <c r="J55" s="773"/>
      <c r="K55" s="773"/>
      <c r="L55" s="773"/>
      <c r="M55" s="773"/>
      <c r="N55" s="773"/>
      <c r="O55" s="773"/>
      <c r="P55" s="773"/>
      <c r="Q55" s="773"/>
      <c r="R55" s="773"/>
      <c r="S55" s="773"/>
      <c r="T55" s="773">
        <f t="shared" ref="T55:U55" si="113">T32/T$38</f>
        <v>0.43837475007140819</v>
      </c>
      <c r="U55" s="773">
        <f t="shared" si="113"/>
        <v>0.33173645243576183</v>
      </c>
      <c r="V55" s="773">
        <f t="shared" ref="V55:W55" si="114">V32/V$38</f>
        <v>0.34343917876708685</v>
      </c>
      <c r="W55" s="773">
        <f t="shared" si="114"/>
        <v>0.24650920622899608</v>
      </c>
      <c r="X55" s="1725">
        <v>0.313</v>
      </c>
      <c r="Y55" s="752"/>
      <c r="AL55" s="773"/>
      <c r="AM55" s="773"/>
      <c r="AN55" s="773">
        <f t="shared" ref="AN55:AS55" si="115">AN32/AN$38</f>
        <v>0.26461504522391355</v>
      </c>
      <c r="AO55" s="773">
        <f t="shared" si="115"/>
        <v>0.41858141858141856</v>
      </c>
      <c r="AP55" s="773">
        <f t="shared" si="115"/>
        <v>0.25118777112166907</v>
      </c>
      <c r="AQ55" s="773">
        <f t="shared" si="115"/>
        <v>0.44138611689878277</v>
      </c>
      <c r="AR55" s="773">
        <f t="shared" si="115"/>
        <v>0.1816656010230179</v>
      </c>
      <c r="AS55" s="773">
        <f t="shared" si="115"/>
        <v>0.34068485200232151</v>
      </c>
      <c r="AT55" s="773">
        <v>0.35299999999999998</v>
      </c>
      <c r="AU55" s="773">
        <f t="shared" ref="AU55" si="116">AU32/AU$38</f>
        <v>0.26527665111964344</v>
      </c>
    </row>
    <row r="56" spans="1:58" ht="10.5" x14ac:dyDescent="0.35">
      <c r="A56" s="1628" t="s">
        <v>2847</v>
      </c>
      <c r="B56" s="771"/>
      <c r="C56" s="771"/>
      <c r="D56" s="771"/>
      <c r="E56" s="771"/>
      <c r="F56" s="771"/>
      <c r="G56" s="771"/>
      <c r="H56" s="771"/>
      <c r="I56" s="771"/>
      <c r="J56" s="771"/>
      <c r="K56" s="771"/>
      <c r="L56" s="771"/>
      <c r="M56" s="771"/>
      <c r="N56" s="771"/>
      <c r="O56" s="771"/>
      <c r="P56" s="771"/>
      <c r="Q56" s="771"/>
      <c r="R56" s="771"/>
      <c r="S56" s="771"/>
      <c r="T56" s="771">
        <f t="shared" ref="T56:U56" si="117">T34/T$38</f>
        <v>0.33197657812053699</v>
      </c>
      <c r="U56" s="771">
        <f t="shared" si="117"/>
        <v>0.33540720462888074</v>
      </c>
      <c r="V56" s="771">
        <f t="shared" ref="V56:W56" si="118">V34/V$38</f>
        <v>0.24711451518536248</v>
      </c>
      <c r="W56" s="771">
        <f t="shared" si="118"/>
        <v>0.32725895773181235</v>
      </c>
      <c r="X56" s="1724">
        <v>0.17599999999999999</v>
      </c>
      <c r="Y56" s="752"/>
      <c r="AL56" s="771"/>
      <c r="AM56" s="771"/>
      <c r="AN56" s="771">
        <f t="shared" ref="AN56:AS56" si="119">AN34/AN$38</f>
        <v>0.28568277079197002</v>
      </c>
      <c r="AO56" s="771">
        <f t="shared" si="119"/>
        <v>0.39974311402882834</v>
      </c>
      <c r="AP56" s="771">
        <f t="shared" si="119"/>
        <v>0.22805205536046272</v>
      </c>
      <c r="AQ56" s="771">
        <f t="shared" si="119"/>
        <v>0.26735387652154841</v>
      </c>
      <c r="AR56" s="771">
        <f t="shared" si="119"/>
        <v>0.33088235294117646</v>
      </c>
      <c r="AS56" s="771">
        <f t="shared" si="119"/>
        <v>0.32199651770168314</v>
      </c>
      <c r="AT56" s="771">
        <v>0.155</v>
      </c>
      <c r="AU56" s="771">
        <f t="shared" ref="AU56" si="120">AU34/AU$38</f>
        <v>0.20105475816218721</v>
      </c>
    </row>
    <row r="57" spans="1:58" ht="10.5" x14ac:dyDescent="0.35">
      <c r="A57" s="1629" t="s">
        <v>2848</v>
      </c>
      <c r="B57" s="773"/>
      <c r="C57" s="773"/>
      <c r="D57" s="773"/>
      <c r="E57" s="773"/>
      <c r="F57" s="773"/>
      <c r="G57" s="773"/>
      <c r="H57" s="773"/>
      <c r="I57" s="773"/>
      <c r="J57" s="773"/>
      <c r="K57" s="773"/>
      <c r="L57" s="773"/>
      <c r="M57" s="773"/>
      <c r="N57" s="773"/>
      <c r="O57" s="773"/>
      <c r="P57" s="773"/>
      <c r="Q57" s="773"/>
      <c r="R57" s="773"/>
      <c r="S57" s="773"/>
      <c r="T57" s="773">
        <f t="shared" ref="T57:U57" si="121">T36/T$38</f>
        <v>1.3710368466152529E-2</v>
      </c>
      <c r="U57" s="773">
        <f t="shared" si="121"/>
        <v>1.1883282523486593E-2</v>
      </c>
      <c r="V57" s="773">
        <f t="shared" ref="V57:W57" si="122">V36/V$38</f>
        <v>1.255252380192543E-2</v>
      </c>
      <c r="W57" s="773">
        <f t="shared" si="122"/>
        <v>1.0365882519998107E-2</v>
      </c>
      <c r="X57" s="1725">
        <v>0.01</v>
      </c>
      <c r="Y57" s="752"/>
      <c r="AL57" s="773"/>
      <c r="AM57" s="773"/>
      <c r="AN57" s="773">
        <f t="shared" ref="AN57:AS57" si="123">AN36/AN$38</f>
        <v>1.2464151775865873E-2</v>
      </c>
      <c r="AO57" s="773">
        <f t="shared" si="123"/>
        <v>1.1131725417439703E-2</v>
      </c>
      <c r="AP57" s="773">
        <f t="shared" si="123"/>
        <v>1.0018591200165254E-2</v>
      </c>
      <c r="AQ57" s="773">
        <f t="shared" si="123"/>
        <v>1.5242899440728151E-2</v>
      </c>
      <c r="AR57" s="773">
        <f t="shared" si="123"/>
        <v>7.9124040920716121E-3</v>
      </c>
      <c r="AS57" s="773">
        <f t="shared" si="123"/>
        <v>1.3929193267556587E-2</v>
      </c>
      <c r="AT57" s="773">
        <v>1.2E-2</v>
      </c>
      <c r="AU57" s="773">
        <f t="shared" ref="AU57" si="124">AU36/AU$38</f>
        <v>7.6138325559821692E-3</v>
      </c>
    </row>
    <row r="58" spans="1:58" ht="10.5" x14ac:dyDescent="0.35">
      <c r="A58" s="1628" t="s">
        <v>2849</v>
      </c>
      <c r="B58" s="771"/>
      <c r="C58" s="771"/>
      <c r="D58" s="771"/>
      <c r="E58" s="771"/>
      <c r="F58" s="771"/>
      <c r="G58" s="771"/>
      <c r="H58" s="771"/>
      <c r="I58" s="771"/>
      <c r="J58" s="771"/>
      <c r="K58" s="771"/>
      <c r="L58" s="771"/>
      <c r="M58" s="771"/>
      <c r="N58" s="771"/>
      <c r="O58" s="771"/>
      <c r="P58" s="771"/>
      <c r="Q58" s="771"/>
      <c r="R58" s="771"/>
      <c r="S58" s="771"/>
      <c r="T58" s="771">
        <f>SUM(T54:T57)</f>
        <v>0.99999999999999989</v>
      </c>
      <c r="U58" s="771">
        <f>SUM(U54:U57)</f>
        <v>1</v>
      </c>
      <c r="V58" s="771">
        <f>SUM(V54:V57)</f>
        <v>0.99999999999999989</v>
      </c>
      <c r="W58" s="771">
        <f>SUM(W54:W57)</f>
        <v>1</v>
      </c>
      <c r="X58" s="1724">
        <f>SUM(X54:X57)</f>
        <v>1</v>
      </c>
      <c r="Y58" s="752"/>
      <c r="AL58" s="771"/>
      <c r="AM58" s="771"/>
      <c r="AN58" s="771">
        <f t="shared" ref="AN58:AS58" si="125">AN38/AN$38</f>
        <v>1</v>
      </c>
      <c r="AO58" s="771">
        <f t="shared" si="125"/>
        <v>1</v>
      </c>
      <c r="AP58" s="771">
        <f t="shared" si="125"/>
        <v>1</v>
      </c>
      <c r="AQ58" s="771">
        <f t="shared" si="125"/>
        <v>1</v>
      </c>
      <c r="AR58" s="771">
        <f t="shared" si="125"/>
        <v>1</v>
      </c>
      <c r="AS58" s="771">
        <f t="shared" si="125"/>
        <v>1</v>
      </c>
      <c r="AT58" s="771">
        <v>1</v>
      </c>
      <c r="AU58" s="771">
        <f t="shared" ref="AU58" si="126">AU38/AU$38</f>
        <v>1</v>
      </c>
    </row>
    <row r="59" spans="1:58" x14ac:dyDescent="0.35">
      <c r="A59" s="1623"/>
      <c r="B59" s="765"/>
      <c r="C59" s="752"/>
      <c r="D59" s="756"/>
      <c r="E59" s="756"/>
      <c r="F59" s="752"/>
      <c r="G59" s="752"/>
      <c r="H59" s="752"/>
      <c r="I59" s="752"/>
      <c r="J59" s="752"/>
      <c r="K59" s="752"/>
      <c r="L59" s="752"/>
      <c r="M59" s="752"/>
      <c r="N59" s="752"/>
      <c r="O59" s="766"/>
      <c r="P59" s="752"/>
      <c r="Q59" s="752"/>
      <c r="R59" s="752"/>
      <c r="S59" s="752"/>
      <c r="T59" s="752"/>
      <c r="U59" s="752"/>
      <c r="V59" s="752"/>
      <c r="W59" s="752"/>
      <c r="X59" s="752"/>
      <c r="Y59" s="752"/>
    </row>
    <row r="60" spans="1:58" ht="10.5" x14ac:dyDescent="0.35">
      <c r="A60" s="1616" t="s">
        <v>2933</v>
      </c>
      <c r="B60" s="746" t="s">
        <v>1875</v>
      </c>
      <c r="C60" s="747"/>
      <c r="D60" s="747" t="s">
        <v>328</v>
      </c>
      <c r="E60" s="747" t="s">
        <v>323</v>
      </c>
      <c r="F60" s="747" t="s">
        <v>198</v>
      </c>
      <c r="G60" s="748" t="s">
        <v>331</v>
      </c>
      <c r="H60" s="748" t="s">
        <v>21</v>
      </c>
      <c r="I60" s="748" t="s">
        <v>721</v>
      </c>
      <c r="J60" s="748" t="s">
        <v>832</v>
      </c>
      <c r="K60" s="748" t="s">
        <v>831</v>
      </c>
      <c r="L60" s="748" t="s">
        <v>1376</v>
      </c>
      <c r="M60" s="748" t="s">
        <v>1510</v>
      </c>
      <c r="N60" s="748" t="str">
        <f>N1</f>
        <v>2015A</v>
      </c>
      <c r="O60" s="748" t="s">
        <v>1739</v>
      </c>
      <c r="P60" s="748" t="s">
        <v>337</v>
      </c>
      <c r="Q60" s="748" t="str">
        <f>$Q$1</f>
        <v>2018A</v>
      </c>
      <c r="R60" s="748" t="str">
        <f t="shared" ref="R60:X60" si="127">R$1</f>
        <v>2019A</v>
      </c>
      <c r="S60" s="748" t="str">
        <f t="shared" si="127"/>
        <v>2020A</v>
      </c>
      <c r="T60" s="748" t="str">
        <f t="shared" si="127"/>
        <v>2021A</v>
      </c>
      <c r="U60" s="748" t="str">
        <f t="shared" si="127"/>
        <v>2022A</v>
      </c>
      <c r="V60" s="748" t="str">
        <f t="shared" si="127"/>
        <v>2023A</v>
      </c>
      <c r="W60" s="748" t="str">
        <f t="shared" si="127"/>
        <v>2024A</v>
      </c>
      <c r="X60" s="748" t="str">
        <f t="shared" si="127"/>
        <v>2025A</v>
      </c>
      <c r="Y60" s="750"/>
      <c r="Z60" s="748" t="s">
        <v>1518</v>
      </c>
      <c r="AA60" s="748" t="s">
        <v>1866</v>
      </c>
      <c r="AB60" s="748" t="s">
        <v>1740</v>
      </c>
      <c r="AC60" s="748" t="s">
        <v>1865</v>
      </c>
      <c r="AD60" s="748" t="s">
        <v>1749</v>
      </c>
      <c r="AE60" s="748" t="s">
        <v>1811</v>
      </c>
      <c r="AF60" s="748" t="str">
        <f t="shared" ref="AF60:AU60" si="128">AF$1</f>
        <v>1H18</v>
      </c>
      <c r="AG60" s="748" t="str">
        <f t="shared" si="128"/>
        <v>2H18</v>
      </c>
      <c r="AH60" s="748" t="str">
        <f t="shared" si="128"/>
        <v>1H19</v>
      </c>
      <c r="AI60" s="748" t="str">
        <f t="shared" si="128"/>
        <v>2H19</v>
      </c>
      <c r="AJ60" s="748" t="str">
        <f t="shared" si="128"/>
        <v>1H20</v>
      </c>
      <c r="AK60" s="748" t="str">
        <f t="shared" si="128"/>
        <v>2H20</v>
      </c>
      <c r="AL60" s="748" t="str">
        <f t="shared" si="128"/>
        <v>1H21</v>
      </c>
      <c r="AM60" s="748" t="str">
        <f t="shared" si="128"/>
        <v>2H21</v>
      </c>
      <c r="AN60" s="748" t="str">
        <f t="shared" si="128"/>
        <v>1H22</v>
      </c>
      <c r="AO60" s="748" t="str">
        <f t="shared" si="128"/>
        <v>2H22</v>
      </c>
      <c r="AP60" s="748" t="str">
        <f t="shared" si="128"/>
        <v>1H23</v>
      </c>
      <c r="AQ60" s="748" t="str">
        <f t="shared" si="128"/>
        <v>2H23</v>
      </c>
      <c r="AR60" s="748" t="str">
        <f t="shared" si="128"/>
        <v>1H24</v>
      </c>
      <c r="AS60" s="748" t="str">
        <f t="shared" si="128"/>
        <v>2H24</v>
      </c>
      <c r="AT60" s="748" t="str">
        <f t="shared" si="128"/>
        <v>1H25</v>
      </c>
      <c r="AU60" s="748" t="str">
        <f t="shared" si="128"/>
        <v>2H25</v>
      </c>
    </row>
    <row r="61" spans="1:58" x14ac:dyDescent="0.35">
      <c r="A61" s="1617" t="s">
        <v>2923</v>
      </c>
      <c r="B61" s="751" t="s">
        <v>343</v>
      </c>
      <c r="C61" s="752"/>
      <c r="D61" s="752"/>
      <c r="E61" s="752">
        <f>HK!C6</f>
        <v>7754</v>
      </c>
      <c r="F61" s="752">
        <f>HK!D6</f>
        <v>8903</v>
      </c>
      <c r="G61" s="752">
        <f>HK!E6</f>
        <v>11940</v>
      </c>
      <c r="H61" s="752">
        <f>HK!F6</f>
        <v>15950</v>
      </c>
      <c r="I61" s="752">
        <f>HK!G6</f>
        <v>25980</v>
      </c>
      <c r="J61" s="752">
        <f>HK!H6</f>
        <v>22030</v>
      </c>
      <c r="K61" s="752">
        <f>HK!I6</f>
        <v>27980</v>
      </c>
      <c r="L61" s="752">
        <f>HK!J6</f>
        <v>34440</v>
      </c>
      <c r="M61" s="752">
        <f>HK!K6</f>
        <v>28310</v>
      </c>
      <c r="N61" s="752">
        <f>HK!L6</f>
        <v>23990</v>
      </c>
      <c r="O61" s="752">
        <f>HK!M6</f>
        <v>25900</v>
      </c>
      <c r="P61" s="752">
        <f>HK!N6</f>
        <v>23300</v>
      </c>
      <c r="Q61" s="752">
        <f>HK!O6</f>
        <v>34510</v>
      </c>
      <c r="R61" s="752">
        <f>HK!P6</f>
        <v>52180</v>
      </c>
      <c r="S61" s="752">
        <f>HK!Q6</f>
        <v>53000</v>
      </c>
      <c r="T61" s="752">
        <f>HK!R6</f>
        <v>60730</v>
      </c>
      <c r="U61" s="752">
        <f>HK!S6</f>
        <v>63041</v>
      </c>
      <c r="V61" s="752">
        <f>HK!T6</f>
        <v>107390</v>
      </c>
      <c r="W61" s="752">
        <f>HK!U6</f>
        <v>149020</v>
      </c>
      <c r="X61" s="752">
        <f>HK!V6</f>
        <v>127899</v>
      </c>
      <c r="Y61" s="752"/>
      <c r="Z61" s="752">
        <v>30780</v>
      </c>
      <c r="AA61" s="752">
        <f>N61</f>
        <v>23990</v>
      </c>
      <c r="AB61" s="752">
        <v>28310</v>
      </c>
      <c r="AC61" s="752">
        <v>25900</v>
      </c>
      <c r="AD61" s="752">
        <v>27560</v>
      </c>
      <c r="AE61" s="752">
        <v>23300</v>
      </c>
      <c r="AF61" s="752">
        <v>32360</v>
      </c>
      <c r="AG61" s="752">
        <f>Q61</f>
        <v>34510</v>
      </c>
      <c r="AH61" s="752">
        <v>45410</v>
      </c>
      <c r="AI61" s="752">
        <f>R61</f>
        <v>52180</v>
      </c>
      <c r="AJ61" s="752">
        <v>57100</v>
      </c>
      <c r="AK61" s="752">
        <f>S61</f>
        <v>53000</v>
      </c>
      <c r="AL61" s="752">
        <v>55700</v>
      </c>
      <c r="AM61" s="752">
        <f>T61</f>
        <v>60730</v>
      </c>
      <c r="AN61" s="752">
        <v>60410</v>
      </c>
      <c r="AO61" s="752">
        <f>U61</f>
        <v>63041</v>
      </c>
      <c r="AP61" s="752">
        <v>86470</v>
      </c>
      <c r="AQ61" s="752">
        <v>107390</v>
      </c>
      <c r="AR61" s="752">
        <v>141300</v>
      </c>
      <c r="AS61" s="752">
        <f>W61</f>
        <v>149020</v>
      </c>
      <c r="AT61" s="752">
        <f>133620</f>
        <v>133620</v>
      </c>
      <c r="AU61" s="752">
        <f>X61</f>
        <v>127899</v>
      </c>
    </row>
    <row r="62" spans="1:58" x14ac:dyDescent="0.35">
      <c r="A62" s="1618" t="s">
        <v>577</v>
      </c>
      <c r="B62" s="753" t="s">
        <v>577</v>
      </c>
      <c r="C62" s="754"/>
      <c r="D62" s="755"/>
      <c r="E62" s="755"/>
      <c r="F62" s="755">
        <f t="shared" ref="F62:X62" si="129">F61/E61-1</f>
        <v>0.14818158369873613</v>
      </c>
      <c r="G62" s="755">
        <f t="shared" si="129"/>
        <v>0.3411209704593956</v>
      </c>
      <c r="H62" s="755">
        <f t="shared" si="129"/>
        <v>0.33584589614740379</v>
      </c>
      <c r="I62" s="755">
        <f t="shared" si="129"/>
        <v>0.62884012539184964</v>
      </c>
      <c r="J62" s="755">
        <f t="shared" si="129"/>
        <v>-0.15204003079291761</v>
      </c>
      <c r="K62" s="755">
        <f t="shared" si="129"/>
        <v>0.27008624602814346</v>
      </c>
      <c r="L62" s="755">
        <f t="shared" si="129"/>
        <v>0.23087919942816293</v>
      </c>
      <c r="M62" s="755">
        <f t="shared" si="129"/>
        <v>-0.17799070847851339</v>
      </c>
      <c r="N62" s="755">
        <f t="shared" si="129"/>
        <v>-0.15259625574002122</v>
      </c>
      <c r="O62" s="755">
        <f t="shared" si="129"/>
        <v>7.9616506877865811E-2</v>
      </c>
      <c r="P62" s="755">
        <f t="shared" si="129"/>
        <v>-0.10038610038610041</v>
      </c>
      <c r="Q62" s="755">
        <f t="shared" si="129"/>
        <v>0.48111587982832615</v>
      </c>
      <c r="R62" s="755">
        <f t="shared" si="129"/>
        <v>0.51202549985511436</v>
      </c>
      <c r="S62" s="755">
        <f t="shared" si="129"/>
        <v>1.5714833269451889E-2</v>
      </c>
      <c r="T62" s="755">
        <f t="shared" si="129"/>
        <v>0.14584905660377356</v>
      </c>
      <c r="U62" s="755">
        <f t="shared" si="129"/>
        <v>3.8053680223941955E-2</v>
      </c>
      <c r="V62" s="755">
        <f t="shared" si="129"/>
        <v>0.70349455116511472</v>
      </c>
      <c r="W62" s="755">
        <f t="shared" si="129"/>
        <v>0.38765248160908827</v>
      </c>
      <c r="X62" s="755">
        <f t="shared" si="129"/>
        <v>-0.14173265333512275</v>
      </c>
      <c r="Y62" s="756"/>
      <c r="Z62" s="755"/>
      <c r="AA62" s="755"/>
      <c r="AB62" s="755">
        <f t="shared" ref="AB62:AU74" si="130">AB61/Z61-1</f>
        <v>-8.0246913580246937E-2</v>
      </c>
      <c r="AC62" s="755">
        <f t="shared" si="130"/>
        <v>7.9616506877865811E-2</v>
      </c>
      <c r="AD62" s="755">
        <f t="shared" si="130"/>
        <v>-2.6492405510420314E-2</v>
      </c>
      <c r="AE62" s="755">
        <f t="shared" si="130"/>
        <v>-0.10038610038610041</v>
      </c>
      <c r="AF62" s="755">
        <f t="shared" si="130"/>
        <v>0.17416545718432519</v>
      </c>
      <c r="AG62" s="755">
        <f t="shared" si="130"/>
        <v>0.48111587982832615</v>
      </c>
      <c r="AH62" s="755">
        <f t="shared" si="130"/>
        <v>0.40327564894932011</v>
      </c>
      <c r="AI62" s="755">
        <f t="shared" si="130"/>
        <v>0.51202549985511436</v>
      </c>
      <c r="AJ62" s="755">
        <f t="shared" si="130"/>
        <v>0.25743228363796522</v>
      </c>
      <c r="AK62" s="755">
        <f t="shared" si="130"/>
        <v>1.5714833269451889E-2</v>
      </c>
      <c r="AL62" s="755">
        <f t="shared" si="130"/>
        <v>-2.4518388791593737E-2</v>
      </c>
      <c r="AM62" s="755">
        <f t="shared" si="130"/>
        <v>0.14584905660377356</v>
      </c>
      <c r="AN62" s="755">
        <f t="shared" si="130"/>
        <v>8.4560143626570827E-2</v>
      </c>
      <c r="AO62" s="755">
        <f t="shared" si="130"/>
        <v>3.8053680223941955E-2</v>
      </c>
      <c r="AP62" s="755">
        <f t="shared" si="130"/>
        <v>0.43138553219665621</v>
      </c>
      <c r="AQ62" s="755">
        <v>0.70349455116511472</v>
      </c>
      <c r="AR62" s="755">
        <f t="shared" si="130"/>
        <v>0.63409274893026479</v>
      </c>
      <c r="AS62" s="755">
        <f t="shared" si="130"/>
        <v>0.38765248160908827</v>
      </c>
      <c r="AT62" s="755">
        <f t="shared" si="130"/>
        <v>-5.4352441613588098E-2</v>
      </c>
      <c r="AU62" s="755">
        <f t="shared" si="130"/>
        <v>-0.14173265333512275</v>
      </c>
    </row>
    <row r="63" spans="1:58" x14ac:dyDescent="0.35">
      <c r="A63" s="1617" t="s">
        <v>2924</v>
      </c>
      <c r="B63" s="751" t="s">
        <v>359</v>
      </c>
      <c r="C63" s="752"/>
      <c r="D63" s="756"/>
      <c r="E63" s="752">
        <f>Macau!D6</f>
        <v>8356</v>
      </c>
      <c r="F63" s="752">
        <f>Macau!E6</f>
        <v>10811</v>
      </c>
      <c r="G63" s="752">
        <f>Macau!F6</f>
        <v>5060</v>
      </c>
      <c r="H63" s="752">
        <f>Macau!G6</f>
        <v>1170</v>
      </c>
      <c r="I63" s="752">
        <f>Macau!H6</f>
        <v>550</v>
      </c>
      <c r="J63" s="752">
        <f>Macau!I6</f>
        <v>4750</v>
      </c>
      <c r="K63" s="752">
        <f>Macau!J6</f>
        <v>1990</v>
      </c>
      <c r="L63" s="752">
        <f>Macau!K6</f>
        <v>3350</v>
      </c>
      <c r="M63" s="752">
        <f>Macau!L6</f>
        <v>10800</v>
      </c>
      <c r="N63" s="752">
        <f>Macau!M6</f>
        <v>11170</v>
      </c>
      <c r="O63" s="752">
        <f>Macau!N6</f>
        <v>6570</v>
      </c>
      <c r="P63" s="752">
        <f>Macau!O6</f>
        <v>1910</v>
      </c>
      <c r="Q63" s="752">
        <f>Macau!P6</f>
        <v>5780</v>
      </c>
      <c r="R63" s="752">
        <f>Macau!Q6</f>
        <v>9610</v>
      </c>
      <c r="S63" s="752">
        <f>Macau!R6</f>
        <v>17710</v>
      </c>
      <c r="T63" s="752">
        <f>Macau!S6</f>
        <v>24330</v>
      </c>
      <c r="U63" s="752">
        <f>Macau!T6</f>
        <v>24260</v>
      </c>
      <c r="V63" s="752">
        <f>Macau!U6</f>
        <v>20782</v>
      </c>
      <c r="W63" s="752">
        <f>Macau!V6</f>
        <v>20798</v>
      </c>
      <c r="X63" s="752">
        <f>Macau!W6</f>
        <v>22962</v>
      </c>
      <c r="Y63" s="752"/>
      <c r="Z63" s="752">
        <v>13810</v>
      </c>
      <c r="AA63" s="752">
        <f>N63</f>
        <v>11170</v>
      </c>
      <c r="AB63" s="752">
        <v>11610</v>
      </c>
      <c r="AC63" s="752">
        <v>6570</v>
      </c>
      <c r="AD63" s="752">
        <v>5470</v>
      </c>
      <c r="AE63" s="752">
        <v>6571</v>
      </c>
      <c r="AF63" s="752">
        <v>6620</v>
      </c>
      <c r="AG63" s="752">
        <f>Q63</f>
        <v>5780</v>
      </c>
      <c r="AH63" s="752">
        <v>13500</v>
      </c>
      <c r="AI63" s="752">
        <f>R63</f>
        <v>9610</v>
      </c>
      <c r="AJ63" s="752">
        <v>19400</v>
      </c>
      <c r="AK63" s="752">
        <f>S63</f>
        <v>17710</v>
      </c>
      <c r="AL63" s="752">
        <v>27320</v>
      </c>
      <c r="AM63" s="752">
        <f>T63</f>
        <v>24330</v>
      </c>
      <c r="AN63" s="752">
        <v>26530</v>
      </c>
      <c r="AO63" s="752">
        <f>U63</f>
        <v>24260</v>
      </c>
      <c r="AP63" s="752">
        <v>23480</v>
      </c>
      <c r="AQ63" s="752">
        <v>20782</v>
      </c>
      <c r="AR63" s="752">
        <v>17710</v>
      </c>
      <c r="AS63" s="752">
        <f t="shared" ref="AS63" si="131">W63</f>
        <v>20798</v>
      </c>
      <c r="AT63" s="752">
        <f>27560</f>
        <v>27560</v>
      </c>
      <c r="AU63" s="752">
        <f>X63</f>
        <v>22962</v>
      </c>
    </row>
    <row r="64" spans="1:58" x14ac:dyDescent="0.35">
      <c r="A64" s="1618" t="s">
        <v>577</v>
      </c>
      <c r="B64" s="753" t="s">
        <v>577</v>
      </c>
      <c r="C64" s="754"/>
      <c r="D64" s="755"/>
      <c r="E64" s="755"/>
      <c r="F64" s="755">
        <f t="shared" ref="F64:X64" si="132">F63/E63-1</f>
        <v>0.29380086165629482</v>
      </c>
      <c r="G64" s="755">
        <f t="shared" si="132"/>
        <v>-0.53195819073166217</v>
      </c>
      <c r="H64" s="755">
        <f t="shared" si="132"/>
        <v>-0.76877470355731226</v>
      </c>
      <c r="I64" s="755">
        <f t="shared" si="132"/>
        <v>-0.52991452991452992</v>
      </c>
      <c r="J64" s="755">
        <f t="shared" si="132"/>
        <v>7.6363636363636367</v>
      </c>
      <c r="K64" s="755">
        <f t="shared" si="132"/>
        <v>-0.58105263157894738</v>
      </c>
      <c r="L64" s="755">
        <f t="shared" si="132"/>
        <v>0.68341708542713575</v>
      </c>
      <c r="M64" s="755">
        <f t="shared" si="132"/>
        <v>2.2238805970149254</v>
      </c>
      <c r="N64" s="755">
        <f t="shared" si="132"/>
        <v>3.4259259259259212E-2</v>
      </c>
      <c r="O64" s="755">
        <f t="shared" si="132"/>
        <v>-0.41181736794986568</v>
      </c>
      <c r="P64" s="755">
        <f t="shared" si="132"/>
        <v>-0.70928462709284634</v>
      </c>
      <c r="Q64" s="755">
        <f t="shared" si="132"/>
        <v>2.0261780104712042</v>
      </c>
      <c r="R64" s="755">
        <f t="shared" si="132"/>
        <v>0.66262975778546718</v>
      </c>
      <c r="S64" s="755">
        <f t="shared" si="132"/>
        <v>0.84287200832466191</v>
      </c>
      <c r="T64" s="755">
        <f t="shared" si="132"/>
        <v>0.37380011293054771</v>
      </c>
      <c r="U64" s="755">
        <f t="shared" si="132"/>
        <v>-2.8771064529387047E-3</v>
      </c>
      <c r="V64" s="755">
        <f t="shared" si="132"/>
        <v>-0.14336356141797202</v>
      </c>
      <c r="W64" s="755">
        <f t="shared" si="132"/>
        <v>7.6989702627283663E-4</v>
      </c>
      <c r="X64" s="755">
        <f t="shared" si="132"/>
        <v>0.10404846619867292</v>
      </c>
      <c r="Y64" s="756"/>
      <c r="Z64" s="755"/>
      <c r="AA64" s="755"/>
      <c r="AB64" s="755">
        <f t="shared" ref="AB64:AT64" si="133">AB63/Z63-1</f>
        <v>-0.15930485155684282</v>
      </c>
      <c r="AC64" s="755">
        <f t="shared" si="133"/>
        <v>-0.41181736794986568</v>
      </c>
      <c r="AD64" s="755">
        <f t="shared" si="133"/>
        <v>-0.52885443583117997</v>
      </c>
      <c r="AE64" s="755">
        <f t="shared" si="133"/>
        <v>1.5220700152207556E-4</v>
      </c>
      <c r="AF64" s="755">
        <f t="shared" si="133"/>
        <v>0.21023765996343702</v>
      </c>
      <c r="AG64" s="755">
        <f t="shared" si="133"/>
        <v>-0.12037741591842943</v>
      </c>
      <c r="AH64" s="755">
        <f t="shared" si="133"/>
        <v>1.0392749244712989</v>
      </c>
      <c r="AI64" s="755">
        <f t="shared" si="133"/>
        <v>0.66262975778546718</v>
      </c>
      <c r="AJ64" s="755">
        <f t="shared" si="133"/>
        <v>0.43703703703703711</v>
      </c>
      <c r="AK64" s="755">
        <f t="shared" si="133"/>
        <v>0.84287200832466191</v>
      </c>
      <c r="AL64" s="755">
        <f t="shared" si="133"/>
        <v>0.40824742268041248</v>
      </c>
      <c r="AM64" s="755">
        <f t="shared" si="133"/>
        <v>0.37380011293054771</v>
      </c>
      <c r="AN64" s="755">
        <f t="shared" si="133"/>
        <v>-2.8916544655929743E-2</v>
      </c>
      <c r="AO64" s="755">
        <f t="shared" si="133"/>
        <v>-2.8771064529387047E-3</v>
      </c>
      <c r="AP64" s="755">
        <f t="shared" si="133"/>
        <v>-0.11496419148134185</v>
      </c>
      <c r="AQ64" s="755">
        <v>-0.14336356141797202</v>
      </c>
      <c r="AR64" s="755">
        <f t="shared" si="133"/>
        <v>-0.24574105621805797</v>
      </c>
      <c r="AS64" s="755">
        <f t="shared" si="130"/>
        <v>7.6989702627283663E-4</v>
      </c>
      <c r="AT64" s="755">
        <f t="shared" si="133"/>
        <v>0.55618294748729524</v>
      </c>
      <c r="AU64" s="755">
        <f t="shared" si="130"/>
        <v>0.10404846619867292</v>
      </c>
    </row>
    <row r="65" spans="1:73" x14ac:dyDescent="0.35">
      <c r="A65" s="1617" t="s">
        <v>143</v>
      </c>
      <c r="B65" s="751" t="s">
        <v>1836</v>
      </c>
      <c r="C65" s="752"/>
      <c r="D65" s="756"/>
      <c r="E65" s="752">
        <f>'MainLand China'!D15</f>
        <v>0</v>
      </c>
      <c r="F65" s="752">
        <f>'MainLand China'!E15</f>
        <v>0</v>
      </c>
      <c r="G65" s="752">
        <f>'MainLand China'!F15</f>
        <v>911</v>
      </c>
      <c r="H65" s="752">
        <f>'MainLand China'!G15</f>
        <v>5210</v>
      </c>
      <c r="I65" s="752">
        <f>'MainLand China'!H15</f>
        <v>7870</v>
      </c>
      <c r="J65" s="752">
        <f>'MainLand China'!I15</f>
        <v>22000</v>
      </c>
      <c r="K65" s="752">
        <f>'MainLand China'!J15</f>
        <v>25820</v>
      </c>
      <c r="L65" s="752">
        <f>'MainLand China'!K15</f>
        <v>36290</v>
      </c>
      <c r="M65" s="752">
        <f>'MainLand China'!L15</f>
        <v>51410</v>
      </c>
      <c r="N65" s="752">
        <f>'MainLand China'!M15</f>
        <v>88230</v>
      </c>
      <c r="O65" s="752">
        <f>'MainLand China'!N15</f>
        <v>117250</v>
      </c>
      <c r="P65" s="752">
        <f>'MainLand China'!O15</f>
        <v>157320</v>
      </c>
      <c r="Q65" s="752">
        <f>'MainLand China'!P15</f>
        <v>189540</v>
      </c>
      <c r="R65" s="752">
        <f>'MainLand China'!Q15</f>
        <v>157430</v>
      </c>
      <c r="S65" s="752">
        <f>'MainLand China'!R15</f>
        <v>172780</v>
      </c>
      <c r="T65" s="752">
        <f>'MainLand China'!S15</f>
        <v>185450</v>
      </c>
      <c r="U65" s="752">
        <f>'MainLand China'!T15</f>
        <v>193823</v>
      </c>
      <c r="V65" s="752">
        <f>'MainLand China'!U15</f>
        <v>205640</v>
      </c>
      <c r="W65" s="752">
        <f>'MainLand China'!V15</f>
        <v>198194</v>
      </c>
      <c r="X65" s="752">
        <f>'MainLand China'!W15</f>
        <v>196465</v>
      </c>
      <c r="Y65" s="752"/>
      <c r="Z65" s="752">
        <f>Z73-Z71-Z63-Z61</f>
        <v>66240</v>
      </c>
      <c r="AA65" s="752">
        <f>N65</f>
        <v>88230</v>
      </c>
      <c r="AB65" s="752">
        <f>AB73-AB71-AB63-AB61</f>
        <v>101310</v>
      </c>
      <c r="AC65" s="752">
        <f>O65</f>
        <v>117250</v>
      </c>
      <c r="AD65" s="752">
        <f>AD73-AD71-AD63-AD61</f>
        <v>139230</v>
      </c>
      <c r="AE65" s="752">
        <v>153770</v>
      </c>
      <c r="AF65" s="752">
        <v>174900</v>
      </c>
      <c r="AG65" s="752">
        <f>Q65</f>
        <v>189540</v>
      </c>
      <c r="AH65" s="752">
        <v>178670</v>
      </c>
      <c r="AI65" s="752">
        <f>R65</f>
        <v>157430</v>
      </c>
      <c r="AJ65" s="752">
        <v>161670</v>
      </c>
      <c r="AK65" s="752">
        <f>S65</f>
        <v>172780</v>
      </c>
      <c r="AL65" s="752">
        <v>192340</v>
      </c>
      <c r="AM65" s="752">
        <f>T65</f>
        <v>185450</v>
      </c>
      <c r="AN65" s="752">
        <v>185150</v>
      </c>
      <c r="AO65" s="752">
        <f>U65</f>
        <v>193823</v>
      </c>
      <c r="AP65" s="752">
        <v>206090</v>
      </c>
      <c r="AQ65" s="752">
        <v>205640</v>
      </c>
      <c r="AR65" s="752">
        <v>231260</v>
      </c>
      <c r="AS65" s="752">
        <f t="shared" ref="AS65" si="134">W65</f>
        <v>198194</v>
      </c>
      <c r="AT65" s="752">
        <f>206620</f>
        <v>206620</v>
      </c>
      <c r="AU65" s="752">
        <f>X65</f>
        <v>196465</v>
      </c>
    </row>
    <row r="66" spans="1:73" x14ac:dyDescent="0.35">
      <c r="A66" s="1618" t="s">
        <v>577</v>
      </c>
      <c r="B66" s="753" t="s">
        <v>577</v>
      </c>
      <c r="C66" s="754"/>
      <c r="D66" s="755"/>
      <c r="E66" s="755"/>
      <c r="F66" s="755"/>
      <c r="G66" s="755" t="e">
        <f t="shared" ref="G66:X66" si="135">G65/F65-1</f>
        <v>#DIV/0!</v>
      </c>
      <c r="H66" s="755">
        <f t="shared" si="135"/>
        <v>4.7189901207464322</v>
      </c>
      <c r="I66" s="755">
        <f t="shared" si="135"/>
        <v>0.51055662188099804</v>
      </c>
      <c r="J66" s="755">
        <f t="shared" si="135"/>
        <v>1.7954256670902162</v>
      </c>
      <c r="K66" s="755">
        <f t="shared" si="135"/>
        <v>0.17363636363636359</v>
      </c>
      <c r="L66" s="755">
        <f t="shared" si="135"/>
        <v>0.40549961270333079</v>
      </c>
      <c r="M66" s="755">
        <f t="shared" si="135"/>
        <v>0.41664370349958668</v>
      </c>
      <c r="N66" s="755">
        <f t="shared" si="135"/>
        <v>0.71620307333203659</v>
      </c>
      <c r="O66" s="755">
        <f t="shared" si="135"/>
        <v>0.32891306811742038</v>
      </c>
      <c r="P66" s="755">
        <f t="shared" si="135"/>
        <v>0.34174840085287839</v>
      </c>
      <c r="Q66" s="755">
        <f t="shared" si="135"/>
        <v>0.20480549199084663</v>
      </c>
      <c r="R66" s="755">
        <f t="shared" si="135"/>
        <v>-0.16941015089163236</v>
      </c>
      <c r="S66" s="755">
        <f t="shared" si="135"/>
        <v>9.7503652416947251E-2</v>
      </c>
      <c r="T66" s="755">
        <f t="shared" si="135"/>
        <v>7.3330246556314371E-2</v>
      </c>
      <c r="U66" s="755">
        <f t="shared" si="135"/>
        <v>4.5149636020490602E-2</v>
      </c>
      <c r="V66" s="755">
        <f t="shared" si="135"/>
        <v>6.096799657419405E-2</v>
      </c>
      <c r="W66" s="755">
        <f t="shared" si="135"/>
        <v>-3.6208908772612292E-2</v>
      </c>
      <c r="X66" s="755">
        <f t="shared" si="135"/>
        <v>-8.7237756945215406E-3</v>
      </c>
      <c r="Y66" s="756"/>
      <c r="Z66" s="755"/>
      <c r="AA66" s="755"/>
      <c r="AB66" s="755">
        <f t="shared" ref="AB66:AT66" si="136">AB65/Z65-1</f>
        <v>0.52943840579710155</v>
      </c>
      <c r="AC66" s="755">
        <f t="shared" si="136"/>
        <v>0.32891306811742038</v>
      </c>
      <c r="AD66" s="755">
        <f t="shared" si="136"/>
        <v>0.37429671305892809</v>
      </c>
      <c r="AE66" s="755">
        <f t="shared" si="136"/>
        <v>0.31147121535181244</v>
      </c>
      <c r="AF66" s="755">
        <f t="shared" si="136"/>
        <v>0.25619478560655029</v>
      </c>
      <c r="AG66" s="755">
        <f t="shared" si="136"/>
        <v>0.23262014697275157</v>
      </c>
      <c r="AH66" s="755">
        <f t="shared" si="136"/>
        <v>2.155517438536303E-2</v>
      </c>
      <c r="AI66" s="755">
        <f t="shared" si="136"/>
        <v>-0.16941015089163236</v>
      </c>
      <c r="AJ66" s="755">
        <f t="shared" si="136"/>
        <v>-9.5147478591817269E-2</v>
      </c>
      <c r="AK66" s="755">
        <f t="shared" si="136"/>
        <v>9.7503652416947251E-2</v>
      </c>
      <c r="AL66" s="755">
        <f t="shared" si="136"/>
        <v>0.18970742871280999</v>
      </c>
      <c r="AM66" s="755">
        <f t="shared" si="136"/>
        <v>7.3330246556314371E-2</v>
      </c>
      <c r="AN66" s="755">
        <f t="shared" si="136"/>
        <v>-3.7381719871061647E-2</v>
      </c>
      <c r="AO66" s="755">
        <f t="shared" si="136"/>
        <v>4.5149636020490602E-2</v>
      </c>
      <c r="AP66" s="755">
        <f t="shared" si="136"/>
        <v>0.11309748852281931</v>
      </c>
      <c r="AQ66" s="755">
        <v>6.096799657419405E-2</v>
      </c>
      <c r="AR66" s="755">
        <f t="shared" si="136"/>
        <v>0.1221311077684506</v>
      </c>
      <c r="AS66" s="755">
        <f t="shared" si="130"/>
        <v>-3.6208908772612292E-2</v>
      </c>
      <c r="AT66" s="755">
        <f t="shared" si="136"/>
        <v>-0.10654674392458707</v>
      </c>
      <c r="AU66" s="755">
        <f t="shared" si="130"/>
        <v>-8.7237756945215406E-3</v>
      </c>
    </row>
    <row r="67" spans="1:73" hidden="1" outlineLevel="1" x14ac:dyDescent="0.35">
      <c r="A67" s="1627" t="s">
        <v>2647</v>
      </c>
      <c r="B67" s="774" t="s">
        <v>2647</v>
      </c>
      <c r="C67" s="752"/>
      <c r="D67" s="756"/>
      <c r="E67" s="756"/>
      <c r="F67" s="756"/>
      <c r="G67" s="756"/>
      <c r="H67" s="756"/>
      <c r="I67" s="756"/>
      <c r="J67" s="756"/>
      <c r="K67" s="756"/>
      <c r="L67" s="756"/>
      <c r="M67" s="756"/>
      <c r="N67" s="756"/>
      <c r="O67" s="756"/>
      <c r="P67" s="756"/>
      <c r="Q67" s="756"/>
      <c r="R67" s="756"/>
      <c r="S67" s="756"/>
      <c r="T67" s="756"/>
      <c r="U67" s="756"/>
      <c r="V67" s="756"/>
      <c r="W67" s="756"/>
      <c r="X67" s="756"/>
      <c r="Y67" s="756"/>
      <c r="Z67" s="756"/>
      <c r="AA67" s="756"/>
      <c r="AB67" s="756"/>
      <c r="AC67" s="756"/>
      <c r="AD67" s="756"/>
      <c r="AE67" s="756"/>
      <c r="AF67" s="756"/>
      <c r="AG67" s="756"/>
      <c r="AH67" s="756"/>
      <c r="AI67" s="756"/>
      <c r="AJ67" s="778">
        <f>AJ$65*33.3%</f>
        <v>53836.109999999993</v>
      </c>
      <c r="AK67" s="778">
        <v>28000</v>
      </c>
      <c r="AL67" s="778">
        <v>18000</v>
      </c>
      <c r="AM67" s="778"/>
      <c r="AN67" s="778">
        <v>18001</v>
      </c>
      <c r="AO67" s="778"/>
      <c r="AP67" s="778"/>
      <c r="AQ67" s="756"/>
      <c r="AR67" s="778"/>
      <c r="AS67" s="752">
        <f t="shared" ref="AS67:AU67" si="137">W67</f>
        <v>0</v>
      </c>
      <c r="AT67" s="778"/>
      <c r="AU67" s="752">
        <f t="shared" si="137"/>
        <v>0</v>
      </c>
    </row>
    <row r="68" spans="1:73" hidden="1" outlineLevel="1" x14ac:dyDescent="0.35">
      <c r="A68" s="1627" t="s">
        <v>551</v>
      </c>
      <c r="B68" s="774" t="s">
        <v>600</v>
      </c>
      <c r="C68" s="752"/>
      <c r="D68" s="756"/>
      <c r="E68" s="756"/>
      <c r="F68" s="756"/>
      <c r="G68" s="756"/>
      <c r="H68" s="756"/>
      <c r="I68" s="756"/>
      <c r="J68" s="756"/>
      <c r="K68" s="756"/>
      <c r="L68" s="756"/>
      <c r="M68" s="756"/>
      <c r="N68" s="756"/>
      <c r="O68" s="756"/>
      <c r="P68" s="756"/>
      <c r="Q68" s="756"/>
      <c r="R68" s="756"/>
      <c r="S68" s="756"/>
      <c r="T68" s="756"/>
      <c r="U68" s="756"/>
      <c r="V68" s="756"/>
      <c r="W68" s="756"/>
      <c r="X68" s="756"/>
      <c r="Y68" s="756"/>
      <c r="Z68" s="756"/>
      <c r="AA68" s="756"/>
      <c r="AB68" s="756"/>
      <c r="AC68" s="756"/>
      <c r="AD68" s="756"/>
      <c r="AE68" s="756"/>
      <c r="AF68" s="756"/>
      <c r="AG68" s="756"/>
      <c r="AH68" s="756"/>
      <c r="AI68" s="756"/>
      <c r="AJ68" s="778">
        <f>AJ65-AJ67</f>
        <v>107833.89000000001</v>
      </c>
      <c r="AK68" s="778">
        <f>AK65-AK67</f>
        <v>144780</v>
      </c>
      <c r="AL68" s="778">
        <f>AL65-AL67</f>
        <v>174340</v>
      </c>
      <c r="AM68" s="778"/>
      <c r="AN68" s="778">
        <f>AN65-AN67</f>
        <v>167149</v>
      </c>
      <c r="AO68" s="778"/>
      <c r="AP68" s="778">
        <f>AP65-AP67</f>
        <v>206090</v>
      </c>
      <c r="AQ68" s="756"/>
      <c r="AR68" s="778"/>
      <c r="AS68" s="755" t="e">
        <f t="shared" si="130"/>
        <v>#DIV/0!</v>
      </c>
      <c r="AT68" s="778"/>
      <c r="AU68" s="755" t="e">
        <f t="shared" si="130"/>
        <v>#DIV/0!</v>
      </c>
    </row>
    <row r="69" spans="1:73" hidden="1" outlineLevel="1" x14ac:dyDescent="0.35">
      <c r="A69" s="1617" t="s">
        <v>2930</v>
      </c>
      <c r="B69" s="751" t="s">
        <v>718</v>
      </c>
      <c r="C69" s="752"/>
      <c r="D69" s="756"/>
      <c r="E69" s="752">
        <f>Overseas!D6</f>
        <v>3920</v>
      </c>
      <c r="F69" s="752">
        <f>Overseas!E6</f>
        <v>3928</v>
      </c>
      <c r="G69" s="752">
        <f>Overseas!F6</f>
        <v>3220</v>
      </c>
      <c r="H69" s="752">
        <f>Overseas!G6</f>
        <v>2340</v>
      </c>
      <c r="I69" s="752">
        <f>Overseas!H6</f>
        <v>1080</v>
      </c>
      <c r="J69" s="752">
        <f>Overseas!I6</f>
        <v>140</v>
      </c>
      <c r="K69" s="752">
        <f>Overseas!J6</f>
        <v>80</v>
      </c>
      <c r="L69" s="752">
        <f>Overseas!K6</f>
        <v>63.971000000000004</v>
      </c>
      <c r="M69" s="752">
        <f>Overseas!L6</f>
        <v>0</v>
      </c>
      <c r="N69" s="752">
        <f>Overseas!M6</f>
        <v>0</v>
      </c>
      <c r="O69" s="752">
        <f>Overseas!N6</f>
        <v>0</v>
      </c>
      <c r="P69" s="752">
        <f>Overseas!O6</f>
        <v>0</v>
      </c>
      <c r="Q69" s="752">
        <f>Overseas!P6</f>
        <v>0</v>
      </c>
      <c r="R69" s="752">
        <f>Overseas!Q6</f>
        <v>0</v>
      </c>
      <c r="S69" s="752">
        <f>Overseas!R6</f>
        <v>0</v>
      </c>
      <c r="T69" s="752">
        <f>Overseas!S6</f>
        <v>0</v>
      </c>
      <c r="U69" s="752">
        <f>Overseas!T6</f>
        <v>0</v>
      </c>
      <c r="V69" s="752">
        <f>Overseas!U6</f>
        <v>0</v>
      </c>
      <c r="W69" s="752">
        <f>Overseas!V6</f>
        <v>0</v>
      </c>
      <c r="X69" s="752">
        <f>Overseas!W6</f>
        <v>0</v>
      </c>
      <c r="Y69" s="752"/>
      <c r="AQ69" s="752">
        <v>0</v>
      </c>
      <c r="AS69" s="752">
        <f t="shared" ref="AS69:AU69" si="138">W69</f>
        <v>0</v>
      </c>
      <c r="AU69" s="752">
        <f t="shared" si="138"/>
        <v>0</v>
      </c>
    </row>
    <row r="70" spans="1:73" hidden="1" outlineLevel="1" x14ac:dyDescent="0.35">
      <c r="A70" s="1618" t="s">
        <v>577</v>
      </c>
      <c r="B70" s="753" t="s">
        <v>577</v>
      </c>
      <c r="C70" s="754"/>
      <c r="D70" s="755"/>
      <c r="E70" s="755"/>
      <c r="F70" s="755">
        <f t="shared" ref="F70:X70" si="139">F69/E69-1</f>
        <v>2.0408163265306367E-3</v>
      </c>
      <c r="G70" s="755">
        <f t="shared" si="139"/>
        <v>-0.18024439918533608</v>
      </c>
      <c r="H70" s="755">
        <f t="shared" si="139"/>
        <v>-0.27329192546583847</v>
      </c>
      <c r="I70" s="755">
        <f t="shared" si="139"/>
        <v>-0.53846153846153844</v>
      </c>
      <c r="J70" s="755">
        <f t="shared" si="139"/>
        <v>-0.87037037037037035</v>
      </c>
      <c r="K70" s="755">
        <f t="shared" si="139"/>
        <v>-0.4285714285714286</v>
      </c>
      <c r="L70" s="755">
        <f t="shared" si="139"/>
        <v>-0.2003625</v>
      </c>
      <c r="M70" s="755">
        <f t="shared" si="139"/>
        <v>-1</v>
      </c>
      <c r="N70" s="755" t="e">
        <f t="shared" si="139"/>
        <v>#DIV/0!</v>
      </c>
      <c r="O70" s="755" t="e">
        <f t="shared" si="139"/>
        <v>#DIV/0!</v>
      </c>
      <c r="P70" s="755" t="e">
        <f t="shared" si="139"/>
        <v>#DIV/0!</v>
      </c>
      <c r="Q70" s="755" t="e">
        <f t="shared" si="139"/>
        <v>#DIV/0!</v>
      </c>
      <c r="R70" s="755" t="e">
        <f t="shared" si="139"/>
        <v>#DIV/0!</v>
      </c>
      <c r="S70" s="755" t="e">
        <f t="shared" si="139"/>
        <v>#DIV/0!</v>
      </c>
      <c r="T70" s="755" t="e">
        <f t="shared" si="139"/>
        <v>#DIV/0!</v>
      </c>
      <c r="U70" s="755" t="e">
        <f t="shared" si="139"/>
        <v>#DIV/0!</v>
      </c>
      <c r="V70" s="755" t="e">
        <f t="shared" si="139"/>
        <v>#DIV/0!</v>
      </c>
      <c r="W70" s="755" t="e">
        <f t="shared" si="139"/>
        <v>#DIV/0!</v>
      </c>
      <c r="X70" s="755" t="e">
        <f t="shared" si="139"/>
        <v>#DIV/0!</v>
      </c>
      <c r="Y70" s="756"/>
      <c r="AQ70" s="755" t="e">
        <v>#DIV/0!</v>
      </c>
      <c r="AS70" s="755" t="e">
        <f t="shared" si="130"/>
        <v>#DIV/0!</v>
      </c>
      <c r="AU70" s="755" t="e">
        <f t="shared" si="130"/>
        <v>#DIV/0!</v>
      </c>
    </row>
    <row r="71" spans="1:73" collapsed="1" x14ac:dyDescent="0.35">
      <c r="A71" s="1617" t="s">
        <v>2675</v>
      </c>
      <c r="B71" s="751" t="s">
        <v>1837</v>
      </c>
      <c r="C71" s="752"/>
      <c r="D71" s="756"/>
      <c r="E71" s="752"/>
      <c r="F71" s="752"/>
      <c r="G71" s="752"/>
      <c r="H71" s="752"/>
      <c r="I71" s="752"/>
      <c r="J71" s="752"/>
      <c r="K71" s="752">
        <f>CSCD!C6</f>
        <v>1820</v>
      </c>
      <c r="L71" s="752">
        <f>CSCD!D6</f>
        <v>2330</v>
      </c>
      <c r="M71" s="752">
        <f>CSCD!E6</f>
        <v>2580</v>
      </c>
      <c r="N71" s="752">
        <f>CSCD!F6</f>
        <v>3670</v>
      </c>
      <c r="O71" s="752">
        <f>CSCD!G6</f>
        <v>4160</v>
      </c>
      <c r="P71" s="752">
        <f>CSCD!H6</f>
        <v>5480</v>
      </c>
      <c r="Q71" s="752">
        <f>CSCD!I6</f>
        <v>6730</v>
      </c>
      <c r="R71" s="752">
        <f>CSCD!J6</f>
        <v>7850</v>
      </c>
      <c r="S71" s="752">
        <f>CSCD!K6</f>
        <v>8880</v>
      </c>
      <c r="T71" s="752">
        <f>CSCD!L6</f>
        <v>10850</v>
      </c>
      <c r="U71" s="752">
        <f>CSCD!M6</f>
        <v>13403</v>
      </c>
      <c r="V71" s="752">
        <f>CSCD!N6</f>
        <v>16239</v>
      </c>
      <c r="W71" s="752">
        <f>CSCD!O6</f>
        <v>18530</v>
      </c>
      <c r="X71" s="752">
        <f>CSCD!P6</f>
        <v>17350</v>
      </c>
      <c r="Y71" s="752"/>
      <c r="Z71" s="752">
        <v>3560</v>
      </c>
      <c r="AA71" s="752">
        <f>N71</f>
        <v>3670</v>
      </c>
      <c r="AB71" s="752">
        <v>4300</v>
      </c>
      <c r="AC71" s="752">
        <v>4160</v>
      </c>
      <c r="AD71" s="752">
        <v>4710</v>
      </c>
      <c r="AE71" s="752">
        <v>5480</v>
      </c>
      <c r="AF71" s="752">
        <v>6210</v>
      </c>
      <c r="AG71" s="752">
        <f>Q71</f>
        <v>6730</v>
      </c>
      <c r="AH71" s="752">
        <v>7230</v>
      </c>
      <c r="AI71" s="752">
        <f>R71</f>
        <v>7850</v>
      </c>
      <c r="AJ71" s="752">
        <v>9420</v>
      </c>
      <c r="AK71" s="752">
        <f>S71</f>
        <v>8880</v>
      </c>
      <c r="AL71" s="752">
        <v>10580</v>
      </c>
      <c r="AM71" s="752">
        <f>T71</f>
        <v>10850</v>
      </c>
      <c r="AN71" s="752">
        <v>13010</v>
      </c>
      <c r="AO71" s="752">
        <f>U71</f>
        <v>13403</v>
      </c>
      <c r="AP71" s="752">
        <v>15310</v>
      </c>
      <c r="AQ71" s="752">
        <v>16239</v>
      </c>
      <c r="AR71" s="752">
        <v>17280</v>
      </c>
      <c r="AS71" s="752">
        <f t="shared" ref="AS71" si="140">W71</f>
        <v>18530</v>
      </c>
      <c r="AT71" s="752">
        <f>18230</f>
        <v>18230</v>
      </c>
      <c r="AU71" s="752">
        <f>X71</f>
        <v>17350</v>
      </c>
    </row>
    <row r="72" spans="1:73" x14ac:dyDescent="0.35">
      <c r="A72" s="1618" t="s">
        <v>577</v>
      </c>
      <c r="B72" s="753" t="s">
        <v>577</v>
      </c>
      <c r="C72" s="754"/>
      <c r="D72" s="773"/>
      <c r="E72" s="755"/>
      <c r="F72" s="755"/>
      <c r="G72" s="755"/>
      <c r="H72" s="755"/>
      <c r="I72" s="755"/>
      <c r="J72" s="755"/>
      <c r="K72" s="755"/>
      <c r="L72" s="755">
        <f t="shared" ref="L72:X72" si="141">L71/K71-1</f>
        <v>0.28021978021978011</v>
      </c>
      <c r="M72" s="755">
        <f t="shared" si="141"/>
        <v>0.10729613733905574</v>
      </c>
      <c r="N72" s="755">
        <f t="shared" si="141"/>
        <v>0.42248062015503884</v>
      </c>
      <c r="O72" s="755">
        <f t="shared" si="141"/>
        <v>0.13351498637602188</v>
      </c>
      <c r="P72" s="755">
        <f t="shared" si="141"/>
        <v>0.31730769230769229</v>
      </c>
      <c r="Q72" s="755">
        <f t="shared" si="141"/>
        <v>0.22810218978102181</v>
      </c>
      <c r="R72" s="755">
        <f t="shared" si="141"/>
        <v>0.16641901931649339</v>
      </c>
      <c r="S72" s="755">
        <f t="shared" si="141"/>
        <v>0.13121019108280252</v>
      </c>
      <c r="T72" s="755">
        <f t="shared" si="141"/>
        <v>0.22184684684684686</v>
      </c>
      <c r="U72" s="755">
        <f t="shared" si="141"/>
        <v>0.23529953917050683</v>
      </c>
      <c r="V72" s="755">
        <f t="shared" si="141"/>
        <v>0.21159441915988952</v>
      </c>
      <c r="W72" s="755">
        <f t="shared" si="141"/>
        <v>0.14108011577067558</v>
      </c>
      <c r="X72" s="755">
        <f t="shared" si="141"/>
        <v>-6.368051807879116E-2</v>
      </c>
      <c r="Y72" s="756"/>
      <c r="Z72" s="755"/>
      <c r="AA72" s="755"/>
      <c r="AB72" s="755">
        <f t="shared" ref="AB72:AT72" si="142">AB71/Z71-1</f>
        <v>0.2078651685393258</v>
      </c>
      <c r="AC72" s="755">
        <f t="shared" si="142"/>
        <v>0.13351498637602188</v>
      </c>
      <c r="AD72" s="755">
        <f t="shared" si="142"/>
        <v>9.5348837209302317E-2</v>
      </c>
      <c r="AE72" s="755">
        <f t="shared" si="142"/>
        <v>0.31730769230769229</v>
      </c>
      <c r="AF72" s="755">
        <f t="shared" si="142"/>
        <v>0.31847133757961776</v>
      </c>
      <c r="AG72" s="755">
        <f t="shared" si="142"/>
        <v>0.22810218978102181</v>
      </c>
      <c r="AH72" s="755">
        <f t="shared" si="142"/>
        <v>0.16425120772946866</v>
      </c>
      <c r="AI72" s="755">
        <f t="shared" si="142"/>
        <v>0.16641901931649339</v>
      </c>
      <c r="AJ72" s="755">
        <f t="shared" si="142"/>
        <v>0.30290456431535273</v>
      </c>
      <c r="AK72" s="755">
        <f t="shared" si="142"/>
        <v>0.13121019108280252</v>
      </c>
      <c r="AL72" s="755">
        <f t="shared" si="142"/>
        <v>0.12314225053078554</v>
      </c>
      <c r="AM72" s="755">
        <f t="shared" si="142"/>
        <v>0.22184684684684686</v>
      </c>
      <c r="AN72" s="755">
        <f t="shared" si="142"/>
        <v>0.22967863894139895</v>
      </c>
      <c r="AO72" s="755">
        <f t="shared" si="142"/>
        <v>0.23529953917050683</v>
      </c>
      <c r="AP72" s="755">
        <f t="shared" si="142"/>
        <v>0.17678708685626443</v>
      </c>
      <c r="AQ72" s="755">
        <v>0.21159441915988952</v>
      </c>
      <c r="AR72" s="755">
        <f t="shared" si="142"/>
        <v>0.1286740692357935</v>
      </c>
      <c r="AS72" s="755">
        <f t="shared" si="130"/>
        <v>0.14108011577067558</v>
      </c>
      <c r="AT72" s="755">
        <f t="shared" si="142"/>
        <v>5.497685185185186E-2</v>
      </c>
      <c r="AU72" s="755">
        <f t="shared" si="130"/>
        <v>-6.368051807879116E-2</v>
      </c>
    </row>
    <row r="73" spans="1:73" x14ac:dyDescent="0.35">
      <c r="A73" s="1617" t="s">
        <v>96</v>
      </c>
      <c r="B73" s="751" t="s">
        <v>512</v>
      </c>
      <c r="C73" s="752"/>
      <c r="D73" s="752"/>
      <c r="E73" s="752">
        <f t="shared" ref="E73:X73" si="143">E61+E63+E65+E69+E71</f>
        <v>20030</v>
      </c>
      <c r="F73" s="752">
        <f t="shared" si="143"/>
        <v>23642</v>
      </c>
      <c r="G73" s="752">
        <f t="shared" si="143"/>
        <v>21131</v>
      </c>
      <c r="H73" s="752">
        <f t="shared" si="143"/>
        <v>24670</v>
      </c>
      <c r="I73" s="752">
        <f t="shared" si="143"/>
        <v>35480</v>
      </c>
      <c r="J73" s="752">
        <f t="shared" si="143"/>
        <v>48920</v>
      </c>
      <c r="K73" s="752">
        <f t="shared" si="143"/>
        <v>57690</v>
      </c>
      <c r="L73" s="752">
        <f t="shared" si="143"/>
        <v>76473.971000000005</v>
      </c>
      <c r="M73" s="752">
        <f t="shared" si="143"/>
        <v>93100</v>
      </c>
      <c r="N73" s="752">
        <f t="shared" si="143"/>
        <v>127060</v>
      </c>
      <c r="O73" s="752">
        <f t="shared" si="143"/>
        <v>153880</v>
      </c>
      <c r="P73" s="752">
        <f t="shared" si="143"/>
        <v>188010</v>
      </c>
      <c r="Q73" s="752">
        <f t="shared" si="143"/>
        <v>236560</v>
      </c>
      <c r="R73" s="752">
        <f t="shared" si="143"/>
        <v>227070</v>
      </c>
      <c r="S73" s="752">
        <f t="shared" si="143"/>
        <v>252370</v>
      </c>
      <c r="T73" s="752">
        <f t="shared" si="143"/>
        <v>281360</v>
      </c>
      <c r="U73" s="752">
        <f t="shared" si="143"/>
        <v>294527</v>
      </c>
      <c r="V73" s="752">
        <f t="shared" si="143"/>
        <v>350051</v>
      </c>
      <c r="W73" s="752">
        <f t="shared" si="143"/>
        <v>386542</v>
      </c>
      <c r="X73" s="752">
        <f t="shared" si="143"/>
        <v>364676</v>
      </c>
      <c r="Y73" s="752"/>
      <c r="Z73" s="752">
        <v>114390</v>
      </c>
      <c r="AA73" s="752">
        <f>N73</f>
        <v>127060</v>
      </c>
      <c r="AB73" s="752">
        <v>145530</v>
      </c>
      <c r="AC73" s="752">
        <v>151840</v>
      </c>
      <c r="AD73" s="752">
        <v>176970</v>
      </c>
      <c r="AE73" s="752">
        <f>P73</f>
        <v>188010</v>
      </c>
      <c r="AF73" s="752">
        <f t="shared" ref="AF73:AO73" si="144">AF61+AF63+AF65+AF69+AF71</f>
        <v>220090</v>
      </c>
      <c r="AG73" s="752">
        <f t="shared" si="144"/>
        <v>236560</v>
      </c>
      <c r="AH73" s="752">
        <f t="shared" si="144"/>
        <v>244810</v>
      </c>
      <c r="AI73" s="752">
        <f t="shared" si="144"/>
        <v>227070</v>
      </c>
      <c r="AJ73" s="752">
        <f t="shared" si="144"/>
        <v>247590</v>
      </c>
      <c r="AK73" s="752">
        <f t="shared" si="144"/>
        <v>252370</v>
      </c>
      <c r="AL73" s="752">
        <f t="shared" si="144"/>
        <v>285940</v>
      </c>
      <c r="AM73" s="752">
        <f t="shared" si="144"/>
        <v>281360</v>
      </c>
      <c r="AN73" s="752">
        <f t="shared" si="144"/>
        <v>285100</v>
      </c>
      <c r="AO73" s="752">
        <f t="shared" si="144"/>
        <v>294527</v>
      </c>
      <c r="AP73" s="752">
        <f t="shared" ref="AP73:AR73" si="145">AP61+AP63+AP65+AP69+AP71</f>
        <v>331350</v>
      </c>
      <c r="AQ73" s="752">
        <v>350051</v>
      </c>
      <c r="AR73" s="752">
        <f t="shared" si="145"/>
        <v>407550</v>
      </c>
      <c r="AS73" s="752">
        <f t="shared" ref="AS73" si="146">W73</f>
        <v>386542</v>
      </c>
      <c r="AT73" s="752">
        <f t="shared" ref="AT73" si="147">AT61+AT63+AT65+AT69+AT71</f>
        <v>386030</v>
      </c>
      <c r="AU73" s="752">
        <f>X73</f>
        <v>364676</v>
      </c>
    </row>
    <row r="74" spans="1:73" x14ac:dyDescent="0.35">
      <c r="A74" s="1618" t="s">
        <v>577</v>
      </c>
      <c r="B74" s="753" t="s">
        <v>577</v>
      </c>
      <c r="C74" s="754"/>
      <c r="D74" s="755"/>
      <c r="E74" s="755"/>
      <c r="F74" s="755">
        <f t="shared" ref="F74:X74" si="148">F73/E73-1</f>
        <v>0.18032950574138784</v>
      </c>
      <c r="G74" s="755">
        <f t="shared" si="148"/>
        <v>-0.10620928855426781</v>
      </c>
      <c r="H74" s="755">
        <f t="shared" si="148"/>
        <v>0.16747905920212003</v>
      </c>
      <c r="I74" s="755">
        <f t="shared" si="148"/>
        <v>0.43818402918524524</v>
      </c>
      <c r="J74" s="755">
        <f t="shared" si="148"/>
        <v>0.37880496054114987</v>
      </c>
      <c r="K74" s="755">
        <f t="shared" si="148"/>
        <v>0.17927228127555184</v>
      </c>
      <c r="L74" s="755">
        <f t="shared" si="148"/>
        <v>0.32560185474085634</v>
      </c>
      <c r="M74" s="755">
        <f t="shared" si="148"/>
        <v>0.2174076850278901</v>
      </c>
      <c r="N74" s="755">
        <f t="shared" si="148"/>
        <v>0.36476906552094523</v>
      </c>
      <c r="O74" s="755">
        <f t="shared" si="148"/>
        <v>0.21108137887612144</v>
      </c>
      <c r="P74" s="755">
        <f t="shared" si="148"/>
        <v>0.22179620483493623</v>
      </c>
      <c r="Q74" s="755">
        <f t="shared" si="148"/>
        <v>0.25823094516249134</v>
      </c>
      <c r="R74" s="755">
        <f t="shared" si="148"/>
        <v>-4.0116672303009859E-2</v>
      </c>
      <c r="S74" s="755">
        <f t="shared" si="148"/>
        <v>0.11141938609239443</v>
      </c>
      <c r="T74" s="755">
        <f t="shared" si="148"/>
        <v>0.11487102270475891</v>
      </c>
      <c r="U74" s="755">
        <f t="shared" si="148"/>
        <v>4.6797696900767738E-2</v>
      </c>
      <c r="V74" s="755">
        <f t="shared" si="148"/>
        <v>0.18851921895106383</v>
      </c>
      <c r="W74" s="755">
        <f t="shared" si="148"/>
        <v>0.10424481004196529</v>
      </c>
      <c r="X74" s="755">
        <f t="shared" si="148"/>
        <v>-5.6568238380305336E-2</v>
      </c>
      <c r="Y74" s="756"/>
      <c r="Z74" s="755"/>
      <c r="AA74" s="755"/>
      <c r="AB74" s="755">
        <f t="shared" ref="AB74:AT74" si="149">AB73/Z73-1</f>
        <v>0.27222659323367426</v>
      </c>
      <c r="AC74" s="755">
        <f t="shared" si="149"/>
        <v>0.19502597198174088</v>
      </c>
      <c r="AD74" s="755">
        <f t="shared" si="149"/>
        <v>0.2160379303236446</v>
      </c>
      <c r="AE74" s="755">
        <f t="shared" si="149"/>
        <v>0.23821127502634343</v>
      </c>
      <c r="AF74" s="755">
        <f t="shared" si="149"/>
        <v>0.24365711702548465</v>
      </c>
      <c r="AG74" s="755">
        <f t="shared" si="149"/>
        <v>0.25823094516249134</v>
      </c>
      <c r="AH74" s="755">
        <f t="shared" si="149"/>
        <v>0.112317688218456</v>
      </c>
      <c r="AI74" s="755">
        <f t="shared" si="149"/>
        <v>-4.0116672303009859E-2</v>
      </c>
      <c r="AJ74" s="755">
        <f t="shared" si="149"/>
        <v>1.1355745271843576E-2</v>
      </c>
      <c r="AK74" s="755">
        <f t="shared" si="149"/>
        <v>0.11141938609239443</v>
      </c>
      <c r="AL74" s="755">
        <f t="shared" si="149"/>
        <v>0.15489317016034576</v>
      </c>
      <c r="AM74" s="755">
        <f t="shared" si="149"/>
        <v>0.11487102270475891</v>
      </c>
      <c r="AN74" s="755">
        <f t="shared" si="149"/>
        <v>-2.937679233405599E-3</v>
      </c>
      <c r="AO74" s="755">
        <f t="shared" si="149"/>
        <v>4.6797696900767738E-2</v>
      </c>
      <c r="AP74" s="755">
        <f t="shared" si="149"/>
        <v>0.16222378112942826</v>
      </c>
      <c r="AQ74" s="755">
        <v>0.18851921895106383</v>
      </c>
      <c r="AR74" s="755">
        <f t="shared" si="149"/>
        <v>0.22996831145314611</v>
      </c>
      <c r="AS74" s="755">
        <f t="shared" si="130"/>
        <v>0.10424481004196529</v>
      </c>
      <c r="AT74" s="755">
        <f t="shared" si="149"/>
        <v>-5.2803337013863305E-2</v>
      </c>
      <c r="AU74" s="755">
        <f t="shared" si="130"/>
        <v>-5.6568238380305336E-2</v>
      </c>
    </row>
    <row r="75" spans="1:73" x14ac:dyDescent="0.35">
      <c r="I75" s="779">
        <f>I65/I73</f>
        <v>0.221815107102593</v>
      </c>
      <c r="J75" s="779">
        <f>J65/J73</f>
        <v>0.44971381847914965</v>
      </c>
      <c r="K75" s="779">
        <f>K65/K73</f>
        <v>0.44756456924943666</v>
      </c>
      <c r="L75" s="779">
        <f>L65/L73</f>
        <v>0.47454054661291223</v>
      </c>
      <c r="M75" s="779">
        <f>M65/M73</f>
        <v>0.55220193340494095</v>
      </c>
      <c r="N75" s="779"/>
      <c r="O75" s="779"/>
      <c r="P75" s="779"/>
      <c r="Q75" s="779"/>
      <c r="R75" s="779"/>
    </row>
    <row r="76" spans="1:73" s="780" customFormat="1" x14ac:dyDescent="0.35">
      <c r="A76" s="1617" t="s">
        <v>2934</v>
      </c>
      <c r="B76" s="781" t="s">
        <v>1874</v>
      </c>
      <c r="E76" s="782">
        <f t="shared" ref="E76:X76" si="150">E73/E91</f>
        <v>1.8028741215826625</v>
      </c>
      <c r="F76" s="782">
        <f t="shared" si="150"/>
        <v>2.2958642882204057</v>
      </c>
      <c r="G76" s="782">
        <f t="shared" si="150"/>
        <v>1.8874171860093358</v>
      </c>
      <c r="H76" s="782">
        <f t="shared" si="150"/>
        <v>2.5416974376557784</v>
      </c>
      <c r="I76" s="782">
        <f t="shared" si="150"/>
        <v>2.9608930948184291</v>
      </c>
      <c r="J76" s="782">
        <f t="shared" si="150"/>
        <v>2.986694617374321</v>
      </c>
      <c r="K76" s="782">
        <f t="shared" si="150"/>
        <v>2.6329649586091883</v>
      </c>
      <c r="L76" s="782">
        <f t="shared" si="150"/>
        <v>2.8027206638515092</v>
      </c>
      <c r="M76" s="782">
        <f t="shared" si="150"/>
        <v>2.7032853918783841</v>
      </c>
      <c r="N76" s="782">
        <f t="shared" si="150"/>
        <v>3.3435191462653058</v>
      </c>
      <c r="O76" s="782">
        <f t="shared" si="150"/>
        <v>3.3301947380499288</v>
      </c>
      <c r="P76" s="782">
        <f t="shared" si="150"/>
        <v>3.7487644689627189</v>
      </c>
      <c r="Q76" s="782">
        <f t="shared" si="150"/>
        <v>4.2526643510235731</v>
      </c>
      <c r="R76" s="782">
        <f t="shared" si="150"/>
        <v>3.6820364134218435</v>
      </c>
      <c r="S76" s="782">
        <f t="shared" si="150"/>
        <v>4.0406994193397896</v>
      </c>
      <c r="T76" s="782">
        <f t="shared" si="150"/>
        <v>3.6393921201055277</v>
      </c>
      <c r="U76" s="782">
        <f t="shared" si="150"/>
        <v>2.8882200011934267</v>
      </c>
      <c r="V76" s="782">
        <f t="shared" si="150"/>
        <v>3.077803917519276</v>
      </c>
      <c r="W76" s="782">
        <f t="shared" si="150"/>
        <v>3.3581177485135014</v>
      </c>
      <c r="X76" s="782">
        <f t="shared" si="150"/>
        <v>3.630477309267933</v>
      </c>
      <c r="AH76" s="782"/>
      <c r="AI76" s="782"/>
      <c r="AJ76" s="783"/>
      <c r="AK76" s="782"/>
      <c r="AL76" s="782"/>
      <c r="AM76" s="782"/>
      <c r="AN76" s="782"/>
      <c r="AO76" s="782"/>
      <c r="AP76" s="782"/>
      <c r="AQ76" s="782"/>
      <c r="AR76" s="782"/>
      <c r="AS76" s="782"/>
      <c r="AT76" s="782"/>
      <c r="AU76" s="782"/>
      <c r="AW76" s="148"/>
      <c r="AX76" s="148"/>
      <c r="AY76" s="148"/>
      <c r="AZ76" s="148"/>
      <c r="BA76" s="148"/>
      <c r="BB76" s="148"/>
      <c r="BC76" s="148"/>
      <c r="BD76" s="148"/>
      <c r="BE76" s="148"/>
      <c r="BF76" s="148"/>
    </row>
    <row r="77" spans="1:73" s="780" customFormat="1" x14ac:dyDescent="0.35">
      <c r="A77" s="1617" t="s">
        <v>2935</v>
      </c>
      <c r="B77" s="781" t="s">
        <v>1873</v>
      </c>
      <c r="E77" s="782"/>
      <c r="F77" s="784">
        <f t="shared" ref="F77:X77" si="151">F91/(E73+F24)</f>
        <v>0.32041965897068891</v>
      </c>
      <c r="G77" s="784">
        <f t="shared" si="151"/>
        <v>0.29605783266342289</v>
      </c>
      <c r="H77" s="784">
        <f t="shared" si="151"/>
        <v>0.25388067275247833</v>
      </c>
      <c r="I77" s="784">
        <f t="shared" si="151"/>
        <v>0.24159014112903224</v>
      </c>
      <c r="J77" s="784">
        <f t="shared" si="151"/>
        <v>0.24907711374695859</v>
      </c>
      <c r="K77" s="784">
        <f t="shared" si="151"/>
        <v>0.25560732617825477</v>
      </c>
      <c r="L77" s="784">
        <f t="shared" si="151"/>
        <v>0.26434471263103237</v>
      </c>
      <c r="M77" s="784">
        <f t="shared" si="151"/>
        <v>0.25190969692482995</v>
      </c>
      <c r="N77" s="784">
        <f t="shared" si="151"/>
        <v>0.23286890128071572</v>
      </c>
      <c r="O77" s="784">
        <f t="shared" si="151"/>
        <v>0.21916951098041076</v>
      </c>
      <c r="P77" s="784">
        <f t="shared" si="151"/>
        <v>0.19513082250408528</v>
      </c>
      <c r="Q77" s="784">
        <f t="shared" si="151"/>
        <v>0.18051111111111112</v>
      </c>
      <c r="R77" s="784">
        <f t="shared" si="151"/>
        <v>0.17763027248113372</v>
      </c>
      <c r="S77" s="784">
        <f t="shared" si="151"/>
        <v>0.18470208191630932</v>
      </c>
      <c r="T77" s="784">
        <f t="shared" si="151"/>
        <v>0.19700732378573976</v>
      </c>
      <c r="U77" s="784">
        <f t="shared" si="151"/>
        <v>0.23066577921740095</v>
      </c>
      <c r="V77" s="784">
        <f t="shared" si="151"/>
        <v>0.23569618584795199</v>
      </c>
      <c r="W77" s="784">
        <f t="shared" si="151"/>
        <v>0.20506731372213671</v>
      </c>
      <c r="X77" s="784">
        <f t="shared" si="151"/>
        <v>0.18041745396547143</v>
      </c>
      <c r="AH77" s="784"/>
      <c r="AI77" s="784"/>
      <c r="AJ77" s="784"/>
      <c r="AK77" s="784"/>
      <c r="AL77" s="784"/>
      <c r="AM77" s="784"/>
      <c r="AN77" s="784"/>
      <c r="AO77" s="784"/>
      <c r="AP77" s="784"/>
      <c r="AQ77" s="784"/>
      <c r="AR77" s="784"/>
      <c r="AS77" s="784"/>
      <c r="AT77" s="784"/>
      <c r="AU77" s="784"/>
      <c r="AW77" s="148"/>
      <c r="AX77" s="148"/>
      <c r="AY77" s="148"/>
      <c r="AZ77" s="148"/>
      <c r="BA77" s="148"/>
      <c r="BB77" s="148"/>
      <c r="BC77" s="148"/>
      <c r="BD77" s="148"/>
      <c r="BE77" s="148"/>
      <c r="BF77" s="148"/>
    </row>
    <row r="78" spans="1:73" s="780" customFormat="1" x14ac:dyDescent="0.35">
      <c r="A78" s="1617" t="s">
        <v>2936</v>
      </c>
      <c r="B78" s="781" t="s">
        <v>1985</v>
      </c>
      <c r="E78" s="784">
        <f t="shared" ref="E78:X78" si="152">E65/E73</f>
        <v>0</v>
      </c>
      <c r="F78" s="784">
        <f t="shared" si="152"/>
        <v>0</v>
      </c>
      <c r="G78" s="784">
        <f t="shared" si="152"/>
        <v>4.3112015522218543E-2</v>
      </c>
      <c r="H78" s="784">
        <f t="shared" si="152"/>
        <v>0.21118767734089988</v>
      </c>
      <c r="I78" s="784">
        <f t="shared" si="152"/>
        <v>0.221815107102593</v>
      </c>
      <c r="J78" s="784">
        <f t="shared" si="152"/>
        <v>0.44971381847914965</v>
      </c>
      <c r="K78" s="784">
        <f t="shared" si="152"/>
        <v>0.44756456924943666</v>
      </c>
      <c r="L78" s="784">
        <f t="shared" si="152"/>
        <v>0.47454054661291223</v>
      </c>
      <c r="M78" s="784">
        <f t="shared" si="152"/>
        <v>0.55220193340494095</v>
      </c>
      <c r="N78" s="784">
        <f t="shared" si="152"/>
        <v>0.69439634818196128</v>
      </c>
      <c r="O78" s="784">
        <f t="shared" si="152"/>
        <v>0.7619573693787367</v>
      </c>
      <c r="P78" s="784">
        <f t="shared" si="152"/>
        <v>0.83676400191479172</v>
      </c>
      <c r="Q78" s="784">
        <f t="shared" si="152"/>
        <v>0.80123435914778496</v>
      </c>
      <c r="R78" s="784">
        <f t="shared" si="152"/>
        <v>0.69331043290615224</v>
      </c>
      <c r="S78" s="784">
        <f t="shared" si="152"/>
        <v>0.68462971034592068</v>
      </c>
      <c r="T78" s="784">
        <f t="shared" si="152"/>
        <v>0.65911998862667043</v>
      </c>
      <c r="U78" s="784">
        <f t="shared" si="152"/>
        <v>0.65808228108119116</v>
      </c>
      <c r="V78" s="784">
        <f t="shared" si="152"/>
        <v>0.58745725622837819</v>
      </c>
      <c r="W78" s="784">
        <f t="shared" si="152"/>
        <v>0.51273600281470055</v>
      </c>
      <c r="X78" s="784">
        <f t="shared" si="152"/>
        <v>0.53873849663811169</v>
      </c>
      <c r="AH78" s="784"/>
      <c r="AI78" s="784"/>
      <c r="AJ78" s="784"/>
      <c r="AK78" s="784"/>
      <c r="AL78" s="784"/>
      <c r="AM78" s="784"/>
      <c r="AN78" s="784"/>
      <c r="AO78" s="784"/>
      <c r="AP78" s="784"/>
      <c r="AQ78" s="784"/>
      <c r="AR78" s="784"/>
      <c r="AS78" s="784"/>
      <c r="AT78" s="784"/>
      <c r="AU78" s="784"/>
      <c r="AZ78" s="784"/>
      <c r="BA78" s="784"/>
      <c r="BC78" s="784"/>
    </row>
    <row r="80" spans="1:73" ht="10.5" x14ac:dyDescent="0.35">
      <c r="A80" s="1616" t="s">
        <v>2937</v>
      </c>
      <c r="B80" s="746" t="s">
        <v>1872</v>
      </c>
      <c r="C80" s="747"/>
      <c r="D80" s="747" t="s">
        <v>328</v>
      </c>
      <c r="E80" s="747" t="s">
        <v>323</v>
      </c>
      <c r="F80" s="747" t="s">
        <v>198</v>
      </c>
      <c r="G80" s="748" t="s">
        <v>331</v>
      </c>
      <c r="H80" s="748" t="s">
        <v>21</v>
      </c>
      <c r="I80" s="748" t="s">
        <v>721</v>
      </c>
      <c r="J80" s="748" t="s">
        <v>832</v>
      </c>
      <c r="K80" s="748" t="s">
        <v>831</v>
      </c>
      <c r="L80" s="748" t="s">
        <v>1376</v>
      </c>
      <c r="M80" s="748" t="s">
        <v>1510</v>
      </c>
      <c r="N80" s="748" t="str">
        <f>N1</f>
        <v>2015A</v>
      </c>
      <c r="O80" s="748" t="s">
        <v>1739</v>
      </c>
      <c r="P80" s="748" t="s">
        <v>1810</v>
      </c>
      <c r="Q80" s="748" t="str">
        <f>$Q$1</f>
        <v>2018A</v>
      </c>
      <c r="R80" s="748" t="str">
        <f t="shared" ref="R80:X80" si="153">R$1</f>
        <v>2019A</v>
      </c>
      <c r="S80" s="748" t="str">
        <f t="shared" si="153"/>
        <v>2020A</v>
      </c>
      <c r="T80" s="748" t="str">
        <f t="shared" si="153"/>
        <v>2021A</v>
      </c>
      <c r="U80" s="748" t="str">
        <f t="shared" si="153"/>
        <v>2022A</v>
      </c>
      <c r="V80" s="748" t="str">
        <f t="shared" si="153"/>
        <v>2023A</v>
      </c>
      <c r="W80" s="748" t="str">
        <f t="shared" si="153"/>
        <v>2024A</v>
      </c>
      <c r="X80" s="748" t="str">
        <f t="shared" si="153"/>
        <v>2025A</v>
      </c>
      <c r="Y80" s="750"/>
      <c r="Z80" s="748" t="s">
        <v>1518</v>
      </c>
      <c r="AA80" s="748" t="s">
        <v>1866</v>
      </c>
      <c r="AB80" s="748" t="s">
        <v>1740</v>
      </c>
      <c r="AC80" s="748" t="s">
        <v>1865</v>
      </c>
      <c r="AD80" s="748" t="s">
        <v>1749</v>
      </c>
      <c r="AE80" s="748" t="s">
        <v>1811</v>
      </c>
      <c r="AF80" s="748" t="str">
        <f>$AF$1</f>
        <v>1H18</v>
      </c>
      <c r="AG80" s="748" t="str">
        <f t="shared" ref="AG80:AU80" si="154">AG$1</f>
        <v>2H18</v>
      </c>
      <c r="AH80" s="748" t="str">
        <f t="shared" si="154"/>
        <v>1H19</v>
      </c>
      <c r="AI80" s="748" t="str">
        <f t="shared" si="154"/>
        <v>2H19</v>
      </c>
      <c r="AJ80" s="748" t="str">
        <f t="shared" si="154"/>
        <v>1H20</v>
      </c>
      <c r="AK80" s="748" t="str">
        <f t="shared" si="154"/>
        <v>2H20</v>
      </c>
      <c r="AL80" s="748" t="str">
        <f t="shared" si="154"/>
        <v>1H21</v>
      </c>
      <c r="AM80" s="748" t="str">
        <f t="shared" si="154"/>
        <v>2H21</v>
      </c>
      <c r="AN80" s="748" t="str">
        <f t="shared" si="154"/>
        <v>1H22</v>
      </c>
      <c r="AO80" s="748" t="str">
        <f t="shared" si="154"/>
        <v>2H22</v>
      </c>
      <c r="AP80" s="748" t="str">
        <f t="shared" si="154"/>
        <v>1H23</v>
      </c>
      <c r="AQ80" s="748" t="str">
        <f t="shared" si="154"/>
        <v>2H23</v>
      </c>
      <c r="AR80" s="748" t="str">
        <f t="shared" si="154"/>
        <v>1H24</v>
      </c>
      <c r="AS80" s="748" t="str">
        <f t="shared" si="154"/>
        <v>2H24</v>
      </c>
      <c r="AT80" s="748" t="str">
        <f t="shared" si="154"/>
        <v>1H25</v>
      </c>
      <c r="AU80" s="748" t="str">
        <f t="shared" si="154"/>
        <v>2H25</v>
      </c>
      <c r="AW80" s="748" t="s">
        <v>2790</v>
      </c>
      <c r="AX80" s="748" t="s">
        <v>2865</v>
      </c>
      <c r="AY80" s="748" t="s">
        <v>2842</v>
      </c>
      <c r="AZ80" s="748" t="s">
        <v>2851</v>
      </c>
      <c r="BA80" s="749" t="s">
        <v>2863</v>
      </c>
      <c r="BB80" s="1606" t="s">
        <v>2888</v>
      </c>
      <c r="BC80" s="1607" t="s">
        <v>2889</v>
      </c>
      <c r="BD80" s="1606" t="s">
        <v>2915</v>
      </c>
      <c r="BE80" s="1606" t="s">
        <v>2903</v>
      </c>
      <c r="BG80" s="748" t="s">
        <v>2790</v>
      </c>
      <c r="BH80" s="748" t="s">
        <v>2794</v>
      </c>
      <c r="BI80" s="748" t="s">
        <v>2830</v>
      </c>
      <c r="BJ80" s="748" t="s">
        <v>2831</v>
      </c>
      <c r="BK80" s="748" t="s">
        <v>2842</v>
      </c>
      <c r="BL80" s="748" t="s">
        <v>2852</v>
      </c>
      <c r="BM80" s="748" t="s">
        <v>2864</v>
      </c>
      <c r="BN80" s="748" t="s">
        <v>2890</v>
      </c>
      <c r="BO80" s="748" t="s">
        <v>2877</v>
      </c>
      <c r="BP80" s="748" t="s">
        <v>2879</v>
      </c>
      <c r="BQ80" s="748" t="s">
        <v>2891</v>
      </c>
      <c r="BR80" s="748" t="s">
        <v>2878</v>
      </c>
      <c r="BS80" s="748" t="s">
        <v>2877</v>
      </c>
      <c r="BT80" s="748" t="s">
        <v>2878</v>
      </c>
      <c r="BU80" s="748" t="s">
        <v>2878</v>
      </c>
    </row>
    <row r="81" spans="1:73" s="745" customFormat="1" x14ac:dyDescent="0.35">
      <c r="A81" s="1617" t="s">
        <v>2923</v>
      </c>
      <c r="B81" s="751" t="s">
        <v>343</v>
      </c>
      <c r="C81" s="752"/>
      <c r="D81" s="752"/>
      <c r="E81" s="752">
        <f>HK!C11</f>
        <v>7464.6279999999997</v>
      </c>
      <c r="F81" s="752">
        <f>HK!D11</f>
        <v>5527.5870000000004</v>
      </c>
      <c r="G81" s="752">
        <f>HK!E11</f>
        <v>6195.6409999999996</v>
      </c>
      <c r="H81" s="752">
        <f>HK!F11</f>
        <v>6188.1589999999997</v>
      </c>
      <c r="I81" s="752">
        <f>HK!G11</f>
        <v>6236.5550000000003</v>
      </c>
      <c r="J81" s="752">
        <f>HK!H11</f>
        <v>8707.6769999999997</v>
      </c>
      <c r="K81" s="752">
        <f>HK!I11</f>
        <v>11088.855</v>
      </c>
      <c r="L81" s="752">
        <f>HK!J11</f>
        <v>11134.089</v>
      </c>
      <c r="M81" s="752">
        <f>HK!K11</f>
        <v>15284.749</v>
      </c>
      <c r="N81" s="752">
        <f>HK!L11</f>
        <v>16272.249</v>
      </c>
      <c r="O81" s="752">
        <f>HK!M11</f>
        <v>17585.358</v>
      </c>
      <c r="P81" s="752">
        <f>HK!N11</f>
        <v>15013.237999999999</v>
      </c>
      <c r="Q81" s="752">
        <f>HK!O11</f>
        <v>14875.26</v>
      </c>
      <c r="R81" s="752">
        <f>HK!P11</f>
        <v>21421.171999999999</v>
      </c>
      <c r="S81" s="752">
        <f>HK!Q11</f>
        <v>22403.904999999999</v>
      </c>
      <c r="T81" s="752">
        <f>HK!R11</f>
        <v>23844.305</v>
      </c>
      <c r="U81" s="752">
        <f>HK!S11</f>
        <v>37214.275000000001</v>
      </c>
      <c r="V81" s="752">
        <f>HK!T11</f>
        <v>30821.983</v>
      </c>
      <c r="W81" s="752">
        <f>HK!U11</f>
        <v>41086.699000000001</v>
      </c>
      <c r="X81" s="752">
        <f>HK!V11</f>
        <v>39753.760000000002</v>
      </c>
      <c r="Y81" s="752"/>
      <c r="Z81" s="781">
        <f>7546935/1000</f>
        <v>7546.9350000000004</v>
      </c>
      <c r="AA81" s="781">
        <f>N81-Z81</f>
        <v>8725.3139999999985</v>
      </c>
      <c r="AB81" s="781">
        <f>7206277/1000</f>
        <v>7206.277</v>
      </c>
      <c r="AC81" s="781">
        <f>O81-AB81</f>
        <v>10379.081</v>
      </c>
      <c r="AD81" s="781">
        <v>8433.9879999999994</v>
      </c>
      <c r="AE81" s="781">
        <f>P81-AD81</f>
        <v>6579.25</v>
      </c>
      <c r="AF81" s="781">
        <v>7356.9669999999996</v>
      </c>
      <c r="AG81" s="752">
        <f>Q81-AF81</f>
        <v>7518.2930000000006</v>
      </c>
      <c r="AH81" s="781">
        <v>9841.1029999999992</v>
      </c>
      <c r="AI81" s="752">
        <f>R81-AH81</f>
        <v>11580.069</v>
      </c>
      <c r="AJ81" s="781">
        <v>10291.263000000001</v>
      </c>
      <c r="AK81" s="752">
        <f>S81-AJ81</f>
        <v>12112.641999999998</v>
      </c>
      <c r="AL81" s="752">
        <v>10468.112999999999</v>
      </c>
      <c r="AM81" s="752">
        <f>T81-AL81</f>
        <v>13376.192000000001</v>
      </c>
      <c r="AN81" s="752">
        <v>22989.036</v>
      </c>
      <c r="AO81" s="762">
        <f>U81-AN81</f>
        <v>14225.239000000001</v>
      </c>
      <c r="AP81" s="752">
        <v>14074.829</v>
      </c>
      <c r="AQ81" s="762">
        <f>V81-AP81</f>
        <v>16747.154000000002</v>
      </c>
      <c r="AR81" s="752">
        <v>18173.707999999999</v>
      </c>
      <c r="AS81" s="752">
        <f t="shared" ref="AS81:AU91" si="155">W81-AR81</f>
        <v>22912.991000000002</v>
      </c>
      <c r="AT81" s="752">
        <f>23236.839</f>
        <v>23236.839</v>
      </c>
      <c r="AU81" s="752">
        <f>X81-AT81</f>
        <v>16516.921000000002</v>
      </c>
      <c r="AZ81" s="752">
        <v>14074.829</v>
      </c>
    </row>
    <row r="82" spans="1:73" x14ac:dyDescent="0.35">
      <c r="A82" s="1618" t="s">
        <v>577</v>
      </c>
      <c r="B82" s="753" t="s">
        <v>577</v>
      </c>
      <c r="C82" s="754"/>
      <c r="D82" s="755"/>
      <c r="E82" s="755"/>
      <c r="F82" s="755">
        <f t="shared" ref="F82:X82" si="156">F81/E81-1</f>
        <v>-0.25949598560035403</v>
      </c>
      <c r="G82" s="755">
        <f t="shared" si="156"/>
        <v>0.12085816107462422</v>
      </c>
      <c r="H82" s="755">
        <f t="shared" si="156"/>
        <v>-1.2076232305906487E-3</v>
      </c>
      <c r="I82" s="755">
        <f t="shared" si="156"/>
        <v>7.8207428089680509E-3</v>
      </c>
      <c r="J82" s="755">
        <f t="shared" si="156"/>
        <v>0.3962318940504812</v>
      </c>
      <c r="K82" s="755">
        <f t="shared" si="156"/>
        <v>0.27345731818026775</v>
      </c>
      <c r="L82" s="755">
        <f t="shared" si="156"/>
        <v>4.079230903461184E-3</v>
      </c>
      <c r="M82" s="755">
        <f t="shared" si="156"/>
        <v>0.37278846971674118</v>
      </c>
      <c r="N82" s="755">
        <f t="shared" si="156"/>
        <v>6.4606883632829071E-2</v>
      </c>
      <c r="O82" s="755">
        <f t="shared" si="156"/>
        <v>8.0696220909598937E-2</v>
      </c>
      <c r="P82" s="755">
        <f t="shared" si="156"/>
        <v>-0.14626486421260232</v>
      </c>
      <c r="Q82" s="755">
        <f t="shared" si="156"/>
        <v>-9.1904224791480305E-3</v>
      </c>
      <c r="R82" s="755">
        <f t="shared" si="156"/>
        <v>0.44005361923085706</v>
      </c>
      <c r="S82" s="755">
        <f t="shared" si="156"/>
        <v>4.5876714868822388E-2</v>
      </c>
      <c r="T82" s="755">
        <f t="shared" si="156"/>
        <v>6.429236331791266E-2</v>
      </c>
      <c r="U82" s="755">
        <f t="shared" si="156"/>
        <v>0.56071963514977696</v>
      </c>
      <c r="V82" s="755">
        <f t="shared" si="156"/>
        <v>-0.1717698920642684</v>
      </c>
      <c r="W82" s="755">
        <f t="shared" si="156"/>
        <v>0.33303230359967428</v>
      </c>
      <c r="X82" s="755">
        <f t="shared" si="156"/>
        <v>-3.2442104925489379E-2</v>
      </c>
      <c r="Y82" s="756"/>
      <c r="Z82" s="755"/>
      <c r="AA82" s="755"/>
      <c r="AB82" s="755">
        <f t="shared" ref="AB82:AU92" si="157">AB81/Z81-1</f>
        <v>-4.5138589374361993E-2</v>
      </c>
      <c r="AC82" s="755">
        <f t="shared" si="157"/>
        <v>0.18953667455406209</v>
      </c>
      <c r="AD82" s="755">
        <f t="shared" si="157"/>
        <v>0.170366889865599</v>
      </c>
      <c r="AE82" s="755">
        <f t="shared" si="157"/>
        <v>-0.36610476399596459</v>
      </c>
      <c r="AF82" s="755">
        <f t="shared" si="157"/>
        <v>-0.12770008683910861</v>
      </c>
      <c r="AG82" s="755">
        <f t="shared" si="157"/>
        <v>0.14272797051335639</v>
      </c>
      <c r="AH82" s="755">
        <f t="shared" si="157"/>
        <v>0.33765762439875013</v>
      </c>
      <c r="AI82" s="755">
        <f t="shared" si="157"/>
        <v>0.54025242166007614</v>
      </c>
      <c r="AJ82" s="755">
        <f t="shared" si="157"/>
        <v>4.5742840004824759E-2</v>
      </c>
      <c r="AK82" s="755">
        <f t="shared" si="157"/>
        <v>4.5990485894341182E-2</v>
      </c>
      <c r="AL82" s="755">
        <f t="shared" si="157"/>
        <v>1.7184479689227539E-2</v>
      </c>
      <c r="AM82" s="755">
        <f t="shared" si="157"/>
        <v>0.10431663050885209</v>
      </c>
      <c r="AN82" s="755">
        <f t="shared" si="157"/>
        <v>1.1961012457546074</v>
      </c>
      <c r="AO82" s="755">
        <f t="shared" si="157"/>
        <v>6.3474492591015563E-2</v>
      </c>
      <c r="AP82" s="755">
        <f t="shared" si="157"/>
        <v>-0.38775906044951169</v>
      </c>
      <c r="AQ82" s="755">
        <f t="shared" si="157"/>
        <v>0.17728454333877974</v>
      </c>
      <c r="AR82" s="755">
        <f t="shared" si="157"/>
        <v>0.29122051855834252</v>
      </c>
      <c r="AS82" s="755">
        <f t="shared" si="157"/>
        <v>0.36817222794989513</v>
      </c>
      <c r="AT82" s="755">
        <f t="shared" si="157"/>
        <v>0.27859647574397051</v>
      </c>
      <c r="AU82" s="755">
        <f t="shared" si="157"/>
        <v>-0.27914600935338385</v>
      </c>
      <c r="AZ82" s="755">
        <v>-0.38775906044951169</v>
      </c>
    </row>
    <row r="83" spans="1:73" x14ac:dyDescent="0.35">
      <c r="A83" s="1617" t="s">
        <v>2924</v>
      </c>
      <c r="B83" s="751" t="s">
        <v>359</v>
      </c>
      <c r="C83" s="752"/>
      <c r="D83" s="756"/>
      <c r="E83" s="752">
        <f>Macau!D11</f>
        <v>1551.6</v>
      </c>
      <c r="F83" s="752">
        <f>Macau!E11</f>
        <v>1586.7819999999999</v>
      </c>
      <c r="G83" s="752">
        <f>Macau!F11</f>
        <v>2078.19</v>
      </c>
      <c r="H83" s="752">
        <f>Macau!G11</f>
        <v>404.16</v>
      </c>
      <c r="I83" s="752">
        <f>Macau!H11</f>
        <v>82.986000000000004</v>
      </c>
      <c r="J83" s="785">
        <f>Macau!I11</f>
        <v>243.08600000000001</v>
      </c>
      <c r="K83" s="785">
        <f>Macau!J11</f>
        <v>900.34799999999996</v>
      </c>
      <c r="L83" s="785">
        <f>Macau!K11</f>
        <v>836.48699999999997</v>
      </c>
      <c r="M83" s="785">
        <f>Macau!L11</f>
        <v>2255.8989999999999</v>
      </c>
      <c r="N83" s="785">
        <f>Macau!M11</f>
        <v>5314.2269999999999</v>
      </c>
      <c r="O83" s="785">
        <f>Macau!N11</f>
        <v>8715.9789999999994</v>
      </c>
      <c r="P83" s="785">
        <f>Macau!O11</f>
        <v>8058.2439999999997</v>
      </c>
      <c r="Q83" s="785">
        <f>Macau!P11</f>
        <v>7024.51</v>
      </c>
      <c r="R83" s="785">
        <f>Macau!Q11</f>
        <v>4693.6480000000001</v>
      </c>
      <c r="S83" s="785">
        <f>Macau!R11</f>
        <v>4502.4549999999999</v>
      </c>
      <c r="T83" s="785">
        <f>Macau!S11</f>
        <v>8405.2999999999993</v>
      </c>
      <c r="U83" s="785">
        <f>Macau!T11</f>
        <v>10541.7</v>
      </c>
      <c r="V83" s="785">
        <f>Macau!U11</f>
        <v>10769.727000000001</v>
      </c>
      <c r="W83" s="785">
        <f>Macau!V11</f>
        <v>8784.08</v>
      </c>
      <c r="X83" s="785">
        <f>Macau!W11</f>
        <v>3388.36</v>
      </c>
      <c r="Y83" s="752"/>
      <c r="Z83" s="781">
        <f>1876156/1000</f>
        <v>1876.1559999999999</v>
      </c>
      <c r="AA83" s="781">
        <f>N83-Z83</f>
        <v>3438.0709999999999</v>
      </c>
      <c r="AB83" s="781">
        <f>4161311/1000</f>
        <v>4161.3109999999997</v>
      </c>
      <c r="AC83" s="781">
        <f>O83-AB83</f>
        <v>4554.6679999999997</v>
      </c>
      <c r="AD83" s="781">
        <v>4221.0069999999996</v>
      </c>
      <c r="AE83" s="781">
        <f>P83-AD83</f>
        <v>3837.2370000000001</v>
      </c>
      <c r="AF83" s="781">
        <v>4016.165</v>
      </c>
      <c r="AG83" s="752">
        <f>Q83-AF83</f>
        <v>3008.3450000000003</v>
      </c>
      <c r="AH83" s="781">
        <v>2655.0549999999998</v>
      </c>
      <c r="AI83" s="752">
        <f>R83-AH83</f>
        <v>2038.5930000000003</v>
      </c>
      <c r="AJ83" s="781">
        <v>1946.546</v>
      </c>
      <c r="AK83" s="752">
        <f>S83-AJ83</f>
        <v>2555.9089999999997</v>
      </c>
      <c r="AL83" s="752">
        <v>2925.3960000000002</v>
      </c>
      <c r="AM83" s="752">
        <f>T83-AL83</f>
        <v>5479.9039999999986</v>
      </c>
      <c r="AN83" s="752">
        <v>5812.5129999999999</v>
      </c>
      <c r="AO83" s="762">
        <f>U83-AN83</f>
        <v>4729.1870000000008</v>
      </c>
      <c r="AP83" s="752">
        <v>5862.7650000000003</v>
      </c>
      <c r="AQ83" s="762">
        <f>V83-AP83</f>
        <v>4906.9620000000004</v>
      </c>
      <c r="AR83" s="752">
        <v>5418.5950000000003</v>
      </c>
      <c r="AS83" s="752">
        <f t="shared" si="155"/>
        <v>3365.4849999999997</v>
      </c>
      <c r="AT83" s="752">
        <f>1895.909</f>
        <v>1895.9090000000001</v>
      </c>
      <c r="AU83" s="752">
        <f>X83-AT83</f>
        <v>1492.451</v>
      </c>
      <c r="AV83" s="745"/>
      <c r="AW83" s="745"/>
      <c r="AX83" s="745"/>
      <c r="AY83" s="745"/>
      <c r="AZ83" s="752">
        <v>5862.7650000000003</v>
      </c>
      <c r="BA83" s="745"/>
      <c r="BB83" s="745"/>
      <c r="BC83" s="745"/>
      <c r="BD83" s="745"/>
      <c r="BE83" s="745"/>
    </row>
    <row r="84" spans="1:73" x14ac:dyDescent="0.35">
      <c r="A84" s="1618" t="s">
        <v>577</v>
      </c>
      <c r="B84" s="753" t="s">
        <v>577</v>
      </c>
      <c r="C84" s="754"/>
      <c r="D84" s="755"/>
      <c r="E84" s="755"/>
      <c r="F84" s="755">
        <f t="shared" ref="F84:X84" si="158">F83/E83-1</f>
        <v>2.2674658417117799E-2</v>
      </c>
      <c r="G84" s="755">
        <f t="shared" si="158"/>
        <v>0.30968841340524422</v>
      </c>
      <c r="H84" s="755">
        <f t="shared" si="158"/>
        <v>-0.80552307536846968</v>
      </c>
      <c r="I84" s="755">
        <f t="shared" si="158"/>
        <v>-0.79467042755344419</v>
      </c>
      <c r="J84" s="755">
        <f t="shared" si="158"/>
        <v>1.9292410768081365</v>
      </c>
      <c r="K84" s="755">
        <f t="shared" si="158"/>
        <v>2.7038249837506063</v>
      </c>
      <c r="L84" s="755">
        <f t="shared" si="158"/>
        <v>-7.0929240693598516E-2</v>
      </c>
      <c r="M84" s="755">
        <f t="shared" si="158"/>
        <v>1.6968727547469356</v>
      </c>
      <c r="N84" s="755">
        <f t="shared" si="158"/>
        <v>1.3557025381012182</v>
      </c>
      <c r="O84" s="755">
        <f t="shared" si="158"/>
        <v>0.6401216959681999</v>
      </c>
      <c r="P84" s="755">
        <f t="shared" si="158"/>
        <v>-7.54631235343729E-2</v>
      </c>
      <c r="Q84" s="755">
        <f t="shared" si="158"/>
        <v>-0.1282827871680231</v>
      </c>
      <c r="R84" s="755">
        <f t="shared" si="158"/>
        <v>-0.33181844712300212</v>
      </c>
      <c r="S84" s="755">
        <f t="shared" si="158"/>
        <v>-4.0734413829072835E-2</v>
      </c>
      <c r="T84" s="755">
        <f t="shared" si="158"/>
        <v>0.86682598715589587</v>
      </c>
      <c r="U84" s="755">
        <f t="shared" si="158"/>
        <v>0.25417296229759812</v>
      </c>
      <c r="V84" s="755">
        <f t="shared" si="158"/>
        <v>2.1630951364580708E-2</v>
      </c>
      <c r="W84" s="755">
        <f t="shared" si="158"/>
        <v>-0.18437301149787744</v>
      </c>
      <c r="X84" s="755">
        <f t="shared" si="158"/>
        <v>-0.61426125445123447</v>
      </c>
      <c r="Y84" s="756"/>
      <c r="Z84" s="755"/>
      <c r="AA84" s="755"/>
      <c r="AB84" s="755">
        <f t="shared" ref="AB84:AT84" si="159">AB83/Z83-1</f>
        <v>1.2179983967218075</v>
      </c>
      <c r="AC84" s="755">
        <f t="shared" si="159"/>
        <v>0.32477427022304073</v>
      </c>
      <c r="AD84" s="755">
        <f t="shared" si="159"/>
        <v>1.4345479105022374E-2</v>
      </c>
      <c r="AE84" s="755">
        <f t="shared" si="159"/>
        <v>-0.15751554229638687</v>
      </c>
      <c r="AF84" s="755">
        <f t="shared" si="159"/>
        <v>-4.8529177989991457E-2</v>
      </c>
      <c r="AG84" s="755">
        <f t="shared" si="159"/>
        <v>-0.21601271956879387</v>
      </c>
      <c r="AH84" s="755">
        <f t="shared" si="159"/>
        <v>-0.33890788849561715</v>
      </c>
      <c r="AI84" s="755">
        <f t="shared" si="159"/>
        <v>-0.32235398533080473</v>
      </c>
      <c r="AJ84" s="755">
        <f t="shared" si="159"/>
        <v>-0.26685285238912182</v>
      </c>
      <c r="AK84" s="755">
        <f t="shared" si="159"/>
        <v>0.25376129516779433</v>
      </c>
      <c r="AL84" s="755">
        <f t="shared" si="159"/>
        <v>0.50286507485566756</v>
      </c>
      <c r="AM84" s="755">
        <f t="shared" si="159"/>
        <v>1.1440137344482921</v>
      </c>
      <c r="AN84" s="755">
        <f t="shared" si="159"/>
        <v>0.98691493390980223</v>
      </c>
      <c r="AO84" s="755">
        <f t="shared" si="159"/>
        <v>-0.13699455318925258</v>
      </c>
      <c r="AP84" s="755">
        <f t="shared" si="159"/>
        <v>8.6454860402034317E-3</v>
      </c>
      <c r="AQ84" s="755">
        <f t="shared" si="159"/>
        <v>3.7591027802453159E-2</v>
      </c>
      <c r="AR84" s="755">
        <f t="shared" si="159"/>
        <v>-7.5761180944486139E-2</v>
      </c>
      <c r="AS84" s="755">
        <f t="shared" si="157"/>
        <v>-0.31414080647048026</v>
      </c>
      <c r="AT84" s="755">
        <f t="shared" si="159"/>
        <v>-0.65011059139869287</v>
      </c>
      <c r="AU84" s="755">
        <f t="shared" si="157"/>
        <v>-0.55654207343072393</v>
      </c>
      <c r="AZ84" s="755">
        <v>8.6454860402034317E-3</v>
      </c>
    </row>
    <row r="85" spans="1:73" x14ac:dyDescent="0.35">
      <c r="A85" s="1617" t="s">
        <v>143</v>
      </c>
      <c r="B85" s="751" t="s">
        <v>1836</v>
      </c>
      <c r="C85" s="752"/>
      <c r="D85" s="756"/>
      <c r="E85" s="752">
        <f>'MainLand China'!D25</f>
        <v>845.16200000000003</v>
      </c>
      <c r="F85" s="752">
        <f>'MainLand China'!E25</f>
        <v>766.40899999999999</v>
      </c>
      <c r="G85" s="752">
        <f>'MainLand China'!F25</f>
        <v>1052.143</v>
      </c>
      <c r="H85" s="752">
        <f>'MainLand China'!G25</f>
        <v>2134.4789999999998</v>
      </c>
      <c r="I85" s="752">
        <f>'MainLand China'!H25</f>
        <v>4825.3130000000001</v>
      </c>
      <c r="J85" s="785">
        <f>'MainLand China'!I25</f>
        <v>7547.348</v>
      </c>
      <c r="K85" s="785">
        <f>'MainLand China'!J25</f>
        <v>8809.9509999999991</v>
      </c>
      <c r="L85" s="785">
        <f>'MainLand China'!K25</f>
        <v>13958.179</v>
      </c>
      <c r="M85" s="785">
        <f>'MainLand China'!L25</f>
        <v>15516.909</v>
      </c>
      <c r="N85" s="785">
        <f>'MainLand China'!M25</f>
        <v>14631.02</v>
      </c>
      <c r="O85" s="785">
        <f>'MainLand China'!N25</f>
        <v>18264.588</v>
      </c>
      <c r="P85" s="785">
        <f>'MainLand China'!O25</f>
        <v>24849.852999999999</v>
      </c>
      <c r="Q85" s="785">
        <f>'MainLand China'!P25</f>
        <v>30620.785</v>
      </c>
      <c r="R85" s="785">
        <f>'MainLand China'!Q25</f>
        <v>31935.556</v>
      </c>
      <c r="S85" s="785">
        <f>'MainLand China'!R25</f>
        <v>32349.675999999999</v>
      </c>
      <c r="T85" s="785">
        <f>'MainLand China'!S25</f>
        <v>40529.425000000003</v>
      </c>
      <c r="U85" s="785">
        <f>'MainLand China'!T25</f>
        <v>48631.131999999998</v>
      </c>
      <c r="V85" s="785">
        <f>'MainLand China'!U25</f>
        <v>66185.388999999996</v>
      </c>
      <c r="W85" s="785">
        <f>'MainLand China'!V25</f>
        <v>60419.209000000003</v>
      </c>
      <c r="X85" s="785">
        <f>'MainLand China'!W25</f>
        <v>53599.39</v>
      </c>
      <c r="Y85" s="752"/>
      <c r="Z85" s="781">
        <f>6780305/1000</f>
        <v>6780.3050000000003</v>
      </c>
      <c r="AA85" s="781">
        <f>N85-Z85</f>
        <v>7850.7150000000001</v>
      </c>
      <c r="AB85" s="781">
        <f>6590392/1000</f>
        <v>6590.3919999999998</v>
      </c>
      <c r="AC85" s="781">
        <f>O85-AB85</f>
        <v>11674.196</v>
      </c>
      <c r="AD85" s="781">
        <v>9455.6890000000003</v>
      </c>
      <c r="AE85" s="781">
        <f>P85-AD85</f>
        <v>15394.163999999999</v>
      </c>
      <c r="AF85" s="781">
        <v>14109.111999999999</v>
      </c>
      <c r="AG85" s="752">
        <f>Q85-AF85</f>
        <v>16511.673000000003</v>
      </c>
      <c r="AH85" s="781">
        <v>13475.074000000001</v>
      </c>
      <c r="AI85" s="752">
        <f>R85-AH85</f>
        <v>18460.482</v>
      </c>
      <c r="AJ85" s="781">
        <v>14028.707</v>
      </c>
      <c r="AK85" s="752">
        <f>S85-AJ85</f>
        <v>18320.968999999997</v>
      </c>
      <c r="AL85" s="752">
        <v>20802.687000000002</v>
      </c>
      <c r="AM85" s="752">
        <f>T85-AL85</f>
        <v>19726.738000000001</v>
      </c>
      <c r="AN85" s="752">
        <v>21838.86</v>
      </c>
      <c r="AO85" s="762">
        <f>U85-AN85</f>
        <v>26792.271999999997</v>
      </c>
      <c r="AP85" s="752">
        <v>32040.124</v>
      </c>
      <c r="AQ85" s="762">
        <f>V85-AP85</f>
        <v>34145.264999999999</v>
      </c>
      <c r="AR85" s="752">
        <v>35118.858999999997</v>
      </c>
      <c r="AS85" s="752">
        <f t="shared" si="155"/>
        <v>25300.350000000006</v>
      </c>
      <c r="AT85" s="752">
        <f>29344.603</f>
        <v>29344.602999999999</v>
      </c>
      <c r="AU85" s="752">
        <f>X85-AT85</f>
        <v>24254.787</v>
      </c>
      <c r="AV85" s="745"/>
      <c r="AW85" s="745"/>
      <c r="AX85" s="745"/>
      <c r="AY85" s="745"/>
      <c r="AZ85" s="752">
        <v>32040.124</v>
      </c>
      <c r="BA85" s="745"/>
      <c r="BB85" s="745"/>
      <c r="BC85" s="745"/>
      <c r="BD85" s="745"/>
      <c r="BE85" s="745"/>
    </row>
    <row r="86" spans="1:73" x14ac:dyDescent="0.35">
      <c r="A86" s="1618" t="s">
        <v>577</v>
      </c>
      <c r="B86" s="753" t="s">
        <v>577</v>
      </c>
      <c r="C86" s="754"/>
      <c r="D86" s="755"/>
      <c r="E86" s="755"/>
      <c r="F86" s="755">
        <f t="shared" ref="F86:X86" si="160">F85/E85-1</f>
        <v>-9.3180952290803476E-2</v>
      </c>
      <c r="G86" s="755">
        <f t="shared" si="160"/>
        <v>0.37282182229070915</v>
      </c>
      <c r="H86" s="755">
        <f t="shared" si="160"/>
        <v>1.0286966695591757</v>
      </c>
      <c r="I86" s="755">
        <f t="shared" si="160"/>
        <v>1.2606514282876526</v>
      </c>
      <c r="J86" s="755">
        <f t="shared" si="160"/>
        <v>0.56411573715528918</v>
      </c>
      <c r="K86" s="755">
        <f t="shared" si="160"/>
        <v>0.16729094776072317</v>
      </c>
      <c r="L86" s="755">
        <f t="shared" si="160"/>
        <v>0.58436511167882799</v>
      </c>
      <c r="M86" s="755">
        <f t="shared" si="160"/>
        <v>0.1116714436747086</v>
      </c>
      <c r="N86" s="755">
        <f t="shared" si="160"/>
        <v>-5.7091847351814717E-2</v>
      </c>
      <c r="O86" s="755">
        <f t="shared" si="160"/>
        <v>0.2483468685026744</v>
      </c>
      <c r="P86" s="755">
        <f t="shared" si="160"/>
        <v>0.3605482368395061</v>
      </c>
      <c r="Q86" s="755">
        <f t="shared" si="160"/>
        <v>0.2322320377508873</v>
      </c>
      <c r="R86" s="755">
        <f t="shared" si="160"/>
        <v>4.2937207520969745E-2</v>
      </c>
      <c r="S86" s="755">
        <f t="shared" si="160"/>
        <v>1.2967364651487401E-2</v>
      </c>
      <c r="T86" s="755">
        <f t="shared" si="160"/>
        <v>0.25285412441225086</v>
      </c>
      <c r="U86" s="755">
        <f t="shared" si="160"/>
        <v>0.19989691440231372</v>
      </c>
      <c r="V86" s="755">
        <f t="shared" si="160"/>
        <v>0.36096747655390793</v>
      </c>
      <c r="W86" s="755">
        <f t="shared" si="160"/>
        <v>-8.7121645534182668E-2</v>
      </c>
      <c r="X86" s="755">
        <f t="shared" si="160"/>
        <v>-0.11287501297807467</v>
      </c>
      <c r="Y86" s="756"/>
      <c r="Z86" s="755"/>
      <c r="AA86" s="755"/>
      <c r="AB86" s="755">
        <f t="shared" ref="AB86:AT86" si="161">AB85/Z85-1</f>
        <v>-2.8009506946958918E-2</v>
      </c>
      <c r="AC86" s="755">
        <f t="shared" si="161"/>
        <v>0.4870232838665014</v>
      </c>
      <c r="AD86" s="755">
        <f t="shared" si="161"/>
        <v>0.43476882710467013</v>
      </c>
      <c r="AE86" s="755">
        <f t="shared" si="161"/>
        <v>0.31864875319893549</v>
      </c>
      <c r="AF86" s="755">
        <f t="shared" si="161"/>
        <v>0.49212944715081042</v>
      </c>
      <c r="AG86" s="755">
        <f t="shared" si="161"/>
        <v>7.2593029410366494E-2</v>
      </c>
      <c r="AH86" s="755">
        <f t="shared" si="161"/>
        <v>-4.4938193133628679E-2</v>
      </c>
      <c r="AI86" s="755">
        <f t="shared" si="161"/>
        <v>0.11802613823565888</v>
      </c>
      <c r="AJ86" s="755">
        <f t="shared" si="161"/>
        <v>4.1085711291826588E-2</v>
      </c>
      <c r="AK86" s="755">
        <f t="shared" si="161"/>
        <v>-7.557386638117225E-3</v>
      </c>
      <c r="AL86" s="755">
        <f t="shared" si="161"/>
        <v>0.48286559837624399</v>
      </c>
      <c r="AM86" s="755">
        <f t="shared" si="161"/>
        <v>7.6730057236601645E-2</v>
      </c>
      <c r="AN86" s="755">
        <f t="shared" si="161"/>
        <v>4.980957508037287E-2</v>
      </c>
      <c r="AO86" s="755">
        <f t="shared" si="161"/>
        <v>0.35817041824147489</v>
      </c>
      <c r="AP86" s="755">
        <f t="shared" si="161"/>
        <v>0.46711522487895429</v>
      </c>
      <c r="AQ86" s="755">
        <f t="shared" si="161"/>
        <v>0.27444454878630675</v>
      </c>
      <c r="AR86" s="755">
        <f t="shared" si="161"/>
        <v>9.6089983921410438E-2</v>
      </c>
      <c r="AS86" s="755">
        <f t="shared" si="157"/>
        <v>-0.25903781973869566</v>
      </c>
      <c r="AT86" s="755">
        <f t="shared" si="161"/>
        <v>-0.1644203759581141</v>
      </c>
      <c r="AU86" s="755">
        <f t="shared" si="157"/>
        <v>-4.1326029086554361E-2</v>
      </c>
      <c r="AZ86" s="755">
        <v>0.46711522487895429</v>
      </c>
    </row>
    <row r="87" spans="1:73" hidden="1" outlineLevel="1" x14ac:dyDescent="0.35">
      <c r="A87" s="1617" t="s">
        <v>2930</v>
      </c>
      <c r="B87" s="751" t="s">
        <v>718</v>
      </c>
      <c r="C87" s="752"/>
      <c r="D87" s="756"/>
      <c r="E87" s="752">
        <f>Overseas!D9</f>
        <v>1248.6480000000001</v>
      </c>
      <c r="F87" s="752">
        <f>Overseas!E9</f>
        <v>2416.8690000000001</v>
      </c>
      <c r="G87" s="752">
        <f>Overseas!F9</f>
        <v>1869.7489999999998</v>
      </c>
      <c r="H87" s="752">
        <f>Overseas!G9</f>
        <v>979.31399999999996</v>
      </c>
      <c r="I87" s="752">
        <f>Overseas!H9</f>
        <v>838.01700000000005</v>
      </c>
      <c r="J87" s="785">
        <f>Overseas!I9</f>
        <v>-118.8</v>
      </c>
      <c r="K87" s="785">
        <f>Overseas!J9</f>
        <v>58.076000000000001</v>
      </c>
      <c r="L87" s="785">
        <f>Overseas!K9</f>
        <v>16.029</v>
      </c>
      <c r="M87" s="785">
        <f>Overseas!L9</f>
        <v>0</v>
      </c>
      <c r="N87" s="785">
        <f>Overseas!M9</f>
        <v>0</v>
      </c>
      <c r="O87" s="785">
        <f>Overseas!N9</f>
        <v>0</v>
      </c>
      <c r="P87" s="785">
        <f>Overseas!O9</f>
        <v>0</v>
      </c>
      <c r="Q87" s="785">
        <f>Overseas!P9</f>
        <v>0</v>
      </c>
      <c r="R87" s="785">
        <f>Overseas!Q9</f>
        <v>0</v>
      </c>
      <c r="S87" s="785">
        <f>Overseas!R9</f>
        <v>0</v>
      </c>
      <c r="T87" s="785">
        <f>Overseas!S9</f>
        <v>0</v>
      </c>
      <c r="U87" s="785">
        <f>Overseas!T9</f>
        <v>0</v>
      </c>
      <c r="V87" s="785">
        <f>Overseas!U9</f>
        <v>0</v>
      </c>
      <c r="W87" s="785">
        <f>Overseas!V9</f>
        <v>0</v>
      </c>
      <c r="X87" s="785">
        <f>Overseas!W9</f>
        <v>0</v>
      </c>
      <c r="Y87" s="752"/>
      <c r="AS87" s="752">
        <f t="shared" si="155"/>
        <v>0</v>
      </c>
      <c r="AU87" s="752">
        <f t="shared" si="155"/>
        <v>0</v>
      </c>
    </row>
    <row r="88" spans="1:73" hidden="1" outlineLevel="1" x14ac:dyDescent="0.35">
      <c r="A88" s="1618" t="s">
        <v>577</v>
      </c>
      <c r="B88" s="753" t="s">
        <v>577</v>
      </c>
      <c r="C88" s="754"/>
      <c r="D88" s="755"/>
      <c r="E88" s="755"/>
      <c r="F88" s="755">
        <f t="shared" ref="F88:X88" si="162">F87/E87-1</f>
        <v>0.93558873277336763</v>
      </c>
      <c r="G88" s="755">
        <f t="shared" si="162"/>
        <v>-0.22637552966255114</v>
      </c>
      <c r="H88" s="755">
        <f t="shared" si="162"/>
        <v>-0.476232371296896</v>
      </c>
      <c r="I88" s="755">
        <f t="shared" si="162"/>
        <v>-0.14428160937145784</v>
      </c>
      <c r="J88" s="755">
        <f t="shared" si="162"/>
        <v>-1.1417632339200756</v>
      </c>
      <c r="K88" s="755">
        <f t="shared" si="162"/>
        <v>-1.4888552188552189</v>
      </c>
      <c r="L88" s="755">
        <f t="shared" si="162"/>
        <v>-0.72399958674839859</v>
      </c>
      <c r="M88" s="755">
        <f t="shared" si="162"/>
        <v>-1</v>
      </c>
      <c r="N88" s="755" t="e">
        <f t="shared" si="162"/>
        <v>#DIV/0!</v>
      </c>
      <c r="O88" s="755" t="e">
        <f t="shared" si="162"/>
        <v>#DIV/0!</v>
      </c>
      <c r="P88" s="755" t="e">
        <f t="shared" si="162"/>
        <v>#DIV/0!</v>
      </c>
      <c r="Q88" s="755" t="e">
        <f t="shared" si="162"/>
        <v>#DIV/0!</v>
      </c>
      <c r="R88" s="755" t="e">
        <f t="shared" si="162"/>
        <v>#DIV/0!</v>
      </c>
      <c r="S88" s="755" t="e">
        <f t="shared" si="162"/>
        <v>#DIV/0!</v>
      </c>
      <c r="T88" s="755" t="e">
        <f t="shared" si="162"/>
        <v>#DIV/0!</v>
      </c>
      <c r="U88" s="755" t="e">
        <f t="shared" si="162"/>
        <v>#DIV/0!</v>
      </c>
      <c r="V88" s="755" t="e">
        <f t="shared" si="162"/>
        <v>#DIV/0!</v>
      </c>
      <c r="W88" s="755" t="e">
        <f t="shared" si="162"/>
        <v>#DIV/0!</v>
      </c>
      <c r="X88" s="755" t="e">
        <f t="shared" si="162"/>
        <v>#DIV/0!</v>
      </c>
      <c r="Y88" s="756"/>
      <c r="AS88" s="755" t="e">
        <f t="shared" si="157"/>
        <v>#DIV/0!</v>
      </c>
      <c r="AU88" s="755" t="e">
        <f t="shared" si="157"/>
        <v>#DIV/0!</v>
      </c>
    </row>
    <row r="89" spans="1:73" collapsed="1" x14ac:dyDescent="0.35">
      <c r="A89" s="1617" t="s">
        <v>2675</v>
      </c>
      <c r="B89" s="751" t="s">
        <v>1837</v>
      </c>
      <c r="C89" s="752"/>
      <c r="D89" s="756"/>
      <c r="E89" s="752"/>
      <c r="F89" s="752"/>
      <c r="G89" s="752"/>
      <c r="H89" s="752"/>
      <c r="I89" s="752"/>
      <c r="J89" s="752"/>
      <c r="K89" s="752">
        <f>CSCD!C11</f>
        <v>1053.43</v>
      </c>
      <c r="L89" s="752">
        <f>CSCD!D11</f>
        <v>1340.836</v>
      </c>
      <c r="M89" s="752">
        <f>CSCD!E11</f>
        <v>1382.018</v>
      </c>
      <c r="N89" s="752">
        <f>CSCD!F11</f>
        <v>1784.38</v>
      </c>
      <c r="O89" s="752">
        <f>CSCD!G11</f>
        <v>1641.5830000000001</v>
      </c>
      <c r="P89" s="752">
        <f>CSCD!H11</f>
        <v>2231.1889999999999</v>
      </c>
      <c r="Q89" s="752">
        <f>CSCD!I11</f>
        <v>3105.7489999999998</v>
      </c>
      <c r="R89" s="752">
        <f>CSCD!J11</f>
        <v>3619.3020000000001</v>
      </c>
      <c r="S89" s="752">
        <f>CSCD!K11</f>
        <v>3200.973</v>
      </c>
      <c r="T89" s="752">
        <f>CSCD!L11</f>
        <v>4530.5839999999998</v>
      </c>
      <c r="U89" s="752">
        <f>CSCD!M11</f>
        <v>5588.1580000000004</v>
      </c>
      <c r="V89" s="752">
        <f>CSCD!N11</f>
        <v>5956.9170000000004</v>
      </c>
      <c r="W89" s="752">
        <f>CSCD!O11</f>
        <v>4816.7560000000003</v>
      </c>
      <c r="X89" s="752">
        <f>CSCD!P11</f>
        <v>3706.99</v>
      </c>
      <c r="Y89" s="752"/>
      <c r="Z89" s="781">
        <f>814102/1000</f>
        <v>814.10199999999998</v>
      </c>
      <c r="AA89" s="781">
        <f>N89-Z89</f>
        <v>970.27800000000013</v>
      </c>
      <c r="AB89" s="781">
        <f>887073/1000</f>
        <v>887.07299999999998</v>
      </c>
      <c r="AC89" s="781">
        <f>O89-AB89</f>
        <v>754.5100000000001</v>
      </c>
      <c r="AD89" s="781">
        <v>855.45299999999997</v>
      </c>
      <c r="AE89" s="781">
        <f>P89-AD89</f>
        <v>1375.7359999999999</v>
      </c>
      <c r="AF89" s="781">
        <v>1623.3689999999999</v>
      </c>
      <c r="AG89" s="752">
        <f>Q89-AF89</f>
        <v>1482.3799999999999</v>
      </c>
      <c r="AH89" s="781">
        <v>1571.269</v>
      </c>
      <c r="AI89" s="752">
        <f>R89-AH89</f>
        <v>2048.0330000000004</v>
      </c>
      <c r="AJ89" s="781">
        <v>1735.585</v>
      </c>
      <c r="AK89" s="752">
        <f>S89-AJ89</f>
        <v>1465.3879999999999</v>
      </c>
      <c r="AL89" s="752">
        <v>2174.7919999999999</v>
      </c>
      <c r="AM89" s="752">
        <f>T89-AL89</f>
        <v>2355.7919999999999</v>
      </c>
      <c r="AN89" s="752">
        <v>3170.15</v>
      </c>
      <c r="AO89" s="762">
        <f>U89-AN89</f>
        <v>2418.0080000000003</v>
      </c>
      <c r="AP89" s="752">
        <v>3132.9940000000001</v>
      </c>
      <c r="AQ89" s="762">
        <f>V89-AP89</f>
        <v>2823.9230000000002</v>
      </c>
      <c r="AR89" s="752">
        <v>3044.0529999999999</v>
      </c>
      <c r="AS89" s="752">
        <f t="shared" si="155"/>
        <v>1772.7030000000004</v>
      </c>
      <c r="AT89" s="752">
        <f>2166.069</f>
        <v>2166.069</v>
      </c>
      <c r="AU89" s="752">
        <f>X89-AT89</f>
        <v>1540.9209999999998</v>
      </c>
      <c r="AV89" s="745"/>
      <c r="AW89" s="745"/>
      <c r="AX89" s="745"/>
      <c r="AY89" s="745"/>
      <c r="AZ89" s="752">
        <v>3132.9940000000001</v>
      </c>
      <c r="BA89" s="745"/>
      <c r="BB89" s="745"/>
      <c r="BC89" s="745"/>
      <c r="BD89" s="745"/>
      <c r="BE89" s="745"/>
    </row>
    <row r="90" spans="1:73" x14ac:dyDescent="0.35">
      <c r="A90" s="1618" t="s">
        <v>577</v>
      </c>
      <c r="B90" s="753" t="s">
        <v>577</v>
      </c>
      <c r="C90" s="754"/>
      <c r="D90" s="773"/>
      <c r="E90" s="755"/>
      <c r="F90" s="755"/>
      <c r="G90" s="755"/>
      <c r="H90" s="755"/>
      <c r="I90" s="755"/>
      <c r="J90" s="755"/>
      <c r="K90" s="755"/>
      <c r="L90" s="755">
        <f t="shared" ref="L90:X90" si="163">L89/K89-1</f>
        <v>0.2728287593860057</v>
      </c>
      <c r="M90" s="755">
        <f t="shared" si="163"/>
        <v>3.0713674155526949E-2</v>
      </c>
      <c r="N90" s="755">
        <f t="shared" si="163"/>
        <v>0.29114092580559747</v>
      </c>
      <c r="O90" s="755">
        <f t="shared" si="163"/>
        <v>-8.0026115513511686E-2</v>
      </c>
      <c r="P90" s="755">
        <f t="shared" si="163"/>
        <v>0.35916916780936425</v>
      </c>
      <c r="Q90" s="755">
        <f t="shared" si="163"/>
        <v>0.39197037991850991</v>
      </c>
      <c r="R90" s="755">
        <f t="shared" si="163"/>
        <v>0.16535560343092781</v>
      </c>
      <c r="S90" s="755">
        <f t="shared" si="163"/>
        <v>-0.11558278364170771</v>
      </c>
      <c r="T90" s="755">
        <f t="shared" si="163"/>
        <v>0.41537713688931466</v>
      </c>
      <c r="U90" s="755">
        <f t="shared" si="163"/>
        <v>0.23342995075248596</v>
      </c>
      <c r="V90" s="755">
        <f t="shared" si="163"/>
        <v>6.5989365368695818E-2</v>
      </c>
      <c r="W90" s="755">
        <f t="shared" si="163"/>
        <v>-0.19140118957507712</v>
      </c>
      <c r="X90" s="755">
        <f t="shared" si="163"/>
        <v>-0.23039697256825975</v>
      </c>
      <c r="Y90" s="756"/>
      <c r="Z90" s="755"/>
      <c r="AA90" s="755"/>
      <c r="AB90" s="755">
        <f t="shared" ref="AB90:AT90" si="164">AB89/Z89-1</f>
        <v>8.9633731399750838E-2</v>
      </c>
      <c r="AC90" s="755">
        <f t="shared" si="164"/>
        <v>-0.22237750417921465</v>
      </c>
      <c r="AD90" s="755">
        <f t="shared" si="164"/>
        <v>-3.5645318930910941E-2</v>
      </c>
      <c r="AE90" s="755">
        <f t="shared" si="164"/>
        <v>0.82335025380710625</v>
      </c>
      <c r="AF90" s="755">
        <f t="shared" si="164"/>
        <v>0.89767175987459269</v>
      </c>
      <c r="AG90" s="755">
        <f t="shared" si="164"/>
        <v>7.7517779573988088E-2</v>
      </c>
      <c r="AH90" s="755">
        <f t="shared" si="164"/>
        <v>-3.2093750712253288E-2</v>
      </c>
      <c r="AI90" s="755">
        <f t="shared" si="164"/>
        <v>0.38158434409530662</v>
      </c>
      <c r="AJ90" s="755">
        <f t="shared" si="164"/>
        <v>0.10457534642381416</v>
      </c>
      <c r="AK90" s="755">
        <f t="shared" si="164"/>
        <v>-0.28449004483814488</v>
      </c>
      <c r="AL90" s="755">
        <f t="shared" si="164"/>
        <v>0.25305991927793792</v>
      </c>
      <c r="AM90" s="755">
        <f t="shared" si="164"/>
        <v>0.60762337346832385</v>
      </c>
      <c r="AN90" s="755">
        <f t="shared" si="164"/>
        <v>0.45767963097160558</v>
      </c>
      <c r="AO90" s="755">
        <f t="shared" si="164"/>
        <v>2.640980188403752E-2</v>
      </c>
      <c r="AP90" s="755">
        <f t="shared" si="164"/>
        <v>-1.1720581045060907E-2</v>
      </c>
      <c r="AQ90" s="755">
        <f t="shared" si="164"/>
        <v>0.16787165303009743</v>
      </c>
      <c r="AR90" s="755">
        <f t="shared" si="164"/>
        <v>-2.8388499946058077E-2</v>
      </c>
      <c r="AS90" s="755">
        <f t="shared" si="157"/>
        <v>-0.37225519251056061</v>
      </c>
      <c r="AT90" s="755">
        <f t="shared" si="164"/>
        <v>-0.28842598995483981</v>
      </c>
      <c r="AU90" s="755">
        <f t="shared" si="157"/>
        <v>-0.13075061079041472</v>
      </c>
      <c r="AZ90" s="755">
        <v>-1.1720581045060907E-2</v>
      </c>
    </row>
    <row r="91" spans="1:73" x14ac:dyDescent="0.35">
      <c r="A91" s="1617" t="s">
        <v>96</v>
      </c>
      <c r="B91" s="751" t="s">
        <v>512</v>
      </c>
      <c r="C91" s="761"/>
      <c r="D91" s="761"/>
      <c r="E91" s="762">
        <f t="shared" ref="E91:X91" si="165">E81+E83+E85+E87+E89</f>
        <v>11110.038</v>
      </c>
      <c r="F91" s="762">
        <f t="shared" si="165"/>
        <v>10297.647000000001</v>
      </c>
      <c r="G91" s="762">
        <f t="shared" si="165"/>
        <v>11195.723</v>
      </c>
      <c r="H91" s="762">
        <f t="shared" si="165"/>
        <v>9706.1119999999992</v>
      </c>
      <c r="I91" s="762">
        <f t="shared" si="165"/>
        <v>11982.870999999999</v>
      </c>
      <c r="J91" s="762">
        <f t="shared" si="165"/>
        <v>16379.310999999998</v>
      </c>
      <c r="K91" s="762">
        <f t="shared" si="165"/>
        <v>21910.66</v>
      </c>
      <c r="L91" s="762">
        <f t="shared" si="165"/>
        <v>27285.619999999995</v>
      </c>
      <c r="M91" s="762">
        <f t="shared" si="165"/>
        <v>34439.574999999997</v>
      </c>
      <c r="N91" s="762">
        <f t="shared" si="165"/>
        <v>38001.875999999997</v>
      </c>
      <c r="O91" s="762">
        <f t="shared" si="165"/>
        <v>46207.508000000002</v>
      </c>
      <c r="P91" s="762">
        <f t="shared" si="165"/>
        <v>50152.523999999998</v>
      </c>
      <c r="Q91" s="762">
        <f t="shared" si="165"/>
        <v>55626.304000000004</v>
      </c>
      <c r="R91" s="762">
        <f t="shared" si="165"/>
        <v>61669.678000000007</v>
      </c>
      <c r="S91" s="762">
        <f t="shared" si="165"/>
        <v>62457.008999999998</v>
      </c>
      <c r="T91" s="762">
        <f t="shared" si="165"/>
        <v>77309.614000000001</v>
      </c>
      <c r="U91" s="762">
        <f t="shared" si="165"/>
        <v>101975.265</v>
      </c>
      <c r="V91" s="762">
        <f t="shared" si="165"/>
        <v>113734.01599999999</v>
      </c>
      <c r="W91" s="762">
        <f t="shared" si="165"/>
        <v>115106.74400000001</v>
      </c>
      <c r="X91" s="762">
        <f t="shared" si="165"/>
        <v>100448.50000000001</v>
      </c>
      <c r="Y91" s="762"/>
      <c r="Z91" s="762">
        <f>Z81+Z83+Z85+Z87+Z89</f>
        <v>17017.498</v>
      </c>
      <c r="AA91" s="762">
        <f>AA81+AA83+AA85+AA87+AA89</f>
        <v>20984.377999999997</v>
      </c>
      <c r="AB91" s="762">
        <f>AB81+AB83+AB85+AB87+AB89</f>
        <v>18845.053</v>
      </c>
      <c r="AC91" s="762">
        <f>AC81+AC83+AC85+AC87+AC89</f>
        <v>27362.454999999998</v>
      </c>
      <c r="AD91" s="762">
        <f>AD81+AD83+AD85+AD87+AD89</f>
        <v>22966.137000000002</v>
      </c>
      <c r="AE91" s="762">
        <f>P91-AD91</f>
        <v>27186.386999999995</v>
      </c>
      <c r="AF91" s="762">
        <f>AF81+AF83+AF85+AF87+AF89</f>
        <v>27105.612999999998</v>
      </c>
      <c r="AG91" s="752">
        <f>Q91-AF91</f>
        <v>28520.691000000006</v>
      </c>
      <c r="AH91" s="762">
        <f t="shared" ref="AH91:AO91" si="166">AH81+AH83+AH85+AH87+AH89</f>
        <v>27542.501</v>
      </c>
      <c r="AI91" s="762">
        <f t="shared" si="166"/>
        <v>34127.177000000003</v>
      </c>
      <c r="AJ91" s="762">
        <f t="shared" si="166"/>
        <v>28002.101000000002</v>
      </c>
      <c r="AK91" s="762">
        <f t="shared" si="166"/>
        <v>34454.907999999996</v>
      </c>
      <c r="AL91" s="762">
        <f t="shared" si="166"/>
        <v>36370.988000000005</v>
      </c>
      <c r="AM91" s="762">
        <f t="shared" si="166"/>
        <v>40938.626000000004</v>
      </c>
      <c r="AN91" s="762">
        <f t="shared" si="166"/>
        <v>53810.559000000001</v>
      </c>
      <c r="AO91" s="762">
        <f t="shared" si="166"/>
        <v>48164.706000000006</v>
      </c>
      <c r="AP91" s="762">
        <f t="shared" ref="AP91:AR91" si="167">AP81+AP83+AP85+AP87+AP89</f>
        <v>55110.712</v>
      </c>
      <c r="AQ91" s="762">
        <f t="shared" si="167"/>
        <v>58623.304000000004</v>
      </c>
      <c r="AR91" s="762">
        <f t="shared" si="167"/>
        <v>61755.214999999997</v>
      </c>
      <c r="AS91" s="752">
        <f t="shared" si="155"/>
        <v>53351.52900000001</v>
      </c>
      <c r="AT91" s="762">
        <f t="shared" ref="AT91" si="168">AT81+AT83+AT85+AT87+AT89</f>
        <v>56643.42</v>
      </c>
      <c r="AU91" s="752">
        <f>X91-AT91</f>
        <v>43805.080000000016</v>
      </c>
      <c r="AV91" s="151"/>
      <c r="AW91" s="745"/>
      <c r="AX91" s="745"/>
      <c r="AY91" s="745"/>
      <c r="AZ91" s="762">
        <v>55110.712</v>
      </c>
      <c r="BA91" s="745"/>
      <c r="BB91" s="745"/>
      <c r="BC91" s="745"/>
      <c r="BD91" s="745"/>
      <c r="BE91" s="745"/>
    </row>
    <row r="92" spans="1:73" x14ac:dyDescent="0.35">
      <c r="A92" s="1618" t="s">
        <v>577</v>
      </c>
      <c r="B92" s="753" t="s">
        <v>577</v>
      </c>
      <c r="C92" s="763"/>
      <c r="D92" s="763"/>
      <c r="E92" s="763"/>
      <c r="F92" s="755">
        <f t="shared" ref="F92:X92" si="169">F91/E91-1</f>
        <v>-7.3122252147112321E-2</v>
      </c>
      <c r="G92" s="755">
        <f t="shared" si="169"/>
        <v>8.7211767892218406E-2</v>
      </c>
      <c r="H92" s="755">
        <f t="shared" si="169"/>
        <v>-0.13305179129565825</v>
      </c>
      <c r="I92" s="755">
        <f t="shared" si="169"/>
        <v>0.2345696196376057</v>
      </c>
      <c r="J92" s="755">
        <f t="shared" si="169"/>
        <v>0.36689371019683015</v>
      </c>
      <c r="K92" s="755">
        <f t="shared" si="169"/>
        <v>0.33770339912344305</v>
      </c>
      <c r="L92" s="755">
        <f t="shared" si="169"/>
        <v>0.24531255562360954</v>
      </c>
      <c r="M92" s="755">
        <f t="shared" si="169"/>
        <v>0.26218773844977705</v>
      </c>
      <c r="N92" s="755">
        <f t="shared" si="169"/>
        <v>0.10343626482034107</v>
      </c>
      <c r="O92" s="755">
        <f t="shared" si="169"/>
        <v>0.21592702423427745</v>
      </c>
      <c r="P92" s="755">
        <f t="shared" si="169"/>
        <v>8.5376082172619938E-2</v>
      </c>
      <c r="Q92" s="755">
        <f t="shared" si="169"/>
        <v>0.10914266249092486</v>
      </c>
      <c r="R92" s="755">
        <f t="shared" si="169"/>
        <v>0.10864237897236539</v>
      </c>
      <c r="S92" s="755">
        <f t="shared" si="169"/>
        <v>1.2766906290640812E-2</v>
      </c>
      <c r="T92" s="755">
        <f t="shared" si="169"/>
        <v>0.23780525577201428</v>
      </c>
      <c r="U92" s="755">
        <f t="shared" si="169"/>
        <v>0.31905024128046988</v>
      </c>
      <c r="V92" s="755">
        <f t="shared" si="169"/>
        <v>0.11530983518405158</v>
      </c>
      <c r="W92" s="755">
        <f t="shared" si="169"/>
        <v>1.2069634470658341E-2</v>
      </c>
      <c r="X92" s="755">
        <f t="shared" si="169"/>
        <v>-0.12734478876407096</v>
      </c>
      <c r="Y92" s="756"/>
      <c r="Z92" s="755"/>
      <c r="AA92" s="755"/>
      <c r="AB92" s="755">
        <f>AB91/AA91-1</f>
        <v>-0.10194845899173177</v>
      </c>
      <c r="AC92" s="755">
        <f>AC91/AB91-1</f>
        <v>0.45197018018468826</v>
      </c>
      <c r="AD92" s="755">
        <f t="shared" ref="AD92:AT92" si="170">AD91/AB91-1</f>
        <v>0.21868253700321261</v>
      </c>
      <c r="AE92" s="755">
        <f t="shared" si="170"/>
        <v>-6.4346565394078903E-3</v>
      </c>
      <c r="AF92" s="755">
        <f t="shared" si="170"/>
        <v>0.18024258933925164</v>
      </c>
      <c r="AG92" s="755">
        <f t="shared" si="170"/>
        <v>4.9079857503684154E-2</v>
      </c>
      <c r="AH92" s="755">
        <f t="shared" si="170"/>
        <v>1.6117990026641493E-2</v>
      </c>
      <c r="AI92" s="755">
        <f t="shared" si="170"/>
        <v>0.19657609277418975</v>
      </c>
      <c r="AJ92" s="755">
        <f t="shared" si="170"/>
        <v>1.6686937762115495E-2</v>
      </c>
      <c r="AK92" s="755">
        <f t="shared" si="170"/>
        <v>9.6032261912548655E-3</v>
      </c>
      <c r="AL92" s="755">
        <f t="shared" si="170"/>
        <v>0.29886639577508856</v>
      </c>
      <c r="AM92" s="755">
        <f t="shared" si="170"/>
        <v>0.1881798088098221</v>
      </c>
      <c r="AN92" s="755">
        <f t="shared" si="170"/>
        <v>0.47949126375120721</v>
      </c>
      <c r="AO92" s="755">
        <f t="shared" si="170"/>
        <v>0.17651007632742743</v>
      </c>
      <c r="AP92" s="755">
        <f t="shared" si="170"/>
        <v>2.4161670574728511E-2</v>
      </c>
      <c r="AQ92" s="755">
        <f t="shared" si="170"/>
        <v>0.217142361462769</v>
      </c>
      <c r="AR92" s="755">
        <f t="shared" si="170"/>
        <v>0.12056645176349745</v>
      </c>
      <c r="AS92" s="755">
        <f t="shared" si="157"/>
        <v>-8.9926268911762364E-2</v>
      </c>
      <c r="AT92" s="755">
        <f t="shared" si="170"/>
        <v>-8.2775114619874635E-2</v>
      </c>
      <c r="AU92" s="755">
        <f t="shared" si="157"/>
        <v>-0.17893487176346889</v>
      </c>
      <c r="AZ92" s="755">
        <v>2.4161670574728511E-2</v>
      </c>
    </row>
    <row r="93" spans="1:73" x14ac:dyDescent="0.35">
      <c r="AA93" s="151"/>
      <c r="AB93" s="151">
        <f t="shared" ref="AB93:AP93" si="171">SUM(AB81,AB83)/SUM(Z81,Z83)-1</f>
        <v>0.20635447540515095</v>
      </c>
      <c r="AC93" s="151">
        <f t="shared" si="171"/>
        <v>0.22776258418195283</v>
      </c>
      <c r="AD93" s="151">
        <f t="shared" si="171"/>
        <v>0.11325243314588795</v>
      </c>
      <c r="AE93" s="151">
        <f t="shared" si="171"/>
        <v>-0.30248680354812441</v>
      </c>
      <c r="AF93" s="151">
        <f t="shared" si="171"/>
        <v>-0.10129304673767148</v>
      </c>
      <c r="AG93" s="151">
        <f t="shared" si="171"/>
        <v>1.0574678392052839E-2</v>
      </c>
      <c r="AH93" s="151">
        <f t="shared" si="171"/>
        <v>9.8743776120773008E-2</v>
      </c>
      <c r="AI93" s="151">
        <f t="shared" si="171"/>
        <v>0.29373328882402894</v>
      </c>
      <c r="AJ93" s="779">
        <f t="shared" si="171"/>
        <v>-2.0674274444993257E-2</v>
      </c>
      <c r="AK93" s="779">
        <f t="shared" si="171"/>
        <v>7.7091934582119492E-2</v>
      </c>
      <c r="AL93" s="779">
        <f t="shared" si="171"/>
        <v>9.4436839143346551E-2</v>
      </c>
      <c r="AM93" s="779">
        <f t="shared" si="171"/>
        <v>0.28547775441487033</v>
      </c>
      <c r="AN93" s="779">
        <f t="shared" si="171"/>
        <v>1.1504109938627733</v>
      </c>
      <c r="AO93" s="779"/>
      <c r="AP93" s="779">
        <f t="shared" si="171"/>
        <v>-0.30775966250981845</v>
      </c>
      <c r="AQ93" s="779"/>
      <c r="AR93" s="779"/>
      <c r="AS93" s="779"/>
      <c r="AT93" s="779"/>
      <c r="AU93" s="779"/>
      <c r="AZ93" s="779">
        <v>-0.30775966250981845</v>
      </c>
      <c r="BA93" s="779"/>
      <c r="BC93" s="779"/>
    </row>
    <row r="94" spans="1:73" x14ac:dyDescent="0.35">
      <c r="A94" s="1617" t="s">
        <v>2845</v>
      </c>
      <c r="B94" s="765"/>
      <c r="C94" s="752"/>
      <c r="D94" s="752"/>
      <c r="E94" s="752"/>
      <c r="F94" s="752"/>
      <c r="G94" s="752"/>
      <c r="H94" s="752"/>
      <c r="I94" s="752"/>
      <c r="J94" s="752"/>
      <c r="K94" s="752"/>
      <c r="L94" s="752"/>
      <c r="M94" s="752"/>
      <c r="N94" s="752"/>
      <c r="O94" s="752"/>
      <c r="P94" s="752"/>
      <c r="Q94" s="752"/>
      <c r="R94" s="752"/>
      <c r="S94" s="752"/>
      <c r="T94" s="752">
        <v>17340</v>
      </c>
      <c r="U94" s="752">
        <v>30420</v>
      </c>
      <c r="V94" s="752">
        <v>22110</v>
      </c>
      <c r="W94" s="752">
        <v>31740</v>
      </c>
      <c r="X94" s="752">
        <f>X102*X112</f>
        <v>39476.260500000004</v>
      </c>
      <c r="Y94" s="752"/>
      <c r="AL94" s="752"/>
      <c r="AM94" s="752"/>
      <c r="AN94" s="752">
        <v>20380</v>
      </c>
      <c r="AO94" s="752">
        <f>U94-AN94</f>
        <v>10040</v>
      </c>
      <c r="AP94" s="752">
        <v>12120</v>
      </c>
      <c r="AQ94" s="752">
        <f>V94-AP94</f>
        <v>9990</v>
      </c>
      <c r="AR94" s="752">
        <v>12910</v>
      </c>
      <c r="AS94" s="752">
        <f t="shared" ref="AS94:AS102" si="172">W94-AR94</f>
        <v>18830</v>
      </c>
      <c r="AT94" s="752">
        <f>AT$91*AT112</f>
        <v>20504.91804</v>
      </c>
      <c r="AU94" s="752">
        <f>X94-AT94</f>
        <v>18971.342460000003</v>
      </c>
      <c r="AW94" s="752"/>
      <c r="AX94" s="752">
        <v>25640</v>
      </c>
      <c r="AY94" s="752">
        <v>5960</v>
      </c>
      <c r="AZ94" s="752">
        <f t="shared" ref="AZ94:AZ103" si="173">AP94</f>
        <v>12120</v>
      </c>
      <c r="BA94" s="752">
        <v>17270</v>
      </c>
      <c r="BB94" s="752">
        <v>4350</v>
      </c>
      <c r="BC94" s="752">
        <v>19400</v>
      </c>
      <c r="BD94" s="752">
        <v>4840</v>
      </c>
      <c r="BE94" s="752">
        <v>27140</v>
      </c>
      <c r="BG94" s="752"/>
      <c r="BH94" s="752"/>
      <c r="BI94" s="752"/>
      <c r="BJ94" s="752"/>
      <c r="BK94" s="752">
        <f>AY94</f>
        <v>5960</v>
      </c>
      <c r="BL94" s="752">
        <f>AP94-BK94</f>
        <v>6160</v>
      </c>
      <c r="BM94" s="752">
        <f>BA94-AP94</f>
        <v>5150</v>
      </c>
      <c r="BN94" s="752">
        <f>V94-BA94</f>
        <v>4840</v>
      </c>
      <c r="BO94" s="752">
        <f>BB94</f>
        <v>4350</v>
      </c>
      <c r="BP94" s="752">
        <f>AR94-BB94</f>
        <v>8560</v>
      </c>
      <c r="BQ94" s="752">
        <f>BC94-AR94</f>
        <v>6490</v>
      </c>
      <c r="BR94" s="752">
        <f>W94-BC94</f>
        <v>12340</v>
      </c>
      <c r="BS94" s="752">
        <f>BD94</f>
        <v>4840</v>
      </c>
      <c r="BT94" s="752">
        <f>AT94-BD94</f>
        <v>15664.91804</v>
      </c>
      <c r="BU94" s="752">
        <f>BE94-AT94</f>
        <v>6635.0819599999995</v>
      </c>
    </row>
    <row r="95" spans="1:73" x14ac:dyDescent="0.35">
      <c r="A95" s="1618" t="s">
        <v>577</v>
      </c>
      <c r="B95" s="765"/>
      <c r="C95" s="755"/>
      <c r="D95" s="755"/>
      <c r="E95" s="755"/>
      <c r="F95" s="755"/>
      <c r="G95" s="755"/>
      <c r="H95" s="755"/>
      <c r="I95" s="755"/>
      <c r="J95" s="755"/>
      <c r="K95" s="755"/>
      <c r="L95" s="755"/>
      <c r="M95" s="755"/>
      <c r="N95" s="755"/>
      <c r="O95" s="755"/>
      <c r="P95" s="755"/>
      <c r="Q95" s="755"/>
      <c r="R95" s="755"/>
      <c r="S95" s="755"/>
      <c r="T95" s="755"/>
      <c r="U95" s="755">
        <f t="shared" ref="U95:X95" si="174">U94/T94-1</f>
        <v>0.75432525951557095</v>
      </c>
      <c r="V95" s="755">
        <f t="shared" si="174"/>
        <v>-0.27317554240631159</v>
      </c>
      <c r="W95" s="755">
        <f t="shared" si="174"/>
        <v>0.43554952510176381</v>
      </c>
      <c r="X95" s="755">
        <f t="shared" si="174"/>
        <v>0.24373851606805297</v>
      </c>
      <c r="Y95" s="752"/>
      <c r="AL95" s="755"/>
      <c r="AM95" s="755"/>
      <c r="AN95" s="755"/>
      <c r="AO95" s="755" t="e">
        <f t="shared" ref="AO95:AU103" si="175">AO94/AM94-1</f>
        <v>#DIV/0!</v>
      </c>
      <c r="AP95" s="755">
        <f>AP94/AN94-1</f>
        <v>-0.40529931305201172</v>
      </c>
      <c r="AQ95" s="755">
        <f t="shared" si="175"/>
        <v>-4.980079681274896E-3</v>
      </c>
      <c r="AR95" s="755">
        <f>AR94/AP94-1</f>
        <v>6.5181518151815165E-2</v>
      </c>
      <c r="AS95" s="755">
        <f t="shared" si="175"/>
        <v>0.88488488488488493</v>
      </c>
      <c r="AT95" s="755">
        <f>AT94/AR94-1</f>
        <v>0.58829729202168868</v>
      </c>
      <c r="AU95" s="755">
        <f t="shared" si="175"/>
        <v>7.5062379182158079E-3</v>
      </c>
      <c r="AW95" s="755"/>
      <c r="AX95" s="755"/>
      <c r="AY95" s="755"/>
      <c r="AZ95" s="755">
        <f t="shared" si="173"/>
        <v>-0.40529931305201172</v>
      </c>
      <c r="BA95" s="755">
        <f>BA94/AX94-1</f>
        <v>-0.32644305772230886</v>
      </c>
      <c r="BB95" s="755"/>
      <c r="BC95" s="755">
        <v>-0.32644305772230886</v>
      </c>
      <c r="BD95" s="755"/>
      <c r="BE95" s="755"/>
      <c r="BG95" s="755"/>
      <c r="BH95" s="755"/>
      <c r="BI95" s="755"/>
      <c r="BJ95" s="755"/>
      <c r="BK95" s="755"/>
      <c r="BL95" s="755"/>
      <c r="BM95" s="755"/>
      <c r="BN95" s="755"/>
      <c r="BO95" s="755">
        <f t="shared" ref="BO95" si="176">BO94/BK94-1</f>
        <v>-0.27013422818791943</v>
      </c>
      <c r="BP95" s="755">
        <f t="shared" ref="BP95" si="177">BP94/BL94-1</f>
        <v>0.38961038961038952</v>
      </c>
      <c r="BQ95" s="755">
        <f t="shared" ref="BQ95" si="178">BQ94/BM94-1</f>
        <v>0.26019417475728157</v>
      </c>
      <c r="BR95" s="755">
        <f>BR94/BN94-1</f>
        <v>1.549586776859504</v>
      </c>
      <c r="BS95" s="755">
        <f t="shared" ref="BS95" si="179">BS94/BO94-1</f>
        <v>0.11264367816091947</v>
      </c>
      <c r="BT95" s="755">
        <f>BT94/BP94-1</f>
        <v>0.83001378971962625</v>
      </c>
      <c r="BU95" s="755">
        <f>BU94/BQ94-1</f>
        <v>2.2354693374422085E-2</v>
      </c>
    </row>
    <row r="96" spans="1:73" x14ac:dyDescent="0.35">
      <c r="A96" s="1617" t="s">
        <v>2846</v>
      </c>
      <c r="B96" s="765"/>
      <c r="C96" s="752"/>
      <c r="D96" s="752"/>
      <c r="E96" s="752"/>
      <c r="F96" s="752"/>
      <c r="G96" s="752"/>
      <c r="H96" s="752"/>
      <c r="I96" s="752"/>
      <c r="J96" s="752"/>
      <c r="K96" s="752"/>
      <c r="L96" s="752"/>
      <c r="M96" s="752"/>
      <c r="N96" s="752"/>
      <c r="O96" s="752"/>
      <c r="P96" s="752"/>
      <c r="Q96" s="752"/>
      <c r="R96" s="752"/>
      <c r="S96" s="752"/>
      <c r="T96" s="752">
        <v>34020</v>
      </c>
      <c r="U96" s="752">
        <v>40540</v>
      </c>
      <c r="V96" s="752">
        <v>53960</v>
      </c>
      <c r="W96" s="752">
        <v>44530</v>
      </c>
      <c r="X96" s="752">
        <f>X102*X113</f>
        <v>35960.563000000002</v>
      </c>
      <c r="Y96" s="752"/>
      <c r="AL96" s="752"/>
      <c r="AM96" s="752"/>
      <c r="AN96" s="752">
        <v>19580</v>
      </c>
      <c r="AO96" s="752">
        <f t="shared" ref="AO96" si="180">U96-AN96</f>
        <v>20960</v>
      </c>
      <c r="AP96" s="752">
        <v>27270</v>
      </c>
      <c r="AQ96" s="752">
        <f t="shared" ref="AQ96" si="181">V96-AP96</f>
        <v>26690</v>
      </c>
      <c r="AR96" s="752">
        <v>28880</v>
      </c>
      <c r="AS96" s="752">
        <f t="shared" si="172"/>
        <v>15650</v>
      </c>
      <c r="AT96" s="752">
        <f>AT$91*AT113</f>
        <v>20788.135139999999</v>
      </c>
      <c r="AU96" s="752">
        <f>X96-AT96</f>
        <v>15172.427860000003</v>
      </c>
      <c r="AW96" s="752"/>
      <c r="AX96" s="752">
        <v>26610</v>
      </c>
      <c r="AY96" s="752">
        <v>7700</v>
      </c>
      <c r="AZ96" s="752">
        <f t="shared" si="173"/>
        <v>27270</v>
      </c>
      <c r="BA96" s="752">
        <v>37470</v>
      </c>
      <c r="BB96" s="752">
        <v>11880</v>
      </c>
      <c r="BC96" s="752">
        <v>40050</v>
      </c>
      <c r="BD96" s="752">
        <v>11360</v>
      </c>
      <c r="BE96" s="752">
        <f>BE$102*BE113</f>
        <v>29682.361875999999</v>
      </c>
      <c r="BG96" s="752"/>
      <c r="BH96" s="752"/>
      <c r="BI96" s="752"/>
      <c r="BJ96" s="752"/>
      <c r="BK96" s="752">
        <f>AY96</f>
        <v>7700</v>
      </c>
      <c r="BL96" s="752">
        <f>AP96-BK96</f>
        <v>19570</v>
      </c>
      <c r="BM96" s="752">
        <f>BA96-AP96</f>
        <v>10200</v>
      </c>
      <c r="BN96" s="752">
        <f>V96-BA96</f>
        <v>16490</v>
      </c>
      <c r="BO96" s="752">
        <f>BB96</f>
        <v>11880</v>
      </c>
      <c r="BP96" s="752">
        <f>AR96-BB96</f>
        <v>17000</v>
      </c>
      <c r="BQ96" s="752">
        <f>BC96-AR96</f>
        <v>11170</v>
      </c>
      <c r="BR96" s="752">
        <f>W96-BC96</f>
        <v>4480</v>
      </c>
      <c r="BS96" s="752">
        <f>BD96</f>
        <v>11360</v>
      </c>
      <c r="BT96" s="752">
        <f>AT96-BD96</f>
        <v>9428.1351399999985</v>
      </c>
      <c r="BU96" s="752">
        <f>BE96-AT96</f>
        <v>8894.2267360000005</v>
      </c>
    </row>
    <row r="97" spans="1:73" x14ac:dyDescent="0.35">
      <c r="A97" s="1618" t="s">
        <v>577</v>
      </c>
      <c r="B97" s="765"/>
      <c r="C97" s="755"/>
      <c r="D97" s="755"/>
      <c r="E97" s="755"/>
      <c r="F97" s="755"/>
      <c r="G97" s="755"/>
      <c r="H97" s="755"/>
      <c r="I97" s="755"/>
      <c r="J97" s="755"/>
      <c r="K97" s="755"/>
      <c r="L97" s="755"/>
      <c r="M97" s="755"/>
      <c r="N97" s="755"/>
      <c r="O97" s="755"/>
      <c r="P97" s="755"/>
      <c r="Q97" s="755"/>
      <c r="R97" s="755"/>
      <c r="S97" s="755"/>
      <c r="T97" s="755"/>
      <c r="U97" s="755">
        <f t="shared" ref="U97:X97" si="182">U96/T96-1</f>
        <v>0.19165196942974716</v>
      </c>
      <c r="V97" s="755">
        <f t="shared" si="182"/>
        <v>0.33103108041440543</v>
      </c>
      <c r="W97" s="755">
        <f t="shared" si="182"/>
        <v>-0.17475908080059299</v>
      </c>
      <c r="X97" s="755">
        <f t="shared" si="182"/>
        <v>-0.19244188187738598</v>
      </c>
      <c r="Y97" s="752"/>
      <c r="AL97" s="755"/>
      <c r="AM97" s="755"/>
      <c r="AN97" s="755"/>
      <c r="AO97" s="755" t="e">
        <f t="shared" si="175"/>
        <v>#DIV/0!</v>
      </c>
      <c r="AP97" s="755">
        <f>AP96/AN96-1</f>
        <v>0.39274770173646578</v>
      </c>
      <c r="AQ97" s="755">
        <f t="shared" si="175"/>
        <v>0.27337786259541974</v>
      </c>
      <c r="AR97" s="755">
        <f>AR96/AP96-1</f>
        <v>5.9039237257058952E-2</v>
      </c>
      <c r="AS97" s="755">
        <f t="shared" si="175"/>
        <v>-0.41363806669164482</v>
      </c>
      <c r="AT97" s="755">
        <f>AT96/AR96-1</f>
        <v>-0.28018922645429367</v>
      </c>
      <c r="AU97" s="755">
        <f t="shared" si="175"/>
        <v>-3.051579169329055E-2</v>
      </c>
      <c r="AW97" s="755"/>
      <c r="AX97" s="755"/>
      <c r="AY97" s="755"/>
      <c r="AZ97" s="755">
        <f t="shared" si="173"/>
        <v>0.39274770173646578</v>
      </c>
      <c r="BA97" s="755">
        <f>BA96/AX96-1</f>
        <v>0.40811724915445313</v>
      </c>
      <c r="BB97" s="755"/>
      <c r="BC97" s="755">
        <v>0.40811724915445313</v>
      </c>
      <c r="BD97" s="755"/>
      <c r="BE97" s="755"/>
      <c r="BG97" s="755"/>
      <c r="BH97" s="755"/>
      <c r="BI97" s="755"/>
      <c r="BJ97" s="755"/>
      <c r="BK97" s="755"/>
      <c r="BL97" s="755"/>
      <c r="BM97" s="755"/>
      <c r="BN97" s="755"/>
      <c r="BO97" s="755">
        <f t="shared" ref="BO97" si="183">BO96/BK96-1</f>
        <v>0.54285714285714293</v>
      </c>
      <c r="BP97" s="755">
        <f t="shared" ref="BP97" si="184">BP96/BL96-1</f>
        <v>-0.13132345426673475</v>
      </c>
      <c r="BQ97" s="755">
        <f t="shared" ref="BQ97" si="185">BQ96/BM96-1</f>
        <v>9.5098039215686381E-2</v>
      </c>
      <c r="BR97" s="755">
        <f>BR96/BN96-1</f>
        <v>-0.72832019405700432</v>
      </c>
      <c r="BS97" s="755">
        <f t="shared" ref="BS97" si="186">BS96/BO96-1</f>
        <v>-4.3771043771043794E-2</v>
      </c>
      <c r="BT97" s="755">
        <f>BT96/BP96-1</f>
        <v>-0.44540381529411777</v>
      </c>
      <c r="BU97" s="755">
        <f>BU96/BQ96-1</f>
        <v>-0.20373977296329449</v>
      </c>
    </row>
    <row r="98" spans="1:73" x14ac:dyDescent="0.35">
      <c r="A98" s="1617" t="s">
        <v>2847</v>
      </c>
      <c r="B98" s="765"/>
      <c r="C98" s="752"/>
      <c r="D98" s="752"/>
      <c r="E98" s="752"/>
      <c r="F98" s="752"/>
      <c r="G98" s="752"/>
      <c r="H98" s="752"/>
      <c r="I98" s="752"/>
      <c r="J98" s="752"/>
      <c r="K98" s="752"/>
      <c r="L98" s="752"/>
      <c r="M98" s="752"/>
      <c r="N98" s="752"/>
      <c r="O98" s="752"/>
      <c r="P98" s="752"/>
      <c r="Q98" s="752"/>
      <c r="R98" s="752"/>
      <c r="S98" s="752"/>
      <c r="T98" s="752">
        <v>24610</v>
      </c>
      <c r="U98" s="752">
        <v>29550</v>
      </c>
      <c r="V98" s="752">
        <v>36050</v>
      </c>
      <c r="W98" s="752">
        <v>37360</v>
      </c>
      <c r="X98" s="752">
        <f>X102*X114</f>
        <v>23605.397500000003</v>
      </c>
      <c r="Y98" s="752"/>
      <c r="AL98" s="752"/>
      <c r="AM98" s="752"/>
      <c r="AN98" s="752">
        <v>12960</v>
      </c>
      <c r="AO98" s="752">
        <f t="shared" ref="AO98" si="187">U98-AN98</f>
        <v>16590</v>
      </c>
      <c r="AP98" s="752">
        <v>15020</v>
      </c>
      <c r="AQ98" s="752">
        <f t="shared" ref="AQ98" si="188">V98-AP98</f>
        <v>21030</v>
      </c>
      <c r="AR98" s="752">
        <v>19290</v>
      </c>
      <c r="AS98" s="752">
        <f t="shared" si="172"/>
        <v>18070</v>
      </c>
      <c r="AT98" s="752">
        <f>AT$91*AT114</f>
        <v>14614.00236</v>
      </c>
      <c r="AU98" s="752">
        <f>X98-AT98</f>
        <v>8991.3951400000024</v>
      </c>
      <c r="AW98" s="752"/>
      <c r="AX98" s="752">
        <v>20030</v>
      </c>
      <c r="AY98" s="752">
        <v>7460</v>
      </c>
      <c r="AZ98" s="752">
        <f t="shared" si="173"/>
        <v>15020</v>
      </c>
      <c r="BA98" s="752">
        <v>23820</v>
      </c>
      <c r="BB98" s="752">
        <v>7420</v>
      </c>
      <c r="BC98" s="752">
        <v>29340</v>
      </c>
      <c r="BD98" s="752">
        <v>6170</v>
      </c>
      <c r="BE98" s="752">
        <f>BE$102*BE114</f>
        <v>19891.844607999999</v>
      </c>
      <c r="BG98" s="752"/>
      <c r="BH98" s="752"/>
      <c r="BI98" s="752"/>
      <c r="BJ98" s="752"/>
      <c r="BK98" s="752">
        <f>AY98</f>
        <v>7460</v>
      </c>
      <c r="BL98" s="752">
        <f>AP98-BK98</f>
        <v>7560</v>
      </c>
      <c r="BM98" s="752">
        <f>BA98-AP98</f>
        <v>8800</v>
      </c>
      <c r="BN98" s="752">
        <f>V98-BA98</f>
        <v>12230</v>
      </c>
      <c r="BO98" s="752">
        <f>BB98</f>
        <v>7420</v>
      </c>
      <c r="BP98" s="752">
        <f>AR98-BB98</f>
        <v>11870</v>
      </c>
      <c r="BQ98" s="752">
        <f>BC98-AR98</f>
        <v>10050</v>
      </c>
      <c r="BR98" s="752">
        <f>W98-BC98</f>
        <v>8020</v>
      </c>
      <c r="BS98" s="752">
        <f>BD98</f>
        <v>6170</v>
      </c>
      <c r="BT98" s="752">
        <f>AT98-BD98</f>
        <v>8444.0023600000004</v>
      </c>
      <c r="BU98" s="752">
        <f>BE98-AT98</f>
        <v>5277.842247999999</v>
      </c>
    </row>
    <row r="99" spans="1:73" x14ac:dyDescent="0.35">
      <c r="A99" s="1618" t="s">
        <v>577</v>
      </c>
      <c r="B99" s="765"/>
      <c r="C99" s="755"/>
      <c r="D99" s="755"/>
      <c r="E99" s="755"/>
      <c r="F99" s="755"/>
      <c r="G99" s="755"/>
      <c r="H99" s="755"/>
      <c r="I99" s="755"/>
      <c r="J99" s="755"/>
      <c r="K99" s="755"/>
      <c r="L99" s="755"/>
      <c r="M99" s="755"/>
      <c r="N99" s="755"/>
      <c r="O99" s="755"/>
      <c r="P99" s="755"/>
      <c r="Q99" s="755"/>
      <c r="R99" s="755"/>
      <c r="S99" s="755"/>
      <c r="T99" s="755"/>
      <c r="U99" s="755">
        <f t="shared" ref="U99:X99" si="189">U98/T98-1</f>
        <v>0.20073140999593653</v>
      </c>
      <c r="V99" s="755">
        <f t="shared" si="189"/>
        <v>0.21996615905245354</v>
      </c>
      <c r="W99" s="755">
        <f t="shared" si="189"/>
        <v>3.6338418862690736E-2</v>
      </c>
      <c r="X99" s="755">
        <f t="shared" si="189"/>
        <v>-0.36816387847965726</v>
      </c>
      <c r="Y99" s="752"/>
      <c r="AL99" s="755"/>
      <c r="AM99" s="755"/>
      <c r="AN99" s="755"/>
      <c r="AO99" s="755" t="e">
        <f t="shared" si="175"/>
        <v>#DIV/0!</v>
      </c>
      <c r="AP99" s="755">
        <f>AP98/AN98-1</f>
        <v>0.15895061728395055</v>
      </c>
      <c r="AQ99" s="755">
        <f t="shared" si="175"/>
        <v>0.26763110307414095</v>
      </c>
      <c r="AR99" s="755">
        <f>AR98/AP98-1</f>
        <v>0.28428761651131818</v>
      </c>
      <c r="AS99" s="755">
        <f t="shared" si="175"/>
        <v>-0.14075130765572996</v>
      </c>
      <c r="AT99" s="755">
        <f>AT98/AR98-1</f>
        <v>-0.24240526905132187</v>
      </c>
      <c r="AU99" s="755">
        <f t="shared" si="175"/>
        <v>-0.50241310791366889</v>
      </c>
      <c r="AW99" s="755"/>
      <c r="AX99" s="755"/>
      <c r="AY99" s="755"/>
      <c r="AZ99" s="755">
        <f t="shared" si="173"/>
        <v>0.15895061728395055</v>
      </c>
      <c r="BA99" s="755">
        <f>BA98/AX98-1</f>
        <v>0.18921617573639549</v>
      </c>
      <c r="BB99" s="755"/>
      <c r="BC99" s="755">
        <v>0.18921617573639549</v>
      </c>
      <c r="BD99" s="755"/>
      <c r="BE99" s="755"/>
      <c r="BG99" s="755"/>
      <c r="BH99" s="755"/>
      <c r="BI99" s="755"/>
      <c r="BJ99" s="755"/>
      <c r="BK99" s="755"/>
      <c r="BL99" s="755"/>
      <c r="BM99" s="755"/>
      <c r="BN99" s="755"/>
      <c r="BO99" s="755">
        <f t="shared" ref="BO99" si="190">BO98/BK98-1</f>
        <v>-5.3619302949061698E-3</v>
      </c>
      <c r="BP99" s="755">
        <f t="shared" ref="BP99" si="191">BP98/BL98-1</f>
        <v>0.57010582010582</v>
      </c>
      <c r="BQ99" s="755">
        <f t="shared" ref="BQ99" si="192">BQ98/BM98-1</f>
        <v>0.14204545454545459</v>
      </c>
      <c r="BR99" s="755">
        <f>BR98/BN98-1</f>
        <v>-0.34423548650858549</v>
      </c>
      <c r="BS99" s="755">
        <f t="shared" ref="BS99" si="193">BS98/BO98-1</f>
        <v>-0.16846361185983827</v>
      </c>
      <c r="BT99" s="755">
        <f>BT98/BP98-1</f>
        <v>-0.28862659140690816</v>
      </c>
      <c r="BU99" s="755">
        <f>BU98/BQ98-1</f>
        <v>-0.47484156736318417</v>
      </c>
    </row>
    <row r="100" spans="1:73" x14ac:dyDescent="0.35">
      <c r="A100" s="1617" t="s">
        <v>2848</v>
      </c>
      <c r="B100" s="765"/>
      <c r="C100" s="752"/>
      <c r="D100" s="752"/>
      <c r="E100" s="752"/>
      <c r="F100" s="752"/>
      <c r="G100" s="752"/>
      <c r="H100" s="752"/>
      <c r="I100" s="752"/>
      <c r="J100" s="752"/>
      <c r="K100" s="752"/>
      <c r="L100" s="752"/>
      <c r="M100" s="752"/>
      <c r="N100" s="752"/>
      <c r="O100" s="752"/>
      <c r="P100" s="752"/>
      <c r="Q100" s="752"/>
      <c r="R100" s="752"/>
      <c r="S100" s="752"/>
      <c r="T100" s="752">
        <v>1340</v>
      </c>
      <c r="U100" s="752">
        <v>1450</v>
      </c>
      <c r="V100" s="752">
        <v>1610</v>
      </c>
      <c r="W100" s="752">
        <v>1480</v>
      </c>
      <c r="X100" s="752">
        <f>X102*X115</f>
        <v>1406.2790000000002</v>
      </c>
      <c r="Y100" s="752"/>
      <c r="AL100" s="752"/>
      <c r="AM100" s="752"/>
      <c r="AN100" s="752">
        <v>900</v>
      </c>
      <c r="AO100" s="752">
        <f t="shared" ref="AO100" si="194">U100-AN100</f>
        <v>550</v>
      </c>
      <c r="AP100" s="752">
        <v>710</v>
      </c>
      <c r="AQ100" s="752">
        <f t="shared" ref="AQ100" si="195">V100-AP100</f>
        <v>900</v>
      </c>
      <c r="AR100" s="752">
        <v>670</v>
      </c>
      <c r="AS100" s="752">
        <f t="shared" si="172"/>
        <v>810</v>
      </c>
      <c r="AT100" s="752">
        <f>AT$91*AT115</f>
        <v>736.36445999999989</v>
      </c>
      <c r="AU100" s="752">
        <f>X100-AT100</f>
        <v>669.91454000000033</v>
      </c>
      <c r="AW100" s="752"/>
      <c r="AX100" s="752">
        <v>1140</v>
      </c>
      <c r="AY100" s="752">
        <v>520</v>
      </c>
      <c r="AZ100" s="752">
        <f t="shared" si="173"/>
        <v>710</v>
      </c>
      <c r="BA100" s="752">
        <v>920</v>
      </c>
      <c r="BB100" s="752">
        <v>520</v>
      </c>
      <c r="BC100" s="752">
        <v>500</v>
      </c>
      <c r="BD100" s="752">
        <v>520</v>
      </c>
      <c r="BE100" s="752">
        <f>BE$102*BE115</f>
        <v>932.43021599999997</v>
      </c>
      <c r="BG100" s="752"/>
      <c r="BH100" s="752"/>
      <c r="BI100" s="752"/>
      <c r="BJ100" s="752"/>
      <c r="BK100" s="752">
        <f>AY100</f>
        <v>520</v>
      </c>
      <c r="BL100" s="752">
        <f>AP100-BK100</f>
        <v>190</v>
      </c>
      <c r="BM100" s="752">
        <f>BA100-AP100</f>
        <v>210</v>
      </c>
      <c r="BN100" s="752">
        <f>V100-BA100</f>
        <v>690</v>
      </c>
      <c r="BO100" s="752">
        <f>BB100</f>
        <v>520</v>
      </c>
      <c r="BP100" s="752">
        <f>AR100-BB100</f>
        <v>150</v>
      </c>
      <c r="BQ100" s="752">
        <f>BC100-AR100</f>
        <v>-170</v>
      </c>
      <c r="BR100" s="752">
        <f>W100-BC100</f>
        <v>980</v>
      </c>
      <c r="BS100" s="752">
        <f>BD100</f>
        <v>520</v>
      </c>
      <c r="BT100" s="752">
        <f>AT100-BD100</f>
        <v>216.36445999999989</v>
      </c>
      <c r="BU100" s="752">
        <f>BE100-AT100</f>
        <v>196.06575600000008</v>
      </c>
    </row>
    <row r="101" spans="1:73" x14ac:dyDescent="0.35">
      <c r="A101" s="1618" t="s">
        <v>577</v>
      </c>
      <c r="B101" s="765"/>
      <c r="C101" s="755"/>
      <c r="D101" s="755"/>
      <c r="E101" s="755"/>
      <c r="F101" s="755"/>
      <c r="G101" s="755"/>
      <c r="H101" s="755"/>
      <c r="I101" s="755"/>
      <c r="J101" s="755"/>
      <c r="K101" s="755"/>
      <c r="L101" s="755"/>
      <c r="M101" s="755"/>
      <c r="N101" s="755"/>
      <c r="O101" s="755"/>
      <c r="P101" s="755"/>
      <c r="Q101" s="755"/>
      <c r="R101" s="755"/>
      <c r="S101" s="755"/>
      <c r="T101" s="755"/>
      <c r="U101" s="755">
        <f t="shared" ref="U101:X101" si="196">U100/T100-1</f>
        <v>8.2089552238805874E-2</v>
      </c>
      <c r="V101" s="755">
        <f t="shared" si="196"/>
        <v>0.1103448275862069</v>
      </c>
      <c r="W101" s="755">
        <f t="shared" si="196"/>
        <v>-8.0745341614906874E-2</v>
      </c>
      <c r="X101" s="755">
        <f t="shared" si="196"/>
        <v>-4.9811486486486367E-2</v>
      </c>
      <c r="Y101" s="752"/>
      <c r="AL101" s="755"/>
      <c r="AM101" s="755"/>
      <c r="AN101" s="755"/>
      <c r="AO101" s="755" t="e">
        <f t="shared" si="175"/>
        <v>#DIV/0!</v>
      </c>
      <c r="AP101" s="755">
        <f>AP100/AN100-1</f>
        <v>-0.21111111111111114</v>
      </c>
      <c r="AQ101" s="755">
        <f t="shared" si="175"/>
        <v>0.63636363636363646</v>
      </c>
      <c r="AR101" s="755">
        <f>AR100/AP100-1</f>
        <v>-5.633802816901412E-2</v>
      </c>
      <c r="AS101" s="755">
        <f t="shared" si="175"/>
        <v>-9.9999999999999978E-2</v>
      </c>
      <c r="AT101" s="755">
        <f>AT100/AR100-1</f>
        <v>9.9051432835820741E-2</v>
      </c>
      <c r="AU101" s="755">
        <f t="shared" si="175"/>
        <v>-0.17294501234567861</v>
      </c>
      <c r="AW101" s="755"/>
      <c r="AX101" s="755"/>
      <c r="AY101" s="755"/>
      <c r="AZ101" s="755">
        <f t="shared" si="173"/>
        <v>-0.21111111111111114</v>
      </c>
      <c r="BA101" s="755">
        <f>BA100/AX100-1</f>
        <v>-0.19298245614035092</v>
      </c>
      <c r="BB101" s="755"/>
      <c r="BC101" s="755">
        <v>-0.19298245614035092</v>
      </c>
      <c r="BD101" s="755"/>
      <c r="BE101" s="755"/>
      <c r="BG101" s="755"/>
      <c r="BH101" s="755"/>
      <c r="BI101" s="755"/>
      <c r="BJ101" s="755"/>
      <c r="BK101" s="755"/>
      <c r="BL101" s="755"/>
      <c r="BM101" s="755"/>
      <c r="BN101" s="755"/>
      <c r="BO101" s="755">
        <f t="shared" ref="BO101" si="197">BO100/BK100-1</f>
        <v>0</v>
      </c>
      <c r="BP101" s="755">
        <f t="shared" ref="BP101" si="198">BP100/BL100-1</f>
        <v>-0.21052631578947367</v>
      </c>
      <c r="BQ101" s="755">
        <f t="shared" ref="BQ101" si="199">BQ100/BM100-1</f>
        <v>-1.8095238095238095</v>
      </c>
      <c r="BR101" s="755">
        <f>BR100/BN100-1</f>
        <v>0.42028985507246386</v>
      </c>
      <c r="BS101" s="755">
        <f t="shared" ref="BS101" si="200">BS100/BO100-1</f>
        <v>0</v>
      </c>
      <c r="BT101" s="755">
        <f>BT100/BP100-1</f>
        <v>0.44242973333333269</v>
      </c>
      <c r="BU101" s="755">
        <f>BU100/BQ100-1</f>
        <v>-2.1533279764705888</v>
      </c>
    </row>
    <row r="102" spans="1:73" x14ac:dyDescent="0.35">
      <c r="A102" s="1617" t="s">
        <v>2849</v>
      </c>
      <c r="B102" s="765"/>
      <c r="C102" s="752"/>
      <c r="D102" s="752"/>
      <c r="E102" s="752"/>
      <c r="F102" s="752"/>
      <c r="G102" s="752"/>
      <c r="H102" s="752"/>
      <c r="I102" s="752"/>
      <c r="J102" s="752"/>
      <c r="K102" s="752"/>
      <c r="L102" s="752"/>
      <c r="M102" s="752"/>
      <c r="N102" s="752"/>
      <c r="O102" s="752"/>
      <c r="P102" s="752"/>
      <c r="Q102" s="752"/>
      <c r="R102" s="752"/>
      <c r="S102" s="752"/>
      <c r="T102" s="752">
        <f>SUM(T94,T96,T98,T100)</f>
        <v>77310</v>
      </c>
      <c r="U102" s="752">
        <f>SUM(U94,U96,U98,U100)</f>
        <v>101960</v>
      </c>
      <c r="V102" s="752">
        <f>SUM(V94,V96,V98,V100)</f>
        <v>113730</v>
      </c>
      <c r="W102" s="752">
        <f>SUM(W94,W96,W98,W100)</f>
        <v>115110</v>
      </c>
      <c r="X102" s="752">
        <f>X91</f>
        <v>100448.50000000001</v>
      </c>
      <c r="Y102" s="752"/>
      <c r="AL102" s="752"/>
      <c r="AM102" s="752"/>
      <c r="AN102" s="752">
        <v>53810</v>
      </c>
      <c r="AO102" s="752">
        <f t="shared" ref="AO102" si="201">U102-AN102</f>
        <v>48150</v>
      </c>
      <c r="AP102" s="752">
        <v>55110</v>
      </c>
      <c r="AQ102" s="752">
        <f t="shared" ref="AQ102" si="202">V102-AP102</f>
        <v>58620</v>
      </c>
      <c r="AR102" s="752">
        <v>61760</v>
      </c>
      <c r="AS102" s="752">
        <f t="shared" si="172"/>
        <v>53350</v>
      </c>
      <c r="AT102" s="752">
        <f>AT91</f>
        <v>56643.42</v>
      </c>
      <c r="AU102" s="752">
        <f>X102-AT102</f>
        <v>43805.080000000016</v>
      </c>
      <c r="AW102" s="752">
        <f>AY102/(1+AY103)</f>
        <v>17325.860688550838</v>
      </c>
      <c r="AX102" s="752">
        <v>73410</v>
      </c>
      <c r="AY102" s="752">
        <f>SUM(AY94,AY96,AY98,AY100)</f>
        <v>21640</v>
      </c>
      <c r="AZ102" s="752">
        <f t="shared" si="173"/>
        <v>55110</v>
      </c>
      <c r="BA102" s="752">
        <f>SUM(BA94,BA96,BA98,BA100)</f>
        <v>79480</v>
      </c>
      <c r="BB102" s="752">
        <f>SUM(BB94,BB96,BB98,BB100)</f>
        <v>24170</v>
      </c>
      <c r="BC102" s="752">
        <f>SUM(BC94,BC96,BC98,BC100)</f>
        <v>89290</v>
      </c>
      <c r="BD102" s="752">
        <f>SUM(BD94,BD96,BD98,BD100)</f>
        <v>22890</v>
      </c>
      <c r="BE102" s="752">
        <f>QoQ!BB3</f>
        <v>77702.517999999996</v>
      </c>
      <c r="BG102" s="752"/>
      <c r="BH102" s="752"/>
      <c r="BI102" s="752"/>
      <c r="BJ102" s="752"/>
      <c r="BK102" s="752">
        <f>AY102</f>
        <v>21640</v>
      </c>
      <c r="BL102" s="752">
        <f>AP102-BK102</f>
        <v>33470</v>
      </c>
      <c r="BM102" s="752">
        <f>BA102-AP102</f>
        <v>24370</v>
      </c>
      <c r="BN102" s="752">
        <f>V102-BA102</f>
        <v>34250</v>
      </c>
      <c r="BO102" s="752">
        <f>BB102</f>
        <v>24170</v>
      </c>
      <c r="BP102" s="752">
        <f>AR102-BB102</f>
        <v>37590</v>
      </c>
      <c r="BQ102" s="752">
        <f>BC102-AR102</f>
        <v>27530</v>
      </c>
      <c r="BR102" s="752">
        <f>W102-BC102</f>
        <v>25820</v>
      </c>
      <c r="BS102" s="752">
        <f>BD102</f>
        <v>22890</v>
      </c>
      <c r="BT102" s="752">
        <f>AT102-BD102</f>
        <v>33753.42</v>
      </c>
      <c r="BU102" s="752">
        <f>BE102-AT102</f>
        <v>21059.097999999998</v>
      </c>
    </row>
    <row r="103" spans="1:73" x14ac:dyDescent="0.35">
      <c r="A103" s="1618" t="s">
        <v>577</v>
      </c>
      <c r="B103" s="765"/>
      <c r="C103" s="755"/>
      <c r="D103" s="755"/>
      <c r="E103" s="755"/>
      <c r="F103" s="755"/>
      <c r="G103" s="755"/>
      <c r="H103" s="755"/>
      <c r="I103" s="755"/>
      <c r="J103" s="755"/>
      <c r="K103" s="755"/>
      <c r="L103" s="755"/>
      <c r="M103" s="755"/>
      <c r="N103" s="755"/>
      <c r="O103" s="755"/>
      <c r="P103" s="755"/>
      <c r="Q103" s="755"/>
      <c r="R103" s="755"/>
      <c r="S103" s="755"/>
      <c r="T103" s="755"/>
      <c r="U103" s="755">
        <f t="shared" ref="U103:X103" si="203">U102/T102-1</f>
        <v>0.31884620359591254</v>
      </c>
      <c r="V103" s="755">
        <f t="shared" si="203"/>
        <v>0.11543742644174193</v>
      </c>
      <c r="W103" s="755">
        <f t="shared" si="203"/>
        <v>1.2134001582695841E-2</v>
      </c>
      <c r="X103" s="755">
        <f t="shared" si="203"/>
        <v>-0.12736947267830756</v>
      </c>
      <c r="Y103" s="752"/>
      <c r="AL103" s="755"/>
      <c r="AM103" s="755"/>
      <c r="AN103" s="755"/>
      <c r="AO103" s="755" t="e">
        <f t="shared" si="175"/>
        <v>#DIV/0!</v>
      </c>
      <c r="AP103" s="755">
        <f>AP102/AN102-1</f>
        <v>2.4159078238245701E-2</v>
      </c>
      <c r="AQ103" s="755">
        <f t="shared" si="175"/>
        <v>0.2174454828660437</v>
      </c>
      <c r="AR103" s="755">
        <f>AR102/AP102-1</f>
        <v>0.12066775539829422</v>
      </c>
      <c r="AS103" s="755">
        <f t="shared" si="175"/>
        <v>-8.9901057659501848E-2</v>
      </c>
      <c r="AT103" s="755">
        <f>AT102/AR102-1</f>
        <v>-8.2846178756476707E-2</v>
      </c>
      <c r="AU103" s="755">
        <f t="shared" si="175"/>
        <v>-0.17891134020618527</v>
      </c>
      <c r="AW103" s="755"/>
      <c r="AX103" s="755"/>
      <c r="AY103" s="755">
        <v>0.249</v>
      </c>
      <c r="AZ103" s="755">
        <f t="shared" si="173"/>
        <v>2.4159078238245701E-2</v>
      </c>
      <c r="BA103" s="755">
        <v>8.3000000000000004E-2</v>
      </c>
      <c r="BB103" s="755">
        <v>0.249</v>
      </c>
      <c r="BC103" s="755">
        <v>8.3000000000000004E-2</v>
      </c>
      <c r="BD103" s="755">
        <v>3.5999999999999997E-2</v>
      </c>
      <c r="BE103" s="755">
        <v>3.5999999999999997E-2</v>
      </c>
      <c r="BG103" s="755"/>
      <c r="BH103" s="755"/>
      <c r="BI103" s="755"/>
      <c r="BJ103" s="755"/>
      <c r="BK103" s="755"/>
      <c r="BL103" s="755"/>
      <c r="BM103" s="755"/>
      <c r="BN103" s="755"/>
      <c r="BO103" s="755">
        <f t="shared" ref="BO103" si="204">BO102/BK102-1</f>
        <v>0.11691312384473207</v>
      </c>
      <c r="BP103" s="755">
        <f t="shared" ref="BP103" si="205">BP102/BL102-1</f>
        <v>0.12309530923214829</v>
      </c>
      <c r="BQ103" s="755">
        <f t="shared" ref="BQ103" si="206">BQ102/BM102-1</f>
        <v>0.12966762412802635</v>
      </c>
      <c r="BR103" s="755">
        <f>BR102/BN102-1</f>
        <v>-0.24613138686131386</v>
      </c>
      <c r="BS103" s="755">
        <f t="shared" ref="BS103" si="207">BS102/BO102-1</f>
        <v>-5.2958212660322745E-2</v>
      </c>
      <c r="BT103" s="755">
        <f>BT102/BP102-1</f>
        <v>-0.10206384676775748</v>
      </c>
      <c r="BU103" s="755">
        <f>BU102/BQ102-1</f>
        <v>-0.23504911006175089</v>
      </c>
    </row>
    <row r="104" spans="1:73" x14ac:dyDescent="0.35">
      <c r="A104" s="1623"/>
      <c r="B104" s="765"/>
      <c r="C104" s="752"/>
      <c r="D104" s="756"/>
      <c r="E104" s="756"/>
      <c r="F104" s="752"/>
      <c r="G104" s="752"/>
      <c r="H104" s="752"/>
      <c r="I104" s="752"/>
      <c r="J104" s="752"/>
      <c r="K104" s="752"/>
      <c r="L104" s="752"/>
      <c r="M104" s="752"/>
      <c r="N104" s="752"/>
      <c r="O104" s="766"/>
      <c r="P104" s="752"/>
      <c r="Q104" s="752"/>
      <c r="R104" s="752"/>
      <c r="S104" s="752"/>
      <c r="T104" s="767"/>
      <c r="U104" s="767"/>
      <c r="V104" s="752"/>
      <c r="W104" s="752"/>
      <c r="X104" s="752"/>
      <c r="Y104" s="752"/>
    </row>
    <row r="105" spans="1:73" ht="10.5" x14ac:dyDescent="0.35">
      <c r="A105" s="1616" t="s">
        <v>2938</v>
      </c>
      <c r="B105" s="746" t="s">
        <v>263</v>
      </c>
      <c r="C105" s="747"/>
      <c r="D105" s="747" t="s">
        <v>328</v>
      </c>
      <c r="E105" s="747" t="s">
        <v>323</v>
      </c>
      <c r="F105" s="747" t="s">
        <v>198</v>
      </c>
      <c r="G105" s="748" t="s">
        <v>331</v>
      </c>
      <c r="H105" s="748" t="s">
        <v>21</v>
      </c>
      <c r="I105" s="748" t="s">
        <v>721</v>
      </c>
      <c r="J105" s="748" t="s">
        <v>832</v>
      </c>
      <c r="K105" s="748" t="s">
        <v>831</v>
      </c>
      <c r="L105" s="748" t="s">
        <v>1376</v>
      </c>
      <c r="M105" s="748" t="s">
        <v>1510</v>
      </c>
      <c r="N105" s="748" t="str">
        <f>N1</f>
        <v>2015A</v>
      </c>
      <c r="O105" s="748" t="s">
        <v>1739</v>
      </c>
      <c r="P105" s="748" t="s">
        <v>1810</v>
      </c>
      <c r="Q105" s="748" t="str">
        <f>$Q$1</f>
        <v>2018A</v>
      </c>
      <c r="R105" s="748" t="str">
        <f t="shared" ref="R105:X105" si="208">R$1</f>
        <v>2019A</v>
      </c>
      <c r="S105" s="748" t="str">
        <f t="shared" si="208"/>
        <v>2020A</v>
      </c>
      <c r="T105" s="748" t="str">
        <f t="shared" si="208"/>
        <v>2021A</v>
      </c>
      <c r="U105" s="748" t="str">
        <f t="shared" si="208"/>
        <v>2022A</v>
      </c>
      <c r="V105" s="748" t="str">
        <f t="shared" si="208"/>
        <v>2023A</v>
      </c>
      <c r="W105" s="748" t="str">
        <f t="shared" si="208"/>
        <v>2024A</v>
      </c>
      <c r="X105" s="748" t="str">
        <f t="shared" si="208"/>
        <v>2025A</v>
      </c>
      <c r="Y105" s="750"/>
      <c r="Z105" s="748" t="s">
        <v>1518</v>
      </c>
      <c r="AA105" s="748" t="s">
        <v>1866</v>
      </c>
      <c r="AB105" s="748" t="s">
        <v>1740</v>
      </c>
      <c r="AC105" s="748" t="s">
        <v>1865</v>
      </c>
      <c r="AD105" s="748" t="s">
        <v>1749</v>
      </c>
      <c r="AE105" s="748" t="s">
        <v>1811</v>
      </c>
      <c r="AF105" s="748" t="str">
        <f>$AF$1</f>
        <v>1H18</v>
      </c>
      <c r="AG105" s="748" t="str">
        <f t="shared" ref="AG105:AU105" si="209">AG$1</f>
        <v>2H18</v>
      </c>
      <c r="AH105" s="748" t="str">
        <f t="shared" si="209"/>
        <v>1H19</v>
      </c>
      <c r="AI105" s="748" t="str">
        <f t="shared" si="209"/>
        <v>2H19</v>
      </c>
      <c r="AJ105" s="748" t="str">
        <f t="shared" si="209"/>
        <v>1H20</v>
      </c>
      <c r="AK105" s="748" t="str">
        <f t="shared" si="209"/>
        <v>2H20</v>
      </c>
      <c r="AL105" s="748" t="str">
        <f t="shared" si="209"/>
        <v>1H21</v>
      </c>
      <c r="AM105" s="748" t="str">
        <f t="shared" si="209"/>
        <v>2H21</v>
      </c>
      <c r="AN105" s="748" t="str">
        <f t="shared" si="209"/>
        <v>1H22</v>
      </c>
      <c r="AO105" s="748" t="str">
        <f t="shared" si="209"/>
        <v>2H22</v>
      </c>
      <c r="AP105" s="748" t="str">
        <f t="shared" si="209"/>
        <v>1H23</v>
      </c>
      <c r="AQ105" s="748" t="str">
        <f t="shared" si="209"/>
        <v>2H23</v>
      </c>
      <c r="AR105" s="748" t="str">
        <f t="shared" si="209"/>
        <v>1H24</v>
      </c>
      <c r="AS105" s="748" t="str">
        <f t="shared" si="209"/>
        <v>2H24</v>
      </c>
      <c r="AT105" s="748" t="str">
        <f t="shared" si="209"/>
        <v>1H25</v>
      </c>
      <c r="AU105" s="748" t="str">
        <f t="shared" si="209"/>
        <v>2H25</v>
      </c>
      <c r="AX105" s="748" t="s">
        <v>2865</v>
      </c>
      <c r="AY105" s="748" t="s">
        <v>2842</v>
      </c>
      <c r="AZ105" s="748" t="s">
        <v>2851</v>
      </c>
      <c r="BA105" s="749" t="s">
        <v>2863</v>
      </c>
      <c r="BB105" s="1606" t="s">
        <v>2888</v>
      </c>
      <c r="BC105" s="1607" t="s">
        <v>2889</v>
      </c>
      <c r="BD105" s="1606" t="s">
        <v>2915</v>
      </c>
      <c r="BE105" s="1606" t="s">
        <v>2903</v>
      </c>
    </row>
    <row r="106" spans="1:73" x14ac:dyDescent="0.35">
      <c r="A106" s="1617" t="s">
        <v>2923</v>
      </c>
      <c r="B106" s="751" t="s">
        <v>153</v>
      </c>
      <c r="C106" s="752"/>
      <c r="D106" s="752"/>
      <c r="E106" s="771">
        <f t="shared" ref="E106:X106" si="210">E81/E$91</f>
        <v>0.67188141030660731</v>
      </c>
      <c r="F106" s="771">
        <f t="shared" si="210"/>
        <v>0.53678155796173632</v>
      </c>
      <c r="G106" s="771">
        <f t="shared" si="210"/>
        <v>0.55339355930831802</v>
      </c>
      <c r="H106" s="771">
        <f t="shared" si="210"/>
        <v>0.63755281208376746</v>
      </c>
      <c r="I106" s="771">
        <f t="shared" si="210"/>
        <v>0.5204558239840853</v>
      </c>
      <c r="J106" s="771">
        <f t="shared" si="210"/>
        <v>0.53162657452441076</v>
      </c>
      <c r="K106" s="771">
        <f t="shared" si="210"/>
        <v>0.50609406562832882</v>
      </c>
      <c r="L106" s="771">
        <f t="shared" si="210"/>
        <v>0.4080570278410387</v>
      </c>
      <c r="M106" s="771">
        <f t="shared" si="210"/>
        <v>0.44381351976614114</v>
      </c>
      <c r="N106" s="771">
        <f t="shared" si="210"/>
        <v>0.42819593958992974</v>
      </c>
      <c r="O106" s="771">
        <f t="shared" si="210"/>
        <v>0.38057360721552003</v>
      </c>
      <c r="P106" s="771">
        <f t="shared" si="210"/>
        <v>0.29935159394968835</v>
      </c>
      <c r="Q106" s="771">
        <f t="shared" si="210"/>
        <v>0.26741413558592708</v>
      </c>
      <c r="R106" s="771">
        <f t="shared" si="210"/>
        <v>0.34735339464558251</v>
      </c>
      <c r="S106" s="771">
        <f t="shared" si="210"/>
        <v>0.35870922028943142</v>
      </c>
      <c r="T106" s="771">
        <f t="shared" si="210"/>
        <v>0.30842612925217811</v>
      </c>
      <c r="U106" s="771">
        <f t="shared" si="210"/>
        <v>0.36493432990833613</v>
      </c>
      <c r="V106" s="771">
        <f t="shared" si="210"/>
        <v>0.27100056855461785</v>
      </c>
      <c r="W106" s="771">
        <f>W81/W$91</f>
        <v>0.35694432465225495</v>
      </c>
      <c r="X106" s="771">
        <f t="shared" si="210"/>
        <v>0.39576260471784047</v>
      </c>
      <c r="Y106" s="771"/>
      <c r="Z106" s="771">
        <f t="shared" ref="Z106:AN106" si="211">Z81/Z$91</f>
        <v>0.44348088067940428</v>
      </c>
      <c r="AA106" s="771">
        <f t="shared" si="211"/>
        <v>0.41580045879844518</v>
      </c>
      <c r="AB106" s="771">
        <f t="shared" si="211"/>
        <v>0.38239621825420178</v>
      </c>
      <c r="AC106" s="771">
        <f t="shared" si="211"/>
        <v>0.3793183396738341</v>
      </c>
      <c r="AD106" s="771">
        <f t="shared" si="211"/>
        <v>0.36723581331941013</v>
      </c>
      <c r="AE106" s="771">
        <f t="shared" si="211"/>
        <v>0.24200530949552074</v>
      </c>
      <c r="AF106" s="771">
        <f t="shared" si="211"/>
        <v>0.2714185803508668</v>
      </c>
      <c r="AG106" s="771">
        <f t="shared" si="211"/>
        <v>0.26360837470592835</v>
      </c>
      <c r="AH106" s="771">
        <f t="shared" si="211"/>
        <v>0.35730607761437494</v>
      </c>
      <c r="AI106" s="771">
        <f t="shared" si="211"/>
        <v>0.33932103437679589</v>
      </c>
      <c r="AJ106" s="771">
        <f t="shared" si="211"/>
        <v>0.36751753020246586</v>
      </c>
      <c r="AK106" s="771">
        <f t="shared" si="211"/>
        <v>0.35155055413295544</v>
      </c>
      <c r="AL106" s="771">
        <f t="shared" si="211"/>
        <v>0.28781491995763209</v>
      </c>
      <c r="AM106" s="771">
        <f t="shared" si="211"/>
        <v>0.32673768777681989</v>
      </c>
      <c r="AN106" s="771">
        <f t="shared" si="211"/>
        <v>0.42722165365351433</v>
      </c>
      <c r="AO106" s="771">
        <f t="shared" ref="AO106" si="212">AO81/AO$91</f>
        <v>0.29534570396837884</v>
      </c>
      <c r="AP106" s="771">
        <f t="shared" ref="AP106:AR106" si="213">AP81/AP$91</f>
        <v>0.25539189187031369</v>
      </c>
      <c r="AQ106" s="771">
        <f t="shared" ref="AQ106:AT106" si="214">AQ81/AQ$91</f>
        <v>0.28567400431746393</v>
      </c>
      <c r="AR106" s="771">
        <f t="shared" si="213"/>
        <v>0.29428620724581722</v>
      </c>
      <c r="AS106" s="771">
        <f t="shared" si="214"/>
        <v>0.4294720588045377</v>
      </c>
      <c r="AT106" s="771">
        <f t="shared" si="214"/>
        <v>0.41023015559441856</v>
      </c>
      <c r="AU106" s="771">
        <f t="shared" ref="AU106" si="215">AU81/AU$91</f>
        <v>0.37705492148399217</v>
      </c>
      <c r="AZ106" s="771">
        <v>0.25539189187031369</v>
      </c>
    </row>
    <row r="107" spans="1:73" x14ac:dyDescent="0.35">
      <c r="A107" s="1625" t="s">
        <v>2924</v>
      </c>
      <c r="B107" s="772" t="s">
        <v>359</v>
      </c>
      <c r="C107" s="754"/>
      <c r="D107" s="755"/>
      <c r="E107" s="773">
        <f t="shared" ref="E107:X107" si="216">E83/E$91</f>
        <v>0.13965748812020262</v>
      </c>
      <c r="F107" s="773">
        <f t="shared" si="216"/>
        <v>0.15409170658112478</v>
      </c>
      <c r="G107" s="773">
        <f t="shared" si="216"/>
        <v>0.18562356356976678</v>
      </c>
      <c r="H107" s="773">
        <f t="shared" si="216"/>
        <v>4.163974205119414E-2</v>
      </c>
      <c r="I107" s="773">
        <f t="shared" si="216"/>
        <v>6.9253854105581214E-3</v>
      </c>
      <c r="J107" s="773">
        <f t="shared" si="216"/>
        <v>1.4841039406358426E-2</v>
      </c>
      <c r="K107" s="773">
        <f t="shared" si="216"/>
        <v>4.1091779070096472E-2</v>
      </c>
      <c r="L107" s="773">
        <f t="shared" si="216"/>
        <v>3.065669755717481E-2</v>
      </c>
      <c r="M107" s="773">
        <f t="shared" si="216"/>
        <v>6.5503102172428093E-2</v>
      </c>
      <c r="N107" s="773">
        <f t="shared" si="216"/>
        <v>0.13984117520935019</v>
      </c>
      <c r="O107" s="773">
        <f t="shared" si="216"/>
        <v>0.18862690019985495</v>
      </c>
      <c r="P107" s="773">
        <f t="shared" si="216"/>
        <v>0.16067474490416475</v>
      </c>
      <c r="Q107" s="773">
        <f t="shared" si="216"/>
        <v>0.1262803654903982</v>
      </c>
      <c r="R107" s="773">
        <f t="shared" si="216"/>
        <v>7.6109494199077865E-2</v>
      </c>
      <c r="S107" s="773">
        <f t="shared" si="216"/>
        <v>7.2088866759533743E-2</v>
      </c>
      <c r="T107" s="773">
        <f t="shared" si="216"/>
        <v>0.10872257103754261</v>
      </c>
      <c r="U107" s="773">
        <f t="shared" si="216"/>
        <v>0.10337506845410013</v>
      </c>
      <c r="V107" s="773">
        <f t="shared" si="216"/>
        <v>9.4692224707865785E-2</v>
      </c>
      <c r="W107" s="773">
        <f t="shared" si="216"/>
        <v>7.631247044916846E-2</v>
      </c>
      <c r="X107" s="773">
        <f t="shared" si="216"/>
        <v>3.3732310587017221E-2</v>
      </c>
      <c r="Y107" s="771"/>
      <c r="Z107" s="773">
        <f t="shared" ref="Z107:AN107" si="217">Z83/Z$91</f>
        <v>0.11024863937107558</v>
      </c>
      <c r="AA107" s="773">
        <f t="shared" si="217"/>
        <v>0.1638395476863789</v>
      </c>
      <c r="AB107" s="773">
        <f t="shared" si="217"/>
        <v>0.22081715556862588</v>
      </c>
      <c r="AC107" s="773">
        <f t="shared" si="217"/>
        <v>0.1664568475306766</v>
      </c>
      <c r="AD107" s="773">
        <f t="shared" si="217"/>
        <v>0.18379264218444744</v>
      </c>
      <c r="AE107" s="773">
        <f t="shared" si="217"/>
        <v>0.14114552993010807</v>
      </c>
      <c r="AF107" s="773">
        <f t="shared" si="217"/>
        <v>0.14816728180985983</v>
      </c>
      <c r="AG107" s="773">
        <f t="shared" si="217"/>
        <v>0.1054793868774077</v>
      </c>
      <c r="AH107" s="773">
        <f t="shared" si="217"/>
        <v>9.639847158397126E-2</v>
      </c>
      <c r="AI107" s="773">
        <f t="shared" si="217"/>
        <v>5.9735178212953273E-2</v>
      </c>
      <c r="AJ107" s="773">
        <f t="shared" si="217"/>
        <v>6.9514283946051039E-2</v>
      </c>
      <c r="AK107" s="773">
        <f t="shared" si="217"/>
        <v>7.4181274841888994E-2</v>
      </c>
      <c r="AL107" s="773">
        <f t="shared" si="217"/>
        <v>8.0432129036472691E-2</v>
      </c>
      <c r="AM107" s="773">
        <f t="shared" si="217"/>
        <v>0.13385656861077844</v>
      </c>
      <c r="AN107" s="773">
        <f t="shared" si="217"/>
        <v>0.10801807503988203</v>
      </c>
      <c r="AO107" s="773">
        <f t="shared" ref="AO107" si="218">AO83/AO$91</f>
        <v>9.8187809970230078E-2</v>
      </c>
      <c r="AP107" s="773">
        <f t="shared" ref="AP107:AR107" si="219">AP83/AP$91</f>
        <v>0.10638158694084737</v>
      </c>
      <c r="AQ107" s="773">
        <f t="shared" ref="AQ107:AT107" si="220">AQ83/AQ$91</f>
        <v>8.3703265854821143E-2</v>
      </c>
      <c r="AR107" s="773">
        <f t="shared" si="219"/>
        <v>8.7743116107684191E-2</v>
      </c>
      <c r="AS107" s="773">
        <f t="shared" si="220"/>
        <v>6.3081322374097262E-2</v>
      </c>
      <c r="AT107" s="773">
        <f t="shared" si="220"/>
        <v>3.3470948611506866E-2</v>
      </c>
      <c r="AU107" s="773">
        <f t="shared" ref="AU107" si="221">AU83/AU$91</f>
        <v>3.4070272215003361E-2</v>
      </c>
      <c r="AZ107" s="773">
        <v>0.10638158694084737</v>
      </c>
    </row>
    <row r="108" spans="1:73" x14ac:dyDescent="0.35">
      <c r="A108" s="1617" t="s">
        <v>143</v>
      </c>
      <c r="B108" s="751" t="s">
        <v>1836</v>
      </c>
      <c r="C108" s="752"/>
      <c r="D108" s="756"/>
      <c r="E108" s="771">
        <f t="shared" ref="E108:X108" si="222">E85/E$91</f>
        <v>7.6071927026712241E-2</v>
      </c>
      <c r="F108" s="771">
        <f t="shared" si="222"/>
        <v>7.4425643061953858E-2</v>
      </c>
      <c r="G108" s="771">
        <f t="shared" si="222"/>
        <v>9.3977226839213515E-2</v>
      </c>
      <c r="H108" s="771">
        <f t="shared" si="222"/>
        <v>0.21991081495865697</v>
      </c>
      <c r="I108" s="771">
        <f t="shared" si="222"/>
        <v>0.40268421482631334</v>
      </c>
      <c r="J108" s="771">
        <f t="shared" si="222"/>
        <v>0.46078543841068781</v>
      </c>
      <c r="K108" s="771">
        <f t="shared" si="222"/>
        <v>0.40208514942041906</v>
      </c>
      <c r="L108" s="771">
        <f t="shared" si="222"/>
        <v>0.51155806611687782</v>
      </c>
      <c r="M108" s="771">
        <f t="shared" si="222"/>
        <v>0.45055460179168882</v>
      </c>
      <c r="N108" s="771">
        <f t="shared" si="222"/>
        <v>0.38500783487636248</v>
      </c>
      <c r="O108" s="771">
        <f t="shared" si="222"/>
        <v>0.39527316643000959</v>
      </c>
      <c r="P108" s="771">
        <f t="shared" si="222"/>
        <v>0.49548559111401852</v>
      </c>
      <c r="Q108" s="771">
        <f t="shared" si="222"/>
        <v>0.55047311789760467</v>
      </c>
      <c r="R108" s="771">
        <f t="shared" si="222"/>
        <v>0.51784859327463972</v>
      </c>
      <c r="S108" s="771">
        <f t="shared" si="222"/>
        <v>0.51795109176617793</v>
      </c>
      <c r="T108" s="771">
        <f t="shared" si="222"/>
        <v>0.52424818729530842</v>
      </c>
      <c r="U108" s="771">
        <f t="shared" si="222"/>
        <v>0.47689145009821743</v>
      </c>
      <c r="V108" s="771">
        <f t="shared" si="222"/>
        <v>0.58193134585171069</v>
      </c>
      <c r="W108" s="771">
        <f t="shared" si="222"/>
        <v>0.52489721193051908</v>
      </c>
      <c r="X108" s="771">
        <f t="shared" si="222"/>
        <v>0.53360070085665778</v>
      </c>
      <c r="Y108" s="771"/>
      <c r="Z108" s="771">
        <f t="shared" ref="Z108:AN108" si="223">Z85/Z$91</f>
        <v>0.39843136752535541</v>
      </c>
      <c r="AA108" s="771">
        <f t="shared" si="223"/>
        <v>0.37412188247847999</v>
      </c>
      <c r="AB108" s="771">
        <f t="shared" si="223"/>
        <v>0.34971469700828117</v>
      </c>
      <c r="AC108" s="771">
        <f t="shared" si="223"/>
        <v>0.42665016717249971</v>
      </c>
      <c r="AD108" s="771">
        <f t="shared" si="223"/>
        <v>0.41172309474597313</v>
      </c>
      <c r="AE108" s="771">
        <f t="shared" si="223"/>
        <v>0.56624530504917781</v>
      </c>
      <c r="AF108" s="771">
        <f t="shared" si="223"/>
        <v>0.52052362733873614</v>
      </c>
      <c r="AG108" s="771">
        <f t="shared" si="223"/>
        <v>0.57893663936823969</v>
      </c>
      <c r="AH108" s="771">
        <f t="shared" si="223"/>
        <v>0.48924656479090262</v>
      </c>
      <c r="AI108" s="771">
        <f t="shared" si="223"/>
        <v>0.54093199680711934</v>
      </c>
      <c r="AJ108" s="771">
        <f t="shared" si="223"/>
        <v>0.50098765803323109</v>
      </c>
      <c r="AK108" s="771">
        <f t="shared" si="223"/>
        <v>0.53173756841840936</v>
      </c>
      <c r="AL108" s="771">
        <f t="shared" si="223"/>
        <v>0.57195825969863667</v>
      </c>
      <c r="AM108" s="771">
        <f t="shared" si="223"/>
        <v>0.48186126227099069</v>
      </c>
      <c r="AN108" s="771">
        <f t="shared" si="223"/>
        <v>0.4058471126456798</v>
      </c>
      <c r="AO108" s="771">
        <f t="shared" ref="AO108" si="224">AO85/AO$91</f>
        <v>0.55626358437649337</v>
      </c>
      <c r="AP108" s="771">
        <f t="shared" ref="AP108:AR108" si="225">AP85/AP$91</f>
        <v>0.58137742803976111</v>
      </c>
      <c r="AQ108" s="771">
        <f t="shared" ref="AQ108:AT108" si="226">AQ85/AQ$91</f>
        <v>0.58245207400797472</v>
      </c>
      <c r="AR108" s="771">
        <f t="shared" si="225"/>
        <v>0.56867843468766155</v>
      </c>
      <c r="AS108" s="771">
        <f t="shared" si="226"/>
        <v>0.47421977353263861</v>
      </c>
      <c r="AT108" s="771">
        <f t="shared" si="226"/>
        <v>0.51805846115930143</v>
      </c>
      <c r="AU108" s="771">
        <f t="shared" ref="AU108" si="227">AU85/AU$91</f>
        <v>0.55369804141437462</v>
      </c>
      <c r="AZ108" s="771">
        <v>0.58137742803976111</v>
      </c>
    </row>
    <row r="109" spans="1:73" x14ac:dyDescent="0.35">
      <c r="A109" s="1625" t="s">
        <v>2930</v>
      </c>
      <c r="B109" s="772" t="s">
        <v>718</v>
      </c>
      <c r="C109" s="754"/>
      <c r="D109" s="755"/>
      <c r="E109" s="773">
        <f t="shared" ref="E109:X109" si="228">E87/E$91</f>
        <v>0.1123891745464777</v>
      </c>
      <c r="F109" s="773">
        <f t="shared" si="228"/>
        <v>0.23470109239518502</v>
      </c>
      <c r="G109" s="773">
        <f t="shared" si="228"/>
        <v>0.1670056502827017</v>
      </c>
      <c r="H109" s="773">
        <f t="shared" si="228"/>
        <v>0.10089663090638147</v>
      </c>
      <c r="I109" s="773">
        <f t="shared" si="228"/>
        <v>6.9934575779043273E-2</v>
      </c>
      <c r="J109" s="773">
        <f t="shared" si="228"/>
        <v>-7.2530523414568544E-3</v>
      </c>
      <c r="K109" s="773">
        <f t="shared" si="228"/>
        <v>2.650581954172079E-3</v>
      </c>
      <c r="L109" s="773">
        <f t="shared" si="228"/>
        <v>5.8745229171996104E-4</v>
      </c>
      <c r="M109" s="773">
        <f t="shared" si="228"/>
        <v>0</v>
      </c>
      <c r="N109" s="773">
        <f t="shared" si="228"/>
        <v>0</v>
      </c>
      <c r="O109" s="773">
        <f t="shared" si="228"/>
        <v>0</v>
      </c>
      <c r="P109" s="773">
        <f t="shared" si="228"/>
        <v>0</v>
      </c>
      <c r="Q109" s="773">
        <f t="shared" si="228"/>
        <v>0</v>
      </c>
      <c r="R109" s="773">
        <f t="shared" si="228"/>
        <v>0</v>
      </c>
      <c r="S109" s="773">
        <f t="shared" si="228"/>
        <v>0</v>
      </c>
      <c r="T109" s="773">
        <f t="shared" si="228"/>
        <v>0</v>
      </c>
      <c r="U109" s="773">
        <f t="shared" si="228"/>
        <v>0</v>
      </c>
      <c r="V109" s="773">
        <f t="shared" si="228"/>
        <v>0</v>
      </c>
      <c r="W109" s="773">
        <f t="shared" si="228"/>
        <v>0</v>
      </c>
      <c r="X109" s="773">
        <f t="shared" si="228"/>
        <v>0</v>
      </c>
      <c r="Y109" s="771"/>
      <c r="Z109" s="773">
        <f t="shared" ref="Z109:AN109" si="229">Z87/Z$91</f>
        <v>0</v>
      </c>
      <c r="AA109" s="773">
        <f t="shared" si="229"/>
        <v>0</v>
      </c>
      <c r="AB109" s="773">
        <f t="shared" si="229"/>
        <v>0</v>
      </c>
      <c r="AC109" s="773">
        <f t="shared" si="229"/>
        <v>0</v>
      </c>
      <c r="AD109" s="773">
        <f t="shared" si="229"/>
        <v>0</v>
      </c>
      <c r="AE109" s="773">
        <f t="shared" si="229"/>
        <v>0</v>
      </c>
      <c r="AF109" s="773">
        <f t="shared" si="229"/>
        <v>0</v>
      </c>
      <c r="AG109" s="773">
        <f t="shared" si="229"/>
        <v>0</v>
      </c>
      <c r="AH109" s="773">
        <f t="shared" si="229"/>
        <v>0</v>
      </c>
      <c r="AI109" s="773">
        <f t="shared" si="229"/>
        <v>0</v>
      </c>
      <c r="AJ109" s="773">
        <f t="shared" si="229"/>
        <v>0</v>
      </c>
      <c r="AK109" s="773">
        <f t="shared" si="229"/>
        <v>0</v>
      </c>
      <c r="AL109" s="773">
        <f t="shared" si="229"/>
        <v>0</v>
      </c>
      <c r="AM109" s="773">
        <f t="shared" si="229"/>
        <v>0</v>
      </c>
      <c r="AN109" s="773">
        <f t="shared" si="229"/>
        <v>0</v>
      </c>
      <c r="AO109" s="773">
        <f t="shared" ref="AO109" si="230">AO87/AO$91</f>
        <v>0</v>
      </c>
      <c r="AP109" s="773">
        <f t="shared" ref="AP109:AR109" si="231">AP87/AP$91</f>
        <v>0</v>
      </c>
      <c r="AQ109" s="773">
        <f t="shared" ref="AQ109:AT109" si="232">AQ87/AQ$91</f>
        <v>0</v>
      </c>
      <c r="AR109" s="773">
        <f t="shared" si="231"/>
        <v>0</v>
      </c>
      <c r="AS109" s="773">
        <f>AS87/AS$91</f>
        <v>0</v>
      </c>
      <c r="AT109" s="773">
        <f t="shared" si="232"/>
        <v>0</v>
      </c>
      <c r="AU109" s="773">
        <f>AU87/AU$91</f>
        <v>0</v>
      </c>
      <c r="AZ109" s="773">
        <v>0</v>
      </c>
    </row>
    <row r="110" spans="1:73" x14ac:dyDescent="0.35">
      <c r="A110" s="1617" t="s">
        <v>2675</v>
      </c>
      <c r="B110" s="751" t="s">
        <v>1869</v>
      </c>
      <c r="C110" s="752"/>
      <c r="D110" s="756"/>
      <c r="E110" s="771"/>
      <c r="F110" s="771"/>
      <c r="G110" s="771"/>
      <c r="H110" s="771"/>
      <c r="I110" s="771"/>
      <c r="J110" s="771"/>
      <c r="K110" s="771">
        <f t="shared" ref="K110:X110" si="233">K89/K$91</f>
        <v>4.8078423926983492E-2</v>
      </c>
      <c r="L110" s="771">
        <f t="shared" si="233"/>
        <v>4.9140756193188952E-2</v>
      </c>
      <c r="M110" s="771">
        <f t="shared" si="233"/>
        <v>4.0128776269742011E-2</v>
      </c>
      <c r="N110" s="771">
        <f t="shared" si="233"/>
        <v>4.6955050324357678E-2</v>
      </c>
      <c r="O110" s="771">
        <f t="shared" si="233"/>
        <v>3.5526326154615394E-2</v>
      </c>
      <c r="P110" s="771">
        <f t="shared" si="233"/>
        <v>4.4488070032128395E-2</v>
      </c>
      <c r="Q110" s="771">
        <f t="shared" si="233"/>
        <v>5.5832381026069959E-2</v>
      </c>
      <c r="R110" s="771">
        <f t="shared" si="233"/>
        <v>5.8688517880699807E-2</v>
      </c>
      <c r="S110" s="771">
        <f t="shared" si="233"/>
        <v>5.125082118485693E-2</v>
      </c>
      <c r="T110" s="771">
        <f t="shared" si="233"/>
        <v>5.8603112414970793E-2</v>
      </c>
      <c r="U110" s="771">
        <f t="shared" si="233"/>
        <v>5.4799151539346336E-2</v>
      </c>
      <c r="V110" s="771">
        <f t="shared" si="233"/>
        <v>5.237586088580571E-2</v>
      </c>
      <c r="W110" s="771">
        <f t="shared" si="233"/>
        <v>4.1845992968057542E-2</v>
      </c>
      <c r="X110" s="771">
        <f t="shared" si="233"/>
        <v>3.6904383838484392E-2</v>
      </c>
      <c r="Y110" s="771"/>
      <c r="Z110" s="771">
        <f t="shared" ref="Z110:AN110" si="234">Z89/Z$91</f>
        <v>4.7839112424164824E-2</v>
      </c>
      <c r="AA110" s="771">
        <f t="shared" si="234"/>
        <v>4.6238111036695978E-2</v>
      </c>
      <c r="AB110" s="771">
        <f t="shared" si="234"/>
        <v>4.7071929168891163E-2</v>
      </c>
      <c r="AC110" s="771">
        <f t="shared" si="234"/>
        <v>2.757464562298961E-2</v>
      </c>
      <c r="AD110" s="771">
        <f t="shared" si="234"/>
        <v>3.7248449750169124E-2</v>
      </c>
      <c r="AE110" s="771">
        <f t="shared" si="234"/>
        <v>5.0603855525193552E-2</v>
      </c>
      <c r="AF110" s="771">
        <f t="shared" si="234"/>
        <v>5.9890510500537286E-2</v>
      </c>
      <c r="AG110" s="771">
        <f t="shared" si="234"/>
        <v>5.1975599048424165E-2</v>
      </c>
      <c r="AH110" s="771">
        <f t="shared" si="234"/>
        <v>5.7048886010751164E-2</v>
      </c>
      <c r="AI110" s="771">
        <f t="shared" si="234"/>
        <v>6.0011790603131346E-2</v>
      </c>
      <c r="AJ110" s="771">
        <f t="shared" si="234"/>
        <v>6.1980527818251918E-2</v>
      </c>
      <c r="AK110" s="771">
        <f t="shared" si="234"/>
        <v>4.2530602606746189E-2</v>
      </c>
      <c r="AL110" s="771">
        <f t="shared" si="234"/>
        <v>5.9794691307258403E-2</v>
      </c>
      <c r="AM110" s="771">
        <f t="shared" si="234"/>
        <v>5.7544481341410915E-2</v>
      </c>
      <c r="AN110" s="771">
        <f t="shared" si="234"/>
        <v>5.8913158660923781E-2</v>
      </c>
      <c r="AO110" s="771">
        <f t="shared" ref="AO110" si="235">AO89/AO$91</f>
        <v>5.0202901684897654E-2</v>
      </c>
      <c r="AP110" s="771">
        <f t="shared" ref="AP110:AR110" si="236">AP89/AP$91</f>
        <v>5.6849093149077809E-2</v>
      </c>
      <c r="AQ110" s="771">
        <f t="shared" ref="AQ110:AT110" si="237">AQ89/AQ$91</f>
        <v>4.817065581974022E-2</v>
      </c>
      <c r="AR110" s="771">
        <f t="shared" si="236"/>
        <v>4.9292241958836996E-2</v>
      </c>
      <c r="AS110" s="771">
        <f t="shared" si="237"/>
        <v>3.3226845288726402E-2</v>
      </c>
      <c r="AT110" s="771">
        <f t="shared" si="237"/>
        <v>3.8240434634773113E-2</v>
      </c>
      <c r="AU110" s="771">
        <f t="shared" ref="AU110" si="238">AU89/AU$91</f>
        <v>3.5176764886629568E-2</v>
      </c>
      <c r="AZ110" s="771">
        <v>5.6849093149077809E-2</v>
      </c>
    </row>
    <row r="111" spans="1:73" x14ac:dyDescent="0.35">
      <c r="A111" s="1617"/>
      <c r="B111" s="751"/>
      <c r="C111" s="752"/>
      <c r="D111" s="756"/>
      <c r="E111" s="771"/>
      <c r="F111" s="771"/>
      <c r="G111" s="771"/>
      <c r="H111" s="771"/>
      <c r="I111" s="771"/>
      <c r="J111" s="771"/>
      <c r="K111" s="771"/>
      <c r="L111" s="771"/>
      <c r="M111" s="771"/>
      <c r="N111" s="771"/>
      <c r="O111" s="771"/>
      <c r="P111" s="771"/>
      <c r="Q111" s="771"/>
      <c r="R111" s="771"/>
      <c r="S111" s="771"/>
      <c r="T111" s="771"/>
      <c r="U111" s="771"/>
      <c r="V111" s="771"/>
      <c r="W111" s="771"/>
      <c r="X111" s="771"/>
      <c r="Y111" s="771"/>
      <c r="Z111" s="771"/>
      <c r="AA111" s="771"/>
      <c r="AB111" s="771"/>
      <c r="AC111" s="771"/>
      <c r="AD111" s="771"/>
      <c r="AE111" s="771"/>
      <c r="AF111" s="771"/>
      <c r="AG111" s="771"/>
      <c r="AH111" s="771"/>
      <c r="AI111" s="771"/>
      <c r="AJ111" s="771"/>
      <c r="AK111" s="771"/>
      <c r="AL111" s="771"/>
      <c r="AM111" s="771"/>
      <c r="AN111" s="771"/>
      <c r="AO111" s="771"/>
      <c r="AP111" s="771"/>
      <c r="AQ111" s="771"/>
      <c r="AR111" s="771"/>
      <c r="AS111" s="771"/>
      <c r="AT111" s="771"/>
      <c r="AU111" s="771"/>
      <c r="AZ111" s="771"/>
      <c r="BA111" s="771"/>
      <c r="BC111" s="771"/>
    </row>
    <row r="112" spans="1:73" ht="10.5" x14ac:dyDescent="0.35">
      <c r="A112" s="1628" t="s">
        <v>2845</v>
      </c>
      <c r="B112" s="771"/>
      <c r="C112" s="771"/>
      <c r="D112" s="771"/>
      <c r="E112" s="771"/>
      <c r="F112" s="771"/>
      <c r="G112" s="771"/>
      <c r="H112" s="771"/>
      <c r="I112" s="771"/>
      <c r="J112" s="771"/>
      <c r="K112" s="771"/>
      <c r="L112" s="771"/>
      <c r="M112" s="771"/>
      <c r="N112" s="771"/>
      <c r="O112" s="771"/>
      <c r="P112" s="771"/>
      <c r="Q112" s="771"/>
      <c r="R112" s="771"/>
      <c r="S112" s="771"/>
      <c r="T112" s="771">
        <f>T94/T$102</f>
        <v>0.22429181218471089</v>
      </c>
      <c r="U112" s="771">
        <f>U94/U$102</f>
        <v>0.29835229501765398</v>
      </c>
      <c r="V112" s="771">
        <f>V94/V$102</f>
        <v>0.19440780796623583</v>
      </c>
      <c r="W112" s="771">
        <f>W94/W$102</f>
        <v>0.27573625228042742</v>
      </c>
      <c r="X112" s="1724">
        <v>0.39300000000000002</v>
      </c>
      <c r="Y112" s="752"/>
      <c r="AL112" s="771"/>
      <c r="AM112" s="771"/>
      <c r="AN112" s="771"/>
      <c r="AO112" s="771"/>
      <c r="AP112" s="771"/>
      <c r="AQ112" s="771"/>
      <c r="AR112" s="771">
        <v>0.20899999999999999</v>
      </c>
      <c r="AS112" s="771"/>
      <c r="AT112" s="771">
        <v>0.36199999999999999</v>
      </c>
      <c r="AU112" s="771"/>
      <c r="AW112" s="771"/>
      <c r="AX112" s="771">
        <f>AX94/AX$102</f>
        <v>0.34927121645552378</v>
      </c>
      <c r="AY112" s="771">
        <f>AY94/AY$102</f>
        <v>0.2754158964879852</v>
      </c>
      <c r="AZ112" s="771">
        <f>AZ94/AZ$102</f>
        <v>0.21992378878606422</v>
      </c>
      <c r="BA112" s="771">
        <f>BA94/BA$102</f>
        <v>0.21728736789129341</v>
      </c>
      <c r="BB112" s="771">
        <v>0.2754158964879852</v>
      </c>
      <c r="BC112" s="771">
        <v>0.21726003270851679</v>
      </c>
      <c r="BD112" s="771">
        <v>0.21099999999999999</v>
      </c>
      <c r="BE112" s="771">
        <v>0.34899999999999998</v>
      </c>
    </row>
    <row r="113" spans="1:57" ht="10.5" x14ac:dyDescent="0.35">
      <c r="A113" s="1629" t="s">
        <v>2846</v>
      </c>
      <c r="B113" s="773"/>
      <c r="C113" s="773"/>
      <c r="D113" s="773"/>
      <c r="E113" s="773"/>
      <c r="F113" s="773"/>
      <c r="G113" s="773"/>
      <c r="H113" s="773"/>
      <c r="I113" s="773"/>
      <c r="J113" s="773"/>
      <c r="K113" s="773"/>
      <c r="L113" s="773"/>
      <c r="M113" s="773"/>
      <c r="N113" s="773"/>
      <c r="O113" s="773"/>
      <c r="P113" s="773"/>
      <c r="Q113" s="773"/>
      <c r="R113" s="773"/>
      <c r="S113" s="773"/>
      <c r="T113" s="773">
        <f>T96/T$102</f>
        <v>0.44004656577415602</v>
      </c>
      <c r="U113" s="773">
        <f>U96/U$102</f>
        <v>0.39760690466849746</v>
      </c>
      <c r="V113" s="773">
        <f>V96/V$102</f>
        <v>0.47445704739294819</v>
      </c>
      <c r="W113" s="773">
        <f>W96/W$102</f>
        <v>0.38684736339153852</v>
      </c>
      <c r="X113" s="1725">
        <v>0.35799999999999998</v>
      </c>
      <c r="Y113" s="752"/>
      <c r="AL113" s="773"/>
      <c r="AM113" s="773"/>
      <c r="AN113" s="773"/>
      <c r="AO113" s="773"/>
      <c r="AP113" s="773"/>
      <c r="AQ113" s="773"/>
      <c r="AR113" s="773">
        <v>0.46800000000000003</v>
      </c>
      <c r="AS113" s="773"/>
      <c r="AT113" s="773">
        <v>0.36699999999999999</v>
      </c>
      <c r="AU113" s="773"/>
      <c r="AW113" s="773"/>
      <c r="AX113" s="773">
        <f>AX96/AX$102</f>
        <v>0.36248467511238253</v>
      </c>
      <c r="AY113" s="773">
        <f>AY96/AY$102</f>
        <v>0.35582255083179298</v>
      </c>
      <c r="AZ113" s="773">
        <f>AZ96/AZ$102</f>
        <v>0.49482852476864453</v>
      </c>
      <c r="BA113" s="773">
        <f>BA96/BA$102</f>
        <v>0.47143935581278307</v>
      </c>
      <c r="BB113" s="773">
        <v>0.35582255083179298</v>
      </c>
      <c r="BC113" s="773">
        <v>0.47138004780475534</v>
      </c>
      <c r="BD113" s="773">
        <v>0.496</v>
      </c>
      <c r="BE113" s="773">
        <v>0.38200000000000001</v>
      </c>
    </row>
    <row r="114" spans="1:57" ht="10.5" x14ac:dyDescent="0.35">
      <c r="A114" s="1628" t="s">
        <v>2847</v>
      </c>
      <c r="B114" s="771"/>
      <c r="C114" s="771"/>
      <c r="D114" s="771"/>
      <c r="E114" s="771"/>
      <c r="F114" s="771"/>
      <c r="G114" s="771"/>
      <c r="H114" s="771"/>
      <c r="I114" s="771"/>
      <c r="J114" s="771"/>
      <c r="K114" s="771"/>
      <c r="L114" s="771"/>
      <c r="M114" s="771"/>
      <c r="N114" s="771"/>
      <c r="O114" s="771"/>
      <c r="P114" s="771"/>
      <c r="Q114" s="771"/>
      <c r="R114" s="771"/>
      <c r="S114" s="771"/>
      <c r="T114" s="771">
        <f>T98/T$102</f>
        <v>0.31832880610529041</v>
      </c>
      <c r="U114" s="771">
        <f>U98/U$102</f>
        <v>0.28981953707336211</v>
      </c>
      <c r="V114" s="771">
        <f>V98/V$102</f>
        <v>0.31697880946100415</v>
      </c>
      <c r="W114" s="771">
        <f>W98/W$102</f>
        <v>0.32455911736599774</v>
      </c>
      <c r="X114" s="1724">
        <v>0.23499999999999999</v>
      </c>
      <c r="Y114" s="752"/>
      <c r="AL114" s="771"/>
      <c r="AM114" s="771"/>
      <c r="AN114" s="771"/>
      <c r="AO114" s="771"/>
      <c r="AP114" s="771"/>
      <c r="AQ114" s="771"/>
      <c r="AR114" s="771">
        <v>0.312</v>
      </c>
      <c r="AS114" s="771"/>
      <c r="AT114" s="771">
        <v>0.25800000000000001</v>
      </c>
      <c r="AU114" s="771"/>
      <c r="AW114" s="771"/>
      <c r="AX114" s="771">
        <f>AX98/AX$102</f>
        <v>0.27285111020296965</v>
      </c>
      <c r="AY114" s="771">
        <f>AY98/AY$102</f>
        <v>0.34473197781885395</v>
      </c>
      <c r="AZ114" s="771">
        <f>AZ98/AZ$102</f>
        <v>0.2725458174559971</v>
      </c>
      <c r="BA114" s="771">
        <f>BA98/BA$102</f>
        <v>0.2996980372420735</v>
      </c>
      <c r="BB114" s="771">
        <v>0.34473197781885395</v>
      </c>
      <c r="BC114" s="771">
        <v>0.29966033463328723</v>
      </c>
      <c r="BD114" s="771">
        <v>0.27</v>
      </c>
      <c r="BE114" s="771">
        <v>0.25600000000000001</v>
      </c>
    </row>
    <row r="115" spans="1:57" ht="10.5" x14ac:dyDescent="0.35">
      <c r="A115" s="1629" t="s">
        <v>2848</v>
      </c>
      <c r="B115" s="773"/>
      <c r="C115" s="773"/>
      <c r="D115" s="773"/>
      <c r="E115" s="773"/>
      <c r="F115" s="773"/>
      <c r="G115" s="773"/>
      <c r="H115" s="773"/>
      <c r="I115" s="773"/>
      <c r="J115" s="773"/>
      <c r="K115" s="773"/>
      <c r="L115" s="773"/>
      <c r="M115" s="773"/>
      <c r="N115" s="773"/>
      <c r="O115" s="773"/>
      <c r="P115" s="773"/>
      <c r="Q115" s="773"/>
      <c r="R115" s="773"/>
      <c r="S115" s="773"/>
      <c r="T115" s="773">
        <f>T100/T$102</f>
        <v>1.733281593584271E-2</v>
      </c>
      <c r="U115" s="773">
        <f>U100/U$102</f>
        <v>1.4221263240486465E-2</v>
      </c>
      <c r="V115" s="773">
        <f>V100/V$102</f>
        <v>1.4156335179811835E-2</v>
      </c>
      <c r="W115" s="773">
        <f>W100/W$102</f>
        <v>1.2857266962036313E-2</v>
      </c>
      <c r="X115" s="1725">
        <v>1.4E-2</v>
      </c>
      <c r="Y115" s="752"/>
      <c r="AL115" s="773"/>
      <c r="AM115" s="773"/>
      <c r="AN115" s="773"/>
      <c r="AO115" s="773"/>
      <c r="AP115" s="773"/>
      <c r="AQ115" s="773"/>
      <c r="AR115" s="773">
        <v>1.0999999999999999E-2</v>
      </c>
      <c r="AS115" s="773"/>
      <c r="AT115" s="773">
        <v>1.2999999999999999E-2</v>
      </c>
      <c r="AU115" s="773"/>
      <c r="AW115" s="773"/>
      <c r="AX115" s="773">
        <f>AX100/AX$102</f>
        <v>1.5529219452390683E-2</v>
      </c>
      <c r="AY115" s="773">
        <f>AY100/AY$102</f>
        <v>2.4029574861367836E-2</v>
      </c>
      <c r="AZ115" s="773">
        <f>AZ100/AZ$102</f>
        <v>1.2883324260569769E-2</v>
      </c>
      <c r="BA115" s="773">
        <f>BA100/BA$102</f>
        <v>1.1575239053850024E-2</v>
      </c>
      <c r="BB115" s="773">
        <v>2.4029574861367836E-2</v>
      </c>
      <c r="BC115" s="773">
        <v>1.1573782865769279E-2</v>
      </c>
      <c r="BD115" s="773">
        <v>2.3E-2</v>
      </c>
      <c r="BE115" s="773">
        <v>1.2E-2</v>
      </c>
    </row>
    <row r="116" spans="1:57" ht="10.5" x14ac:dyDescent="0.35">
      <c r="A116" s="1628" t="s">
        <v>2849</v>
      </c>
      <c r="B116" s="771"/>
      <c r="C116" s="771"/>
      <c r="D116" s="771"/>
      <c r="E116" s="771"/>
      <c r="F116" s="771"/>
      <c r="G116" s="771"/>
      <c r="H116" s="771"/>
      <c r="I116" s="771"/>
      <c r="J116" s="771"/>
      <c r="K116" s="771"/>
      <c r="L116" s="771"/>
      <c r="M116" s="771"/>
      <c r="N116" s="771"/>
      <c r="O116" s="771"/>
      <c r="P116" s="771"/>
      <c r="Q116" s="771"/>
      <c r="R116" s="771"/>
      <c r="S116" s="771"/>
      <c r="T116" s="771">
        <f>SUM(T112:T115)</f>
        <v>1.0000000000000002</v>
      </c>
      <c r="U116" s="771">
        <f>SUM(U112:U115)</f>
        <v>0.99999999999999989</v>
      </c>
      <c r="V116" s="771">
        <f>SUM(V112:V115)</f>
        <v>1</v>
      </c>
      <c r="W116" s="771">
        <f>SUM(W112:W115)</f>
        <v>1</v>
      </c>
      <c r="X116" s="1724">
        <f>SUM(X112:X115)</f>
        <v>1</v>
      </c>
      <c r="Y116" s="752"/>
      <c r="AL116" s="771"/>
      <c r="AM116" s="771"/>
      <c r="AN116" s="771"/>
      <c r="AO116" s="771"/>
      <c r="AP116" s="771"/>
      <c r="AQ116" s="771"/>
      <c r="AR116" s="771"/>
      <c r="AS116" s="771"/>
      <c r="AT116" s="771"/>
      <c r="AU116" s="771"/>
      <c r="AW116" s="771"/>
      <c r="AX116" s="771">
        <f>SUM(AX112:AX115)</f>
        <v>1.0001362212232665</v>
      </c>
      <c r="AY116" s="771">
        <f>SUM(AY112:AY115)</f>
        <v>0.99999999999999989</v>
      </c>
      <c r="AZ116" s="771">
        <f>SUM(AZ112:AZ115)</f>
        <v>1.0001814552712756</v>
      </c>
      <c r="BA116" s="771">
        <f>SUM(BA112:BA115)</f>
        <v>1</v>
      </c>
      <c r="BB116" s="771">
        <v>0.99999999999999989</v>
      </c>
      <c r="BC116" s="771">
        <v>0.99987419801232869</v>
      </c>
      <c r="BD116" s="771">
        <v>0.99999999999999989</v>
      </c>
      <c r="BE116" s="771">
        <v>0.99999999999999989</v>
      </c>
    </row>
    <row r="117" spans="1:57" x14ac:dyDescent="0.35">
      <c r="A117" s="1623"/>
      <c r="B117" s="765"/>
      <c r="C117" s="752"/>
      <c r="D117" s="756"/>
      <c r="E117" s="756"/>
      <c r="F117" s="752"/>
      <c r="G117" s="752"/>
      <c r="H117" s="752"/>
      <c r="I117" s="752"/>
      <c r="J117" s="752"/>
      <c r="K117" s="752"/>
      <c r="L117" s="752"/>
      <c r="M117" s="752"/>
      <c r="N117" s="752"/>
      <c r="O117" s="766"/>
      <c r="P117" s="752"/>
      <c r="Q117" s="752"/>
      <c r="R117" s="752"/>
      <c r="S117" s="752"/>
      <c r="T117" s="767"/>
      <c r="U117" s="767"/>
      <c r="V117" s="752"/>
      <c r="W117" s="752"/>
      <c r="X117" s="752"/>
      <c r="Y117" s="752"/>
    </row>
    <row r="118" spans="1:57" ht="10.5" x14ac:dyDescent="0.35">
      <c r="A118" s="1616" t="s">
        <v>29</v>
      </c>
      <c r="B118" s="746" t="s">
        <v>135</v>
      </c>
      <c r="C118" s="747"/>
      <c r="D118" s="747" t="s">
        <v>328</v>
      </c>
      <c r="E118" s="747" t="s">
        <v>323</v>
      </c>
      <c r="F118" s="747" t="s">
        <v>198</v>
      </c>
      <c r="G118" s="748" t="s">
        <v>331</v>
      </c>
      <c r="H118" s="748" t="s">
        <v>21</v>
      </c>
      <c r="I118" s="748" t="s">
        <v>721</v>
      </c>
      <c r="J118" s="748" t="s">
        <v>832</v>
      </c>
      <c r="K118" s="748" t="s">
        <v>831</v>
      </c>
      <c r="L118" s="748" t="s">
        <v>1376</v>
      </c>
      <c r="M118" s="748" t="s">
        <v>1510</v>
      </c>
      <c r="N118" s="748" t="str">
        <f>N1</f>
        <v>2015A</v>
      </c>
      <c r="O118" s="748" t="s">
        <v>1739</v>
      </c>
      <c r="P118" s="748" t="s">
        <v>1810</v>
      </c>
      <c r="Q118" s="748" t="str">
        <f>$Q$1</f>
        <v>2018A</v>
      </c>
      <c r="R118" s="748" t="str">
        <f t="shared" ref="R118:X118" si="239">R$1</f>
        <v>2019A</v>
      </c>
      <c r="S118" s="748" t="str">
        <f t="shared" si="239"/>
        <v>2020A</v>
      </c>
      <c r="T118" s="748" t="str">
        <f t="shared" si="239"/>
        <v>2021A</v>
      </c>
      <c r="U118" s="748" t="str">
        <f t="shared" si="239"/>
        <v>2022A</v>
      </c>
      <c r="V118" s="748" t="str">
        <f t="shared" si="239"/>
        <v>2023A</v>
      </c>
      <c r="W118" s="748" t="str">
        <f t="shared" si="239"/>
        <v>2024A</v>
      </c>
      <c r="X118" s="748" t="str">
        <f t="shared" si="239"/>
        <v>2025A</v>
      </c>
      <c r="Y118" s="750"/>
      <c r="Z118" s="748" t="s">
        <v>1518</v>
      </c>
      <c r="AA118" s="748" t="s">
        <v>1866</v>
      </c>
      <c r="AB118" s="748" t="s">
        <v>1740</v>
      </c>
      <c r="AC118" s="748" t="s">
        <v>1865</v>
      </c>
      <c r="AD118" s="748" t="s">
        <v>1749</v>
      </c>
      <c r="AE118" s="748" t="s">
        <v>1811</v>
      </c>
      <c r="AF118" s="748" t="str">
        <f>$AF$1</f>
        <v>1H18</v>
      </c>
      <c r="AG118" s="748" t="str">
        <f t="shared" ref="AG118:AU118" si="240">AG$1</f>
        <v>2H18</v>
      </c>
      <c r="AH118" s="748" t="str">
        <f t="shared" si="240"/>
        <v>1H19</v>
      </c>
      <c r="AI118" s="748" t="str">
        <f t="shared" si="240"/>
        <v>2H19</v>
      </c>
      <c r="AJ118" s="748" t="str">
        <f t="shared" si="240"/>
        <v>1H20</v>
      </c>
      <c r="AK118" s="748" t="str">
        <f t="shared" si="240"/>
        <v>2H20</v>
      </c>
      <c r="AL118" s="748" t="str">
        <f t="shared" si="240"/>
        <v>1H21</v>
      </c>
      <c r="AM118" s="748" t="str">
        <f t="shared" si="240"/>
        <v>2H21</v>
      </c>
      <c r="AN118" s="748" t="str">
        <f t="shared" si="240"/>
        <v>1H22</v>
      </c>
      <c r="AO118" s="748" t="str">
        <f t="shared" si="240"/>
        <v>2H22</v>
      </c>
      <c r="AP118" s="748" t="str">
        <f t="shared" si="240"/>
        <v>1H23</v>
      </c>
      <c r="AQ118" s="748" t="str">
        <f t="shared" si="240"/>
        <v>2H23</v>
      </c>
      <c r="AR118" s="748" t="str">
        <f t="shared" si="240"/>
        <v>1H24</v>
      </c>
      <c r="AS118" s="748" t="str">
        <f t="shared" si="240"/>
        <v>2H24</v>
      </c>
      <c r="AT118" s="748" t="str">
        <f t="shared" si="240"/>
        <v>1H25</v>
      </c>
      <c r="AU118" s="748" t="str">
        <f t="shared" si="240"/>
        <v>2H25</v>
      </c>
    </row>
    <row r="119" spans="1:57" x14ac:dyDescent="0.35">
      <c r="A119" s="1617" t="s">
        <v>2923</v>
      </c>
      <c r="B119" s="751" t="s">
        <v>153</v>
      </c>
      <c r="C119" s="752"/>
      <c r="D119" s="752"/>
      <c r="E119" s="786">
        <f>HK!C22</f>
        <v>4.6670242643035931E-2</v>
      </c>
      <c r="F119" s="786">
        <f>HK!D22</f>
        <v>3.2454848743221951E-2</v>
      </c>
      <c r="G119" s="786">
        <f>HK!E22</f>
        <v>3.6800066369242504E-2</v>
      </c>
      <c r="H119" s="786">
        <f>HK!F22</f>
        <v>5.0714760238061117E-2</v>
      </c>
      <c r="I119" s="786">
        <f>HK!G22</f>
        <v>6.3365752406577033E-2</v>
      </c>
      <c r="J119" s="771">
        <f>HK!H22</f>
        <v>7.3198512071589242E-2</v>
      </c>
      <c r="K119" s="771">
        <f>HK!I22</f>
        <v>7.0616127634458209E-2</v>
      </c>
      <c r="L119" s="771">
        <f>HK!J22</f>
        <v>7.2652643606495343E-2</v>
      </c>
      <c r="M119" s="771">
        <f>HK!K22</f>
        <v>6.6133241703870971E-2</v>
      </c>
      <c r="N119" s="771">
        <f>HK!L22</f>
        <v>6.3967863323625404E-2</v>
      </c>
      <c r="O119" s="771">
        <f>HK!M22</f>
        <v>5.0845538657785641E-2</v>
      </c>
      <c r="P119" s="771">
        <f>HK!N22</f>
        <v>6.3027909102619975E-2</v>
      </c>
      <c r="Q119" s="771">
        <f>HK!O22</f>
        <v>8.1090952359824303E-2</v>
      </c>
      <c r="R119" s="771">
        <f>HK!P22</f>
        <v>6.101860346390011E-2</v>
      </c>
      <c r="S119" s="771">
        <f>HK!Q22</f>
        <v>5.2289902139827864E-2</v>
      </c>
      <c r="T119" s="771">
        <f>HK!R22</f>
        <v>4.315512655957051E-2</v>
      </c>
      <c r="U119" s="771">
        <f>HK!S22</f>
        <v>4.5702274194512726E-2</v>
      </c>
      <c r="V119" s="771">
        <f>HK!T22</f>
        <v>5.0077894079689808E-2</v>
      </c>
      <c r="W119" s="771">
        <f>HK!U22</f>
        <v>3.6909487423168262E-2</v>
      </c>
      <c r="X119" s="771">
        <f>HK!V22</f>
        <v>3.6832490813447583E-2</v>
      </c>
      <c r="Y119" s="786"/>
      <c r="Z119" s="771">
        <f t="shared" ref="Z119:AN119" si="241">Z133/Z81</f>
        <v>7.5272809425283235E-2</v>
      </c>
      <c r="AA119" s="771">
        <f t="shared" si="241"/>
        <v>5.4189683030318472E-2</v>
      </c>
      <c r="AB119" s="771">
        <f t="shared" si="241"/>
        <v>5.8549372998012703E-2</v>
      </c>
      <c r="AC119" s="771">
        <f t="shared" si="241"/>
        <v>4.5496706307620101E-2</v>
      </c>
      <c r="AD119" s="771">
        <f t="shared" si="241"/>
        <v>5.2569674037952159E-2</v>
      </c>
      <c r="AE119" s="771">
        <f t="shared" si="241"/>
        <v>7.6434396017783193E-2</v>
      </c>
      <c r="AF119" s="771">
        <f t="shared" si="241"/>
        <v>6.4616437724948336E-2</v>
      </c>
      <c r="AG119" s="771">
        <f t="shared" si="241"/>
        <v>9.7211960214905163E-2</v>
      </c>
      <c r="AH119" s="771">
        <f t="shared" si="241"/>
        <v>6.8123664593287975E-2</v>
      </c>
      <c r="AI119" s="771">
        <f t="shared" si="241"/>
        <v>5.4980501411520076E-2</v>
      </c>
      <c r="AJ119" s="771">
        <f t="shared" si="241"/>
        <v>6.4373342708275938E-2</v>
      </c>
      <c r="AK119" s="771">
        <f t="shared" si="241"/>
        <v>4.2023449549652356E-2</v>
      </c>
      <c r="AL119" s="771">
        <f t="shared" si="241"/>
        <v>5.1315743343618853E-2</v>
      </c>
      <c r="AM119" s="771">
        <f t="shared" si="241"/>
        <v>3.6768685736568364E-2</v>
      </c>
      <c r="AN119" s="771">
        <f t="shared" si="241"/>
        <v>4.0774523994829531E-2</v>
      </c>
      <c r="AO119" s="771">
        <f t="shared" ref="AO119" si="242">AO133/AO81</f>
        <v>5.3665882169009603E-2</v>
      </c>
      <c r="AP119" s="771">
        <f t="shared" ref="AP119:AR119" si="243">AP133/AP81</f>
        <v>5.5875989683427066E-2</v>
      </c>
      <c r="AQ119" s="771">
        <f t="shared" ref="AQ119:AS119" si="244">AQ133/AQ81</f>
        <v>4.5204994233647093E-2</v>
      </c>
      <c r="AR119" s="771">
        <f t="shared" si="243"/>
        <v>5.2485051482064088E-2</v>
      </c>
      <c r="AS119" s="771">
        <f t="shared" si="244"/>
        <v>2.4555545803688399E-2</v>
      </c>
      <c r="AT119" s="771">
        <f>AT133/AT81</f>
        <v>3.7874858968554199E-2</v>
      </c>
      <c r="AU119" s="771">
        <f>AU133/AU81</f>
        <v>3.5366034625945113E-2</v>
      </c>
    </row>
    <row r="120" spans="1:57" x14ac:dyDescent="0.35">
      <c r="A120" s="1618" t="s">
        <v>1868</v>
      </c>
      <c r="B120" s="753" t="s">
        <v>1868</v>
      </c>
      <c r="C120" s="754"/>
      <c r="D120" s="755"/>
      <c r="E120" s="755"/>
      <c r="F120" s="755" t="str">
        <f t="shared" ref="F120:U120" si="245">TEXT(100*(F119-E119),"0.0")&amp;"ppt"</f>
        <v>-1.4ppt</v>
      </c>
      <c r="G120" s="755" t="str">
        <f t="shared" si="245"/>
        <v>0.4ppt</v>
      </c>
      <c r="H120" s="755" t="str">
        <f t="shared" si="245"/>
        <v>1.4ppt</v>
      </c>
      <c r="I120" s="755" t="str">
        <f t="shared" si="245"/>
        <v>1.3ppt</v>
      </c>
      <c r="J120" s="755" t="str">
        <f t="shared" si="245"/>
        <v>1.0ppt</v>
      </c>
      <c r="K120" s="755" t="str">
        <f t="shared" si="245"/>
        <v>-0.3ppt</v>
      </c>
      <c r="L120" s="755" t="str">
        <f t="shared" si="245"/>
        <v>0.2ppt</v>
      </c>
      <c r="M120" s="755" t="str">
        <f t="shared" si="245"/>
        <v>-0.7ppt</v>
      </c>
      <c r="N120" s="755" t="str">
        <f t="shared" si="245"/>
        <v>-0.2ppt</v>
      </c>
      <c r="O120" s="755" t="str">
        <f t="shared" si="245"/>
        <v>-1.3ppt</v>
      </c>
      <c r="P120" s="755" t="str">
        <f t="shared" si="245"/>
        <v>1.2ppt</v>
      </c>
      <c r="Q120" s="755" t="str">
        <f t="shared" si="245"/>
        <v>1.8ppt</v>
      </c>
      <c r="R120" s="755" t="str">
        <f t="shared" si="245"/>
        <v>-2.0ppt</v>
      </c>
      <c r="S120" s="755" t="str">
        <f t="shared" si="245"/>
        <v>-0.9ppt</v>
      </c>
      <c r="T120" s="755" t="str">
        <f t="shared" si="245"/>
        <v>-0.9ppt</v>
      </c>
      <c r="U120" s="755" t="str">
        <f t="shared" si="245"/>
        <v>0.3ppt</v>
      </c>
      <c r="V120" s="755">
        <f>V119-U119</f>
        <v>4.3756198851770817E-3</v>
      </c>
      <c r="W120" s="755">
        <f>W119-V119</f>
        <v>-1.3168406656521546E-2</v>
      </c>
      <c r="X120" s="1726">
        <f>X119-W119</f>
        <v>-7.699660972067951E-5</v>
      </c>
      <c r="Y120" s="756"/>
      <c r="Z120" s="755"/>
      <c r="AA120" s="755"/>
      <c r="AB120" s="755">
        <f>AB119-Z119</f>
        <v>-1.6723436427270533E-2</v>
      </c>
      <c r="AC120" s="755">
        <f>AC119-AA119</f>
        <v>-8.6929767226983715E-3</v>
      </c>
      <c r="AD120" s="755">
        <f>AD119-AB119</f>
        <v>-5.9796989600605435E-3</v>
      </c>
      <c r="AE120" s="755">
        <f>AE119-AC119</f>
        <v>3.0937689710163092E-2</v>
      </c>
      <c r="AF120" s="755" t="str">
        <f t="shared" ref="AF120:AU120" si="246">TEXT(100*(AF119-AD119),"0.0")&amp;"ppt"</f>
        <v>1.2ppt</v>
      </c>
      <c r="AG120" s="755" t="str">
        <f t="shared" si="246"/>
        <v>2.1ppt</v>
      </c>
      <c r="AH120" s="755" t="str">
        <f t="shared" si="246"/>
        <v>0.4ppt</v>
      </c>
      <c r="AI120" s="755" t="str">
        <f t="shared" si="246"/>
        <v>-4.2ppt</v>
      </c>
      <c r="AJ120" s="755" t="str">
        <f t="shared" si="246"/>
        <v>-0.4ppt</v>
      </c>
      <c r="AK120" s="755" t="str">
        <f t="shared" si="246"/>
        <v>-1.3ppt</v>
      </c>
      <c r="AL120" s="755" t="str">
        <f t="shared" si="246"/>
        <v>-1.3ppt</v>
      </c>
      <c r="AM120" s="755" t="str">
        <f t="shared" si="246"/>
        <v>-0.5ppt</v>
      </c>
      <c r="AN120" s="755" t="str">
        <f t="shared" si="246"/>
        <v>-1.1ppt</v>
      </c>
      <c r="AO120" s="755" t="str">
        <f t="shared" si="246"/>
        <v>1.7ppt</v>
      </c>
      <c r="AP120" s="755" t="str">
        <f t="shared" si="246"/>
        <v>1.5ppt</v>
      </c>
      <c r="AQ120" s="755" t="str">
        <f t="shared" si="246"/>
        <v>-0.8ppt</v>
      </c>
      <c r="AR120" s="755" t="str">
        <f t="shared" si="246"/>
        <v>-0.3ppt</v>
      </c>
      <c r="AS120" s="755" t="str">
        <f t="shared" si="246"/>
        <v>-2.1ppt</v>
      </c>
      <c r="AT120" s="755" t="str">
        <f t="shared" si="246"/>
        <v>-1.5ppt</v>
      </c>
      <c r="AU120" s="755" t="str">
        <f t="shared" si="246"/>
        <v>1.1ppt</v>
      </c>
    </row>
    <row r="121" spans="1:57" x14ac:dyDescent="0.35">
      <c r="A121" s="1617" t="s">
        <v>2924</v>
      </c>
      <c r="B121" s="751" t="s">
        <v>359</v>
      </c>
      <c r="C121" s="752"/>
      <c r="D121" s="756"/>
      <c r="E121" s="786">
        <f>Macau!D20</f>
        <v>7.0360917762309877E-2</v>
      </c>
      <c r="F121" s="786">
        <f>Macau!E20</f>
        <v>0.17272063837376528</v>
      </c>
      <c r="G121" s="786">
        <f>Macau!F20</f>
        <v>0.13569500382544425</v>
      </c>
      <c r="H121" s="786">
        <f>Macau!G20</f>
        <v>0.22260243467933491</v>
      </c>
      <c r="I121" s="786">
        <f>Macau!H20</f>
        <v>0.31078736172366422</v>
      </c>
      <c r="J121" s="771">
        <f>Macau!I20</f>
        <v>0.29285108973778828</v>
      </c>
      <c r="K121" s="771">
        <f>Macau!J20</f>
        <v>7.3324981007343831E-2</v>
      </c>
      <c r="L121" s="771">
        <f>Macau!K20</f>
        <v>0.14790546655237918</v>
      </c>
      <c r="M121" s="771">
        <f>Macau!L20</f>
        <v>4.2703152933708473E-2</v>
      </c>
      <c r="N121" s="771">
        <f>Macau!M20</f>
        <v>5.0544510048215863E-2</v>
      </c>
      <c r="O121" s="771">
        <f>Macau!N20</f>
        <v>0.10571617944467283</v>
      </c>
      <c r="P121" s="771">
        <f>Macau!O20</f>
        <v>0.10748458348990177</v>
      </c>
      <c r="Q121" s="771">
        <f>Macau!P20</f>
        <v>0.10713487488807048</v>
      </c>
      <c r="R121" s="771">
        <f>Macau!Q20</f>
        <v>0.1037926150405825</v>
      </c>
      <c r="S121" s="771">
        <f>Macau!R20</f>
        <v>0.11918608847839679</v>
      </c>
      <c r="T121" s="771">
        <f>Macau!S20</f>
        <v>0.10152594196518865</v>
      </c>
      <c r="U121" s="771">
        <f>Macau!T20</f>
        <v>5.4069742071961822E-2</v>
      </c>
      <c r="V121" s="771">
        <f>Macau!U20</f>
        <v>8.9592985968910813E-2</v>
      </c>
      <c r="W121" s="771">
        <f>Macau!V20</f>
        <v>0.13603997231354906</v>
      </c>
      <c r="X121" s="771">
        <f>Macau!W20</f>
        <v>0.22733092115359643</v>
      </c>
      <c r="Y121" s="786"/>
      <c r="Z121" s="771">
        <f t="shared" ref="Z121:AN121" si="247">Z135/Z83</f>
        <v>4.1509341440690434E-2</v>
      </c>
      <c r="AA121" s="771">
        <f t="shared" si="247"/>
        <v>5.5475003279455266E-2</v>
      </c>
      <c r="AB121" s="771">
        <f t="shared" si="247"/>
        <v>7.2424771904815582E-2</v>
      </c>
      <c r="AC121" s="771">
        <f t="shared" si="247"/>
        <v>0.13613242501978193</v>
      </c>
      <c r="AD121" s="771">
        <f t="shared" si="247"/>
        <v>0.10795125428600333</v>
      </c>
      <c r="AE121" s="771">
        <f t="shared" si="247"/>
        <v>0.10697123998335259</v>
      </c>
      <c r="AF121" s="771">
        <f t="shared" si="247"/>
        <v>0.14691353567395762</v>
      </c>
      <c r="AG121" s="771">
        <f t="shared" si="247"/>
        <v>5.4030039772698955E-2</v>
      </c>
      <c r="AH121" s="771">
        <f t="shared" si="247"/>
        <v>9.0400763825984776E-2</v>
      </c>
      <c r="AI121" s="771">
        <f t="shared" si="247"/>
        <v>0.12123410607217819</v>
      </c>
      <c r="AJ121" s="771">
        <f t="shared" si="247"/>
        <v>0.12410649427241895</v>
      </c>
      <c r="AK121" s="771">
        <f t="shared" si="247"/>
        <v>0.11543877344615948</v>
      </c>
      <c r="AL121" s="771">
        <f t="shared" si="247"/>
        <v>0.16398019276706469</v>
      </c>
      <c r="AM121" s="771">
        <f t="shared" si="247"/>
        <v>6.8185318574923964E-2</v>
      </c>
      <c r="AN121" s="771">
        <f t="shared" si="247"/>
        <v>7.1752269629332441E-2</v>
      </c>
      <c r="AO121" s="771">
        <f t="shared" ref="AO121" si="248">AO135/AO83</f>
        <v>3.2336636297105606E-2</v>
      </c>
      <c r="AP121" s="771">
        <f t="shared" ref="AP121:AR121" si="249">AP135/AP83</f>
        <v>0.11395902786483851</v>
      </c>
      <c r="AQ121" s="771">
        <f t="shared" ref="AQ121:AT121" si="250">AQ135/AQ83</f>
        <v>6.0480802582127194E-2</v>
      </c>
      <c r="AR121" s="771">
        <f t="shared" si="249"/>
        <v>0.13003924449049983</v>
      </c>
      <c r="AS121" s="771">
        <f t="shared" si="250"/>
        <v>0.14570143679142833</v>
      </c>
      <c r="AT121" s="771">
        <f t="shared" si="250"/>
        <v>0.22251911879736841</v>
      </c>
      <c r="AU121" s="771">
        <f t="shared" ref="AU121" si="251">AU135/AU83</f>
        <v>0.23344351003818553</v>
      </c>
    </row>
    <row r="122" spans="1:57" x14ac:dyDescent="0.35">
      <c r="A122" s="1618" t="s">
        <v>1868</v>
      </c>
      <c r="B122" s="753" t="s">
        <v>1868</v>
      </c>
      <c r="C122" s="754"/>
      <c r="D122" s="755"/>
      <c r="E122" s="755"/>
      <c r="F122" s="755" t="str">
        <f t="shared" ref="F122:U122" si="252">TEXT(100*(F121-E121),"0.0")&amp;"ppt"</f>
        <v>10.2ppt</v>
      </c>
      <c r="G122" s="755" t="str">
        <f t="shared" si="252"/>
        <v>-3.7ppt</v>
      </c>
      <c r="H122" s="755" t="str">
        <f t="shared" si="252"/>
        <v>8.7ppt</v>
      </c>
      <c r="I122" s="755" t="str">
        <f t="shared" si="252"/>
        <v>8.8ppt</v>
      </c>
      <c r="J122" s="755" t="str">
        <f t="shared" si="252"/>
        <v>-1.8ppt</v>
      </c>
      <c r="K122" s="755" t="str">
        <f t="shared" si="252"/>
        <v>-22.0ppt</v>
      </c>
      <c r="L122" s="755" t="str">
        <f t="shared" si="252"/>
        <v>7.5ppt</v>
      </c>
      <c r="M122" s="755" t="str">
        <f t="shared" si="252"/>
        <v>-10.5ppt</v>
      </c>
      <c r="N122" s="755" t="str">
        <f t="shared" si="252"/>
        <v>0.8ppt</v>
      </c>
      <c r="O122" s="755" t="str">
        <f t="shared" si="252"/>
        <v>5.5ppt</v>
      </c>
      <c r="P122" s="755" t="str">
        <f t="shared" si="252"/>
        <v>0.2ppt</v>
      </c>
      <c r="Q122" s="755" t="str">
        <f t="shared" si="252"/>
        <v>0.0ppt</v>
      </c>
      <c r="R122" s="755" t="str">
        <f t="shared" si="252"/>
        <v>-0.3ppt</v>
      </c>
      <c r="S122" s="755" t="str">
        <f t="shared" si="252"/>
        <v>1.5ppt</v>
      </c>
      <c r="T122" s="755" t="str">
        <f t="shared" si="252"/>
        <v>-1.8ppt</v>
      </c>
      <c r="U122" s="755" t="str">
        <f t="shared" si="252"/>
        <v>-4.7ppt</v>
      </c>
      <c r="V122" s="755">
        <f>V121-U121</f>
        <v>3.552324389694899E-2</v>
      </c>
      <c r="W122" s="755">
        <f>W121-V121</f>
        <v>4.6446986344638244E-2</v>
      </c>
      <c r="X122" s="755">
        <f>X121-W121</f>
        <v>9.1290948840047376E-2</v>
      </c>
      <c r="Y122" s="756"/>
      <c r="Z122" s="755"/>
      <c r="AA122" s="755"/>
      <c r="AB122" s="755">
        <f>AB121-Z121</f>
        <v>3.0915430464125149E-2</v>
      </c>
      <c r="AC122" s="755">
        <f>AC121-AA121</f>
        <v>8.0657421740326668E-2</v>
      </c>
      <c r="AD122" s="755">
        <f>AD121-AB121</f>
        <v>3.5526482381187746E-2</v>
      </c>
      <c r="AE122" s="755">
        <f>AE121-AC121</f>
        <v>-2.9161185036429338E-2</v>
      </c>
      <c r="AF122" s="755" t="str">
        <f t="shared" ref="AF122:AU122" si="253">TEXT(100*(AF121-AD121),"0.0")&amp;"ppt"</f>
        <v>3.9ppt</v>
      </c>
      <c r="AG122" s="755" t="str">
        <f t="shared" si="253"/>
        <v>-5.3ppt</v>
      </c>
      <c r="AH122" s="755" t="str">
        <f t="shared" si="253"/>
        <v>-5.7ppt</v>
      </c>
      <c r="AI122" s="755" t="str">
        <f t="shared" si="253"/>
        <v>6.7ppt</v>
      </c>
      <c r="AJ122" s="755" t="str">
        <f t="shared" si="253"/>
        <v>3.4ppt</v>
      </c>
      <c r="AK122" s="755" t="str">
        <f t="shared" si="253"/>
        <v>-0.6ppt</v>
      </c>
      <c r="AL122" s="755" t="str">
        <f t="shared" si="253"/>
        <v>4.0ppt</v>
      </c>
      <c r="AM122" s="755" t="str">
        <f t="shared" si="253"/>
        <v>-4.7ppt</v>
      </c>
      <c r="AN122" s="755" t="str">
        <f t="shared" si="253"/>
        <v>-9.2ppt</v>
      </c>
      <c r="AO122" s="755" t="str">
        <f t="shared" si="253"/>
        <v>-3.6ppt</v>
      </c>
      <c r="AP122" s="755" t="str">
        <f t="shared" si="253"/>
        <v>4.2ppt</v>
      </c>
      <c r="AQ122" s="755" t="str">
        <f t="shared" si="253"/>
        <v>2.8ppt</v>
      </c>
      <c r="AR122" s="755" t="str">
        <f t="shared" si="253"/>
        <v>1.6ppt</v>
      </c>
      <c r="AS122" s="755" t="str">
        <f t="shared" si="253"/>
        <v>8.5ppt</v>
      </c>
      <c r="AT122" s="755" t="str">
        <f t="shared" si="253"/>
        <v>9.2ppt</v>
      </c>
      <c r="AU122" s="755" t="str">
        <f t="shared" si="253"/>
        <v>8.8ppt</v>
      </c>
    </row>
    <row r="123" spans="1:57" x14ac:dyDescent="0.35">
      <c r="A123" s="1617" t="s">
        <v>143</v>
      </c>
      <c r="B123" s="751" t="s">
        <v>1836</v>
      </c>
      <c r="C123" s="752"/>
      <c r="D123" s="756"/>
      <c r="E123" s="786">
        <f>'MainLand China'!D44</f>
        <v>8.1515733078392077E-2</v>
      </c>
      <c r="F123" s="786">
        <f>'MainLand China'!E44</f>
        <v>0.39000585849070146</v>
      </c>
      <c r="G123" s="786">
        <f>'MainLand China'!F44</f>
        <v>0.32124910777337301</v>
      </c>
      <c r="H123" s="786">
        <f>'MainLand China'!G44</f>
        <v>0.17089275649936123</v>
      </c>
      <c r="I123" s="786">
        <f>'MainLand China'!H44</f>
        <v>0.19064939414292917</v>
      </c>
      <c r="J123" s="771">
        <f>'MainLand China'!I44</f>
        <v>0.16030902510391729</v>
      </c>
      <c r="K123" s="771">
        <f>'MainLand China'!J44</f>
        <v>0.20096173066115805</v>
      </c>
      <c r="L123" s="771">
        <f>'MainLand China'!K44</f>
        <v>0.2000531731252336</v>
      </c>
      <c r="M123" s="771">
        <f>'MainLand China'!L44</f>
        <v>0.23042559571626026</v>
      </c>
      <c r="N123" s="771">
        <f>'MainLand China'!M44</f>
        <v>0.24849675552353834</v>
      </c>
      <c r="O123" s="771">
        <f>'MainLand China'!N44</f>
        <v>0.22053544268285713</v>
      </c>
      <c r="P123" s="771">
        <f>'MainLand China'!O44</f>
        <v>0.215787393189006</v>
      </c>
      <c r="Q123" s="771">
        <f>'MainLand China'!P44</f>
        <v>0.20848776411186062</v>
      </c>
      <c r="R123" s="771">
        <f>'MainLand China'!Q44</f>
        <v>0.21393828245858629</v>
      </c>
      <c r="S123" s="771">
        <f>'MainLand China'!R44</f>
        <v>0.21908574911229406</v>
      </c>
      <c r="T123" s="771">
        <f>'MainLand China'!S44</f>
        <v>0.23273902849596312</v>
      </c>
      <c r="U123" s="771">
        <f>'MainLand China'!T44</f>
        <v>0.22649785326814931</v>
      </c>
      <c r="V123" s="771">
        <f>'MainLand China'!U44</f>
        <v>0.19422413608538283</v>
      </c>
      <c r="W123" s="771">
        <f>'MainLand China'!V44</f>
        <v>0.23448764448405804</v>
      </c>
      <c r="X123" s="771">
        <f>'MainLand China'!W44</f>
        <v>0.248721487315434</v>
      </c>
      <c r="Y123" s="786"/>
      <c r="Z123" s="771">
        <f t="shared" ref="Z123:AN123" si="254">Z137/Z85</f>
        <v>0.26320246655570806</v>
      </c>
      <c r="AA123" s="771">
        <f t="shared" si="254"/>
        <v>0.23579610264797535</v>
      </c>
      <c r="AB123" s="771">
        <f t="shared" si="254"/>
        <v>0.22160244792722494</v>
      </c>
      <c r="AC123" s="771">
        <f t="shared" si="254"/>
        <v>0.21993309003892006</v>
      </c>
      <c r="AD123" s="771">
        <f t="shared" si="254"/>
        <v>0.22596862058386225</v>
      </c>
      <c r="AE123" s="771">
        <f t="shared" si="254"/>
        <v>0.20953369081945603</v>
      </c>
      <c r="AF123" s="771">
        <f t="shared" si="254"/>
        <v>0.20285450990820686</v>
      </c>
      <c r="AG123" s="771">
        <f t="shared" si="254"/>
        <v>0.21330134142070276</v>
      </c>
      <c r="AH123" s="771">
        <f t="shared" si="254"/>
        <v>0.23637873899616432</v>
      </c>
      <c r="AI123" s="771">
        <f t="shared" si="254"/>
        <v>0.19755805942661736</v>
      </c>
      <c r="AJ123" s="771">
        <f t="shared" si="254"/>
        <v>0.27612373684901964</v>
      </c>
      <c r="AK123" s="771">
        <f t="shared" si="254"/>
        <v>0.17541070016547708</v>
      </c>
      <c r="AL123" s="771">
        <f t="shared" si="254"/>
        <v>0.2217821188195544</v>
      </c>
      <c r="AM123" s="771">
        <f t="shared" si="254"/>
        <v>0.24429355730278368</v>
      </c>
      <c r="AN123" s="771">
        <f t="shared" si="254"/>
        <v>0.2437769187585799</v>
      </c>
      <c r="AO123" s="771">
        <f t="shared" ref="AO123" si="255">AO137/AO85</f>
        <v>0.21241337800691185</v>
      </c>
      <c r="AP123" s="771">
        <f t="shared" ref="AP123:AR123" si="256">AP137/AP85</f>
        <v>0.20267221812250166</v>
      </c>
      <c r="AQ123" s="771">
        <f t="shared" ref="AQ123" si="257">AQ137/AQ85</f>
        <v>0.1862968994383262</v>
      </c>
      <c r="AR123" s="771">
        <f t="shared" si="256"/>
        <v>0.20316374743268284</v>
      </c>
      <c r="AS123" s="771">
        <f>AS137/AS85</f>
        <v>0.27796765657392086</v>
      </c>
      <c r="AT123" s="771">
        <f t="shared" ref="AT123" si="258">AT137/AT85</f>
        <v>0.22764646023665749</v>
      </c>
      <c r="AU123" s="771">
        <f>AU137/AU85</f>
        <v>0.27421906446756261</v>
      </c>
    </row>
    <row r="124" spans="1:57" x14ac:dyDescent="0.35">
      <c r="A124" s="1618" t="s">
        <v>1868</v>
      </c>
      <c r="B124" s="753" t="s">
        <v>1868</v>
      </c>
      <c r="C124" s="754"/>
      <c r="D124" s="755"/>
      <c r="E124" s="755"/>
      <c r="F124" s="755" t="str">
        <f t="shared" ref="F124:U124" si="259">TEXT(100*(F123-E123),"0.0")&amp;"ppt"</f>
        <v>30.8ppt</v>
      </c>
      <c r="G124" s="755" t="str">
        <f t="shared" si="259"/>
        <v>-6.9ppt</v>
      </c>
      <c r="H124" s="755" t="str">
        <f t="shared" si="259"/>
        <v>-15.0ppt</v>
      </c>
      <c r="I124" s="755" t="str">
        <f t="shared" si="259"/>
        <v>2.0ppt</v>
      </c>
      <c r="J124" s="755" t="str">
        <f t="shared" si="259"/>
        <v>-3.0ppt</v>
      </c>
      <c r="K124" s="755" t="str">
        <f t="shared" si="259"/>
        <v>4.1ppt</v>
      </c>
      <c r="L124" s="755" t="str">
        <f t="shared" si="259"/>
        <v>-0.1ppt</v>
      </c>
      <c r="M124" s="755" t="str">
        <f t="shared" si="259"/>
        <v>3.0ppt</v>
      </c>
      <c r="N124" s="755" t="str">
        <f t="shared" si="259"/>
        <v>1.8ppt</v>
      </c>
      <c r="O124" s="755" t="str">
        <f t="shared" si="259"/>
        <v>-2.8ppt</v>
      </c>
      <c r="P124" s="755" t="str">
        <f t="shared" si="259"/>
        <v>-0.5ppt</v>
      </c>
      <c r="Q124" s="755" t="str">
        <f t="shared" si="259"/>
        <v>-0.7ppt</v>
      </c>
      <c r="R124" s="755" t="str">
        <f t="shared" si="259"/>
        <v>0.5ppt</v>
      </c>
      <c r="S124" s="755" t="str">
        <f t="shared" si="259"/>
        <v>0.5ppt</v>
      </c>
      <c r="T124" s="755" t="str">
        <f t="shared" si="259"/>
        <v>1.4ppt</v>
      </c>
      <c r="U124" s="755" t="str">
        <f t="shared" si="259"/>
        <v>-0.6ppt</v>
      </c>
      <c r="V124" s="755">
        <f>V123-U123</f>
        <v>-3.2273717182766476E-2</v>
      </c>
      <c r="W124" s="755">
        <f>W123-V123</f>
        <v>4.0263508398675207E-2</v>
      </c>
      <c r="X124" s="755">
        <f>X123-W123</f>
        <v>1.4233842831375965E-2</v>
      </c>
      <c r="Y124" s="756"/>
      <c r="Z124" s="755"/>
      <c r="AA124" s="755"/>
      <c r="AB124" s="755">
        <f>AB123-Z123</f>
        <v>-4.1600018628483115E-2</v>
      </c>
      <c r="AC124" s="755">
        <f>AC123-AA123</f>
        <v>-1.5863012609055288E-2</v>
      </c>
      <c r="AD124" s="755">
        <f>AD123-AB123</f>
        <v>4.3661726566373016E-3</v>
      </c>
      <c r="AE124" s="755">
        <f>AE123-AC123</f>
        <v>-1.0399399219464034E-2</v>
      </c>
      <c r="AF124" s="755" t="str">
        <f t="shared" ref="AF124:AU124" si="260">TEXT(100*(AF123-AD123),"0.0")&amp;"ppt"</f>
        <v>-2.3ppt</v>
      </c>
      <c r="AG124" s="755" t="str">
        <f t="shared" si="260"/>
        <v>0.4ppt</v>
      </c>
      <c r="AH124" s="755" t="str">
        <f t="shared" si="260"/>
        <v>3.4ppt</v>
      </c>
      <c r="AI124" s="755" t="str">
        <f t="shared" si="260"/>
        <v>-1.6ppt</v>
      </c>
      <c r="AJ124" s="755" t="str">
        <f t="shared" si="260"/>
        <v>4.0ppt</v>
      </c>
      <c r="AK124" s="755" t="str">
        <f t="shared" si="260"/>
        <v>-2.2ppt</v>
      </c>
      <c r="AL124" s="755" t="str">
        <f t="shared" si="260"/>
        <v>-5.4ppt</v>
      </c>
      <c r="AM124" s="755" t="str">
        <f t="shared" si="260"/>
        <v>6.9ppt</v>
      </c>
      <c r="AN124" s="755" t="str">
        <f t="shared" si="260"/>
        <v>2.2ppt</v>
      </c>
      <c r="AO124" s="755" t="str">
        <f t="shared" si="260"/>
        <v>-3.2ppt</v>
      </c>
      <c r="AP124" s="755" t="str">
        <f t="shared" si="260"/>
        <v>-4.1ppt</v>
      </c>
      <c r="AQ124" s="755" t="str">
        <f t="shared" si="260"/>
        <v>-2.6ppt</v>
      </c>
      <c r="AR124" s="755" t="str">
        <f t="shared" si="260"/>
        <v>0.0ppt</v>
      </c>
      <c r="AS124" s="755" t="str">
        <f t="shared" si="260"/>
        <v>9.2ppt</v>
      </c>
      <c r="AT124" s="755" t="str">
        <f t="shared" si="260"/>
        <v>2.4ppt</v>
      </c>
      <c r="AU124" s="755" t="str">
        <f t="shared" si="260"/>
        <v>-0.4ppt</v>
      </c>
    </row>
    <row r="125" spans="1:57" hidden="1" outlineLevel="1" x14ac:dyDescent="0.35">
      <c r="A125" s="1617" t="s">
        <v>2930</v>
      </c>
      <c r="B125" s="751" t="s">
        <v>718</v>
      </c>
      <c r="C125" s="752"/>
      <c r="D125" s="756"/>
      <c r="E125" s="786" t="e">
        <f>Overseas!#REF!</f>
        <v>#REF!</v>
      </c>
      <c r="F125" s="786" t="e">
        <f>Overseas!#REF!</f>
        <v>#REF!</v>
      </c>
      <c r="G125" s="786" t="e">
        <f>Overseas!#REF!</f>
        <v>#REF!</v>
      </c>
      <c r="H125" s="786" t="e">
        <f>Overseas!#REF!</f>
        <v>#REF!</v>
      </c>
      <c r="I125" s="786" t="e">
        <f>Overseas!#REF!</f>
        <v>#REF!</v>
      </c>
      <c r="J125" s="771" t="e">
        <f>Overseas!#REF!</f>
        <v>#REF!</v>
      </c>
      <c r="K125" s="771" t="e">
        <f>Overseas!#REF!</f>
        <v>#REF!</v>
      </c>
      <c r="L125" s="771" t="e">
        <f>Overseas!#REF!</f>
        <v>#REF!</v>
      </c>
      <c r="M125" s="771" t="e">
        <f>Overseas!#REF!</f>
        <v>#REF!</v>
      </c>
      <c r="N125" s="771" t="e">
        <f>Overseas!#REF!</f>
        <v>#REF!</v>
      </c>
      <c r="O125" s="771" t="e">
        <f>Overseas!#REF!</f>
        <v>#REF!</v>
      </c>
      <c r="P125" s="771" t="e">
        <f>Overseas!#REF!</f>
        <v>#REF!</v>
      </c>
      <c r="Q125" s="771" t="e">
        <f>Overseas!#REF!</f>
        <v>#REF!</v>
      </c>
      <c r="R125" s="771" t="e">
        <f>Overseas!#REF!</f>
        <v>#REF!</v>
      </c>
      <c r="S125" s="771" t="e">
        <f>Overseas!#REF!</f>
        <v>#REF!</v>
      </c>
      <c r="T125" s="771" t="e">
        <f>Overseas!#REF!</f>
        <v>#REF!</v>
      </c>
      <c r="U125" s="771" t="e">
        <f>Overseas!#REF!</f>
        <v>#REF!</v>
      </c>
      <c r="V125" s="771" t="e">
        <f>Overseas!#REF!</f>
        <v>#REF!</v>
      </c>
      <c r="W125" s="771" t="e">
        <f>Overseas!#REF!</f>
        <v>#REF!</v>
      </c>
      <c r="X125" s="771" t="e">
        <f>Overseas!#REF!</f>
        <v>#REF!</v>
      </c>
      <c r="Y125" s="786"/>
      <c r="Z125" s="771"/>
      <c r="AA125" s="771"/>
      <c r="AB125" s="771"/>
      <c r="AC125" s="771"/>
      <c r="AD125" s="771"/>
      <c r="AE125" s="771"/>
      <c r="AF125" s="771"/>
      <c r="AG125" s="771"/>
      <c r="AH125" s="771"/>
      <c r="AI125" s="771"/>
      <c r="AJ125" s="771"/>
      <c r="AK125" s="771"/>
      <c r="AL125" s="771"/>
      <c r="AM125" s="771"/>
      <c r="AN125" s="771"/>
      <c r="AO125" s="771"/>
      <c r="AP125" s="771"/>
      <c r="AQ125" s="771"/>
      <c r="AR125" s="771"/>
      <c r="AS125" s="771"/>
      <c r="AT125" s="771"/>
      <c r="AU125" s="771"/>
    </row>
    <row r="126" spans="1:57" hidden="1" outlineLevel="1" x14ac:dyDescent="0.35">
      <c r="A126" s="1618" t="s">
        <v>1868</v>
      </c>
      <c r="B126" s="753" t="s">
        <v>1868</v>
      </c>
      <c r="C126" s="754"/>
      <c r="D126" s="755"/>
      <c r="E126" s="755"/>
      <c r="F126" s="755" t="e">
        <f t="shared" ref="F126:X126" si="261">F125-E125</f>
        <v>#REF!</v>
      </c>
      <c r="G126" s="755" t="e">
        <f t="shared" si="261"/>
        <v>#REF!</v>
      </c>
      <c r="H126" s="755" t="e">
        <f t="shared" si="261"/>
        <v>#REF!</v>
      </c>
      <c r="I126" s="755" t="e">
        <f t="shared" si="261"/>
        <v>#REF!</v>
      </c>
      <c r="J126" s="755" t="e">
        <f t="shared" si="261"/>
        <v>#REF!</v>
      </c>
      <c r="K126" s="755" t="e">
        <f t="shared" si="261"/>
        <v>#REF!</v>
      </c>
      <c r="L126" s="755" t="e">
        <f t="shared" si="261"/>
        <v>#REF!</v>
      </c>
      <c r="M126" s="755" t="e">
        <f t="shared" si="261"/>
        <v>#REF!</v>
      </c>
      <c r="N126" s="755" t="e">
        <f t="shared" si="261"/>
        <v>#REF!</v>
      </c>
      <c r="O126" s="755" t="e">
        <f t="shared" si="261"/>
        <v>#REF!</v>
      </c>
      <c r="P126" s="755" t="e">
        <f t="shared" si="261"/>
        <v>#REF!</v>
      </c>
      <c r="Q126" s="755" t="e">
        <f t="shared" si="261"/>
        <v>#REF!</v>
      </c>
      <c r="R126" s="755" t="e">
        <f t="shared" si="261"/>
        <v>#REF!</v>
      </c>
      <c r="S126" s="755" t="e">
        <f t="shared" si="261"/>
        <v>#REF!</v>
      </c>
      <c r="T126" s="755" t="e">
        <f t="shared" si="261"/>
        <v>#REF!</v>
      </c>
      <c r="U126" s="755" t="e">
        <f t="shared" si="261"/>
        <v>#REF!</v>
      </c>
      <c r="V126" s="755" t="e">
        <f t="shared" si="261"/>
        <v>#REF!</v>
      </c>
      <c r="W126" s="755" t="e">
        <f t="shared" si="261"/>
        <v>#REF!</v>
      </c>
      <c r="X126" s="755" t="e">
        <f t="shared" si="261"/>
        <v>#REF!</v>
      </c>
      <c r="Y126" s="756"/>
      <c r="Z126" s="755"/>
      <c r="AA126" s="755"/>
      <c r="AB126" s="755"/>
      <c r="AC126" s="755"/>
      <c r="AD126" s="755"/>
      <c r="AE126" s="755"/>
      <c r="AF126" s="755"/>
      <c r="AG126" s="755"/>
      <c r="AH126" s="755"/>
      <c r="AI126" s="755"/>
      <c r="AJ126" s="755"/>
      <c r="AK126" s="755"/>
      <c r="AL126" s="755"/>
      <c r="AM126" s="755"/>
      <c r="AN126" s="755"/>
      <c r="AO126" s="755"/>
      <c r="AP126" s="755"/>
      <c r="AQ126" s="755"/>
      <c r="AR126" s="755"/>
      <c r="AS126" s="755"/>
      <c r="AT126" s="755"/>
      <c r="AU126" s="755"/>
    </row>
    <row r="127" spans="1:57" collapsed="1" x14ac:dyDescent="0.35">
      <c r="A127" s="1617" t="s">
        <v>2675</v>
      </c>
      <c r="B127" s="751" t="s">
        <v>1837</v>
      </c>
      <c r="C127" s="752"/>
      <c r="D127" s="756"/>
      <c r="E127" s="786"/>
      <c r="F127" s="786"/>
      <c r="G127" s="786"/>
      <c r="H127" s="786"/>
      <c r="I127" s="786"/>
      <c r="J127" s="771"/>
      <c r="K127" s="771">
        <f t="shared" ref="K127:X127" si="262">K141/K89</f>
        <v>0.10676267051441481</v>
      </c>
      <c r="L127" s="771">
        <f t="shared" si="262"/>
        <v>7.3312470727217947E-3</v>
      </c>
      <c r="M127" s="771">
        <f t="shared" si="262"/>
        <v>6.3956475241277608E-2</v>
      </c>
      <c r="N127" s="771">
        <f t="shared" si="262"/>
        <v>0.1031545971149643</v>
      </c>
      <c r="O127" s="771">
        <f t="shared" si="262"/>
        <v>9.6517812379879664E-2</v>
      </c>
      <c r="P127" s="771">
        <f t="shared" si="262"/>
        <v>0.19563560056992035</v>
      </c>
      <c r="Q127" s="771">
        <f t="shared" si="262"/>
        <v>0.1138350201513387</v>
      </c>
      <c r="R127" s="771">
        <f t="shared" si="262"/>
        <v>0.16832223450820077</v>
      </c>
      <c r="S127" s="771">
        <f t="shared" si="262"/>
        <v>0.1526654551600404</v>
      </c>
      <c r="T127" s="771">
        <f t="shared" si="262"/>
        <v>0.14735495468133911</v>
      </c>
      <c r="U127" s="771">
        <f t="shared" si="262"/>
        <v>0.13115627725629805</v>
      </c>
      <c r="V127" s="771">
        <f t="shared" si="262"/>
        <v>0.16379580242598646</v>
      </c>
      <c r="W127" s="771">
        <f t="shared" si="262"/>
        <v>0.20086008093413907</v>
      </c>
      <c r="X127" s="771">
        <f t="shared" si="262"/>
        <v>0.11218751601703808</v>
      </c>
      <c r="Y127" s="786"/>
      <c r="Z127" s="771">
        <f t="shared" ref="Z127:AN127" si="263">Z141/Z89</f>
        <v>0.15424725648628795</v>
      </c>
      <c r="AA127" s="771">
        <f t="shared" si="263"/>
        <v>6.0285814993228749E-2</v>
      </c>
      <c r="AB127" s="771">
        <f t="shared" si="263"/>
        <v>0.15067418352266385</v>
      </c>
      <c r="AC127" s="771">
        <f t="shared" si="263"/>
        <v>3.2846483148003355E-2</v>
      </c>
      <c r="AD127" s="771">
        <f t="shared" si="263"/>
        <v>0.25446167118474072</v>
      </c>
      <c r="AE127" s="771">
        <f t="shared" si="263"/>
        <v>0.15905667947920241</v>
      </c>
      <c r="AF127" s="771">
        <f t="shared" si="263"/>
        <v>0.10921238486135931</v>
      </c>
      <c r="AG127" s="771">
        <f t="shared" si="263"/>
        <v>0.11889731377919294</v>
      </c>
      <c r="AH127" s="771">
        <f t="shared" si="263"/>
        <v>0.16325085010905199</v>
      </c>
      <c r="AI127" s="771">
        <f t="shared" si="263"/>
        <v>0.17221304539526461</v>
      </c>
      <c r="AJ127" s="771">
        <f t="shared" si="263"/>
        <v>0.16725599725740886</v>
      </c>
      <c r="AK127" s="771">
        <f t="shared" si="263"/>
        <v>0.13538462168381346</v>
      </c>
      <c r="AL127" s="771">
        <f t="shared" si="263"/>
        <v>0.17584210352070453</v>
      </c>
      <c r="AM127" s="771">
        <f t="shared" si="263"/>
        <v>0.12105652791078331</v>
      </c>
      <c r="AN127" s="771">
        <f t="shared" si="263"/>
        <v>0.17003454095232085</v>
      </c>
      <c r="AO127" s="771">
        <f t="shared" ref="AO127" si="264">AO141/AO89</f>
        <v>8.0184598231271373E-2</v>
      </c>
      <c r="AP127" s="771">
        <f t="shared" ref="AP127:AR127" si="265">AP141/AP89</f>
        <v>0.21625799474879298</v>
      </c>
      <c r="AQ127" s="771">
        <f t="shared" ref="AQ127:AT127" si="266">AQ141/AQ89</f>
        <v>0.10559176011527226</v>
      </c>
      <c r="AR127" s="771">
        <f t="shared" si="265"/>
        <v>0.24996443885832473</v>
      </c>
      <c r="AS127" s="771">
        <f t="shared" si="266"/>
        <v>0.11653898030296107</v>
      </c>
      <c r="AT127" s="771">
        <f t="shared" si="266"/>
        <v>0.25220110716694621</v>
      </c>
      <c r="AU127" s="771">
        <f t="shared" ref="AU127" si="267">AU141/AU89</f>
        <v>-8.4629257437597388E-2</v>
      </c>
    </row>
    <row r="128" spans="1:57" x14ac:dyDescent="0.35">
      <c r="A128" s="1618" t="s">
        <v>1868</v>
      </c>
      <c r="B128" s="753" t="s">
        <v>1868</v>
      </c>
      <c r="C128" s="754"/>
      <c r="D128" s="755"/>
      <c r="E128" s="755"/>
      <c r="F128" s="755"/>
      <c r="G128" s="755"/>
      <c r="H128" s="755"/>
      <c r="I128" s="755"/>
      <c r="J128" s="755"/>
      <c r="K128" s="755"/>
      <c r="L128" s="755" t="str">
        <f t="shared" ref="L128:U128" si="268">TEXT(100*(L127-K127),"0.0")&amp;"ppt"</f>
        <v>-9.9ppt</v>
      </c>
      <c r="M128" s="755" t="str">
        <f t="shared" si="268"/>
        <v>5.7ppt</v>
      </c>
      <c r="N128" s="755" t="str">
        <f t="shared" si="268"/>
        <v>3.9ppt</v>
      </c>
      <c r="O128" s="755" t="str">
        <f t="shared" si="268"/>
        <v>-0.7ppt</v>
      </c>
      <c r="P128" s="755" t="str">
        <f t="shared" si="268"/>
        <v>9.9ppt</v>
      </c>
      <c r="Q128" s="755" t="str">
        <f t="shared" si="268"/>
        <v>-8.2ppt</v>
      </c>
      <c r="R128" s="755" t="str">
        <f t="shared" si="268"/>
        <v>5.4ppt</v>
      </c>
      <c r="S128" s="755" t="str">
        <f t="shared" si="268"/>
        <v>-1.6ppt</v>
      </c>
      <c r="T128" s="755" t="str">
        <f t="shared" si="268"/>
        <v>-0.5ppt</v>
      </c>
      <c r="U128" s="755" t="str">
        <f t="shared" si="268"/>
        <v>-1.6ppt</v>
      </c>
      <c r="V128" s="755">
        <f>V127-U127</f>
        <v>3.2639525169688405E-2</v>
      </c>
      <c r="W128" s="755">
        <f>W127-V127</f>
        <v>3.7064278508152609E-2</v>
      </c>
      <c r="X128" s="755">
        <f>X127-W127</f>
        <v>-8.8672564917100988E-2</v>
      </c>
      <c r="Y128" s="756"/>
      <c r="Z128" s="755"/>
      <c r="AA128" s="755"/>
      <c r="AB128" s="755">
        <f>AB127-Z127</f>
        <v>-3.5730729636241076E-3</v>
      </c>
      <c r="AC128" s="755">
        <f>AC127-AA127</f>
        <v>-2.7439331845225394E-2</v>
      </c>
      <c r="AD128" s="755">
        <f>AD127-AB127</f>
        <v>0.10378748766207688</v>
      </c>
      <c r="AE128" s="755">
        <f>AE127-AC127</f>
        <v>0.12621019633119906</v>
      </c>
      <c r="AF128" s="755" t="str">
        <f t="shared" ref="AF128:AU128" si="269">TEXT(100*(AF127-AD127),"0.0")&amp;"ppt"</f>
        <v>-14.5ppt</v>
      </c>
      <c r="AG128" s="755" t="str">
        <f t="shared" si="269"/>
        <v>-4.0ppt</v>
      </c>
      <c r="AH128" s="755" t="str">
        <f t="shared" si="269"/>
        <v>5.4ppt</v>
      </c>
      <c r="AI128" s="755" t="str">
        <f t="shared" si="269"/>
        <v>5.3ppt</v>
      </c>
      <c r="AJ128" s="755" t="str">
        <f t="shared" si="269"/>
        <v>0.4ppt</v>
      </c>
      <c r="AK128" s="755" t="str">
        <f t="shared" si="269"/>
        <v>-3.7ppt</v>
      </c>
      <c r="AL128" s="755" t="str">
        <f t="shared" si="269"/>
        <v>0.9ppt</v>
      </c>
      <c r="AM128" s="755" t="str">
        <f t="shared" si="269"/>
        <v>-1.4ppt</v>
      </c>
      <c r="AN128" s="755" t="str">
        <f t="shared" si="269"/>
        <v>-0.6ppt</v>
      </c>
      <c r="AO128" s="755" t="str">
        <f t="shared" si="269"/>
        <v>-4.1ppt</v>
      </c>
      <c r="AP128" s="755" t="str">
        <f t="shared" si="269"/>
        <v>4.6ppt</v>
      </c>
      <c r="AQ128" s="755" t="str">
        <f t="shared" si="269"/>
        <v>2.5ppt</v>
      </c>
      <c r="AR128" s="755" t="str">
        <f t="shared" si="269"/>
        <v>3.4ppt</v>
      </c>
      <c r="AS128" s="755" t="str">
        <f t="shared" si="269"/>
        <v>1.1ppt</v>
      </c>
      <c r="AT128" s="755" t="str">
        <f t="shared" si="269"/>
        <v>0.2ppt</v>
      </c>
      <c r="AU128" s="755" t="str">
        <f t="shared" si="269"/>
        <v>-20.1ppt</v>
      </c>
    </row>
    <row r="129" spans="1:59" x14ac:dyDescent="0.35">
      <c r="A129" s="1617" t="s">
        <v>96</v>
      </c>
      <c r="B129" s="751" t="s">
        <v>512</v>
      </c>
      <c r="C129" s="761"/>
      <c r="D129" s="761"/>
      <c r="E129" s="786">
        <f>PL!D42</f>
        <v>4.4590360245039526E-2</v>
      </c>
      <c r="F129" s="786">
        <f>PL!E42</f>
        <v>7.5343412152311079E-2</v>
      </c>
      <c r="G129" s="786">
        <f>PL!F42</f>
        <v>8.251153097086987E-2</v>
      </c>
      <c r="H129" s="786">
        <f>PL!G42</f>
        <v>8.7542071511562611E-2</v>
      </c>
      <c r="I129" s="786">
        <f>PL!H42</f>
        <v>0.10981124640330348</v>
      </c>
      <c r="J129" s="771">
        <f>PL!I42</f>
        <v>0.10978386087180342</v>
      </c>
      <c r="K129" s="771">
        <f>PL!J42</f>
        <v>0.12405911095329855</v>
      </c>
      <c r="L129" s="771">
        <f>PL!K42</f>
        <v>0.13728641680123083</v>
      </c>
      <c r="M129" s="771">
        <f>PL!L42</f>
        <v>0.13772214088007756</v>
      </c>
      <c r="N129" s="771">
        <f>PL!M42</f>
        <v>0.13454901542229122</v>
      </c>
      <c r="O129" s="771">
        <f>PL!N42</f>
        <v>0.12947848215489144</v>
      </c>
      <c r="P129" s="771">
        <f>PL!O42</f>
        <v>0.15183742297795419</v>
      </c>
      <c r="Q129" s="771">
        <f>PL!P42</f>
        <v>0.15633648786013182</v>
      </c>
      <c r="R129" s="771">
        <f>PL!Q42</f>
        <v>0.14976084357048211</v>
      </c>
      <c r="S129" s="771">
        <f>PL!R42</f>
        <v>0.14864641298444206</v>
      </c>
      <c r="T129" s="771">
        <f>PL!S42</f>
        <v>0.15499680285559311</v>
      </c>
      <c r="U129" s="771">
        <f>PL!T42</f>
        <v>0.1374699344983315</v>
      </c>
      <c r="V129" s="771">
        <f>PL!U42</f>
        <v>0.14365895978716589</v>
      </c>
      <c r="W129" s="771">
        <f>PL!V42</f>
        <v>0.15504327648507887</v>
      </c>
      <c r="X129" s="771">
        <f>PL!W42</f>
        <v>0.15910342115611478</v>
      </c>
      <c r="Y129" s="786"/>
      <c r="Z129" s="771">
        <f t="shared" ref="Z129:AN129" si="270">Z143/Z91</f>
        <v>0.14960213305152145</v>
      </c>
      <c r="AA129" s="771">
        <f t="shared" si="270"/>
        <v>0.12234153425943818</v>
      </c>
      <c r="AB129" s="771">
        <f t="shared" si="270"/>
        <v>0.12244231947768999</v>
      </c>
      <c r="AC129" s="771">
        <f t="shared" si="270"/>
        <v>0.13432442374048675</v>
      </c>
      <c r="AD129" s="771">
        <f t="shared" si="270"/>
        <v>0.14166091580834861</v>
      </c>
      <c r="AE129" s="771">
        <f t="shared" si="270"/>
        <v>0.16043419083234559</v>
      </c>
      <c r="AF129" s="771">
        <f t="shared" si="270"/>
        <v>0.15143723183829122</v>
      </c>
      <c r="AG129" s="771">
        <f t="shared" si="270"/>
        <v>0.16099266318617594</v>
      </c>
      <c r="AH129" s="771">
        <f t="shared" si="270"/>
        <v>0.15801626003390179</v>
      </c>
      <c r="AI129" s="771">
        <f t="shared" si="270"/>
        <v>0.14309827033158939</v>
      </c>
      <c r="AJ129" s="771">
        <f t="shared" si="270"/>
        <v>0.18098670524758123</v>
      </c>
      <c r="AK129" s="771">
        <f t="shared" si="270"/>
        <v>0.12236721108063908</v>
      </c>
      <c r="AL129" s="771">
        <f t="shared" si="270"/>
        <v>0.16532325159822434</v>
      </c>
      <c r="AM129" s="771">
        <f t="shared" si="270"/>
        <v>0.145822505132439</v>
      </c>
      <c r="AN129" s="771">
        <f t="shared" si="270"/>
        <v>0.13412373210990058</v>
      </c>
      <c r="AO129" s="771">
        <f t="shared" ref="AO129" si="271">AO143/AO91</f>
        <v>0.14120837776939818</v>
      </c>
      <c r="AP129" s="771">
        <f t="shared" ref="AP129:AQ129" si="272">AP143/AP91</f>
        <v>0.15651654074075472</v>
      </c>
      <c r="AQ129" s="771">
        <f t="shared" si="272"/>
        <v>0.13157177220854013</v>
      </c>
      <c r="AR129" s="771">
        <f>AR143/AR91</f>
        <v>0.15471182474225054</v>
      </c>
      <c r="AS129" s="771">
        <f t="shared" ref="AS129:AU129" si="273">AS143/AS91</f>
        <v>0.15542694193450388</v>
      </c>
      <c r="AT129" s="771">
        <f>AT143/AT91</f>
        <v>0.15056379011013107</v>
      </c>
      <c r="AU129" s="771">
        <f t="shared" si="273"/>
        <v>0.17014599676567185</v>
      </c>
    </row>
    <row r="130" spans="1:59" x14ac:dyDescent="0.35">
      <c r="A130" s="1618" t="s">
        <v>1868</v>
      </c>
      <c r="B130" s="753" t="s">
        <v>1868</v>
      </c>
      <c r="C130" s="763"/>
      <c r="D130" s="763"/>
      <c r="E130" s="763"/>
      <c r="F130" s="755" t="str">
        <f t="shared" ref="F130:U130" si="274">TEXT(100*(F129-E129),"0.0")&amp;"ppt"</f>
        <v>3.1ppt</v>
      </c>
      <c r="G130" s="755" t="str">
        <f t="shared" si="274"/>
        <v>0.7ppt</v>
      </c>
      <c r="H130" s="755" t="str">
        <f t="shared" si="274"/>
        <v>0.5ppt</v>
      </c>
      <c r="I130" s="755" t="str">
        <f t="shared" si="274"/>
        <v>2.2ppt</v>
      </c>
      <c r="J130" s="755" t="str">
        <f t="shared" si="274"/>
        <v>0.0ppt</v>
      </c>
      <c r="K130" s="755" t="str">
        <f t="shared" si="274"/>
        <v>1.4ppt</v>
      </c>
      <c r="L130" s="755" t="str">
        <f t="shared" si="274"/>
        <v>1.3ppt</v>
      </c>
      <c r="M130" s="755" t="str">
        <f t="shared" si="274"/>
        <v>0.0ppt</v>
      </c>
      <c r="N130" s="755" t="str">
        <f t="shared" si="274"/>
        <v>-0.3ppt</v>
      </c>
      <c r="O130" s="755" t="str">
        <f t="shared" si="274"/>
        <v>-0.5ppt</v>
      </c>
      <c r="P130" s="755" t="str">
        <f t="shared" si="274"/>
        <v>2.2ppt</v>
      </c>
      <c r="Q130" s="755" t="str">
        <f t="shared" si="274"/>
        <v>0.4ppt</v>
      </c>
      <c r="R130" s="755" t="str">
        <f t="shared" si="274"/>
        <v>-0.7ppt</v>
      </c>
      <c r="S130" s="755" t="str">
        <f t="shared" si="274"/>
        <v>-0.1ppt</v>
      </c>
      <c r="T130" s="755" t="str">
        <f t="shared" si="274"/>
        <v>0.6ppt</v>
      </c>
      <c r="U130" s="755" t="str">
        <f t="shared" si="274"/>
        <v>-1.8ppt</v>
      </c>
      <c r="V130" s="755">
        <f>V129-U129</f>
        <v>6.1890252888343877E-3</v>
      </c>
      <c r="W130" s="755">
        <f>W129-V129</f>
        <v>1.1384316697912983E-2</v>
      </c>
      <c r="X130" s="755">
        <f>X129-W129</f>
        <v>4.060144671035909E-3</v>
      </c>
      <c r="Y130" s="756"/>
      <c r="Z130" s="755"/>
      <c r="AA130" s="755"/>
      <c r="AB130" s="755">
        <f>AB129-Z129</f>
        <v>-2.7159813573831459E-2</v>
      </c>
      <c r="AC130" s="755">
        <f>AC129-AA129</f>
        <v>1.1982889481048573E-2</v>
      </c>
      <c r="AD130" s="755">
        <f>AD129-AB129</f>
        <v>1.9218596330658616E-2</v>
      </c>
      <c r="AE130" s="755">
        <f>AE129-AC129</f>
        <v>2.6109767091858832E-2</v>
      </c>
      <c r="AF130" s="755" t="str">
        <f t="shared" ref="AF130:AU130" si="275">TEXT(100*(AF129-AD129),"0.0")&amp;"ppt"</f>
        <v>1.0ppt</v>
      </c>
      <c r="AG130" s="755" t="str">
        <f t="shared" si="275"/>
        <v>0.1ppt</v>
      </c>
      <c r="AH130" s="755" t="str">
        <f t="shared" si="275"/>
        <v>0.7ppt</v>
      </c>
      <c r="AI130" s="755" t="str">
        <f t="shared" si="275"/>
        <v>-1.8ppt</v>
      </c>
      <c r="AJ130" s="755" t="str">
        <f t="shared" si="275"/>
        <v>2.3ppt</v>
      </c>
      <c r="AK130" s="755" t="str">
        <f t="shared" si="275"/>
        <v>-2.1ppt</v>
      </c>
      <c r="AL130" s="755" t="str">
        <f t="shared" si="275"/>
        <v>-1.6ppt</v>
      </c>
      <c r="AM130" s="755" t="str">
        <f t="shared" si="275"/>
        <v>2.3ppt</v>
      </c>
      <c r="AN130" s="755" t="str">
        <f t="shared" si="275"/>
        <v>-3.1ppt</v>
      </c>
      <c r="AO130" s="755" t="str">
        <f t="shared" si="275"/>
        <v>-0.5ppt</v>
      </c>
      <c r="AP130" s="755" t="str">
        <f t="shared" si="275"/>
        <v>2.2ppt</v>
      </c>
      <c r="AQ130" s="755" t="str">
        <f t="shared" si="275"/>
        <v>-1.0ppt</v>
      </c>
      <c r="AR130" s="755" t="str">
        <f t="shared" si="275"/>
        <v>-0.2ppt</v>
      </c>
      <c r="AS130" s="755" t="str">
        <f t="shared" si="275"/>
        <v>2.4ppt</v>
      </c>
      <c r="AT130" s="755" t="str">
        <f t="shared" si="275"/>
        <v>-0.4ppt</v>
      </c>
      <c r="AU130" s="755" t="str">
        <f t="shared" si="275"/>
        <v>1.5ppt</v>
      </c>
    </row>
    <row r="132" spans="1:59" ht="10.5" x14ac:dyDescent="0.35">
      <c r="A132" s="1616" t="s">
        <v>134</v>
      </c>
      <c r="B132" s="746" t="s">
        <v>1870</v>
      </c>
      <c r="C132" s="747"/>
      <c r="D132" s="747" t="s">
        <v>328</v>
      </c>
      <c r="E132" s="747" t="s">
        <v>323</v>
      </c>
      <c r="F132" s="747" t="s">
        <v>198</v>
      </c>
      <c r="G132" s="748" t="s">
        <v>331</v>
      </c>
      <c r="H132" s="748" t="s">
        <v>21</v>
      </c>
      <c r="I132" s="748" t="s">
        <v>721</v>
      </c>
      <c r="J132" s="748" t="s">
        <v>832</v>
      </c>
      <c r="K132" s="748" t="s">
        <v>831</v>
      </c>
      <c r="L132" s="748" t="s">
        <v>1376</v>
      </c>
      <c r="M132" s="748" t="s">
        <v>1510</v>
      </c>
      <c r="N132" s="748" t="s">
        <v>1747</v>
      </c>
      <c r="O132" s="748" t="s">
        <v>1739</v>
      </c>
      <c r="P132" s="748" t="s">
        <v>1810</v>
      </c>
      <c r="Q132" s="748" t="str">
        <f>$Q$1</f>
        <v>2018A</v>
      </c>
      <c r="R132" s="748" t="str">
        <f t="shared" ref="R132:X132" si="276">R$1</f>
        <v>2019A</v>
      </c>
      <c r="S132" s="748" t="str">
        <f t="shared" si="276"/>
        <v>2020A</v>
      </c>
      <c r="T132" s="748" t="str">
        <f t="shared" si="276"/>
        <v>2021A</v>
      </c>
      <c r="U132" s="748" t="str">
        <f t="shared" si="276"/>
        <v>2022A</v>
      </c>
      <c r="V132" s="748" t="str">
        <f t="shared" si="276"/>
        <v>2023A</v>
      </c>
      <c r="W132" s="748" t="str">
        <f t="shared" si="276"/>
        <v>2024A</v>
      </c>
      <c r="X132" s="748" t="str">
        <f t="shared" si="276"/>
        <v>2025A</v>
      </c>
      <c r="Y132" s="750"/>
      <c r="Z132" s="748" t="s">
        <v>1518</v>
      </c>
      <c r="AA132" s="748" t="s">
        <v>1866</v>
      </c>
      <c r="AB132" s="748" t="s">
        <v>1740</v>
      </c>
      <c r="AC132" s="748" t="s">
        <v>1865</v>
      </c>
      <c r="AD132" s="748" t="s">
        <v>1749</v>
      </c>
      <c r="AE132" s="748" t="s">
        <v>1811</v>
      </c>
      <c r="AF132" s="748" t="str">
        <f>$AF$1</f>
        <v>1H18</v>
      </c>
      <c r="AG132" s="748" t="str">
        <f t="shared" ref="AG132:AU132" si="277">AG$1</f>
        <v>2H18</v>
      </c>
      <c r="AH132" s="748" t="str">
        <f t="shared" si="277"/>
        <v>1H19</v>
      </c>
      <c r="AI132" s="748" t="str">
        <f t="shared" si="277"/>
        <v>2H19</v>
      </c>
      <c r="AJ132" s="748" t="str">
        <f t="shared" si="277"/>
        <v>1H20</v>
      </c>
      <c r="AK132" s="748" t="str">
        <f t="shared" si="277"/>
        <v>2H20</v>
      </c>
      <c r="AL132" s="748" t="str">
        <f t="shared" si="277"/>
        <v>1H21</v>
      </c>
      <c r="AM132" s="748" t="str">
        <f t="shared" si="277"/>
        <v>2H21</v>
      </c>
      <c r="AN132" s="748" t="str">
        <f t="shared" si="277"/>
        <v>1H22</v>
      </c>
      <c r="AO132" s="748" t="str">
        <f t="shared" si="277"/>
        <v>2H22</v>
      </c>
      <c r="AP132" s="748" t="str">
        <f t="shared" si="277"/>
        <v>1H23</v>
      </c>
      <c r="AQ132" s="748" t="str">
        <f t="shared" si="277"/>
        <v>2H23</v>
      </c>
      <c r="AR132" s="748" t="str">
        <f t="shared" si="277"/>
        <v>1H24</v>
      </c>
      <c r="AS132" s="748" t="str">
        <f t="shared" si="277"/>
        <v>2H24</v>
      </c>
      <c r="AT132" s="748" t="str">
        <f t="shared" si="277"/>
        <v>1H25</v>
      </c>
      <c r="AU132" s="748" t="str">
        <f t="shared" si="277"/>
        <v>2H25</v>
      </c>
    </row>
    <row r="133" spans="1:59" s="745" customFormat="1" x14ac:dyDescent="0.35">
      <c r="A133" s="1617" t="s">
        <v>2923</v>
      </c>
      <c r="B133" s="751" t="s">
        <v>343</v>
      </c>
      <c r="C133" s="752"/>
      <c r="D133" s="752"/>
      <c r="E133" s="752">
        <f>HK!C20</f>
        <v>348.37599999999998</v>
      </c>
      <c r="F133" s="752">
        <f>HK!D20</f>
        <v>179.39699999999999</v>
      </c>
      <c r="G133" s="752">
        <f>HK!E20</f>
        <v>228</v>
      </c>
      <c r="H133" s="752">
        <f>HK!F20</f>
        <v>313.83100000000002</v>
      </c>
      <c r="I133" s="752">
        <f>HK!G20</f>
        <v>395.18400000000003</v>
      </c>
      <c r="J133" s="752">
        <f>HK!H20</f>
        <v>637.38900000000001</v>
      </c>
      <c r="K133" s="752">
        <f>HK!I20</f>
        <v>783.05200000000002</v>
      </c>
      <c r="L133" s="752">
        <f>HK!J20</f>
        <v>808.92100000000005</v>
      </c>
      <c r="M133" s="752">
        <f>HK!K20</f>
        <v>1010.83</v>
      </c>
      <c r="N133" s="752">
        <f>HK!L20</f>
        <v>1040.9010000000001</v>
      </c>
      <c r="O133" s="752">
        <f>HK!M20</f>
        <v>894.13699999999994</v>
      </c>
      <c r="P133" s="752">
        <f>HK!N20</f>
        <v>946.25300000000004</v>
      </c>
      <c r="Q133" s="752">
        <f>HK!O20</f>
        <v>1206.249</v>
      </c>
      <c r="R133" s="752">
        <f>HK!P20</f>
        <v>1307.0899999999999</v>
      </c>
      <c r="S133" s="752">
        <f>HK!Q20</f>
        <v>1171.498</v>
      </c>
      <c r="T133" s="752">
        <f>HK!R20</f>
        <v>1029.0039999999999</v>
      </c>
      <c r="U133" s="752">
        <f>HK!S20</f>
        <v>1700.777</v>
      </c>
      <c r="V133" s="752">
        <f>HK!T20</f>
        <v>1543.5</v>
      </c>
      <c r="W133" s="752">
        <f>HK!U20</f>
        <v>1516.489</v>
      </c>
      <c r="X133" s="752">
        <f>HK!V20</f>
        <v>1464.23</v>
      </c>
      <c r="Y133" s="752"/>
      <c r="Z133" s="781">
        <f>568079/1000</f>
        <v>568.07899999999995</v>
      </c>
      <c r="AA133" s="781">
        <f>N133-Z133</f>
        <v>472.82200000000012</v>
      </c>
      <c r="AB133" s="781">
        <f>421923/1000</f>
        <v>421.923</v>
      </c>
      <c r="AC133" s="781">
        <f>O133-AB133</f>
        <v>472.21399999999994</v>
      </c>
      <c r="AD133" s="781">
        <v>443.37200000000001</v>
      </c>
      <c r="AE133" s="781">
        <f>P133-AD133</f>
        <v>502.88100000000003</v>
      </c>
      <c r="AF133" s="781">
        <v>475.38099999999997</v>
      </c>
      <c r="AG133" s="752">
        <f>Q133-AF133</f>
        <v>730.86800000000005</v>
      </c>
      <c r="AH133" s="781">
        <v>670.41200000000003</v>
      </c>
      <c r="AI133" s="752">
        <f>R133-AH133</f>
        <v>636.67799999999988</v>
      </c>
      <c r="AJ133" s="781">
        <v>662.48299999999995</v>
      </c>
      <c r="AK133" s="752">
        <f>S133-AJ133</f>
        <v>509.0150000000001</v>
      </c>
      <c r="AL133" s="752">
        <v>537.17899999999997</v>
      </c>
      <c r="AM133" s="752">
        <f>T133-AL133</f>
        <v>491.82499999999993</v>
      </c>
      <c r="AN133" s="752">
        <v>937.36699999999996</v>
      </c>
      <c r="AO133" s="762">
        <f>U133-AN133</f>
        <v>763.41000000000008</v>
      </c>
      <c r="AP133" s="752">
        <v>786.44500000000005</v>
      </c>
      <c r="AQ133" s="762">
        <f>V133-AP133</f>
        <v>757.05499999999995</v>
      </c>
      <c r="AR133" s="752">
        <v>953.84799999999996</v>
      </c>
      <c r="AS133" s="762">
        <f>W133-AR133</f>
        <v>562.64100000000008</v>
      </c>
      <c r="AT133" s="752">
        <f>880.092</f>
        <v>880.09199999999998</v>
      </c>
      <c r="AU133" s="762">
        <f>X133-AT133</f>
        <v>584.13800000000003</v>
      </c>
    </row>
    <row r="134" spans="1:59" x14ac:dyDescent="0.35">
      <c r="A134" s="1618" t="s">
        <v>577</v>
      </c>
      <c r="B134" s="753" t="s">
        <v>577</v>
      </c>
      <c r="C134" s="754"/>
      <c r="D134" s="755"/>
      <c r="E134" s="755"/>
      <c r="F134" s="755">
        <f t="shared" ref="F134:X134" si="278">F133/E133-1</f>
        <v>-0.48504776448435027</v>
      </c>
      <c r="G134" s="755">
        <f t="shared" si="278"/>
        <v>0.27092426294754102</v>
      </c>
      <c r="H134" s="755">
        <f t="shared" si="278"/>
        <v>0.3764517543859649</v>
      </c>
      <c r="I134" s="755">
        <f t="shared" si="278"/>
        <v>0.25922550672177058</v>
      </c>
      <c r="J134" s="755">
        <f t="shared" si="278"/>
        <v>0.61289171626381633</v>
      </c>
      <c r="K134" s="755">
        <f t="shared" si="278"/>
        <v>0.2285307716323941</v>
      </c>
      <c r="L134" s="755">
        <f t="shared" si="278"/>
        <v>3.3036120206576314E-2</v>
      </c>
      <c r="M134" s="755">
        <f t="shared" si="278"/>
        <v>0.24960286604007065</v>
      </c>
      <c r="N134" s="755">
        <f t="shared" si="278"/>
        <v>2.9748820276406462E-2</v>
      </c>
      <c r="O134" s="755">
        <f t="shared" si="278"/>
        <v>-0.14099707849257526</v>
      </c>
      <c r="P134" s="755">
        <f t="shared" si="278"/>
        <v>5.8286369985807607E-2</v>
      </c>
      <c r="Q134" s="755">
        <f t="shared" si="278"/>
        <v>0.27476372598026111</v>
      </c>
      <c r="R134" s="755">
        <f t="shared" si="278"/>
        <v>8.359882578140998E-2</v>
      </c>
      <c r="S134" s="755">
        <f t="shared" si="278"/>
        <v>-0.10373577947960733</v>
      </c>
      <c r="T134" s="755">
        <f t="shared" si="278"/>
        <v>-0.12163401047206235</v>
      </c>
      <c r="U134" s="755">
        <f t="shared" si="278"/>
        <v>0.65283808420569822</v>
      </c>
      <c r="V134" s="755">
        <f t="shared" si="278"/>
        <v>-9.2473616470589604E-2</v>
      </c>
      <c r="W134" s="755">
        <f t="shared" si="278"/>
        <v>-1.7499838030450299E-2</v>
      </c>
      <c r="X134" s="755">
        <f t="shared" si="278"/>
        <v>-3.4460520320292454E-2</v>
      </c>
      <c r="Y134" s="756"/>
      <c r="Z134" s="755"/>
      <c r="AA134" s="755"/>
      <c r="AB134" s="755">
        <f t="shared" ref="AB134:AU144" si="279">AB133/Z133-1</f>
        <v>-0.25728111759103922</v>
      </c>
      <c r="AC134" s="755">
        <f t="shared" si="279"/>
        <v>-1.2858961723443141E-3</v>
      </c>
      <c r="AD134" s="755">
        <f t="shared" si="279"/>
        <v>5.0836290033963616E-2</v>
      </c>
      <c r="AE134" s="755">
        <f t="shared" si="279"/>
        <v>6.494301312540518E-2</v>
      </c>
      <c r="AF134" s="755">
        <f t="shared" si="279"/>
        <v>7.2194455220446763E-2</v>
      </c>
      <c r="AG134" s="755">
        <f t="shared" si="279"/>
        <v>0.45336172971339139</v>
      </c>
      <c r="AH134" s="755">
        <f t="shared" si="279"/>
        <v>0.41026250523264518</v>
      </c>
      <c r="AI134" s="755">
        <f t="shared" si="279"/>
        <v>-0.12887416058713774</v>
      </c>
      <c r="AJ134" s="755">
        <f t="shared" si="279"/>
        <v>-1.1827055601630221E-2</v>
      </c>
      <c r="AK134" s="755">
        <f t="shared" si="279"/>
        <v>-0.20051423168383364</v>
      </c>
      <c r="AL134" s="755">
        <f t="shared" si="279"/>
        <v>-0.18914296668744701</v>
      </c>
      <c r="AM134" s="755">
        <f t="shared" si="279"/>
        <v>-3.3771106941838935E-2</v>
      </c>
      <c r="AN134" s="755">
        <f t="shared" si="279"/>
        <v>0.74498072337153909</v>
      </c>
      <c r="AO134" s="755">
        <f t="shared" si="279"/>
        <v>0.55219844456869849</v>
      </c>
      <c r="AP134" s="755">
        <f t="shared" si="279"/>
        <v>-0.16100630809490835</v>
      </c>
      <c r="AQ134" s="755">
        <f t="shared" si="279"/>
        <v>-8.3244914266253911E-3</v>
      </c>
      <c r="AR134" s="755">
        <f t="shared" si="279"/>
        <v>0.21286040346114454</v>
      </c>
      <c r="AS134" s="755">
        <f t="shared" si="279"/>
        <v>-0.25680300638659004</v>
      </c>
      <c r="AT134" s="755">
        <f t="shared" si="279"/>
        <v>-7.7324689048988926E-2</v>
      </c>
      <c r="AU134" s="755">
        <f t="shared" si="279"/>
        <v>3.8207311589450343E-2</v>
      </c>
    </row>
    <row r="135" spans="1:59" x14ac:dyDescent="0.35">
      <c r="A135" s="1617" t="s">
        <v>2924</v>
      </c>
      <c r="B135" s="751" t="s">
        <v>359</v>
      </c>
      <c r="C135" s="752"/>
      <c r="D135" s="756"/>
      <c r="E135" s="752">
        <f>Macau!D18</f>
        <v>109.172</v>
      </c>
      <c r="F135" s="752">
        <f>Macau!E18</f>
        <v>274.07</v>
      </c>
      <c r="G135" s="752">
        <f>Macau!F18</f>
        <v>282</v>
      </c>
      <c r="H135" s="752">
        <f>Macau!G18</f>
        <v>89.966999999999999</v>
      </c>
      <c r="I135" s="752">
        <f>Macau!H18</f>
        <v>25.791</v>
      </c>
      <c r="J135" s="752">
        <f>Macau!I18</f>
        <v>71.188000000000002</v>
      </c>
      <c r="K135" s="752">
        <f>Macau!J18</f>
        <v>66.018000000000001</v>
      </c>
      <c r="L135" s="752">
        <f>Macau!K18</f>
        <v>123.721</v>
      </c>
      <c r="M135" s="752">
        <f>Macau!L18</f>
        <v>96.334000000000003</v>
      </c>
      <c r="N135" s="752">
        <f>Macau!M18</f>
        <v>268.60500000000002</v>
      </c>
      <c r="O135" s="752">
        <f>Macau!N18</f>
        <v>921.42</v>
      </c>
      <c r="P135" s="752">
        <f>Macau!O18</f>
        <v>866.13699999999994</v>
      </c>
      <c r="Q135" s="752">
        <f>Macau!P18</f>
        <v>752.57</v>
      </c>
      <c r="R135" s="752">
        <f>Macau!Q18</f>
        <v>487.166</v>
      </c>
      <c r="S135" s="752">
        <f>Macau!R18</f>
        <v>536.63</v>
      </c>
      <c r="T135" s="752">
        <f>Macau!S18</f>
        <v>853.35599999999999</v>
      </c>
      <c r="U135" s="752">
        <f>Macau!T18</f>
        <v>569.98699999999997</v>
      </c>
      <c r="V135" s="752">
        <f>Macau!U18</f>
        <v>964.89200000000005</v>
      </c>
      <c r="W135" s="752">
        <f>Macau!V18</f>
        <v>1194.9860000000001</v>
      </c>
      <c r="X135" s="752">
        <f>Macau!W18</f>
        <v>770.279</v>
      </c>
      <c r="Y135" s="752"/>
      <c r="Z135" s="781">
        <f>77878/1000</f>
        <v>77.878</v>
      </c>
      <c r="AA135" s="781">
        <f>N135-Z135</f>
        <v>190.72700000000003</v>
      </c>
      <c r="AB135" s="781">
        <f>301382/1000</f>
        <v>301.38200000000001</v>
      </c>
      <c r="AC135" s="781">
        <f>O135-AB135</f>
        <v>620.03800000000001</v>
      </c>
      <c r="AD135" s="781">
        <v>455.66300000000001</v>
      </c>
      <c r="AE135" s="781">
        <f>P135-AD135</f>
        <v>410.47399999999993</v>
      </c>
      <c r="AF135" s="781">
        <v>590.029</v>
      </c>
      <c r="AG135" s="752">
        <f>Q135-AF135</f>
        <v>162.54100000000005</v>
      </c>
      <c r="AH135" s="781">
        <v>240.01900000000001</v>
      </c>
      <c r="AI135" s="752">
        <f>R135-AH135</f>
        <v>247.14699999999999</v>
      </c>
      <c r="AJ135" s="781">
        <v>241.57900000000001</v>
      </c>
      <c r="AK135" s="752">
        <f>S135-AJ135</f>
        <v>295.05099999999999</v>
      </c>
      <c r="AL135" s="752">
        <v>479.70699999999999</v>
      </c>
      <c r="AM135" s="752">
        <f>T135-AL135</f>
        <v>373.649</v>
      </c>
      <c r="AN135" s="752">
        <v>417.06099999999998</v>
      </c>
      <c r="AO135" s="762">
        <f>U135-AN135</f>
        <v>152.92599999999999</v>
      </c>
      <c r="AP135" s="752">
        <v>668.11500000000001</v>
      </c>
      <c r="AQ135" s="762">
        <f>V135-AP135</f>
        <v>296.77700000000004</v>
      </c>
      <c r="AR135" s="752">
        <v>704.63</v>
      </c>
      <c r="AS135" s="762">
        <f t="shared" ref="AS135" si="280">W135-AR135</f>
        <v>490.35600000000011</v>
      </c>
      <c r="AT135" s="752">
        <f>421.876</f>
        <v>421.87599999999998</v>
      </c>
      <c r="AU135" s="762">
        <f>X135-AT135</f>
        <v>348.40300000000002</v>
      </c>
      <c r="AV135" s="745"/>
      <c r="AW135" s="745"/>
      <c r="AX135" s="745"/>
      <c r="AY135" s="745"/>
      <c r="AZ135" s="745"/>
      <c r="BA135" s="745"/>
      <c r="BB135" s="745"/>
      <c r="BC135" s="745"/>
      <c r="BD135" s="745"/>
      <c r="BE135" s="745"/>
      <c r="BF135" s="745"/>
      <c r="BG135" s="745"/>
    </row>
    <row r="136" spans="1:59" x14ac:dyDescent="0.35">
      <c r="A136" s="1618" t="s">
        <v>577</v>
      </c>
      <c r="B136" s="753" t="s">
        <v>577</v>
      </c>
      <c r="C136" s="754"/>
      <c r="D136" s="755"/>
      <c r="E136" s="755"/>
      <c r="F136" s="755">
        <f t="shared" ref="F136:X136" si="281">F135/E135-1</f>
        <v>1.5104422379364673</v>
      </c>
      <c r="G136" s="755">
        <f t="shared" si="281"/>
        <v>2.8934213886963267E-2</v>
      </c>
      <c r="H136" s="755">
        <f t="shared" si="281"/>
        <v>-0.68096808510638296</v>
      </c>
      <c r="I136" s="755">
        <f t="shared" si="281"/>
        <v>-0.71332822034746068</v>
      </c>
      <c r="J136" s="755">
        <f t="shared" si="281"/>
        <v>1.7601876623628399</v>
      </c>
      <c r="K136" s="755">
        <f t="shared" si="281"/>
        <v>-7.2624599651626709E-2</v>
      </c>
      <c r="L136" s="755">
        <f t="shared" si="281"/>
        <v>0.87404950165106499</v>
      </c>
      <c r="M136" s="755">
        <f t="shared" si="281"/>
        <v>-0.2213609653979518</v>
      </c>
      <c r="N136" s="755">
        <f t="shared" si="281"/>
        <v>1.7882679012601992</v>
      </c>
      <c r="O136" s="755">
        <f t="shared" si="281"/>
        <v>2.4303903501424022</v>
      </c>
      <c r="P136" s="755">
        <f t="shared" si="281"/>
        <v>-5.9997612380890408E-2</v>
      </c>
      <c r="Q136" s="755">
        <f t="shared" si="281"/>
        <v>-0.13111898002279077</v>
      </c>
      <c r="R136" s="755">
        <f t="shared" si="281"/>
        <v>-0.35266353960428931</v>
      </c>
      <c r="S136" s="755">
        <f t="shared" si="281"/>
        <v>0.10153417931464848</v>
      </c>
      <c r="T136" s="755">
        <f t="shared" si="281"/>
        <v>0.59021299591897591</v>
      </c>
      <c r="U136" s="755">
        <f t="shared" si="281"/>
        <v>-0.33206422641898581</v>
      </c>
      <c r="V136" s="755">
        <f t="shared" si="281"/>
        <v>0.69283159089593283</v>
      </c>
      <c r="W136" s="755">
        <f t="shared" si="281"/>
        <v>0.23846606666860137</v>
      </c>
      <c r="X136" s="755">
        <f t="shared" si="281"/>
        <v>-0.35540751105033874</v>
      </c>
      <c r="Y136" s="756"/>
      <c r="Z136" s="755"/>
      <c r="AA136" s="755"/>
      <c r="AB136" s="755">
        <f t="shared" ref="AB136:AT136" si="282">AB135/Z135-1</f>
        <v>2.8699247541025708</v>
      </c>
      <c r="AC136" s="755">
        <f t="shared" si="282"/>
        <v>2.2509188526008375</v>
      </c>
      <c r="AD136" s="755">
        <f t="shared" si="282"/>
        <v>0.51191179300688172</v>
      </c>
      <c r="AE136" s="755">
        <f t="shared" si="282"/>
        <v>-0.33798573635809426</v>
      </c>
      <c r="AF136" s="755">
        <f t="shared" si="282"/>
        <v>0.2948802075217869</v>
      </c>
      <c r="AG136" s="755">
        <f t="shared" si="282"/>
        <v>-0.60401633233773611</v>
      </c>
      <c r="AH136" s="755">
        <f t="shared" si="282"/>
        <v>-0.59320813044782539</v>
      </c>
      <c r="AI136" s="755">
        <f t="shared" si="282"/>
        <v>0.52052097624599281</v>
      </c>
      <c r="AJ136" s="755">
        <f t="shared" si="282"/>
        <v>6.4994854574011995E-3</v>
      </c>
      <c r="AK136" s="755">
        <f t="shared" si="282"/>
        <v>0.19382796473353925</v>
      </c>
      <c r="AL136" s="755">
        <f t="shared" si="282"/>
        <v>0.98571481792705473</v>
      </c>
      <c r="AM136" s="755">
        <f t="shared" si="282"/>
        <v>0.26638784481326971</v>
      </c>
      <c r="AN136" s="755">
        <f t="shared" si="282"/>
        <v>-0.13059221566497892</v>
      </c>
      <c r="AO136" s="755">
        <f t="shared" si="282"/>
        <v>-0.59072284416658416</v>
      </c>
      <c r="AP136" s="755">
        <f t="shared" si="282"/>
        <v>0.60195990514577025</v>
      </c>
      <c r="AQ136" s="755">
        <f t="shared" si="282"/>
        <v>0.94065757294377716</v>
      </c>
      <c r="AR136" s="755">
        <f t="shared" si="282"/>
        <v>5.4653764696197538E-2</v>
      </c>
      <c r="AS136" s="755">
        <f t="shared" si="279"/>
        <v>0.65227089700347407</v>
      </c>
      <c r="AT136" s="755">
        <f t="shared" si="282"/>
        <v>-0.40128010445198192</v>
      </c>
      <c r="AU136" s="755">
        <f t="shared" si="279"/>
        <v>-0.28948967688781224</v>
      </c>
    </row>
    <row r="137" spans="1:59" s="745" customFormat="1" x14ac:dyDescent="0.35">
      <c r="A137" s="1617" t="s">
        <v>143</v>
      </c>
      <c r="B137" s="751" t="s">
        <v>1836</v>
      </c>
      <c r="C137" s="752"/>
      <c r="D137" s="756"/>
      <c r="E137" s="752">
        <f>'MainLand China'!D42</f>
        <v>68.894000000000005</v>
      </c>
      <c r="F137" s="752">
        <f>'MainLand China'!E42</f>
        <v>298.904</v>
      </c>
      <c r="G137" s="752">
        <f>'MainLand China'!F42</f>
        <v>338</v>
      </c>
      <c r="H137" s="752">
        <f>'MainLand China'!G42</f>
        <v>364.767</v>
      </c>
      <c r="I137" s="752">
        <f>'MainLand China'!H42</f>
        <v>919.94299999999998</v>
      </c>
      <c r="J137" s="752">
        <f>'MainLand China'!I42</f>
        <v>1209.9079999999999</v>
      </c>
      <c r="K137" s="752">
        <f>'MainLand China'!J42</f>
        <v>1770.463</v>
      </c>
      <c r="L137" s="752">
        <f>'MainLand China'!K42</f>
        <v>2792.3780000000002</v>
      </c>
      <c r="M137" s="752">
        <f>'MainLand China'!L42</f>
        <v>3575.4929999999999</v>
      </c>
      <c r="N137" s="752">
        <f>'MainLand China'!M42</f>
        <v>3635.761</v>
      </c>
      <c r="O137" s="752">
        <f>'MainLand China'!N42</f>
        <v>4027.989</v>
      </c>
      <c r="P137" s="752">
        <f>'MainLand China'!O42</f>
        <v>5362.2849999999999</v>
      </c>
      <c r="Q137" s="752">
        <f>'MainLand China'!P42</f>
        <v>6384.0590000000002</v>
      </c>
      <c r="R137" s="752">
        <f>'MainLand China'!Q42</f>
        <v>6832.2380000000003</v>
      </c>
      <c r="S137" s="752">
        <f>'MainLand China'!R42</f>
        <v>7087.3530000000001</v>
      </c>
      <c r="T137" s="752">
        <f>'MainLand China'!S42</f>
        <v>9432.7790000000005</v>
      </c>
      <c r="U137" s="752">
        <f>'MainLand China'!T42</f>
        <v>11014.847</v>
      </c>
      <c r="V137" s="752">
        <f>'MainLand China'!U42</f>
        <v>12854.8</v>
      </c>
      <c r="W137" s="752">
        <f>'MainLand China'!V42</f>
        <v>14167.558000000001</v>
      </c>
      <c r="X137" s="752">
        <f>'MainLand China'!W42</f>
        <v>13331.32</v>
      </c>
      <c r="Y137" s="752"/>
      <c r="Z137" s="781">
        <f>1784593/1000</f>
        <v>1784.5930000000001</v>
      </c>
      <c r="AA137" s="781">
        <f>N137-Z137</f>
        <v>1851.1679999999999</v>
      </c>
      <c r="AB137" s="781">
        <f>1460447/1000</f>
        <v>1460.4469999999999</v>
      </c>
      <c r="AC137" s="781">
        <f>O137-AB137</f>
        <v>2567.5420000000004</v>
      </c>
      <c r="AD137" s="781">
        <v>2136.6889999999999</v>
      </c>
      <c r="AE137" s="781">
        <f>P137-AD137</f>
        <v>3225.596</v>
      </c>
      <c r="AF137" s="781">
        <v>2862.0970000000002</v>
      </c>
      <c r="AG137" s="752">
        <f>Q137-AF137</f>
        <v>3521.962</v>
      </c>
      <c r="AH137" s="781">
        <v>3185.221</v>
      </c>
      <c r="AI137" s="752">
        <f>R137-AH137</f>
        <v>3647.0170000000003</v>
      </c>
      <c r="AJ137" s="781">
        <v>3873.6590000000001</v>
      </c>
      <c r="AK137" s="752">
        <f>S137-AJ137</f>
        <v>3213.694</v>
      </c>
      <c r="AL137" s="752">
        <v>4613.6639999999998</v>
      </c>
      <c r="AM137" s="752">
        <f>T137-AL137</f>
        <v>4819.1150000000007</v>
      </c>
      <c r="AN137" s="752">
        <v>5323.81</v>
      </c>
      <c r="AO137" s="762">
        <f>U137-AN137</f>
        <v>5691.0369999999994</v>
      </c>
      <c r="AP137" s="752">
        <v>6493.643</v>
      </c>
      <c r="AQ137" s="762">
        <f>V137-AP137</f>
        <v>6361.1569999999992</v>
      </c>
      <c r="AR137" s="752">
        <v>7134.8789999999999</v>
      </c>
      <c r="AS137" s="762">
        <f t="shared" ref="AS137" si="283">W137-AR137</f>
        <v>7032.679000000001</v>
      </c>
      <c r="AT137" s="752">
        <f>6680.195</f>
        <v>6680.1949999999997</v>
      </c>
      <c r="AU137" s="762">
        <f>X137-AT137</f>
        <v>6651.125</v>
      </c>
      <c r="AV137" s="151"/>
    </row>
    <row r="138" spans="1:59" x14ac:dyDescent="0.35">
      <c r="A138" s="1618" t="s">
        <v>577</v>
      </c>
      <c r="B138" s="753" t="s">
        <v>577</v>
      </c>
      <c r="C138" s="754"/>
      <c r="D138" s="755"/>
      <c r="E138" s="755"/>
      <c r="F138" s="755">
        <f t="shared" ref="F138:X138" si="284">F137/E137-1</f>
        <v>3.3386071355996165</v>
      </c>
      <c r="G138" s="755">
        <f t="shared" si="284"/>
        <v>0.13079784813853279</v>
      </c>
      <c r="H138" s="755">
        <f t="shared" si="284"/>
        <v>7.9192307692307784E-2</v>
      </c>
      <c r="I138" s="755">
        <f t="shared" si="284"/>
        <v>1.5220017161640169</v>
      </c>
      <c r="J138" s="755">
        <f t="shared" si="284"/>
        <v>0.31519887645212785</v>
      </c>
      <c r="K138" s="755">
        <f t="shared" si="284"/>
        <v>0.46330382144758131</v>
      </c>
      <c r="L138" s="755">
        <f t="shared" si="284"/>
        <v>0.57720212170488749</v>
      </c>
      <c r="M138" s="755">
        <f t="shared" si="284"/>
        <v>0.2804473463119963</v>
      </c>
      <c r="N138" s="755">
        <f t="shared" si="284"/>
        <v>1.6855857360089876E-2</v>
      </c>
      <c r="O138" s="755">
        <f t="shared" si="284"/>
        <v>0.10788057850887345</v>
      </c>
      <c r="P138" s="755">
        <f t="shared" si="284"/>
        <v>0.33125611812743272</v>
      </c>
      <c r="Q138" s="755">
        <f t="shared" si="284"/>
        <v>0.19054824575717255</v>
      </c>
      <c r="R138" s="755">
        <f t="shared" si="284"/>
        <v>7.0202828639271742E-2</v>
      </c>
      <c r="S138" s="755">
        <f t="shared" si="284"/>
        <v>3.7339887749811895E-2</v>
      </c>
      <c r="T138" s="755">
        <f t="shared" si="284"/>
        <v>0.33093116710851</v>
      </c>
      <c r="U138" s="755">
        <f t="shared" si="284"/>
        <v>0.16772024447938394</v>
      </c>
      <c r="V138" s="755">
        <f t="shared" si="284"/>
        <v>0.16704299206334872</v>
      </c>
      <c r="W138" s="755">
        <f t="shared" si="284"/>
        <v>0.10212200889939949</v>
      </c>
      <c r="X138" s="755">
        <f t="shared" si="284"/>
        <v>-5.9024851001139411E-2</v>
      </c>
      <c r="Y138" s="756"/>
      <c r="Z138" s="755"/>
      <c r="AA138" s="755"/>
      <c r="AB138" s="755">
        <f t="shared" ref="AB138:AT138" si="285">AB137/Z137-1</f>
        <v>-0.1816358127595481</v>
      </c>
      <c r="AC138" s="755">
        <f t="shared" si="285"/>
        <v>0.38698486577123226</v>
      </c>
      <c r="AD138" s="755">
        <f t="shared" si="285"/>
        <v>0.46303768640696985</v>
      </c>
      <c r="AE138" s="755">
        <f t="shared" si="285"/>
        <v>0.25629726797068919</v>
      </c>
      <c r="AF138" s="755">
        <f t="shared" si="285"/>
        <v>0.33950097557482639</v>
      </c>
      <c r="AG138" s="755">
        <f t="shared" si="285"/>
        <v>9.1879454215592959E-2</v>
      </c>
      <c r="AH138" s="755">
        <f t="shared" si="285"/>
        <v>0.11289764113515366</v>
      </c>
      <c r="AI138" s="755">
        <f t="shared" si="285"/>
        <v>3.5507197408717106E-2</v>
      </c>
      <c r="AJ138" s="755">
        <f t="shared" si="285"/>
        <v>0.21613508136484105</v>
      </c>
      <c r="AK138" s="755">
        <f t="shared" si="285"/>
        <v>-0.1188157335159119</v>
      </c>
      <c r="AL138" s="755">
        <f t="shared" si="285"/>
        <v>0.19103514274230116</v>
      </c>
      <c r="AM138" s="755">
        <f t="shared" si="285"/>
        <v>0.49955627387050572</v>
      </c>
      <c r="AN138" s="755">
        <f t="shared" si="285"/>
        <v>0.15392234891834367</v>
      </c>
      <c r="AO138" s="755">
        <f t="shared" si="285"/>
        <v>0.18092990102954554</v>
      </c>
      <c r="AP138" s="755">
        <f t="shared" si="285"/>
        <v>0.21973605369087168</v>
      </c>
      <c r="AQ138" s="755">
        <f t="shared" si="285"/>
        <v>0.1177500690998845</v>
      </c>
      <c r="AR138" s="755">
        <f t="shared" si="285"/>
        <v>9.87482681139078E-2</v>
      </c>
      <c r="AS138" s="755">
        <f t="shared" si="279"/>
        <v>0.105566015742105</v>
      </c>
      <c r="AT138" s="755">
        <f t="shared" si="285"/>
        <v>-6.372693916743366E-2</v>
      </c>
      <c r="AU138" s="755">
        <f t="shared" si="279"/>
        <v>-5.4254431348281451E-2</v>
      </c>
    </row>
    <row r="139" spans="1:59" hidden="1" outlineLevel="1" x14ac:dyDescent="0.35">
      <c r="A139" s="1617" t="s">
        <v>2930</v>
      </c>
      <c r="B139" s="751" t="s">
        <v>718</v>
      </c>
      <c r="C139" s="752"/>
      <c r="D139" s="756"/>
      <c r="E139" s="752">
        <f>Overseas!D13</f>
        <v>14.923999999999999</v>
      </c>
      <c r="F139" s="752">
        <f>Overseas!E13</f>
        <v>78.305999999999997</v>
      </c>
      <c r="G139" s="752">
        <f>Overseas!F13</f>
        <v>61.393000000000029</v>
      </c>
      <c r="H139" s="752">
        <f>Overseas!G13</f>
        <v>-19.032</v>
      </c>
      <c r="I139" s="752">
        <f>Overseas!H13</f>
        <v>-25.04</v>
      </c>
      <c r="J139" s="785">
        <f>Overseas!I13</f>
        <v>-120.301</v>
      </c>
      <c r="K139" s="785">
        <f>Overseas!J13</f>
        <v>-13.782999999999999</v>
      </c>
      <c r="L139" s="785">
        <f>Overseas!K13</f>
        <v>11.095000000000001</v>
      </c>
      <c r="M139" s="785">
        <f>Overseas!L13</f>
        <v>-27.954000000000001</v>
      </c>
      <c r="N139" s="785">
        <f>Overseas!M13</f>
        <v>-16.219000000000001</v>
      </c>
      <c r="O139" s="785">
        <f>Overseas!N13</f>
        <v>-19.11</v>
      </c>
      <c r="P139" s="785">
        <f>Overseas!O13</f>
        <v>3.855</v>
      </c>
      <c r="Q139" s="785">
        <f>Overseas!P13</f>
        <v>0</v>
      </c>
      <c r="R139" s="785">
        <f>Overseas!Q13</f>
        <v>0</v>
      </c>
      <c r="S139" s="785">
        <f>Overseas!R13</f>
        <v>0</v>
      </c>
      <c r="T139" s="785">
        <f>Overseas!S13</f>
        <v>0</v>
      </c>
      <c r="U139" s="785">
        <f>Overseas!T13</f>
        <v>0</v>
      </c>
      <c r="V139" s="785">
        <f>Overseas!U13</f>
        <v>0</v>
      </c>
      <c r="W139" s="785">
        <f>Overseas!V13</f>
        <v>0</v>
      </c>
      <c r="X139" s="785">
        <f>Overseas!W13</f>
        <v>0</v>
      </c>
      <c r="Y139" s="752"/>
      <c r="Z139" s="781">
        <v>-10.269</v>
      </c>
      <c r="AA139" s="781">
        <f>N139-Z139</f>
        <v>-5.9500000000000011</v>
      </c>
      <c r="AB139" s="781">
        <v>-9.9789999999999992</v>
      </c>
      <c r="AC139" s="781">
        <f>O139-AB139</f>
        <v>-9.1310000000000002</v>
      </c>
      <c r="AD139" s="781"/>
      <c r="AE139" s="781"/>
      <c r="AF139" s="781"/>
      <c r="AG139" s="781"/>
      <c r="AH139" s="781"/>
      <c r="AI139" s="781"/>
      <c r="AJ139" s="781"/>
      <c r="AK139" s="781"/>
      <c r="AL139" s="781"/>
      <c r="AM139" s="781"/>
      <c r="AN139" s="781"/>
      <c r="AO139" s="781"/>
      <c r="AP139" s="781"/>
      <c r="AQ139" s="781"/>
      <c r="AR139" s="781"/>
      <c r="AS139" s="781">
        <f t="shared" ref="AS139:AU139" si="286">W139-AR139</f>
        <v>0</v>
      </c>
      <c r="AT139" s="781"/>
      <c r="AU139" s="781">
        <f t="shared" si="286"/>
        <v>0</v>
      </c>
    </row>
    <row r="140" spans="1:59" hidden="1" outlineLevel="1" x14ac:dyDescent="0.35">
      <c r="A140" s="1618" t="s">
        <v>577</v>
      </c>
      <c r="B140" s="753" t="s">
        <v>577</v>
      </c>
      <c r="C140" s="754"/>
      <c r="D140" s="755"/>
      <c r="E140" s="755"/>
      <c r="F140" s="755">
        <f t="shared" ref="F140:X140" si="287">F139/E139-1</f>
        <v>4.2469847225944788</v>
      </c>
      <c r="G140" s="755">
        <f t="shared" si="287"/>
        <v>-0.21598600362679699</v>
      </c>
      <c r="H140" s="755">
        <f t="shared" si="287"/>
        <v>-1.3100027690453309</v>
      </c>
      <c r="I140" s="755">
        <f t="shared" si="287"/>
        <v>0.31567885666246309</v>
      </c>
      <c r="J140" s="755">
        <f t="shared" si="287"/>
        <v>3.8043530351437704</v>
      </c>
      <c r="K140" s="755">
        <f t="shared" si="287"/>
        <v>-0.88542904880258688</v>
      </c>
      <c r="L140" s="755">
        <f t="shared" si="287"/>
        <v>-1.8049771457592687</v>
      </c>
      <c r="M140" s="755">
        <f t="shared" si="287"/>
        <v>-3.5195132942767011</v>
      </c>
      <c r="N140" s="755">
        <f t="shared" si="287"/>
        <v>-0.41979680904342842</v>
      </c>
      <c r="O140" s="755">
        <f t="shared" si="287"/>
        <v>0.17824773413897277</v>
      </c>
      <c r="P140" s="755">
        <f t="shared" si="287"/>
        <v>-1.2017268445839875</v>
      </c>
      <c r="Q140" s="755">
        <f t="shared" si="287"/>
        <v>-1</v>
      </c>
      <c r="R140" s="755" t="e">
        <f t="shared" si="287"/>
        <v>#DIV/0!</v>
      </c>
      <c r="S140" s="755" t="e">
        <f t="shared" si="287"/>
        <v>#DIV/0!</v>
      </c>
      <c r="T140" s="755" t="e">
        <f t="shared" si="287"/>
        <v>#DIV/0!</v>
      </c>
      <c r="U140" s="755" t="e">
        <f t="shared" si="287"/>
        <v>#DIV/0!</v>
      </c>
      <c r="V140" s="755" t="e">
        <f t="shared" si="287"/>
        <v>#DIV/0!</v>
      </c>
      <c r="W140" s="755" t="e">
        <f t="shared" si="287"/>
        <v>#DIV/0!</v>
      </c>
      <c r="X140" s="755" t="e">
        <f t="shared" si="287"/>
        <v>#DIV/0!</v>
      </c>
      <c r="Y140" s="756"/>
      <c r="Z140" s="755"/>
      <c r="AA140" s="755"/>
      <c r="AB140" s="755">
        <f>AB139/Z139-1</f>
        <v>-2.8240334988801297E-2</v>
      </c>
      <c r="AC140" s="755">
        <f>AC139/AA139-1</f>
        <v>0.53462184873949559</v>
      </c>
      <c r="AD140" s="755"/>
      <c r="AE140" s="755"/>
      <c r="AF140" s="755"/>
      <c r="AG140" s="755"/>
      <c r="AH140" s="755"/>
      <c r="AI140" s="755"/>
      <c r="AJ140" s="755"/>
      <c r="AK140" s="755"/>
      <c r="AL140" s="755"/>
      <c r="AM140" s="755"/>
      <c r="AN140" s="755"/>
      <c r="AO140" s="755"/>
      <c r="AP140" s="755"/>
      <c r="AQ140" s="755"/>
      <c r="AR140" s="755"/>
      <c r="AS140" s="755" t="e">
        <f t="shared" si="279"/>
        <v>#DIV/0!</v>
      </c>
      <c r="AT140" s="755"/>
      <c r="AU140" s="755" t="e">
        <f t="shared" si="279"/>
        <v>#DIV/0!</v>
      </c>
    </row>
    <row r="141" spans="1:59" collapsed="1" x14ac:dyDescent="0.35">
      <c r="A141" s="1617" t="s">
        <v>2675</v>
      </c>
      <c r="B141" s="751" t="s">
        <v>1837</v>
      </c>
      <c r="C141" s="752"/>
      <c r="D141" s="756"/>
      <c r="E141" s="752"/>
      <c r="F141" s="752"/>
      <c r="G141" s="752"/>
      <c r="H141" s="752"/>
      <c r="I141" s="752"/>
      <c r="J141" s="752"/>
      <c r="K141" s="752">
        <f>CSCD!C18</f>
        <v>112.467</v>
      </c>
      <c r="L141" s="752">
        <f>CSCD!D18</f>
        <v>9.83</v>
      </c>
      <c r="M141" s="752">
        <f>CSCD!E18</f>
        <v>88.388999999999996</v>
      </c>
      <c r="N141" s="752">
        <f>CSCD!F18</f>
        <v>184.06700000000001</v>
      </c>
      <c r="O141" s="752">
        <f>CSCD!G18</f>
        <v>158.44200000000001</v>
      </c>
      <c r="P141" s="752">
        <f>CSCD!H18</f>
        <v>436.5</v>
      </c>
      <c r="Q141" s="752">
        <f>CSCD!I18</f>
        <v>353.54300000000001</v>
      </c>
      <c r="R141" s="752">
        <f>CSCD!J18</f>
        <v>609.20900000000006</v>
      </c>
      <c r="S141" s="752">
        <f>CSCD!K18</f>
        <v>488.678</v>
      </c>
      <c r="T141" s="752">
        <f>CSCD!L18</f>
        <v>667.60400000000004</v>
      </c>
      <c r="U141" s="752">
        <f>CSCD!M18</f>
        <v>732.92200000000003</v>
      </c>
      <c r="V141" s="752">
        <f>CSCD!N18</f>
        <v>975.71799999999996</v>
      </c>
      <c r="W141" s="752">
        <f>CSCD!O18</f>
        <v>967.49400000000003</v>
      </c>
      <c r="X141" s="752">
        <f>CSCD!P18</f>
        <v>415.87799999999999</v>
      </c>
      <c r="Y141" s="752"/>
      <c r="Z141" s="781">
        <f>125573/1000</f>
        <v>125.57299999999999</v>
      </c>
      <c r="AA141" s="781">
        <f>N141-Z141</f>
        <v>58.494000000000014</v>
      </c>
      <c r="AB141" s="781">
        <f>133659/1000</f>
        <v>133.65899999999999</v>
      </c>
      <c r="AC141" s="781">
        <f>O141-AB141</f>
        <v>24.783000000000015</v>
      </c>
      <c r="AD141" s="781">
        <v>217.68</v>
      </c>
      <c r="AE141" s="781">
        <f>P141-AD141</f>
        <v>218.82</v>
      </c>
      <c r="AF141" s="781">
        <v>177.292</v>
      </c>
      <c r="AG141" s="752">
        <f>Q141-AF141</f>
        <v>176.251</v>
      </c>
      <c r="AH141" s="781">
        <v>256.51100000000002</v>
      </c>
      <c r="AI141" s="752">
        <f>R141-AH141</f>
        <v>352.69800000000004</v>
      </c>
      <c r="AJ141" s="781">
        <v>290.28699999999998</v>
      </c>
      <c r="AK141" s="752">
        <f>S141-AJ141</f>
        <v>198.39100000000002</v>
      </c>
      <c r="AL141" s="752">
        <v>382.42</v>
      </c>
      <c r="AM141" s="752">
        <f>T141-AL141</f>
        <v>285.18400000000003</v>
      </c>
      <c r="AN141" s="752">
        <v>539.03499999999997</v>
      </c>
      <c r="AO141" s="762">
        <f>U141-AN141</f>
        <v>193.88700000000006</v>
      </c>
      <c r="AP141" s="752">
        <v>677.53499999999997</v>
      </c>
      <c r="AQ141" s="762">
        <f>V141-AP141</f>
        <v>298.18299999999999</v>
      </c>
      <c r="AR141" s="752">
        <v>760.90499999999997</v>
      </c>
      <c r="AS141" s="762">
        <f t="shared" ref="AS141" si="288">W141-AR141</f>
        <v>206.58900000000006</v>
      </c>
      <c r="AT141" s="752">
        <f>546.285</f>
        <v>546.28499999999997</v>
      </c>
      <c r="AU141" s="762">
        <f>X141-AT141</f>
        <v>-130.40699999999998</v>
      </c>
      <c r="AV141" s="745"/>
      <c r="AW141" s="745"/>
      <c r="AX141" s="745"/>
      <c r="AY141" s="745"/>
      <c r="AZ141" s="745"/>
      <c r="BA141" s="745"/>
      <c r="BB141" s="745"/>
      <c r="BC141" s="745"/>
      <c r="BD141" s="745"/>
      <c r="BE141" s="745"/>
      <c r="BF141" s="745"/>
      <c r="BG141" s="745"/>
    </row>
    <row r="142" spans="1:59" x14ac:dyDescent="0.35">
      <c r="A142" s="1618" t="s">
        <v>577</v>
      </c>
      <c r="B142" s="753" t="s">
        <v>577</v>
      </c>
      <c r="C142" s="754"/>
      <c r="D142" s="755"/>
      <c r="E142" s="755"/>
      <c r="F142" s="755"/>
      <c r="G142" s="755"/>
      <c r="H142" s="755"/>
      <c r="I142" s="755"/>
      <c r="J142" s="755"/>
      <c r="K142" s="755"/>
      <c r="L142" s="755"/>
      <c r="M142" s="755"/>
      <c r="N142" s="755">
        <f t="shared" ref="N142:X142" si="289">N141/M141-1</f>
        <v>1.082465012614692</v>
      </c>
      <c r="O142" s="755">
        <f t="shared" si="289"/>
        <v>-0.13921561170660679</v>
      </c>
      <c r="P142" s="755">
        <f t="shared" si="289"/>
        <v>1.7549513386602036</v>
      </c>
      <c r="Q142" s="755">
        <f t="shared" si="289"/>
        <v>-0.19005040091638026</v>
      </c>
      <c r="R142" s="755">
        <f t="shared" si="289"/>
        <v>0.72315390207131824</v>
      </c>
      <c r="S142" s="755">
        <f t="shared" si="289"/>
        <v>-0.19784835746024776</v>
      </c>
      <c r="T142" s="755">
        <f t="shared" si="289"/>
        <v>0.36614294075035114</v>
      </c>
      <c r="U142" s="755">
        <f t="shared" si="289"/>
        <v>9.7839437750522729E-2</v>
      </c>
      <c r="V142" s="755">
        <f t="shared" si="289"/>
        <v>0.33127126761101455</v>
      </c>
      <c r="W142" s="755">
        <f t="shared" si="289"/>
        <v>-8.428664839636002E-3</v>
      </c>
      <c r="X142" s="755">
        <f t="shared" si="289"/>
        <v>-0.57014927224354883</v>
      </c>
      <c r="Y142" s="756"/>
      <c r="Z142" s="755"/>
      <c r="AA142" s="755"/>
      <c r="AB142" s="755">
        <f t="shared" ref="AB142:AT142" si="290">AB141/Z141-1</f>
        <v>6.4392823298002E-2</v>
      </c>
      <c r="AC142" s="755">
        <f t="shared" si="290"/>
        <v>-0.57631551954046545</v>
      </c>
      <c r="AD142" s="755">
        <f t="shared" si="290"/>
        <v>0.62862209054384688</v>
      </c>
      <c r="AE142" s="755">
        <f t="shared" si="290"/>
        <v>7.8294395351652284</v>
      </c>
      <c r="AF142" s="755">
        <f t="shared" si="290"/>
        <v>-0.18553840499816243</v>
      </c>
      <c r="AG142" s="755">
        <f t="shared" si="290"/>
        <v>-0.19453889041221095</v>
      </c>
      <c r="AH142" s="755">
        <f t="shared" si="290"/>
        <v>0.44682783205107968</v>
      </c>
      <c r="AI142" s="755">
        <f t="shared" si="290"/>
        <v>1.001112050428083</v>
      </c>
      <c r="AJ142" s="755">
        <f t="shared" si="290"/>
        <v>0.13167466502411185</v>
      </c>
      <c r="AK142" s="755">
        <f t="shared" si="290"/>
        <v>-0.43750460734112473</v>
      </c>
      <c r="AL142" s="755">
        <f t="shared" si="290"/>
        <v>0.31738589740498213</v>
      </c>
      <c r="AM142" s="755">
        <f t="shared" si="290"/>
        <v>0.43748456331184382</v>
      </c>
      <c r="AN142" s="755">
        <f t="shared" si="290"/>
        <v>0.40953663511322613</v>
      </c>
      <c r="AO142" s="755">
        <f t="shared" si="290"/>
        <v>-0.32013366808797117</v>
      </c>
      <c r="AP142" s="755">
        <f t="shared" si="290"/>
        <v>0.2569406439285018</v>
      </c>
      <c r="AQ142" s="755">
        <f t="shared" si="290"/>
        <v>0.53792157287492159</v>
      </c>
      <c r="AR142" s="755">
        <f t="shared" si="290"/>
        <v>0.1230489937789192</v>
      </c>
      <c r="AS142" s="755">
        <f t="shared" si="279"/>
        <v>-0.30717378254293481</v>
      </c>
      <c r="AT142" s="755">
        <f t="shared" si="290"/>
        <v>-0.28205886411575687</v>
      </c>
      <c r="AU142" s="755">
        <f t="shared" si="279"/>
        <v>-1.6312388365305024</v>
      </c>
    </row>
    <row r="143" spans="1:59" x14ac:dyDescent="0.35">
      <c r="A143" s="1617" t="s">
        <v>96</v>
      </c>
      <c r="B143" s="751" t="s">
        <v>512</v>
      </c>
      <c r="C143" s="761"/>
      <c r="D143" s="761"/>
      <c r="E143" s="762">
        <f t="shared" ref="E143:X143" si="291">E133+E135+E137+E139+E141</f>
        <v>541.36599999999999</v>
      </c>
      <c r="F143" s="762">
        <f t="shared" si="291"/>
        <v>830.67700000000002</v>
      </c>
      <c r="G143" s="762">
        <f t="shared" si="291"/>
        <v>909.39300000000003</v>
      </c>
      <c r="H143" s="762">
        <f t="shared" si="291"/>
        <v>749.53300000000002</v>
      </c>
      <c r="I143" s="762">
        <f t="shared" si="291"/>
        <v>1315.8780000000002</v>
      </c>
      <c r="J143" s="762">
        <f t="shared" si="291"/>
        <v>1798.184</v>
      </c>
      <c r="K143" s="762">
        <f t="shared" si="291"/>
        <v>2718.2170000000001</v>
      </c>
      <c r="L143" s="762">
        <f t="shared" si="291"/>
        <v>3745.9450000000002</v>
      </c>
      <c r="M143" s="762">
        <f t="shared" si="291"/>
        <v>4743.0920000000006</v>
      </c>
      <c r="N143" s="762">
        <f t="shared" si="291"/>
        <v>5113.1149999999998</v>
      </c>
      <c r="O143" s="762">
        <f t="shared" si="291"/>
        <v>5982.8780000000006</v>
      </c>
      <c r="P143" s="762">
        <f t="shared" si="291"/>
        <v>7615.0299999999988</v>
      </c>
      <c r="Q143" s="762">
        <f t="shared" si="291"/>
        <v>8696.4210000000003</v>
      </c>
      <c r="R143" s="762">
        <f t="shared" si="291"/>
        <v>9235.7030000000013</v>
      </c>
      <c r="S143" s="762">
        <f t="shared" si="291"/>
        <v>9284.1589999999997</v>
      </c>
      <c r="T143" s="762">
        <f t="shared" si="291"/>
        <v>11982.743</v>
      </c>
      <c r="U143" s="762">
        <f t="shared" si="291"/>
        <v>14018.533000000001</v>
      </c>
      <c r="V143" s="762">
        <f t="shared" si="291"/>
        <v>16338.91</v>
      </c>
      <c r="W143" s="762">
        <f t="shared" si="291"/>
        <v>17846.527000000002</v>
      </c>
      <c r="X143" s="762">
        <f t="shared" si="291"/>
        <v>15981.707</v>
      </c>
      <c r="Y143" s="762"/>
      <c r="Z143" s="762">
        <f>Z133+Z135+Z137+Z139+Z141</f>
        <v>2545.8540000000003</v>
      </c>
      <c r="AA143" s="762">
        <f>AA133+AA135+AA137+AA139+AA141</f>
        <v>2567.2610000000004</v>
      </c>
      <c r="AB143" s="762">
        <f>AB133+AB135+AB137+AB139+AB141</f>
        <v>2307.4320000000002</v>
      </c>
      <c r="AC143" s="762">
        <f>AC133+AC135+AC137+AC139+AC141</f>
        <v>3675.4460000000004</v>
      </c>
      <c r="AD143" s="762">
        <f>AD133+AD135+AD137+AD139+AD141</f>
        <v>3253.404</v>
      </c>
      <c r="AE143" s="781">
        <f>P143-AD143</f>
        <v>4361.6259999999984</v>
      </c>
      <c r="AF143" s="781">
        <f>AF133+AF135+AF137+AF139+AF141</f>
        <v>4104.799</v>
      </c>
      <c r="AG143" s="752">
        <f>Q143-AF143</f>
        <v>4591.6220000000003</v>
      </c>
      <c r="AH143" s="781">
        <f t="shared" ref="AH143:AO143" si="292">AH133+AH135+AH137+AH139+AH141</f>
        <v>4352.1630000000005</v>
      </c>
      <c r="AI143" s="781">
        <f t="shared" si="292"/>
        <v>4883.5400000000009</v>
      </c>
      <c r="AJ143" s="781">
        <f t="shared" si="292"/>
        <v>5068.0079999999998</v>
      </c>
      <c r="AK143" s="781">
        <f t="shared" si="292"/>
        <v>4216.1509999999998</v>
      </c>
      <c r="AL143" s="781">
        <f t="shared" si="292"/>
        <v>6012.9699999999993</v>
      </c>
      <c r="AM143" s="781">
        <f t="shared" si="292"/>
        <v>5969.773000000001</v>
      </c>
      <c r="AN143" s="781">
        <f t="shared" si="292"/>
        <v>7217.2730000000001</v>
      </c>
      <c r="AO143" s="781">
        <f t="shared" si="292"/>
        <v>6801.2599999999993</v>
      </c>
      <c r="AP143" s="781">
        <f t="shared" ref="AP143" si="293">AP133+AP135+AP137+AP139+AP141</f>
        <v>8625.7379999999994</v>
      </c>
      <c r="AQ143" s="781">
        <f>AQ133+AQ135+AQ137+AQ139+AQ141</f>
        <v>7713.1719999999996</v>
      </c>
      <c r="AR143" s="781">
        <f>AR133+AR135+AR137+AR139+AR141</f>
        <v>9554.2620000000006</v>
      </c>
      <c r="AS143" s="781">
        <f t="shared" ref="AS143" si="294">W143-AR143</f>
        <v>8292.2650000000012</v>
      </c>
      <c r="AT143" s="781">
        <f>AT133+AT135+AT137+AT139+AT141</f>
        <v>8528.4480000000003</v>
      </c>
      <c r="AU143" s="762">
        <f>X143-AT143</f>
        <v>7453.259</v>
      </c>
      <c r="AV143" s="745"/>
      <c r="AW143" s="745"/>
      <c r="AX143" s="745"/>
      <c r="AY143" s="745"/>
      <c r="AZ143" s="745"/>
      <c r="BA143" s="745"/>
      <c r="BB143" s="745"/>
      <c r="BC143" s="745"/>
      <c r="BD143" s="745"/>
      <c r="BE143" s="745"/>
      <c r="BF143" s="745"/>
      <c r="BG143" s="745"/>
    </row>
    <row r="144" spans="1:59" x14ac:dyDescent="0.35">
      <c r="A144" s="1618" t="s">
        <v>577</v>
      </c>
      <c r="B144" s="753" t="s">
        <v>577</v>
      </c>
      <c r="C144" s="763"/>
      <c r="D144" s="763"/>
      <c r="E144" s="763"/>
      <c r="F144" s="755">
        <f t="shared" ref="F144:X144" si="295">F143/E143-1</f>
        <v>0.53440925362878366</v>
      </c>
      <c r="G144" s="755">
        <f t="shared" si="295"/>
        <v>9.476126099554949E-2</v>
      </c>
      <c r="H144" s="755">
        <f t="shared" si="295"/>
        <v>-0.17578758578524356</v>
      </c>
      <c r="I144" s="755">
        <f t="shared" si="295"/>
        <v>0.75559715182653742</v>
      </c>
      <c r="J144" s="755">
        <f t="shared" si="295"/>
        <v>0.3665279000028876</v>
      </c>
      <c r="K144" s="755">
        <f t="shared" si="295"/>
        <v>0.51164563804371532</v>
      </c>
      <c r="L144" s="755">
        <f t="shared" si="295"/>
        <v>0.37808901938292649</v>
      </c>
      <c r="M144" s="755">
        <f t="shared" si="295"/>
        <v>0.26619371079927778</v>
      </c>
      <c r="N144" s="755">
        <f t="shared" si="295"/>
        <v>7.8013034535277637E-2</v>
      </c>
      <c r="O144" s="755">
        <f t="shared" si="295"/>
        <v>0.17010432974810863</v>
      </c>
      <c r="P144" s="755">
        <f t="shared" si="295"/>
        <v>0.27280382451388752</v>
      </c>
      <c r="Q144" s="755">
        <f t="shared" si="295"/>
        <v>0.14200745105403412</v>
      </c>
      <c r="R144" s="755">
        <f t="shared" si="295"/>
        <v>6.2011947213687302E-2</v>
      </c>
      <c r="S144" s="755">
        <f t="shared" si="295"/>
        <v>5.2465957382992201E-3</v>
      </c>
      <c r="T144" s="755">
        <f t="shared" si="295"/>
        <v>0.29066542268395024</v>
      </c>
      <c r="U144" s="755">
        <f t="shared" si="295"/>
        <v>0.16989348765971202</v>
      </c>
      <c r="V144" s="755">
        <f t="shared" si="295"/>
        <v>0.16552209849632615</v>
      </c>
      <c r="W144" s="755">
        <f t="shared" si="295"/>
        <v>9.2271577479770883E-2</v>
      </c>
      <c r="X144" s="755">
        <f t="shared" si="295"/>
        <v>-0.10449203926343775</v>
      </c>
      <c r="Y144" s="756"/>
      <c r="Z144" s="755"/>
      <c r="AA144" s="755"/>
      <c r="AB144" s="755">
        <f t="shared" ref="AB144:AT144" si="296">AB143/Z143-1</f>
        <v>-9.3651089182647529E-2</v>
      </c>
      <c r="AC144" s="755">
        <f t="shared" si="296"/>
        <v>0.43166043499278017</v>
      </c>
      <c r="AD144" s="755">
        <f t="shared" si="296"/>
        <v>0.40996744432771992</v>
      </c>
      <c r="AE144" s="755">
        <f t="shared" si="296"/>
        <v>0.1866929890957445</v>
      </c>
      <c r="AF144" s="755">
        <f t="shared" si="296"/>
        <v>0.26169359845872209</v>
      </c>
      <c r="AG144" s="755">
        <f t="shared" si="296"/>
        <v>5.2731710605173898E-2</v>
      </c>
      <c r="AH144" s="755">
        <f t="shared" si="296"/>
        <v>6.0262146818882201E-2</v>
      </c>
      <c r="AI144" s="755">
        <f t="shared" si="296"/>
        <v>6.3576226440242856E-2</v>
      </c>
      <c r="AJ144" s="755">
        <f t="shared" si="296"/>
        <v>0.16448028256294611</v>
      </c>
      <c r="AK144" s="755">
        <f t="shared" si="296"/>
        <v>-0.13666090581832047</v>
      </c>
      <c r="AL144" s="755">
        <f t="shared" si="296"/>
        <v>0.18645629604373148</v>
      </c>
      <c r="AM144" s="755">
        <f t="shared" si="296"/>
        <v>0.41592960024439374</v>
      </c>
      <c r="AN144" s="755">
        <f t="shared" si="296"/>
        <v>0.20028421894671045</v>
      </c>
      <c r="AO144" s="755">
        <f t="shared" si="296"/>
        <v>0.13928285045344246</v>
      </c>
      <c r="AP144" s="755">
        <f t="shared" si="296"/>
        <v>0.19515196390658907</v>
      </c>
      <c r="AQ144" s="755">
        <f t="shared" si="296"/>
        <v>0.13407986167269015</v>
      </c>
      <c r="AR144" s="755">
        <f t="shared" si="296"/>
        <v>0.10764574579009945</v>
      </c>
      <c r="AS144" s="755">
        <f t="shared" si="279"/>
        <v>7.507845021477566E-2</v>
      </c>
      <c r="AT144" s="755">
        <f t="shared" si="296"/>
        <v>-0.10736716242447619</v>
      </c>
      <c r="AU144" s="755">
        <f t="shared" si="279"/>
        <v>-0.10117935208293527</v>
      </c>
    </row>
    <row r="146" spans="1:47" ht="10.5" x14ac:dyDescent="0.35">
      <c r="A146" s="1616" t="s">
        <v>2939</v>
      </c>
      <c r="B146" s="746" t="s">
        <v>2078</v>
      </c>
      <c r="C146" s="747"/>
      <c r="D146" s="747" t="s">
        <v>328</v>
      </c>
      <c r="E146" s="747" t="s">
        <v>323</v>
      </c>
      <c r="F146" s="747" t="s">
        <v>198</v>
      </c>
      <c r="G146" s="748" t="s">
        <v>331</v>
      </c>
      <c r="H146" s="748" t="s">
        <v>21</v>
      </c>
      <c r="I146" s="748" t="s">
        <v>721</v>
      </c>
      <c r="J146" s="748" t="s">
        <v>832</v>
      </c>
      <c r="K146" s="748" t="s">
        <v>831</v>
      </c>
      <c r="L146" s="748" t="s">
        <v>1376</v>
      </c>
      <c r="M146" s="748" t="s">
        <v>1510</v>
      </c>
      <c r="N146" s="748" t="s">
        <v>1747</v>
      </c>
      <c r="O146" s="748" t="s">
        <v>1739</v>
      </c>
      <c r="P146" s="748" t="s">
        <v>1810</v>
      </c>
      <c r="Q146" s="748" t="str">
        <f>$Q$1</f>
        <v>2018A</v>
      </c>
      <c r="R146" s="748" t="str">
        <f t="shared" ref="R146:X146" si="297">R$1</f>
        <v>2019A</v>
      </c>
      <c r="S146" s="748" t="str">
        <f t="shared" si="297"/>
        <v>2020A</v>
      </c>
      <c r="T146" s="748" t="str">
        <f t="shared" si="297"/>
        <v>2021A</v>
      </c>
      <c r="U146" s="748" t="str">
        <f t="shared" si="297"/>
        <v>2022A</v>
      </c>
      <c r="V146" s="748" t="str">
        <f t="shared" si="297"/>
        <v>2023A</v>
      </c>
      <c r="W146" s="748" t="str">
        <f t="shared" si="297"/>
        <v>2024A</v>
      </c>
      <c r="X146" s="748" t="str">
        <f t="shared" si="297"/>
        <v>2025A</v>
      </c>
      <c r="Y146" s="750"/>
      <c r="Z146" s="748" t="s">
        <v>1518</v>
      </c>
      <c r="AA146" s="748" t="s">
        <v>1866</v>
      </c>
      <c r="AB146" s="748" t="s">
        <v>1740</v>
      </c>
      <c r="AC146" s="748" t="s">
        <v>1865</v>
      </c>
      <c r="AD146" s="748" t="s">
        <v>1749</v>
      </c>
      <c r="AE146" s="748" t="s">
        <v>1811</v>
      </c>
      <c r="AF146" s="748" t="str">
        <f>$AF$1</f>
        <v>1H18</v>
      </c>
      <c r="AG146" s="748" t="str">
        <f t="shared" ref="AG146:AU146" si="298">AG$1</f>
        <v>2H18</v>
      </c>
      <c r="AH146" s="748" t="str">
        <f t="shared" si="298"/>
        <v>1H19</v>
      </c>
      <c r="AI146" s="748" t="str">
        <f t="shared" si="298"/>
        <v>2H19</v>
      </c>
      <c r="AJ146" s="748" t="str">
        <f t="shared" si="298"/>
        <v>1H20</v>
      </c>
      <c r="AK146" s="748" t="str">
        <f t="shared" si="298"/>
        <v>2H20</v>
      </c>
      <c r="AL146" s="748" t="str">
        <f t="shared" si="298"/>
        <v>1H21</v>
      </c>
      <c r="AM146" s="748" t="str">
        <f t="shared" si="298"/>
        <v>2H21</v>
      </c>
      <c r="AN146" s="748" t="str">
        <f t="shared" si="298"/>
        <v>1H22</v>
      </c>
      <c r="AO146" s="748" t="str">
        <f t="shared" si="298"/>
        <v>2H22</v>
      </c>
      <c r="AP146" s="748" t="str">
        <f t="shared" si="298"/>
        <v>1H23</v>
      </c>
      <c r="AQ146" s="748" t="str">
        <f t="shared" si="298"/>
        <v>2H23</v>
      </c>
      <c r="AR146" s="748" t="str">
        <f t="shared" si="298"/>
        <v>1H24</v>
      </c>
      <c r="AS146" s="748" t="str">
        <f t="shared" si="298"/>
        <v>2H24</v>
      </c>
      <c r="AT146" s="748" t="str">
        <f t="shared" si="298"/>
        <v>1H25</v>
      </c>
      <c r="AU146" s="748" t="str">
        <f t="shared" si="298"/>
        <v>2H25</v>
      </c>
    </row>
    <row r="147" spans="1:47" x14ac:dyDescent="0.35">
      <c r="A147" s="1617" t="s">
        <v>2923</v>
      </c>
      <c r="B147" s="751" t="s">
        <v>153</v>
      </c>
      <c r="C147" s="752"/>
      <c r="D147" s="752"/>
      <c r="E147" s="771">
        <f t="shared" ref="E147:X147" si="299">E133/E$143</f>
        <v>0.64351289146344615</v>
      </c>
      <c r="F147" s="771">
        <f t="shared" si="299"/>
        <v>0.21596480942652799</v>
      </c>
      <c r="G147" s="771">
        <f t="shared" si="299"/>
        <v>0.2507166868449614</v>
      </c>
      <c r="H147" s="771">
        <f t="shared" si="299"/>
        <v>0.41870204514010728</v>
      </c>
      <c r="I147" s="771">
        <f t="shared" si="299"/>
        <v>0.30031963449499116</v>
      </c>
      <c r="J147" s="771">
        <f t="shared" si="299"/>
        <v>0.35446261339217788</v>
      </c>
      <c r="K147" s="771">
        <f t="shared" si="299"/>
        <v>0.28807560249972686</v>
      </c>
      <c r="L147" s="771">
        <f t="shared" si="299"/>
        <v>0.21594577603248313</v>
      </c>
      <c r="M147" s="771">
        <f t="shared" si="299"/>
        <v>0.21311625412283799</v>
      </c>
      <c r="N147" s="771">
        <f t="shared" si="299"/>
        <v>0.20357472890791622</v>
      </c>
      <c r="O147" s="771">
        <f t="shared" si="299"/>
        <v>0.14944931185292426</v>
      </c>
      <c r="P147" s="771">
        <f t="shared" si="299"/>
        <v>0.12426123075024001</v>
      </c>
      <c r="Q147" s="771">
        <f t="shared" si="299"/>
        <v>0.13870637127618363</v>
      </c>
      <c r="R147" s="771">
        <f t="shared" si="299"/>
        <v>0.14152577232074265</v>
      </c>
      <c r="S147" s="771">
        <f t="shared" si="299"/>
        <v>0.12618245766794817</v>
      </c>
      <c r="T147" s="771">
        <f t="shared" si="299"/>
        <v>8.5873827052787483E-2</v>
      </c>
      <c r="U147" s="771">
        <f t="shared" si="299"/>
        <v>0.12132346515858684</v>
      </c>
      <c r="V147" s="771">
        <f t="shared" si="299"/>
        <v>9.4467746012432893E-2</v>
      </c>
      <c r="W147" s="771">
        <f t="shared" si="299"/>
        <v>8.4973899963841693E-2</v>
      </c>
      <c r="X147" s="771">
        <f t="shared" si="299"/>
        <v>9.1619124290039849E-2</v>
      </c>
      <c r="Y147" s="771"/>
      <c r="Z147" s="771">
        <f t="shared" ref="Z147:AN147" si="300">Z133/Z$143</f>
        <v>0.22313887599210319</v>
      </c>
      <c r="AA147" s="771">
        <f t="shared" si="300"/>
        <v>0.18417371665755841</v>
      </c>
      <c r="AB147" s="771">
        <f t="shared" si="300"/>
        <v>0.18285392592284408</v>
      </c>
      <c r="AC147" s="771">
        <f t="shared" si="300"/>
        <v>0.1284780132805651</v>
      </c>
      <c r="AD147" s="771">
        <f t="shared" si="300"/>
        <v>0.13627941688151857</v>
      </c>
      <c r="AE147" s="771">
        <f t="shared" si="300"/>
        <v>0.11529668064157729</v>
      </c>
      <c r="AF147" s="771">
        <f t="shared" si="300"/>
        <v>0.1158110299676062</v>
      </c>
      <c r="AG147" s="771">
        <f t="shared" si="300"/>
        <v>0.15917425258438087</v>
      </c>
      <c r="AH147" s="771">
        <f t="shared" si="300"/>
        <v>0.15404110553763725</v>
      </c>
      <c r="AI147" s="771">
        <f t="shared" si="300"/>
        <v>0.13037222998071066</v>
      </c>
      <c r="AJ147" s="771">
        <f t="shared" si="300"/>
        <v>0.13071861765016946</v>
      </c>
      <c r="AK147" s="771">
        <f t="shared" si="300"/>
        <v>0.12072978410877602</v>
      </c>
      <c r="AL147" s="771">
        <f t="shared" si="300"/>
        <v>8.9336717129804413E-2</v>
      </c>
      <c r="AM147" s="771">
        <f t="shared" si="300"/>
        <v>8.2385879664101103E-2</v>
      </c>
      <c r="AN147" s="771">
        <f t="shared" si="300"/>
        <v>0.12987827951083464</v>
      </c>
      <c r="AO147" s="771">
        <f t="shared" ref="AO147" si="301">AO133/AO$143</f>
        <v>0.11224537806230024</v>
      </c>
      <c r="AP147" s="771">
        <f t="shared" ref="AP147:AR147" si="302">AP133/AP$143</f>
        <v>9.1174227642898509E-2</v>
      </c>
      <c r="AQ147" s="771">
        <f t="shared" ref="AQ147:AS147" si="303">AQ133/AQ$143</f>
        <v>9.8150929345281038E-2</v>
      </c>
      <c r="AR147" s="771">
        <f t="shared" si="302"/>
        <v>9.9834817173738793E-2</v>
      </c>
      <c r="AS147" s="771">
        <f t="shared" si="303"/>
        <v>6.7851304800316925E-2</v>
      </c>
      <c r="AT147" s="771">
        <f t="shared" ref="AT147:AU147" si="304">AT133/AT$143</f>
        <v>0.10319486030752606</v>
      </c>
      <c r="AU147" s="771">
        <f t="shared" si="304"/>
        <v>7.8373500773285892E-2</v>
      </c>
    </row>
    <row r="148" spans="1:47" x14ac:dyDescent="0.35">
      <c r="A148" s="1625" t="s">
        <v>2924</v>
      </c>
      <c r="B148" s="772" t="s">
        <v>359</v>
      </c>
      <c r="C148" s="754"/>
      <c r="D148" s="755"/>
      <c r="E148" s="773">
        <f t="shared" ref="E148:X148" si="305">E135/E$143</f>
        <v>0.20166024464040963</v>
      </c>
      <c r="F148" s="773">
        <f t="shared" si="305"/>
        <v>0.32993570304703268</v>
      </c>
      <c r="G148" s="773">
        <f t="shared" si="305"/>
        <v>0.31009695478192595</v>
      </c>
      <c r="H148" s="773">
        <f t="shared" si="305"/>
        <v>0.12003073914023799</v>
      </c>
      <c r="I148" s="773">
        <f t="shared" si="305"/>
        <v>1.9599841322675809E-2</v>
      </c>
      <c r="J148" s="773">
        <f t="shared" si="305"/>
        <v>3.958882961921583E-2</v>
      </c>
      <c r="K148" s="773">
        <f t="shared" si="305"/>
        <v>2.4287244175133921E-2</v>
      </c>
      <c r="L148" s="773">
        <f t="shared" si="305"/>
        <v>3.3027980923371808E-2</v>
      </c>
      <c r="M148" s="773">
        <f t="shared" si="305"/>
        <v>2.0310379811312958E-2</v>
      </c>
      <c r="N148" s="773">
        <f t="shared" si="305"/>
        <v>5.2532555985930304E-2</v>
      </c>
      <c r="O148" s="773">
        <f t="shared" si="305"/>
        <v>0.15400949175296569</v>
      </c>
      <c r="P148" s="773">
        <f t="shared" si="305"/>
        <v>0.11374045801526718</v>
      </c>
      <c r="Q148" s="773">
        <f t="shared" si="305"/>
        <v>8.6537898751681872E-2</v>
      </c>
      <c r="R148" s="773">
        <f t="shared" si="305"/>
        <v>5.2748123234365583E-2</v>
      </c>
      <c r="S148" s="773">
        <f t="shared" si="305"/>
        <v>5.7800604233512159E-2</v>
      </c>
      <c r="T148" s="773">
        <f t="shared" si="305"/>
        <v>7.1215413699517713E-2</v>
      </c>
      <c r="U148" s="773">
        <f t="shared" si="305"/>
        <v>4.0659532634406179E-2</v>
      </c>
      <c r="V148" s="773">
        <f t="shared" si="305"/>
        <v>5.9054857392567807E-2</v>
      </c>
      <c r="W148" s="773">
        <f t="shared" si="305"/>
        <v>6.6959022335270055E-2</v>
      </c>
      <c r="X148" s="773">
        <f t="shared" si="305"/>
        <v>4.8197542352641051E-2</v>
      </c>
      <c r="Y148" s="771"/>
      <c r="Z148" s="773">
        <f t="shared" ref="Z148:AN148" si="306">Z135/Z$143</f>
        <v>3.0590128106325026E-2</v>
      </c>
      <c r="AA148" s="773">
        <f t="shared" si="306"/>
        <v>7.4292017835350596E-2</v>
      </c>
      <c r="AB148" s="773">
        <f t="shared" si="306"/>
        <v>0.13061359988073321</v>
      </c>
      <c r="AC148" s="773">
        <f t="shared" si="306"/>
        <v>0.16869734992705646</v>
      </c>
      <c r="AD148" s="773">
        <f t="shared" si="306"/>
        <v>0.14005730613228484</v>
      </c>
      <c r="AE148" s="773">
        <f t="shared" si="306"/>
        <v>9.4110315740047426E-2</v>
      </c>
      <c r="AF148" s="773">
        <f t="shared" si="306"/>
        <v>0.14374126479761859</v>
      </c>
      <c r="AG148" s="773">
        <f t="shared" si="306"/>
        <v>3.5399473214476285E-2</v>
      </c>
      <c r="AH148" s="773">
        <f t="shared" si="306"/>
        <v>5.5149359065825423E-2</v>
      </c>
      <c r="AI148" s="773">
        <f t="shared" si="306"/>
        <v>5.0608165388222465E-2</v>
      </c>
      <c r="AJ148" s="773">
        <f t="shared" si="306"/>
        <v>4.7667446460226588E-2</v>
      </c>
      <c r="AK148" s="773">
        <f t="shared" si="306"/>
        <v>6.9981127336283727E-2</v>
      </c>
      <c r="AL148" s="773">
        <f t="shared" si="306"/>
        <v>7.9778711684907799E-2</v>
      </c>
      <c r="AM148" s="773">
        <f t="shared" si="306"/>
        <v>6.2590152087859952E-2</v>
      </c>
      <c r="AN148" s="773">
        <f t="shared" si="306"/>
        <v>5.778650745232998E-2</v>
      </c>
      <c r="AO148" s="773">
        <f t="shared" ref="AO148" si="307">AO135/AO$143</f>
        <v>2.2484951317844046E-2</v>
      </c>
      <c r="AP148" s="773">
        <f t="shared" ref="AP148:AR148" si="308">AP135/AP$143</f>
        <v>7.7455981157786152E-2</v>
      </c>
      <c r="AQ148" s="773">
        <f t="shared" ref="AQ148:AS148" si="309">AQ135/AQ$143</f>
        <v>3.8476647480439961E-2</v>
      </c>
      <c r="AR148" s="773">
        <f t="shared" si="308"/>
        <v>7.3750332574091013E-2</v>
      </c>
      <c r="AS148" s="773">
        <f t="shared" si="309"/>
        <v>5.9134144892861E-2</v>
      </c>
      <c r="AT148" s="773">
        <f t="shared" ref="AT148:AU148" si="310">AT135/AT$143</f>
        <v>4.9466913558011957E-2</v>
      </c>
      <c r="AU148" s="773">
        <f t="shared" si="310"/>
        <v>4.6745054747191803E-2</v>
      </c>
    </row>
    <row r="149" spans="1:47" x14ac:dyDescent="0.35">
      <c r="A149" s="1617" t="s">
        <v>143</v>
      </c>
      <c r="B149" s="751" t="s">
        <v>1836</v>
      </c>
      <c r="C149" s="752"/>
      <c r="D149" s="756"/>
      <c r="E149" s="771">
        <f t="shared" ref="E149:X149" si="311">E137/E$143</f>
        <v>0.12725956192298743</v>
      </c>
      <c r="F149" s="771">
        <f t="shared" si="311"/>
        <v>0.35983179984518648</v>
      </c>
      <c r="G149" s="771">
        <f t="shared" si="311"/>
        <v>0.37167649190174101</v>
      </c>
      <c r="H149" s="771">
        <f t="shared" si="311"/>
        <v>0.48665902635374292</v>
      </c>
      <c r="I149" s="771">
        <f t="shared" si="311"/>
        <v>0.69910964390315811</v>
      </c>
      <c r="J149" s="771">
        <f t="shared" si="311"/>
        <v>0.67284994194142533</v>
      </c>
      <c r="K149" s="771">
        <f t="shared" si="311"/>
        <v>0.65133247272016914</v>
      </c>
      <c r="L149" s="771">
        <f t="shared" si="311"/>
        <v>0.74544020267248989</v>
      </c>
      <c r="M149" s="771">
        <f t="shared" si="311"/>
        <v>0.75383167773258442</v>
      </c>
      <c r="N149" s="771">
        <f t="shared" si="311"/>
        <v>0.71106575932675098</v>
      </c>
      <c r="O149" s="771">
        <f t="shared" si="311"/>
        <v>0.67325273889923876</v>
      </c>
      <c r="P149" s="771">
        <f t="shared" si="311"/>
        <v>0.70417122453883974</v>
      </c>
      <c r="Q149" s="771">
        <f t="shared" si="311"/>
        <v>0.7341018793823344</v>
      </c>
      <c r="R149" s="771">
        <f t="shared" si="311"/>
        <v>0.7397637191234927</v>
      </c>
      <c r="S149" s="771">
        <f t="shared" si="311"/>
        <v>0.76338126048896837</v>
      </c>
      <c r="T149" s="771">
        <f t="shared" si="311"/>
        <v>0.78719697151144774</v>
      </c>
      <c r="U149" s="771">
        <f t="shared" si="311"/>
        <v>0.78573464142075344</v>
      </c>
      <c r="V149" s="771">
        <f t="shared" si="311"/>
        <v>0.78675994910309188</v>
      </c>
      <c r="W149" s="771">
        <f t="shared" si="311"/>
        <v>0.79385518538144706</v>
      </c>
      <c r="X149" s="771">
        <f t="shared" si="311"/>
        <v>0.8341612069349037</v>
      </c>
      <c r="Y149" s="771"/>
      <c r="Z149" s="771">
        <f t="shared" ref="Z149:AN149" si="312">Z137/Z$143</f>
        <v>0.70098010333664063</v>
      </c>
      <c r="AA149" s="771">
        <f t="shared" si="312"/>
        <v>0.72106731649022038</v>
      </c>
      <c r="AB149" s="771">
        <f t="shared" si="312"/>
        <v>0.63293176136934903</v>
      </c>
      <c r="AC149" s="771">
        <f t="shared" si="312"/>
        <v>0.69856610599094648</v>
      </c>
      <c r="AD149" s="771">
        <f t="shared" si="312"/>
        <v>0.65675489425844435</v>
      </c>
      <c r="AE149" s="771">
        <f t="shared" si="312"/>
        <v>0.73953979547994286</v>
      </c>
      <c r="AF149" s="771">
        <f t="shared" si="312"/>
        <v>0.69725630901781066</v>
      </c>
      <c r="AG149" s="771">
        <f t="shared" si="312"/>
        <v>0.76704092802064272</v>
      </c>
      <c r="AH149" s="771">
        <f t="shared" si="312"/>
        <v>0.73187079619949891</v>
      </c>
      <c r="AI149" s="771">
        <f t="shared" si="312"/>
        <v>0.74679781469999218</v>
      </c>
      <c r="AJ149" s="771">
        <f t="shared" si="312"/>
        <v>0.76433561272989314</v>
      </c>
      <c r="AK149" s="771">
        <f t="shared" si="312"/>
        <v>0.76223408506953383</v>
      </c>
      <c r="AL149" s="771">
        <f t="shared" si="312"/>
        <v>0.76728538475994401</v>
      </c>
      <c r="AM149" s="771">
        <f t="shared" si="312"/>
        <v>0.80725263757935184</v>
      </c>
      <c r="AN149" s="771">
        <f t="shared" si="312"/>
        <v>0.73764841651410451</v>
      </c>
      <c r="AO149" s="771">
        <f t="shared" ref="AO149" si="313">AO137/AO$143</f>
        <v>0.83676215877646198</v>
      </c>
      <c r="AP149" s="771">
        <f t="shared" ref="AP149:AR149" si="314">AP137/AP$143</f>
        <v>0.75282172957258853</v>
      </c>
      <c r="AQ149" s="771">
        <f t="shared" ref="AQ149:AS149" si="315">AQ137/AQ$143</f>
        <v>0.82471349011794359</v>
      </c>
      <c r="AR149" s="771">
        <f t="shared" si="314"/>
        <v>0.74677447614478221</v>
      </c>
      <c r="AS149" s="771">
        <f t="shared" si="315"/>
        <v>0.84810109180061177</v>
      </c>
      <c r="AT149" s="771">
        <f t="shared" ref="AT149:AU149" si="316">AT137/AT$143</f>
        <v>0.78328378152742439</v>
      </c>
      <c r="AU149" s="771">
        <f t="shared" si="316"/>
        <v>0.8923780858816257</v>
      </c>
    </row>
    <row r="150" spans="1:47" x14ac:dyDescent="0.35">
      <c r="A150" s="1625" t="s">
        <v>2930</v>
      </c>
      <c r="B150" s="772" t="s">
        <v>718</v>
      </c>
      <c r="C150" s="754"/>
      <c r="D150" s="755"/>
      <c r="E150" s="773">
        <f t="shared" ref="E150:X150" si="317">E139/E$143</f>
        <v>2.7567301973156794E-2</v>
      </c>
      <c r="F150" s="773">
        <f t="shared" si="317"/>
        <v>9.4267687681252751E-2</v>
      </c>
      <c r="G150" s="773">
        <f t="shared" si="317"/>
        <v>6.7509866471371596E-2</v>
      </c>
      <c r="H150" s="773">
        <f t="shared" si="317"/>
        <v>-2.5391810634088158E-2</v>
      </c>
      <c r="I150" s="773">
        <f t="shared" si="317"/>
        <v>-1.9029119720825181E-2</v>
      </c>
      <c r="J150" s="773">
        <f t="shared" si="317"/>
        <v>-6.6901384952819068E-2</v>
      </c>
      <c r="K150" s="773">
        <f t="shared" si="317"/>
        <v>-5.0706032667737705E-3</v>
      </c>
      <c r="L150" s="773">
        <f t="shared" si="317"/>
        <v>2.9618694348155137E-3</v>
      </c>
      <c r="M150" s="773">
        <f t="shared" si="317"/>
        <v>-5.893623821760151E-3</v>
      </c>
      <c r="N150" s="773">
        <f t="shared" si="317"/>
        <v>-3.1720389625502264E-3</v>
      </c>
      <c r="O150" s="773">
        <f t="shared" si="317"/>
        <v>-3.1941149393318728E-3</v>
      </c>
      <c r="P150" s="773">
        <f t="shared" si="317"/>
        <v>5.0623569440960844E-4</v>
      </c>
      <c r="Q150" s="773">
        <f t="shared" si="317"/>
        <v>0</v>
      </c>
      <c r="R150" s="773">
        <f t="shared" si="317"/>
        <v>0</v>
      </c>
      <c r="S150" s="773">
        <f t="shared" si="317"/>
        <v>0</v>
      </c>
      <c r="T150" s="773">
        <f t="shared" si="317"/>
        <v>0</v>
      </c>
      <c r="U150" s="773">
        <f t="shared" si="317"/>
        <v>0</v>
      </c>
      <c r="V150" s="773">
        <f t="shared" si="317"/>
        <v>0</v>
      </c>
      <c r="W150" s="773">
        <f t="shared" si="317"/>
        <v>0</v>
      </c>
      <c r="X150" s="773">
        <f t="shared" si="317"/>
        <v>0</v>
      </c>
      <c r="Y150" s="771"/>
      <c r="Z150" s="773">
        <f t="shared" ref="Z150:AN150" si="318">Z139/Z$143</f>
        <v>-4.0336170102448915E-3</v>
      </c>
      <c r="AA150" s="773">
        <f t="shared" si="318"/>
        <v>-2.3176451478832891E-3</v>
      </c>
      <c r="AB150" s="773">
        <f t="shared" si="318"/>
        <v>-4.3247211618803929E-3</v>
      </c>
      <c r="AC150" s="773">
        <f t="shared" si="318"/>
        <v>-2.4843243513848388E-3</v>
      </c>
      <c r="AD150" s="773">
        <f t="shared" si="318"/>
        <v>0</v>
      </c>
      <c r="AE150" s="773">
        <f t="shared" si="318"/>
        <v>0</v>
      </c>
      <c r="AF150" s="773">
        <f t="shared" si="318"/>
        <v>0</v>
      </c>
      <c r="AG150" s="773">
        <f t="shared" si="318"/>
        <v>0</v>
      </c>
      <c r="AH150" s="773">
        <f t="shared" si="318"/>
        <v>0</v>
      </c>
      <c r="AI150" s="773">
        <f t="shared" si="318"/>
        <v>0</v>
      </c>
      <c r="AJ150" s="773">
        <f t="shared" si="318"/>
        <v>0</v>
      </c>
      <c r="AK150" s="773">
        <f t="shared" si="318"/>
        <v>0</v>
      </c>
      <c r="AL150" s="773">
        <f t="shared" si="318"/>
        <v>0</v>
      </c>
      <c r="AM150" s="773">
        <f t="shared" si="318"/>
        <v>0</v>
      </c>
      <c r="AN150" s="773">
        <f t="shared" si="318"/>
        <v>0</v>
      </c>
      <c r="AO150" s="773">
        <f t="shared" ref="AO150" si="319">AO139/AO$143</f>
        <v>0</v>
      </c>
      <c r="AP150" s="773">
        <f t="shared" ref="AP150:AR150" si="320">AP139/AP$143</f>
        <v>0</v>
      </c>
      <c r="AQ150" s="773">
        <f t="shared" ref="AQ150:AS150" si="321">AQ139/AQ$143</f>
        <v>0</v>
      </c>
      <c r="AR150" s="773">
        <f t="shared" si="320"/>
        <v>0</v>
      </c>
      <c r="AS150" s="773">
        <f t="shared" si="321"/>
        <v>0</v>
      </c>
      <c r="AT150" s="773">
        <f t="shared" ref="AT150:AU150" si="322">AT139/AT$143</f>
        <v>0</v>
      </c>
      <c r="AU150" s="773">
        <f t="shared" si="322"/>
        <v>0</v>
      </c>
    </row>
    <row r="151" spans="1:47" x14ac:dyDescent="0.35">
      <c r="A151" s="1617" t="s">
        <v>2675</v>
      </c>
      <c r="B151" s="751" t="s">
        <v>1869</v>
      </c>
      <c r="C151" s="752"/>
      <c r="D151" s="756"/>
      <c r="E151" s="771"/>
      <c r="F151" s="771"/>
      <c r="G151" s="771"/>
      <c r="H151" s="771"/>
      <c r="I151" s="771"/>
      <c r="J151" s="771"/>
      <c r="K151" s="771">
        <f t="shared" ref="K151:X151" si="323">K141/K$143</f>
        <v>4.1375283871743863E-2</v>
      </c>
      <c r="L151" s="771">
        <f t="shared" si="323"/>
        <v>2.6241709368397025E-3</v>
      </c>
      <c r="M151" s="771">
        <f t="shared" si="323"/>
        <v>1.8635312155024609E-2</v>
      </c>
      <c r="N151" s="771">
        <f t="shared" si="323"/>
        <v>3.5998994741952804E-2</v>
      </c>
      <c r="O151" s="771">
        <f t="shared" si="323"/>
        <v>2.6482572434203069E-2</v>
      </c>
      <c r="P151" s="771">
        <f t="shared" si="323"/>
        <v>5.7320851001243601E-2</v>
      </c>
      <c r="Q151" s="771">
        <f t="shared" si="323"/>
        <v>4.0653850589800103E-2</v>
      </c>
      <c r="R151" s="771">
        <f t="shared" si="323"/>
        <v>6.596238532139892E-2</v>
      </c>
      <c r="S151" s="771">
        <f t="shared" si="323"/>
        <v>5.2635677609571316E-2</v>
      </c>
      <c r="T151" s="771">
        <f t="shared" si="323"/>
        <v>5.5713787736247036E-2</v>
      </c>
      <c r="U151" s="771">
        <f t="shared" si="323"/>
        <v>5.2282360786253451E-2</v>
      </c>
      <c r="V151" s="771">
        <f t="shared" si="323"/>
        <v>5.9717447491907355E-2</v>
      </c>
      <c r="W151" s="771">
        <f t="shared" si="323"/>
        <v>5.4211892319441193E-2</v>
      </c>
      <c r="X151" s="771">
        <f t="shared" si="323"/>
        <v>2.6022126422415328E-2</v>
      </c>
      <c r="Y151" s="771"/>
      <c r="Z151" s="771">
        <f t="shared" ref="Z151:AO151" si="324">Z141/Z$143</f>
        <v>4.9324509575175944E-2</v>
      </c>
      <c r="AA151" s="771">
        <f t="shared" si="324"/>
        <v>2.2784594164753799E-2</v>
      </c>
      <c r="AB151" s="771">
        <f t="shared" si="324"/>
        <v>5.7925433988953945E-2</v>
      </c>
      <c r="AC151" s="771">
        <f t="shared" si="324"/>
        <v>6.742855152816832E-3</v>
      </c>
      <c r="AD151" s="771">
        <f t="shared" si="324"/>
        <v>6.6908382727752222E-2</v>
      </c>
      <c r="AE151" s="771">
        <f t="shared" si="324"/>
        <v>5.016936344381661E-2</v>
      </c>
      <c r="AF151" s="771">
        <f t="shared" si="324"/>
        <v>4.3191396216964585E-2</v>
      </c>
      <c r="AG151" s="771">
        <f t="shared" si="324"/>
        <v>3.8385346180500046E-2</v>
      </c>
      <c r="AH151" s="771">
        <f t="shared" si="324"/>
        <v>5.8938739197038348E-2</v>
      </c>
      <c r="AI151" s="771">
        <f t="shared" si="324"/>
        <v>7.2221789931074587E-2</v>
      </c>
      <c r="AJ151" s="771">
        <f t="shared" si="324"/>
        <v>5.7278323159710876E-2</v>
      </c>
      <c r="AK151" s="771">
        <f t="shared" si="324"/>
        <v>4.7055003485406484E-2</v>
      </c>
      <c r="AL151" s="771">
        <f t="shared" si="324"/>
        <v>6.3599186425343887E-2</v>
      </c>
      <c r="AM151" s="771">
        <f t="shared" si="324"/>
        <v>4.7771330668687065E-2</v>
      </c>
      <c r="AN151" s="771">
        <f t="shared" si="324"/>
        <v>7.4686796522730942E-2</v>
      </c>
      <c r="AO151" s="771">
        <f t="shared" si="324"/>
        <v>2.8507511843393736E-2</v>
      </c>
      <c r="AP151" s="771">
        <f t="shared" ref="AP151:AR151" si="325">AP141/AP$143</f>
        <v>7.8548061626726895E-2</v>
      </c>
      <c r="AQ151" s="771">
        <f t="shared" ref="AQ151:AS151" si="326">AQ141/AQ$143</f>
        <v>3.8658933056335318E-2</v>
      </c>
      <c r="AR151" s="771">
        <f t="shared" si="325"/>
        <v>7.9640374107387876E-2</v>
      </c>
      <c r="AS151" s="771">
        <f t="shared" si="326"/>
        <v>2.4913458506210309E-2</v>
      </c>
      <c r="AT151" s="771">
        <f t="shared" ref="AT151:AU151" si="327">AT141/AT$143</f>
        <v>6.405444460703752E-2</v>
      </c>
      <c r="AU151" s="771">
        <f t="shared" si="327"/>
        <v>-1.7496641402103427E-2</v>
      </c>
    </row>
    <row r="152" spans="1:47" x14ac:dyDescent="0.35">
      <c r="A152" s="1617"/>
      <c r="B152" s="751"/>
      <c r="C152" s="752"/>
      <c r="D152" s="756"/>
      <c r="E152" s="771"/>
      <c r="F152" s="771"/>
      <c r="G152" s="771"/>
      <c r="H152" s="771"/>
      <c r="I152" s="771"/>
      <c r="J152" s="771"/>
      <c r="K152" s="771"/>
      <c r="L152" s="771"/>
      <c r="M152" s="771"/>
      <c r="N152" s="771"/>
      <c r="O152" s="771"/>
      <c r="P152" s="771"/>
      <c r="Q152" s="771"/>
      <c r="R152" s="771"/>
      <c r="S152" s="771"/>
      <c r="T152" s="771"/>
      <c r="U152" s="771"/>
      <c r="V152" s="771"/>
      <c r="W152" s="771"/>
      <c r="X152" s="771"/>
      <c r="Y152" s="771"/>
    </row>
    <row r="153" spans="1:47" ht="10.5" x14ac:dyDescent="0.35">
      <c r="A153" s="1616" t="s">
        <v>93</v>
      </c>
      <c r="B153" s="746" t="s">
        <v>2079</v>
      </c>
      <c r="C153" s="747"/>
      <c r="D153" s="747" t="s">
        <v>328</v>
      </c>
      <c r="E153" s="747" t="s">
        <v>323</v>
      </c>
      <c r="F153" s="747" t="s">
        <v>198</v>
      </c>
      <c r="G153" s="748" t="s">
        <v>331</v>
      </c>
      <c r="H153" s="748" t="s">
        <v>21</v>
      </c>
      <c r="I153" s="748" t="s">
        <v>721</v>
      </c>
      <c r="J153" s="748" t="s">
        <v>832</v>
      </c>
      <c r="K153" s="748" t="s">
        <v>831</v>
      </c>
      <c r="L153" s="748" t="s">
        <v>1376</v>
      </c>
      <c r="M153" s="748" t="s">
        <v>1510</v>
      </c>
      <c r="N153" s="748" t="s">
        <v>1747</v>
      </c>
      <c r="O153" s="748" t="s">
        <v>1739</v>
      </c>
      <c r="P153" s="748" t="s">
        <v>1810</v>
      </c>
      <c r="Q153" s="748" t="str">
        <f>$Q$1</f>
        <v>2018A</v>
      </c>
      <c r="R153" s="748" t="str">
        <f t="shared" ref="R153:X153" si="328">R$1</f>
        <v>2019A</v>
      </c>
      <c r="S153" s="748" t="str">
        <f t="shared" si="328"/>
        <v>2020A</v>
      </c>
      <c r="T153" s="748" t="str">
        <f t="shared" si="328"/>
        <v>2021A</v>
      </c>
      <c r="U153" s="748" t="str">
        <f t="shared" si="328"/>
        <v>2022A</v>
      </c>
      <c r="V153" s="748" t="str">
        <f t="shared" si="328"/>
        <v>2023A</v>
      </c>
      <c r="W153" s="748" t="str">
        <f t="shared" si="328"/>
        <v>2024A</v>
      </c>
      <c r="X153" s="748" t="str">
        <f t="shared" si="328"/>
        <v>2025A</v>
      </c>
      <c r="Y153" s="750"/>
      <c r="Z153" s="748" t="s">
        <v>1518</v>
      </c>
      <c r="AA153" s="748" t="s">
        <v>1866</v>
      </c>
      <c r="AB153" s="748" t="s">
        <v>1740</v>
      </c>
      <c r="AC153" s="748" t="s">
        <v>1865</v>
      </c>
      <c r="AD153" s="748" t="s">
        <v>1749</v>
      </c>
      <c r="AL153" s="748" t="str">
        <f t="shared" ref="AL153:AU153" si="329">AL$1</f>
        <v>1H21</v>
      </c>
      <c r="AM153" s="748" t="str">
        <f t="shared" si="329"/>
        <v>2H21</v>
      </c>
      <c r="AN153" s="748" t="str">
        <f t="shared" si="329"/>
        <v>1H22</v>
      </c>
      <c r="AO153" s="748" t="str">
        <f t="shared" si="329"/>
        <v>2H22</v>
      </c>
      <c r="AP153" s="748" t="str">
        <f t="shared" si="329"/>
        <v>1H23</v>
      </c>
      <c r="AQ153" s="748" t="str">
        <f t="shared" si="329"/>
        <v>2H23</v>
      </c>
      <c r="AR153" s="748" t="str">
        <f t="shared" si="329"/>
        <v>1H24</v>
      </c>
      <c r="AS153" s="749" t="s">
        <v>2887</v>
      </c>
      <c r="AT153" s="748" t="str">
        <f t="shared" si="329"/>
        <v>1H25</v>
      </c>
      <c r="AU153" s="748" t="str">
        <f t="shared" si="329"/>
        <v>2H25</v>
      </c>
    </row>
    <row r="154" spans="1:47" x14ac:dyDescent="0.35">
      <c r="A154" s="1617" t="s">
        <v>2923</v>
      </c>
      <c r="B154" s="751" t="s">
        <v>153</v>
      </c>
      <c r="C154" s="752"/>
      <c r="D154" s="752"/>
      <c r="E154" s="771">
        <f t="shared" ref="E154:U154" si="330">E168/E81</f>
        <v>6.4524849731292702E-2</v>
      </c>
      <c r="F154" s="771">
        <f t="shared" si="330"/>
        <v>2.1571980685242943E-2</v>
      </c>
      <c r="G154" s="771">
        <f t="shared" si="330"/>
        <v>2.1120171423747763E-2</v>
      </c>
      <c r="H154" s="771">
        <f t="shared" si="330"/>
        <v>3.8446006316256581E-2</v>
      </c>
      <c r="I154" s="771">
        <f t="shared" si="330"/>
        <v>4.6904741479871497E-2</v>
      </c>
      <c r="J154" s="771">
        <f t="shared" si="330"/>
        <v>5.9947331532853136E-2</v>
      </c>
      <c r="K154" s="771">
        <f t="shared" si="330"/>
        <v>5.9043607297597452E-2</v>
      </c>
      <c r="L154" s="771">
        <f t="shared" si="330"/>
        <v>6.6471266755636679E-2</v>
      </c>
      <c r="M154" s="771">
        <f t="shared" si="330"/>
        <v>5.8816732940789547E-2</v>
      </c>
      <c r="N154" s="771">
        <f t="shared" si="330"/>
        <v>5.5549727637525706E-2</v>
      </c>
      <c r="O154" s="771">
        <f t="shared" si="330"/>
        <v>4.629368364294887E-2</v>
      </c>
      <c r="P154" s="771">
        <f t="shared" si="330"/>
        <v>5.6550225873992006E-2</v>
      </c>
      <c r="Q154" s="771">
        <f t="shared" si="330"/>
        <v>7.8714388857740972E-2</v>
      </c>
      <c r="R154" s="771">
        <f t="shared" si="330"/>
        <v>6.3152567002403057E-2</v>
      </c>
      <c r="S154" s="771">
        <f t="shared" si="330"/>
        <v>4.4189841012091419E-2</v>
      </c>
      <c r="T154" s="771">
        <f t="shared" si="330"/>
        <v>3.5636140369786413E-2</v>
      </c>
      <c r="U154" s="771">
        <f t="shared" si="330"/>
        <v>3.4154608681749139E-2</v>
      </c>
      <c r="V154" s="771">
        <f>V168/V81</f>
        <v>3.3272972735076782E-2</v>
      </c>
      <c r="W154" s="771">
        <f t="shared" ref="W154" si="331">W168/W81</f>
        <v>2.9605785560918387E-2</v>
      </c>
      <c r="X154" s="771">
        <f>X168/X81</f>
        <v>3.1235535959365856E-2</v>
      </c>
      <c r="Y154" s="786"/>
      <c r="Z154" s="786">
        <f>Z168/Z81</f>
        <v>6.8062730101690283E-2</v>
      </c>
      <c r="AA154" s="786">
        <f>AA168/AA81</f>
        <v>4.4726642502493329E-2</v>
      </c>
      <c r="AB154" s="786">
        <f>AB168/AB81</f>
        <v>5.335071077617471E-2</v>
      </c>
      <c r="AC154" s="786">
        <f>AC168/AC81</f>
        <v>4.1393934588235703E-2</v>
      </c>
      <c r="AD154" s="786">
        <f>AD168/AD81</f>
        <v>4.7725465106187019E-2</v>
      </c>
      <c r="AF154" s="148">
        <f t="shared" ref="AF154:AN154" si="332">AF168/AF81</f>
        <v>7.0728467315403207E-2</v>
      </c>
      <c r="AG154" s="148">
        <f t="shared" si="332"/>
        <v>8.6528950122055623E-2</v>
      </c>
      <c r="AH154" s="779">
        <f t="shared" si="332"/>
        <v>7.2341789329915571E-2</v>
      </c>
      <c r="AI154" s="779">
        <f t="shared" si="332"/>
        <v>5.5343279906190555E-2</v>
      </c>
      <c r="AJ154" s="779">
        <f t="shared" si="332"/>
        <v>6.7916542410780864E-2</v>
      </c>
      <c r="AK154" s="779">
        <f t="shared" si="332"/>
        <v>2.403092570555623E-2</v>
      </c>
      <c r="AL154" s="771">
        <f t="shared" si="332"/>
        <v>4.1999833207761517E-2</v>
      </c>
      <c r="AM154" s="771">
        <f t="shared" si="332"/>
        <v>3.0655959483835163E-2</v>
      </c>
      <c r="AN154" s="771">
        <f t="shared" si="332"/>
        <v>3.6766091453334537E-2</v>
      </c>
      <c r="AO154" s="771">
        <f t="shared" ref="AO154" si="333">AO168/AO81</f>
        <v>2.9934259804000479E-2</v>
      </c>
      <c r="AP154" s="771">
        <f t="shared" ref="AP154:AR154" si="334">AP168/AP81</f>
        <v>5.8290796996538996E-2</v>
      </c>
      <c r="AQ154" s="771">
        <f t="shared" ref="AQ154" si="335">AQ168/AQ81</f>
        <v>1.2247215258186553E-2</v>
      </c>
      <c r="AR154" s="771">
        <f t="shared" si="334"/>
        <v>5.1332232255519902E-2</v>
      </c>
      <c r="AS154" s="771">
        <f t="shared" ref="AS154:AT154" si="336">AS168/AS81</f>
        <v>1.2373199116605943E-2</v>
      </c>
      <c r="AT154" s="771">
        <f t="shared" si="336"/>
        <v>3.677496754184164E-2</v>
      </c>
      <c r="AU154" s="771">
        <f t="shared" ref="AU154" si="337">AU168/AU81</f>
        <v>2.344238372272895E-2</v>
      </c>
    </row>
    <row r="155" spans="1:47" x14ac:dyDescent="0.35">
      <c r="A155" s="1618" t="s">
        <v>1868</v>
      </c>
      <c r="B155" s="753" t="s">
        <v>1868</v>
      </c>
      <c r="C155" s="754"/>
      <c r="D155" s="755"/>
      <c r="E155" s="755"/>
      <c r="F155" s="755">
        <f t="shared" ref="F155:X155" si="338">F154-E154</f>
        <v>-4.2952869046049759E-2</v>
      </c>
      <c r="G155" s="755">
        <f t="shared" si="338"/>
        <v>-4.5180926149518061E-4</v>
      </c>
      <c r="H155" s="755">
        <f t="shared" si="338"/>
        <v>1.7325834892508819E-2</v>
      </c>
      <c r="I155" s="755">
        <f t="shared" si="338"/>
        <v>8.4587351636149152E-3</v>
      </c>
      <c r="J155" s="755">
        <f t="shared" si="338"/>
        <v>1.304259005298164E-2</v>
      </c>
      <c r="K155" s="755">
        <f t="shared" si="338"/>
        <v>-9.0372423525568457E-4</v>
      </c>
      <c r="L155" s="755">
        <f t="shared" si="338"/>
        <v>7.4276594580392277E-3</v>
      </c>
      <c r="M155" s="755">
        <f t="shared" si="338"/>
        <v>-7.6545338148471323E-3</v>
      </c>
      <c r="N155" s="755">
        <f t="shared" si="338"/>
        <v>-3.267005303263841E-3</v>
      </c>
      <c r="O155" s="755">
        <f t="shared" si="338"/>
        <v>-9.2560439945768361E-3</v>
      </c>
      <c r="P155" s="755">
        <f t="shared" si="338"/>
        <v>1.0256542231043136E-2</v>
      </c>
      <c r="Q155" s="755">
        <f t="shared" si="338"/>
        <v>2.2164162983748965E-2</v>
      </c>
      <c r="R155" s="755">
        <f t="shared" si="338"/>
        <v>-1.5561821855337915E-2</v>
      </c>
      <c r="S155" s="755">
        <f t="shared" si="338"/>
        <v>-1.8962725990311638E-2</v>
      </c>
      <c r="T155" s="755">
        <f t="shared" si="338"/>
        <v>-8.5537006423050052E-3</v>
      </c>
      <c r="U155" s="755">
        <f t="shared" si="338"/>
        <v>-1.4815316880372742E-3</v>
      </c>
      <c r="V155" s="755">
        <f>V154-U154</f>
        <v>-8.8163594667235723E-4</v>
      </c>
      <c r="W155" s="755">
        <f t="shared" si="338"/>
        <v>-3.6671871741583949E-3</v>
      </c>
      <c r="X155" s="755">
        <f t="shared" si="338"/>
        <v>1.6297503984474687E-3</v>
      </c>
      <c r="Y155" s="756"/>
      <c r="Z155" s="755"/>
      <c r="AA155" s="755"/>
      <c r="AB155" s="755">
        <f>AB154-Z154</f>
        <v>-1.4712019325515573E-2</v>
      </c>
      <c r="AC155" s="755">
        <f>AC154-AA154</f>
        <v>-3.3327079142576252E-3</v>
      </c>
      <c r="AD155" s="755">
        <f>AD154-AB154</f>
        <v>-5.6252456699876913E-3</v>
      </c>
      <c r="AF155" s="148">
        <f t="shared" ref="AF155:AO155" si="339">AF154-AD154</f>
        <v>2.3003002209216188E-2</v>
      </c>
      <c r="AG155" s="148">
        <f t="shared" si="339"/>
        <v>8.6528950122055623E-2</v>
      </c>
      <c r="AH155" s="779">
        <f t="shared" si="339"/>
        <v>1.6133220145123639E-3</v>
      </c>
      <c r="AI155" s="779">
        <f t="shared" si="339"/>
        <v>-3.1185670215865068E-2</v>
      </c>
      <c r="AJ155" s="779">
        <f t="shared" si="339"/>
        <v>-4.4252469191347066E-3</v>
      </c>
      <c r="AK155" s="779">
        <f t="shared" si="339"/>
        <v>-3.1312354200634329E-2</v>
      </c>
      <c r="AL155" s="755">
        <f t="shared" si="339"/>
        <v>-2.5916709203019347E-2</v>
      </c>
      <c r="AM155" s="755">
        <f t="shared" si="339"/>
        <v>6.6250337782789333E-3</v>
      </c>
      <c r="AN155" s="755">
        <f t="shared" si="339"/>
        <v>-5.2337417544269793E-3</v>
      </c>
      <c r="AO155" s="755">
        <f t="shared" si="339"/>
        <v>-7.2169967983468433E-4</v>
      </c>
      <c r="AP155" s="755">
        <f t="shared" ref="AP155:AU155" si="340">AP154-AN154</f>
        <v>2.1524705543204459E-2</v>
      </c>
      <c r="AQ155" s="755">
        <f t="shared" si="340"/>
        <v>-1.7687044545813928E-2</v>
      </c>
      <c r="AR155" s="755">
        <f t="shared" si="340"/>
        <v>-6.9585647410190937E-3</v>
      </c>
      <c r="AS155" s="755">
        <f t="shared" si="340"/>
        <v>1.2598385841939078E-4</v>
      </c>
      <c r="AT155" s="755">
        <f t="shared" si="340"/>
        <v>-1.4557264713678263E-2</v>
      </c>
      <c r="AU155" s="755">
        <f t="shared" si="340"/>
        <v>1.1069184606123007E-2</v>
      </c>
    </row>
    <row r="156" spans="1:47" x14ac:dyDescent="0.35">
      <c r="A156" s="1617" t="s">
        <v>2924</v>
      </c>
      <c r="B156" s="751" t="s">
        <v>359</v>
      </c>
      <c r="C156" s="752"/>
      <c r="D156" s="756"/>
      <c r="E156" s="771">
        <f t="shared" ref="E156:U156" si="341">E170/E83</f>
        <v>5.211201340551689E-2</v>
      </c>
      <c r="F156" s="771">
        <f t="shared" si="341"/>
        <v>0.15706757449983677</v>
      </c>
      <c r="G156" s="771">
        <f t="shared" si="341"/>
        <v>0.12598318729278843</v>
      </c>
      <c r="H156" s="771">
        <f t="shared" si="341"/>
        <v>0.19386629057798888</v>
      </c>
      <c r="I156" s="771">
        <f t="shared" si="341"/>
        <v>0.51720772178439733</v>
      </c>
      <c r="J156" s="771">
        <f t="shared" si="341"/>
        <v>0.92345918728351273</v>
      </c>
      <c r="K156" s="771">
        <f t="shared" si="341"/>
        <v>0.19806785820593817</v>
      </c>
      <c r="L156" s="771">
        <f t="shared" si="341"/>
        <v>0.29181804379506199</v>
      </c>
      <c r="M156" s="771">
        <f t="shared" si="341"/>
        <v>0.14552158585113961</v>
      </c>
      <c r="N156" s="771">
        <f t="shared" si="341"/>
        <v>0.13771165590028428</v>
      </c>
      <c r="O156" s="771">
        <f t="shared" si="341"/>
        <v>0.10670023413319377</v>
      </c>
      <c r="P156" s="771">
        <f t="shared" si="341"/>
        <v>0.11055274573467867</v>
      </c>
      <c r="Q156" s="771">
        <f t="shared" si="341"/>
        <v>0.10480261256657047</v>
      </c>
      <c r="R156" s="771">
        <f t="shared" si="341"/>
        <v>0.1007369960423108</v>
      </c>
      <c r="S156" s="771">
        <f t="shared" si="341"/>
        <v>0.11318291909635965</v>
      </c>
      <c r="T156" s="771">
        <f t="shared" si="341"/>
        <v>9.9030373692789081E-2</v>
      </c>
      <c r="U156" s="771">
        <f t="shared" si="341"/>
        <v>5.1605528520067917E-2</v>
      </c>
      <c r="V156" s="771">
        <f t="shared" ref="V156:W156" si="342">V170/V83</f>
        <v>8.9161591561234557E-2</v>
      </c>
      <c r="W156" s="771">
        <f t="shared" si="342"/>
        <v>0.12531238331162739</v>
      </c>
      <c r="X156" s="771">
        <f t="shared" ref="X156" si="343">X170/X83</f>
        <v>0.22063417110342465</v>
      </c>
      <c r="Y156" s="786"/>
      <c r="Z156" s="786">
        <f>Z170/Z83</f>
        <v>5.9902801259596752E-2</v>
      </c>
      <c r="AA156" s="786">
        <f>AA170/AA83</f>
        <v>0.18017196270815813</v>
      </c>
      <c r="AB156" s="786">
        <f>AB170/AB83</f>
        <v>6.3035182902695816E-2</v>
      </c>
      <c r="AC156" s="786">
        <f>AC170/AC83</f>
        <v>0.1465942193810833</v>
      </c>
      <c r="AD156" s="786">
        <f>AD170/AD83</f>
        <v>0.11113935608256514</v>
      </c>
      <c r="AF156" s="148">
        <f t="shared" ref="AF156:AN156" si="344">AF170/AF83</f>
        <v>0.14913729889085733</v>
      </c>
      <c r="AG156" s="148">
        <f t="shared" si="344"/>
        <v>4.5615446366689981E-2</v>
      </c>
      <c r="AH156" s="779">
        <f t="shared" si="344"/>
        <v>8.5301057793529714E-2</v>
      </c>
      <c r="AI156" s="779">
        <f t="shared" si="344"/>
        <v>0.12084069748105677</v>
      </c>
      <c r="AJ156" s="779">
        <f t="shared" si="344"/>
        <v>0.1338221650040636</v>
      </c>
      <c r="AK156" s="779">
        <f t="shared" si="344"/>
        <v>9.7464346344099118E-2</v>
      </c>
      <c r="AL156" s="771">
        <f t="shared" si="344"/>
        <v>0.16303946542621919</v>
      </c>
      <c r="AM156" s="771">
        <f t="shared" si="344"/>
        <v>6.4859712870882422E-2</v>
      </c>
      <c r="AN156" s="771">
        <f t="shared" si="344"/>
        <v>7.1384442495010331E-2</v>
      </c>
      <c r="AO156" s="771">
        <f t="shared" ref="AO156" si="345">AO170/AO83</f>
        <v>2.7295812155450815E-2</v>
      </c>
      <c r="AP156" s="771">
        <f t="shared" ref="AP156:AR156" si="346">AP170/AP83</f>
        <v>0.11863890161041761</v>
      </c>
      <c r="AQ156" s="771">
        <f t="shared" ref="AQ156" si="347">AQ170/AQ83</f>
        <v>5.3942541230194964E-2</v>
      </c>
      <c r="AR156" s="771">
        <f t="shared" si="346"/>
        <v>0.12097822405992698</v>
      </c>
      <c r="AS156" s="771">
        <f t="shared" ref="AS156:AT156" si="348">AS170/AS83</f>
        <v>0.13229059110351105</v>
      </c>
      <c r="AT156" s="771">
        <f t="shared" si="348"/>
        <v>0.31671720530890457</v>
      </c>
      <c r="AU156" s="771">
        <f t="shared" ref="AU156" si="349">AU170/AU83</f>
        <v>9.8576770694649263E-2</v>
      </c>
    </row>
    <row r="157" spans="1:47" x14ac:dyDescent="0.35">
      <c r="A157" s="1618" t="s">
        <v>1868</v>
      </c>
      <c r="B157" s="753" t="s">
        <v>1868</v>
      </c>
      <c r="C157" s="754"/>
      <c r="D157" s="755"/>
      <c r="E157" s="755"/>
      <c r="F157" s="755">
        <f t="shared" ref="F157:X157" si="350">F156-E156</f>
        <v>0.10495556109431989</v>
      </c>
      <c r="G157" s="755">
        <f t="shared" si="350"/>
        <v>-3.1084387207048342E-2</v>
      </c>
      <c r="H157" s="755">
        <f t="shared" si="350"/>
        <v>6.7883103285200447E-2</v>
      </c>
      <c r="I157" s="755">
        <f t="shared" si="350"/>
        <v>0.32334143120640846</v>
      </c>
      <c r="J157" s="755">
        <f t="shared" si="350"/>
        <v>0.40625146549911539</v>
      </c>
      <c r="K157" s="755">
        <f t="shared" si="350"/>
        <v>-0.72539132907757453</v>
      </c>
      <c r="L157" s="755">
        <f t="shared" si="350"/>
        <v>9.3750185589123819E-2</v>
      </c>
      <c r="M157" s="755">
        <f t="shared" si="350"/>
        <v>-0.14629645794392238</v>
      </c>
      <c r="N157" s="755">
        <f t="shared" si="350"/>
        <v>-7.8099299508553321E-3</v>
      </c>
      <c r="O157" s="755">
        <f t="shared" si="350"/>
        <v>-3.1011421767090513E-2</v>
      </c>
      <c r="P157" s="755">
        <f t="shared" si="350"/>
        <v>3.8525116014849065E-3</v>
      </c>
      <c r="Q157" s="755">
        <f t="shared" si="350"/>
        <v>-5.7501331681081985E-3</v>
      </c>
      <c r="R157" s="755">
        <f t="shared" si="350"/>
        <v>-4.0656165242596715E-3</v>
      </c>
      <c r="S157" s="755">
        <f t="shared" si="350"/>
        <v>1.2445923054048846E-2</v>
      </c>
      <c r="T157" s="755">
        <f t="shared" si="350"/>
        <v>-1.4152545403570568E-2</v>
      </c>
      <c r="U157" s="755">
        <f t="shared" si="350"/>
        <v>-4.7424845172721164E-2</v>
      </c>
      <c r="V157" s="755">
        <f t="shared" si="350"/>
        <v>3.755606304116664E-2</v>
      </c>
      <c r="W157" s="755">
        <f t="shared" si="350"/>
        <v>3.6150791750392833E-2</v>
      </c>
      <c r="X157" s="755">
        <f t="shared" si="350"/>
        <v>9.5321787791797258E-2</v>
      </c>
      <c r="Y157" s="756"/>
      <c r="Z157" s="755"/>
      <c r="AA157" s="755"/>
      <c r="AB157" s="755">
        <f>AB156-Z156</f>
        <v>3.1323816430990636E-3</v>
      </c>
      <c r="AC157" s="755">
        <f>AC156-AA156</f>
        <v>-3.3577743327074833E-2</v>
      </c>
      <c r="AD157" s="755">
        <f>AD156-AB156</f>
        <v>4.8104173179869328E-2</v>
      </c>
      <c r="AF157" s="148">
        <f t="shared" ref="AF157:AO157" si="351">AF156-AD156</f>
        <v>3.799794280829219E-2</v>
      </c>
      <c r="AG157" s="148">
        <f t="shared" si="351"/>
        <v>4.5615446366689981E-2</v>
      </c>
      <c r="AH157" s="779">
        <f t="shared" si="351"/>
        <v>-6.383624109732762E-2</v>
      </c>
      <c r="AI157" s="779">
        <f t="shared" si="351"/>
        <v>7.5225251114366787E-2</v>
      </c>
      <c r="AJ157" s="779">
        <f t="shared" si="351"/>
        <v>4.852110721053389E-2</v>
      </c>
      <c r="AK157" s="779">
        <f t="shared" si="351"/>
        <v>-2.3376351136957657E-2</v>
      </c>
      <c r="AL157" s="755">
        <f t="shared" si="351"/>
        <v>2.921730042215559E-2</v>
      </c>
      <c r="AM157" s="755">
        <f t="shared" si="351"/>
        <v>-3.2604633473216696E-2</v>
      </c>
      <c r="AN157" s="755">
        <f t="shared" si="351"/>
        <v>-9.1655022931208863E-2</v>
      </c>
      <c r="AO157" s="755">
        <f t="shared" si="351"/>
        <v>-3.7563900715431607E-2</v>
      </c>
      <c r="AP157" s="755">
        <f t="shared" ref="AP157:AU157" si="352">AP156-AN156</f>
        <v>4.725445911540728E-2</v>
      </c>
      <c r="AQ157" s="755">
        <f t="shared" si="352"/>
        <v>2.6646729074744149E-2</v>
      </c>
      <c r="AR157" s="755">
        <f t="shared" si="352"/>
        <v>2.3393224495093651E-3</v>
      </c>
      <c r="AS157" s="755">
        <f t="shared" si="352"/>
        <v>7.8348049873316089E-2</v>
      </c>
      <c r="AT157" s="755">
        <f t="shared" si="352"/>
        <v>0.19573898124897759</v>
      </c>
      <c r="AU157" s="755">
        <f t="shared" si="352"/>
        <v>-3.3713820408861783E-2</v>
      </c>
    </row>
    <row r="158" spans="1:47" x14ac:dyDescent="0.35">
      <c r="A158" s="1617" t="s">
        <v>2940</v>
      </c>
      <c r="B158" s="751" t="s">
        <v>1836</v>
      </c>
      <c r="C158" s="752"/>
      <c r="D158" s="756"/>
      <c r="E158" s="771">
        <f t="shared" ref="E158:U158" si="353">E172/E85</f>
        <v>3.9346302838982342E-2</v>
      </c>
      <c r="F158" s="771">
        <f t="shared" si="353"/>
        <v>0.30437403527359413</v>
      </c>
      <c r="G158" s="771">
        <f t="shared" si="353"/>
        <v>0.2596282064320154</v>
      </c>
      <c r="H158" s="771">
        <f t="shared" si="353"/>
        <v>0.14220566236538287</v>
      </c>
      <c r="I158" s="771">
        <f t="shared" si="353"/>
        <v>0.17277822184799202</v>
      </c>
      <c r="J158" s="771">
        <f t="shared" si="353"/>
        <v>0.14895881308242312</v>
      </c>
      <c r="K158" s="771">
        <f t="shared" si="353"/>
        <v>0.1879773224618389</v>
      </c>
      <c r="L158" s="771">
        <f t="shared" si="353"/>
        <v>0.17850659459231752</v>
      </c>
      <c r="M158" s="771">
        <f t="shared" si="353"/>
        <v>0.21303244093266255</v>
      </c>
      <c r="N158" s="771">
        <f t="shared" si="353"/>
        <v>0.2411559139417484</v>
      </c>
      <c r="O158" s="771">
        <f t="shared" si="353"/>
        <v>0.20376232959648474</v>
      </c>
      <c r="P158" s="771">
        <f t="shared" si="353"/>
        <v>0.19424927785287099</v>
      </c>
      <c r="Q158" s="771">
        <f t="shared" si="353"/>
        <v>0.19589879880610506</v>
      </c>
      <c r="R158" s="771">
        <f t="shared" si="353"/>
        <v>0.19749328929798499</v>
      </c>
      <c r="S158" s="771">
        <f t="shared" si="353"/>
        <v>0.20103178158569501</v>
      </c>
      <c r="T158" s="771">
        <f t="shared" si="353"/>
        <v>0.21673665491183255</v>
      </c>
      <c r="U158" s="771">
        <f t="shared" si="353"/>
        <v>0.2114650138104949</v>
      </c>
      <c r="V158" s="771">
        <f t="shared" ref="V158:W158" si="354">V172/V85</f>
        <v>0.17463058198539863</v>
      </c>
      <c r="W158" s="771">
        <f t="shared" si="354"/>
        <v>0.21204201796153935</v>
      </c>
      <c r="X158" s="771">
        <f t="shared" ref="X158" si="355">X172/X85</f>
        <v>0.22178647928642473</v>
      </c>
      <c r="Y158" s="786"/>
      <c r="Z158" s="786">
        <f>Z172/Z85</f>
        <v>0.24894116120145035</v>
      </c>
      <c r="AA158" s="786">
        <f>AA172/AA85</f>
        <v>0.23443215044744331</v>
      </c>
      <c r="AB158" s="786">
        <f>AB172/AB85</f>
        <v>0.18846693793024755</v>
      </c>
      <c r="AC158" s="786">
        <f>AC172/AC85</f>
        <v>0.21239698219903111</v>
      </c>
      <c r="AD158" s="786">
        <f>AD172/AD85</f>
        <v>0.20122436344934777</v>
      </c>
      <c r="AF158" s="148">
        <f t="shared" ref="AF158:AN158" si="356">AF172/AF85</f>
        <v>0.19006497361421473</v>
      </c>
      <c r="AG158" s="148">
        <f t="shared" si="356"/>
        <v>0.20088376265687913</v>
      </c>
      <c r="AH158" s="779">
        <f t="shared" si="356"/>
        <v>0.21841624023734491</v>
      </c>
      <c r="AI158" s="779">
        <f t="shared" si="356"/>
        <v>0.18222075674947164</v>
      </c>
      <c r="AJ158" s="779">
        <f t="shared" si="356"/>
        <v>0.25851626953218138</v>
      </c>
      <c r="AK158" s="779">
        <f t="shared" si="356"/>
        <v>0.15701483911686115</v>
      </c>
      <c r="AL158" s="771">
        <f t="shared" si="356"/>
        <v>0.20751295253348762</v>
      </c>
      <c r="AM158" s="771">
        <f t="shared" si="356"/>
        <v>0.226463442663455</v>
      </c>
      <c r="AN158" s="771">
        <f t="shared" si="356"/>
        <v>0.22765666339726523</v>
      </c>
      <c r="AO158" s="771">
        <f t="shared" ref="AO158" si="357">AO172/AO85</f>
        <v>0.1982669106972339</v>
      </c>
      <c r="AP158" s="771">
        <f t="shared" ref="AP158:AR158" si="358">AP172/AP85</f>
        <v>0.17854974593731288</v>
      </c>
      <c r="AQ158" s="771">
        <f t="shared" ref="AQ158" si="359">AQ172/AQ85</f>
        <v>0.17095304429472138</v>
      </c>
      <c r="AR158" s="771">
        <f t="shared" si="358"/>
        <v>0.18042576497146448</v>
      </c>
      <c r="AS158" s="771">
        <f t="shared" ref="AS158:AT158" si="360">AS172/AS85</f>
        <v>0.25592784289545395</v>
      </c>
      <c r="AT158" s="771">
        <f t="shared" si="360"/>
        <v>0.19779085101270583</v>
      </c>
      <c r="AU158" s="771">
        <f t="shared" ref="AU158" si="361">AU172/AU85</f>
        <v>0.25081753964691589</v>
      </c>
    </row>
    <row r="159" spans="1:47" x14ac:dyDescent="0.35">
      <c r="A159" s="1618" t="s">
        <v>1868</v>
      </c>
      <c r="B159" s="753" t="s">
        <v>1868</v>
      </c>
      <c r="C159" s="754"/>
      <c r="D159" s="755"/>
      <c r="E159" s="755"/>
      <c r="F159" s="755">
        <f t="shared" ref="F159:X159" si="362">F158-E158</f>
        <v>0.26502773243461181</v>
      </c>
      <c r="G159" s="755">
        <f t="shared" si="362"/>
        <v>-4.4745828841578739E-2</v>
      </c>
      <c r="H159" s="755">
        <f t="shared" si="362"/>
        <v>-0.11742254406663252</v>
      </c>
      <c r="I159" s="755">
        <f t="shared" si="362"/>
        <v>3.0572559482609146E-2</v>
      </c>
      <c r="J159" s="755">
        <f t="shared" si="362"/>
        <v>-2.38194087655689E-2</v>
      </c>
      <c r="K159" s="755">
        <f t="shared" si="362"/>
        <v>3.9018509379415783E-2</v>
      </c>
      <c r="L159" s="755">
        <f t="shared" si="362"/>
        <v>-9.4707278695213837E-3</v>
      </c>
      <c r="M159" s="755">
        <f t="shared" si="362"/>
        <v>3.4525846340345029E-2</v>
      </c>
      <c r="N159" s="755">
        <f t="shared" si="362"/>
        <v>2.8123473009085853E-2</v>
      </c>
      <c r="O159" s="755">
        <f t="shared" si="362"/>
        <v>-3.7393584345263658E-2</v>
      </c>
      <c r="P159" s="755">
        <f t="shared" si="362"/>
        <v>-9.5130517436137485E-3</v>
      </c>
      <c r="Q159" s="755">
        <f t="shared" si="362"/>
        <v>1.6495209532340627E-3</v>
      </c>
      <c r="R159" s="755">
        <f t="shared" si="362"/>
        <v>1.5944904918799296E-3</v>
      </c>
      <c r="S159" s="755">
        <f t="shared" si="362"/>
        <v>3.5384922877100267E-3</v>
      </c>
      <c r="T159" s="755">
        <f t="shared" si="362"/>
        <v>1.5704873326137542E-2</v>
      </c>
      <c r="U159" s="755">
        <f t="shared" si="362"/>
        <v>-5.2716411013376541E-3</v>
      </c>
      <c r="V159" s="755">
        <f t="shared" si="362"/>
        <v>-3.683443182509627E-2</v>
      </c>
      <c r="W159" s="755">
        <f t="shared" si="362"/>
        <v>3.7411435976140717E-2</v>
      </c>
      <c r="X159" s="755">
        <f t="shared" si="362"/>
        <v>9.7444613248853784E-3</v>
      </c>
      <c r="Y159" s="756"/>
      <c r="Z159" s="755"/>
      <c r="AA159" s="755"/>
      <c r="AB159" s="755">
        <f>AB158-Z158</f>
        <v>-6.0474223271202804E-2</v>
      </c>
      <c r="AC159" s="755">
        <f>AC158-AA158</f>
        <v>-2.2035168248412201E-2</v>
      </c>
      <c r="AD159" s="755">
        <f>AD158-AB158</f>
        <v>1.2757425519100224E-2</v>
      </c>
      <c r="AF159" s="148">
        <f t="shared" ref="AF159:AO159" si="363">AF158-AD158</f>
        <v>-1.1159389835133038E-2</v>
      </c>
      <c r="AG159" s="148">
        <f t="shared" si="363"/>
        <v>0.20088376265687913</v>
      </c>
      <c r="AH159" s="779">
        <f t="shared" si="363"/>
        <v>2.8351266623130172E-2</v>
      </c>
      <c r="AI159" s="779">
        <f t="shared" si="363"/>
        <v>-1.8663005907407493E-2</v>
      </c>
      <c r="AJ159" s="779">
        <f t="shared" si="363"/>
        <v>4.010002929483647E-2</v>
      </c>
      <c r="AK159" s="779">
        <f t="shared" si="363"/>
        <v>-2.5205917632610486E-2</v>
      </c>
      <c r="AL159" s="755">
        <f t="shared" si="363"/>
        <v>-5.100331699869376E-2</v>
      </c>
      <c r="AM159" s="755">
        <f t="shared" si="363"/>
        <v>6.9448603546593851E-2</v>
      </c>
      <c r="AN159" s="755">
        <f t="shared" si="363"/>
        <v>2.0143710863777614E-2</v>
      </c>
      <c r="AO159" s="755">
        <f t="shared" si="363"/>
        <v>-2.81965319662211E-2</v>
      </c>
      <c r="AP159" s="755">
        <f t="shared" ref="AP159:AU159" si="364">AP158-AN158</f>
        <v>-4.9106917459952354E-2</v>
      </c>
      <c r="AQ159" s="755">
        <f t="shared" si="364"/>
        <v>-2.7313866402512516E-2</v>
      </c>
      <c r="AR159" s="755">
        <f t="shared" si="364"/>
        <v>1.8760190341516048E-3</v>
      </c>
      <c r="AS159" s="755">
        <f t="shared" si="364"/>
        <v>8.4974798600732565E-2</v>
      </c>
      <c r="AT159" s="755">
        <f t="shared" si="364"/>
        <v>1.7365086041241345E-2</v>
      </c>
      <c r="AU159" s="755">
        <f t="shared" si="364"/>
        <v>-5.1103032485380617E-3</v>
      </c>
    </row>
    <row r="160" spans="1:47" hidden="1" outlineLevel="1" x14ac:dyDescent="0.35">
      <c r="A160" s="1617" t="s">
        <v>2930</v>
      </c>
      <c r="B160" s="751" t="s">
        <v>718</v>
      </c>
      <c r="C160" s="752"/>
      <c r="D160" s="756"/>
      <c r="E160" s="771"/>
      <c r="F160" s="771"/>
      <c r="G160" s="771"/>
      <c r="H160" s="771"/>
      <c r="I160" s="771"/>
      <c r="J160" s="771"/>
      <c r="K160" s="771"/>
      <c r="L160" s="771"/>
      <c r="M160" s="771"/>
      <c r="N160" s="771"/>
      <c r="O160" s="771"/>
      <c r="P160" s="771"/>
      <c r="Q160" s="771"/>
      <c r="R160" s="771"/>
      <c r="S160" s="771"/>
      <c r="T160" s="771"/>
      <c r="U160" s="771"/>
      <c r="V160" s="771"/>
      <c r="W160" s="771"/>
      <c r="X160" s="771"/>
      <c r="Y160" s="786"/>
      <c r="Z160" s="786"/>
      <c r="AA160" s="786"/>
      <c r="AB160" s="786"/>
      <c r="AC160" s="786"/>
      <c r="AD160" s="786"/>
      <c r="AH160" s="779"/>
      <c r="AI160" s="779"/>
      <c r="AJ160" s="779"/>
      <c r="AK160" s="779"/>
      <c r="AL160" s="771"/>
      <c r="AM160" s="771"/>
      <c r="AN160" s="771"/>
      <c r="AO160" s="771"/>
      <c r="AP160" s="771"/>
      <c r="AQ160" s="771"/>
      <c r="AR160" s="771"/>
      <c r="AS160" s="771"/>
      <c r="AT160" s="771"/>
      <c r="AU160" s="771"/>
    </row>
    <row r="161" spans="1:47" hidden="1" outlineLevel="1" x14ac:dyDescent="0.35">
      <c r="A161" s="1618" t="s">
        <v>1868</v>
      </c>
      <c r="B161" s="753" t="s">
        <v>1868</v>
      </c>
      <c r="C161" s="754"/>
      <c r="D161" s="755"/>
      <c r="E161" s="755"/>
      <c r="F161" s="755"/>
      <c r="G161" s="755"/>
      <c r="H161" s="755"/>
      <c r="I161" s="755"/>
      <c r="J161" s="755"/>
      <c r="K161" s="755"/>
      <c r="L161" s="755"/>
      <c r="M161" s="755"/>
      <c r="N161" s="755"/>
      <c r="O161" s="755"/>
      <c r="P161" s="755"/>
      <c r="Q161" s="755"/>
      <c r="R161" s="755"/>
      <c r="S161" s="755"/>
      <c r="T161" s="755"/>
      <c r="U161" s="755"/>
      <c r="V161" s="755"/>
      <c r="W161" s="755"/>
      <c r="X161" s="755"/>
      <c r="Y161" s="756"/>
      <c r="Z161" s="755"/>
      <c r="AA161" s="755"/>
      <c r="AB161" s="755"/>
      <c r="AC161" s="755"/>
      <c r="AD161" s="755"/>
      <c r="AH161" s="779"/>
      <c r="AI161" s="779"/>
      <c r="AJ161" s="779"/>
      <c r="AK161" s="779"/>
      <c r="AL161" s="755"/>
      <c r="AM161" s="755"/>
      <c r="AN161" s="755"/>
      <c r="AO161" s="755"/>
      <c r="AP161" s="755"/>
      <c r="AQ161" s="755"/>
      <c r="AR161" s="755"/>
      <c r="AS161" s="755"/>
      <c r="AT161" s="755"/>
      <c r="AU161" s="755"/>
    </row>
    <row r="162" spans="1:47" collapsed="1" x14ac:dyDescent="0.35">
      <c r="A162" s="1617" t="s">
        <v>2675</v>
      </c>
      <c r="B162" s="751" t="s">
        <v>1837</v>
      </c>
      <c r="C162" s="752"/>
      <c r="D162" s="756"/>
      <c r="E162" s="771"/>
      <c r="F162" s="771"/>
      <c r="G162" s="771"/>
      <c r="H162" s="771"/>
      <c r="I162" s="771"/>
      <c r="J162" s="771"/>
      <c r="K162" s="771">
        <f t="shared" ref="K162:U162" si="365">K176/K89</f>
        <v>5.8247819029266295E-3</v>
      </c>
      <c r="L162" s="771">
        <f t="shared" si="365"/>
        <v>-0.11685172534150336</v>
      </c>
      <c r="M162" s="771">
        <f t="shared" si="365"/>
        <v>-8.321020420862825E-2</v>
      </c>
      <c r="N162" s="771">
        <f t="shared" si="365"/>
        <v>1.0649637409072057E-2</v>
      </c>
      <c r="O162" s="771">
        <f t="shared" si="365"/>
        <v>3.7134887483605762E-3</v>
      </c>
      <c r="P162" s="771">
        <f t="shared" si="365"/>
        <v>0.11315312149710313</v>
      </c>
      <c r="Q162" s="771">
        <f t="shared" si="365"/>
        <v>5.398504515335914E-2</v>
      </c>
      <c r="R162" s="771">
        <f t="shared" si="365"/>
        <v>0.1061829048805543</v>
      </c>
      <c r="S162" s="771">
        <f t="shared" si="365"/>
        <v>9.8754972316230108E-2</v>
      </c>
      <c r="T162" s="771">
        <f t="shared" si="365"/>
        <v>8.9802992285321279E-2</v>
      </c>
      <c r="U162" s="771">
        <f t="shared" si="365"/>
        <v>8.440885171822271E-2</v>
      </c>
      <c r="V162" s="771">
        <f t="shared" ref="V162:W162" si="366">V176/V89</f>
        <v>0.13640579514537468</v>
      </c>
      <c r="W162" s="771">
        <f t="shared" si="366"/>
        <v>0.16330638296812211</v>
      </c>
      <c r="X162" s="771">
        <f t="shared" ref="X162" si="367">X176/X89</f>
        <v>7.9633341336232358E-2</v>
      </c>
      <c r="Y162" s="786"/>
      <c r="Z162" s="786">
        <f>Z176/Z89</f>
        <v>5.2782083817506896E-2</v>
      </c>
      <c r="AA162" s="786">
        <f>AA176/AA89</f>
        <v>-2.4701168118827794E-2</v>
      </c>
      <c r="AB162" s="786">
        <f>AB176/AB89</f>
        <v>5.9749310372427075E-2</v>
      </c>
      <c r="AC162" s="786">
        <f>AC176/AC89</f>
        <v>-6.2167499436720522E-2</v>
      </c>
      <c r="AD162" s="786">
        <f>AD176/AD89</f>
        <v>0.14987965440532677</v>
      </c>
      <c r="AF162" s="148">
        <f t="shared" ref="AF162:AN162" si="368">AF176/AF89</f>
        <v>4.312944253586215E-2</v>
      </c>
      <c r="AG162" s="148">
        <f t="shared" si="368"/>
        <v>6.5873122950930257E-2</v>
      </c>
      <c r="AH162" s="779">
        <f t="shared" si="368"/>
        <v>0.10704023308548695</v>
      </c>
      <c r="AI162" s="779">
        <f t="shared" si="368"/>
        <v>0.10552515511224671</v>
      </c>
      <c r="AJ162" s="779">
        <f t="shared" si="368"/>
        <v>0.12475908699372258</v>
      </c>
      <c r="AK162" s="779">
        <f t="shared" si="368"/>
        <v>6.7956063513554113E-2</v>
      </c>
      <c r="AL162" s="771">
        <f t="shared" si="368"/>
        <v>0.13759568731170616</v>
      </c>
      <c r="AM162" s="771">
        <f t="shared" si="368"/>
        <v>4.5682301323716187E-2</v>
      </c>
      <c r="AN162" s="771">
        <f t="shared" si="368"/>
        <v>0.11811365392804757</v>
      </c>
      <c r="AO162" s="771">
        <f t="shared" ref="AO162" si="369">AO176/AO89</f>
        <v>4.0219883474330934E-2</v>
      </c>
      <c r="AP162" s="771">
        <f t="shared" ref="AP162:AR162" si="370">AP176/AP89</f>
        <v>0.16969422858773425</v>
      </c>
      <c r="AQ162" s="771">
        <f t="shared" ref="AQ162" si="371">AQ176/AQ89</f>
        <v>9.9474029568086667E-2</v>
      </c>
      <c r="AR162" s="771">
        <f t="shared" si="370"/>
        <v>0.21210833057111686</v>
      </c>
      <c r="AS162" s="771">
        <f t="shared" ref="AS162:AT162" si="372">AS176/AS89</f>
        <v>7.9504575780601688E-2</v>
      </c>
      <c r="AT162" s="771">
        <f t="shared" si="372"/>
        <v>0.27304439516931361</v>
      </c>
      <c r="AU162" s="771">
        <f t="shared" ref="AU162" si="373">AU176/AU89</f>
        <v>-0.19224411893925777</v>
      </c>
    </row>
    <row r="163" spans="1:47" x14ac:dyDescent="0.35">
      <c r="A163" s="1630" t="s">
        <v>1868</v>
      </c>
      <c r="B163" s="753" t="s">
        <v>1868</v>
      </c>
      <c r="C163" s="754"/>
      <c r="D163" s="755"/>
      <c r="E163" s="755"/>
      <c r="F163" s="755">
        <f t="shared" ref="F163:X163" si="374">F162-E162</f>
        <v>0</v>
      </c>
      <c r="G163" s="755">
        <f t="shared" si="374"/>
        <v>0</v>
      </c>
      <c r="H163" s="755">
        <f t="shared" si="374"/>
        <v>0</v>
      </c>
      <c r="I163" s="755">
        <f t="shared" si="374"/>
        <v>0</v>
      </c>
      <c r="J163" s="755">
        <f t="shared" si="374"/>
        <v>0</v>
      </c>
      <c r="K163" s="755">
        <f t="shared" si="374"/>
        <v>5.8247819029266295E-3</v>
      </c>
      <c r="L163" s="755">
        <f t="shared" si="374"/>
        <v>-0.12267650724442998</v>
      </c>
      <c r="M163" s="755">
        <f t="shared" si="374"/>
        <v>3.3641521132875107E-2</v>
      </c>
      <c r="N163" s="755">
        <f t="shared" si="374"/>
        <v>9.3859841617700307E-2</v>
      </c>
      <c r="O163" s="755">
        <f t="shared" si="374"/>
        <v>-6.9361486607114817E-3</v>
      </c>
      <c r="P163" s="755">
        <f t="shared" si="374"/>
        <v>0.10943963274874255</v>
      </c>
      <c r="Q163" s="755">
        <f t="shared" si="374"/>
        <v>-5.9168076343743992E-2</v>
      </c>
      <c r="R163" s="755">
        <f t="shared" si="374"/>
        <v>5.2197859727195164E-2</v>
      </c>
      <c r="S163" s="755">
        <f t="shared" si="374"/>
        <v>-7.4279325643241967E-3</v>
      </c>
      <c r="T163" s="755">
        <f t="shared" si="374"/>
        <v>-8.9519800309088293E-3</v>
      </c>
      <c r="U163" s="755">
        <f t="shared" si="374"/>
        <v>-5.3941405670985682E-3</v>
      </c>
      <c r="V163" s="755">
        <f t="shared" si="374"/>
        <v>5.199694342715197E-2</v>
      </c>
      <c r="W163" s="755">
        <f t="shared" si="374"/>
        <v>2.6900587822747429E-2</v>
      </c>
      <c r="X163" s="755">
        <f t="shared" si="374"/>
        <v>-8.3673041631889752E-2</v>
      </c>
      <c r="Y163" s="756"/>
      <c r="Z163" s="755"/>
      <c r="AA163" s="755"/>
      <c r="AB163" s="755">
        <f>AB162-Z162</f>
        <v>6.9672265549201792E-3</v>
      </c>
      <c r="AC163" s="755">
        <f>AC162-AA162</f>
        <v>-3.7466331317892732E-2</v>
      </c>
      <c r="AD163" s="755">
        <f>AD162-AB162</f>
        <v>9.0130344032899698E-2</v>
      </c>
      <c r="AF163" s="148">
        <f t="shared" ref="AF163:AO163" si="375">AF162-AD162</f>
        <v>-0.10675021186946462</v>
      </c>
      <c r="AG163" s="148">
        <f t="shared" si="375"/>
        <v>6.5873122950930257E-2</v>
      </c>
      <c r="AH163" s="779">
        <f t="shared" si="375"/>
        <v>6.3910790549624799E-2</v>
      </c>
      <c r="AI163" s="779">
        <f t="shared" si="375"/>
        <v>3.965203216131645E-2</v>
      </c>
      <c r="AJ163" s="779">
        <f t="shared" si="375"/>
        <v>1.7718853908235632E-2</v>
      </c>
      <c r="AK163" s="779">
        <f t="shared" si="375"/>
        <v>-3.7569091598692594E-2</v>
      </c>
      <c r="AL163" s="755">
        <f t="shared" si="375"/>
        <v>1.2836600317983574E-2</v>
      </c>
      <c r="AM163" s="755">
        <f t="shared" si="375"/>
        <v>-2.2273762189837926E-2</v>
      </c>
      <c r="AN163" s="755">
        <f t="shared" si="375"/>
        <v>-1.9482033383658587E-2</v>
      </c>
      <c r="AO163" s="755">
        <f t="shared" si="375"/>
        <v>-5.4624178493852538E-3</v>
      </c>
      <c r="AP163" s="755">
        <f t="shared" ref="AP163:AU163" si="376">AP162-AN162</f>
        <v>5.1580574659686684E-2</v>
      </c>
      <c r="AQ163" s="755">
        <f t="shared" si="376"/>
        <v>5.9254146093755733E-2</v>
      </c>
      <c r="AR163" s="755">
        <f t="shared" si="376"/>
        <v>4.2414101983382607E-2</v>
      </c>
      <c r="AS163" s="755">
        <f t="shared" si="376"/>
        <v>-1.9969453787484978E-2</v>
      </c>
      <c r="AT163" s="755">
        <f t="shared" si="376"/>
        <v>6.0936064598196754E-2</v>
      </c>
      <c r="AU163" s="755">
        <f t="shared" si="376"/>
        <v>-0.27174869471985946</v>
      </c>
    </row>
    <row r="164" spans="1:47" x14ac:dyDescent="0.35">
      <c r="A164" s="1631" t="s">
        <v>96</v>
      </c>
      <c r="B164" s="751" t="s">
        <v>1837</v>
      </c>
      <c r="C164" s="752"/>
      <c r="D164" s="756"/>
      <c r="E164" s="771">
        <f t="shared" ref="E164:U164" si="377">E178/E91</f>
        <v>5.3222770255151243E-2</v>
      </c>
      <c r="F164" s="771">
        <f t="shared" si="377"/>
        <v>6.2538655675417887E-2</v>
      </c>
      <c r="G164" s="771">
        <f t="shared" si="377"/>
        <v>6.0367874410611977E-2</v>
      </c>
      <c r="H164" s="771">
        <f t="shared" si="377"/>
        <v>5.7089285596539585E-2</v>
      </c>
      <c r="I164" s="771">
        <f t="shared" si="377"/>
        <v>9.2920135750439115E-2</v>
      </c>
      <c r="J164" s="771">
        <f t="shared" si="377"/>
        <v>0.10843154513642241</v>
      </c>
      <c r="K164" s="771">
        <f t="shared" si="377"/>
        <v>0.11377425417582128</v>
      </c>
      <c r="L164" s="771">
        <f t="shared" si="377"/>
        <v>0.122390731821377</v>
      </c>
      <c r="M164" s="771">
        <f t="shared" si="377"/>
        <v>0.12672226646234749</v>
      </c>
      <c r="N164" s="771">
        <f t="shared" si="377"/>
        <v>0.13564393505204847</v>
      </c>
      <c r="O164" s="771">
        <f t="shared" si="377"/>
        <v>0.11765600949525344</v>
      </c>
      <c r="P164" s="771">
        <f t="shared" si="377"/>
        <v>0.13589330020558887</v>
      </c>
      <c r="Q164" s="771">
        <f t="shared" si="377"/>
        <v>0.14498444836457225</v>
      </c>
      <c r="R164" s="771">
        <f t="shared" si="377"/>
        <v>0.13787623473565078</v>
      </c>
      <c r="S164" s="771">
        <f t="shared" si="377"/>
        <v>0.13310246733076828</v>
      </c>
      <c r="T164" s="771">
        <f t="shared" si="377"/>
        <v>0.14064448698450363</v>
      </c>
      <c r="U164" s="771">
        <f t="shared" si="377"/>
        <v>0.12327030481362318</v>
      </c>
      <c r="V164" s="771">
        <f t="shared" ref="V164:W164" si="378">V178/V91</f>
        <v>0.12622728454431786</v>
      </c>
      <c r="W164" s="771">
        <f t="shared" si="378"/>
        <v>0.13826449647468092</v>
      </c>
      <c r="X164" s="771">
        <f t="shared" ref="X164" si="379">X178/X91</f>
        <v>0.14108859763958645</v>
      </c>
      <c r="Y164" s="756"/>
      <c r="Z164" s="786">
        <f>Z178/Z91</f>
        <v>0.13760518731954602</v>
      </c>
      <c r="AA164" s="786">
        <f>AA178/AA91</f>
        <v>0.13405343727605365</v>
      </c>
      <c r="AB164" s="786">
        <f>AB178/AB91</f>
        <v>0.10202014289904092</v>
      </c>
      <c r="AC164" s="786">
        <f>AC178/AC91</f>
        <v>0.12842473381865774</v>
      </c>
      <c r="AD164" s="786">
        <f>AD178/AD91</f>
        <v>0.12630561247631675</v>
      </c>
      <c r="AF164" s="148">
        <f t="shared" ref="AF164:AN164" si="380">AF178/AF91</f>
        <v>0.14268981852577914</v>
      </c>
      <c r="AG164" s="148">
        <f t="shared" si="380"/>
        <v>0.14716522821975103</v>
      </c>
      <c r="AH164" s="779">
        <f t="shared" si="380"/>
        <v>0.14692467470546702</v>
      </c>
      <c r="AI164" s="779">
        <f t="shared" si="380"/>
        <v>0.13057364809283814</v>
      </c>
      <c r="AJ164" s="779">
        <f t="shared" si="380"/>
        <v>0.17142899384585461</v>
      </c>
      <c r="AK164" s="779">
        <f t="shared" si="380"/>
        <v>0.10195383484988556</v>
      </c>
      <c r="AL164" s="771">
        <f t="shared" si="380"/>
        <v>0.15204687318364848</v>
      </c>
      <c r="AM164" s="771">
        <f t="shared" si="380"/>
        <v>0.13051429718232357</v>
      </c>
      <c r="AN164" s="771">
        <f t="shared" si="380"/>
        <v>0.12277032840339012</v>
      </c>
      <c r="AO164" s="771">
        <f t="shared" ref="AO164" si="381">AO178/AO91</f>
        <v>0.12382888831502468</v>
      </c>
      <c r="AP164" s="771">
        <f t="shared" ref="AP164:AR164" si="382">AP178/AP91</f>
        <v>0.14095974662784252</v>
      </c>
      <c r="AQ164" s="771">
        <f t="shared" ref="AQ164" si="383">AQ178/AQ91</f>
        <v>0.11237756234278437</v>
      </c>
      <c r="AR164" s="771">
        <f t="shared" si="382"/>
        <v>0.13878091105342277</v>
      </c>
      <c r="AS164" s="771">
        <f t="shared" ref="AS164:AT164" si="384">AS178/AS91</f>
        <v>0.13766673866085447</v>
      </c>
      <c r="AT164" s="771">
        <f t="shared" si="384"/>
        <v>0.13859558621283816</v>
      </c>
      <c r="AU164" s="771">
        <f t="shared" ref="AU164" si="385">AU178/AU91</f>
        <v>0.14431225784771989</v>
      </c>
    </row>
    <row r="165" spans="1:47" x14ac:dyDescent="0.35">
      <c r="A165" s="1630" t="s">
        <v>1868</v>
      </c>
      <c r="B165" s="753" t="s">
        <v>1868</v>
      </c>
      <c r="C165" s="754"/>
      <c r="D165" s="755"/>
      <c r="E165" s="755"/>
      <c r="F165" s="755">
        <f t="shared" ref="F165:X165" si="386">F164-E164</f>
        <v>9.3158854202666438E-3</v>
      </c>
      <c r="G165" s="755">
        <f t="shared" si="386"/>
        <v>-2.1707812648059099E-3</v>
      </c>
      <c r="H165" s="755">
        <f t="shared" si="386"/>
        <v>-3.2785888140723918E-3</v>
      </c>
      <c r="I165" s="755">
        <f t="shared" si="386"/>
        <v>3.5830850153899529E-2</v>
      </c>
      <c r="J165" s="755">
        <f t="shared" si="386"/>
        <v>1.5511409385983291E-2</v>
      </c>
      <c r="K165" s="755">
        <f t="shared" si="386"/>
        <v>5.3427090393988741E-3</v>
      </c>
      <c r="L165" s="755">
        <f t="shared" si="386"/>
        <v>8.6164776455557174E-3</v>
      </c>
      <c r="M165" s="755">
        <f t="shared" si="386"/>
        <v>4.3315346409704969E-3</v>
      </c>
      <c r="N165" s="755">
        <f t="shared" si="386"/>
        <v>8.9216685897009762E-3</v>
      </c>
      <c r="O165" s="755">
        <f t="shared" si="386"/>
        <v>-1.7987925556795029E-2</v>
      </c>
      <c r="P165" s="755">
        <f t="shared" si="386"/>
        <v>1.8237290710335433E-2</v>
      </c>
      <c r="Q165" s="755">
        <f t="shared" si="386"/>
        <v>9.0911481589833754E-3</v>
      </c>
      <c r="R165" s="755">
        <f t="shared" si="386"/>
        <v>-7.1082136289214726E-3</v>
      </c>
      <c r="S165" s="755">
        <f t="shared" si="386"/>
        <v>-4.7737674048825007E-3</v>
      </c>
      <c r="T165" s="755">
        <f t="shared" si="386"/>
        <v>7.5420196537353545E-3</v>
      </c>
      <c r="U165" s="755">
        <f t="shared" si="386"/>
        <v>-1.7374182170880451E-2</v>
      </c>
      <c r="V165" s="755">
        <f t="shared" si="386"/>
        <v>2.9569797306946838E-3</v>
      </c>
      <c r="W165" s="755">
        <f t="shared" si="386"/>
        <v>1.2037211930363056E-2</v>
      </c>
      <c r="X165" s="755">
        <f t="shared" si="386"/>
        <v>2.8241011649055292E-3</v>
      </c>
      <c r="Y165" s="756"/>
      <c r="Z165" s="755"/>
      <c r="AA165" s="755"/>
      <c r="AB165" s="755">
        <f>AB164-Z164</f>
        <v>-3.5585044420505099E-2</v>
      </c>
      <c r="AC165" s="755">
        <f>AC164-AA164</f>
        <v>-5.6287034573959116E-3</v>
      </c>
      <c r="AD165" s="755">
        <f>AD164-AB164</f>
        <v>2.4285469577275828E-2</v>
      </c>
      <c r="AF165" s="148">
        <f t="shared" ref="AF165:AO165" si="387">AF164-AD164</f>
        <v>1.6384206049462391E-2</v>
      </c>
      <c r="AG165" s="148">
        <f t="shared" si="387"/>
        <v>0.14716522821975103</v>
      </c>
      <c r="AH165" s="779">
        <f t="shared" si="387"/>
        <v>4.2348561796878847E-3</v>
      </c>
      <c r="AI165" s="779">
        <f t="shared" si="387"/>
        <v>-1.6591580126912892E-2</v>
      </c>
      <c r="AJ165" s="779">
        <f t="shared" si="387"/>
        <v>2.4504319140387587E-2</v>
      </c>
      <c r="AK165" s="779">
        <f t="shared" si="387"/>
        <v>-2.8619813242952583E-2</v>
      </c>
      <c r="AL165" s="755">
        <f t="shared" si="387"/>
        <v>-1.9382120662206126E-2</v>
      </c>
      <c r="AM165" s="755">
        <f t="shared" si="387"/>
        <v>2.8560462332438016E-2</v>
      </c>
      <c r="AN165" s="755">
        <f t="shared" si="387"/>
        <v>-2.9276544780258359E-2</v>
      </c>
      <c r="AO165" s="755">
        <f t="shared" si="387"/>
        <v>-6.6854088672988893E-3</v>
      </c>
      <c r="AP165" s="755">
        <f t="shared" ref="AP165:AU165" si="388">AP164-AN164</f>
        <v>1.81894182244524E-2</v>
      </c>
      <c r="AQ165" s="755">
        <f t="shared" si="388"/>
        <v>-1.1451325972240314E-2</v>
      </c>
      <c r="AR165" s="755">
        <f t="shared" si="388"/>
        <v>-2.1788355744197518E-3</v>
      </c>
      <c r="AS165" s="755">
        <f t="shared" si="388"/>
        <v>2.5289176318070095E-2</v>
      </c>
      <c r="AT165" s="755">
        <f t="shared" si="388"/>
        <v>-1.853248405846164E-4</v>
      </c>
      <c r="AU165" s="755">
        <f t="shared" si="388"/>
        <v>6.6455191868654284E-3</v>
      </c>
    </row>
    <row r="166" spans="1:47" x14ac:dyDescent="0.35">
      <c r="N166" s="151"/>
    </row>
    <row r="167" spans="1:47" ht="10.5" x14ac:dyDescent="0.35">
      <c r="A167" s="1616" t="s">
        <v>488</v>
      </c>
      <c r="B167" s="746" t="s">
        <v>1867</v>
      </c>
      <c r="C167" s="747"/>
      <c r="D167" s="747" t="s">
        <v>328</v>
      </c>
      <c r="E167" s="747" t="s">
        <v>323</v>
      </c>
      <c r="F167" s="747" t="s">
        <v>198</v>
      </c>
      <c r="G167" s="748" t="s">
        <v>331</v>
      </c>
      <c r="H167" s="748" t="s">
        <v>21</v>
      </c>
      <c r="I167" s="748" t="s">
        <v>721</v>
      </c>
      <c r="J167" s="748" t="s">
        <v>832</v>
      </c>
      <c r="K167" s="748" t="s">
        <v>831</v>
      </c>
      <c r="L167" s="748" t="s">
        <v>1376</v>
      </c>
      <c r="M167" s="748" t="s">
        <v>1510</v>
      </c>
      <c r="N167" s="748" t="s">
        <v>1747</v>
      </c>
      <c r="O167" s="748" t="s">
        <v>1739</v>
      </c>
      <c r="P167" s="748" t="s">
        <v>1810</v>
      </c>
      <c r="Q167" s="748" t="str">
        <f>$Q$1</f>
        <v>2018A</v>
      </c>
      <c r="R167" s="748" t="str">
        <f t="shared" ref="R167:X167" si="389">R$1</f>
        <v>2019A</v>
      </c>
      <c r="S167" s="748" t="str">
        <f t="shared" si="389"/>
        <v>2020A</v>
      </c>
      <c r="T167" s="748" t="str">
        <f t="shared" si="389"/>
        <v>2021A</v>
      </c>
      <c r="U167" s="748" t="str">
        <f t="shared" si="389"/>
        <v>2022A</v>
      </c>
      <c r="V167" s="748" t="str">
        <f t="shared" si="389"/>
        <v>2023A</v>
      </c>
      <c r="W167" s="748" t="str">
        <f t="shared" si="389"/>
        <v>2024A</v>
      </c>
      <c r="X167" s="748" t="str">
        <f t="shared" si="389"/>
        <v>2025A</v>
      </c>
      <c r="Y167" s="750"/>
      <c r="Z167" s="748" t="s">
        <v>1518</v>
      </c>
      <c r="AA167" s="748" t="s">
        <v>1866</v>
      </c>
      <c r="AB167" s="748" t="s">
        <v>1740</v>
      </c>
      <c r="AC167" s="748" t="s">
        <v>1865</v>
      </c>
      <c r="AD167" s="748" t="s">
        <v>1749</v>
      </c>
      <c r="AE167" s="748" t="s">
        <v>1811</v>
      </c>
      <c r="AF167" s="748" t="str">
        <f>$AF$1</f>
        <v>1H18</v>
      </c>
      <c r="AG167" s="748" t="str">
        <f t="shared" ref="AG167:AU167" si="390">AG$1</f>
        <v>2H18</v>
      </c>
      <c r="AH167" s="748" t="str">
        <f t="shared" si="390"/>
        <v>1H19</v>
      </c>
      <c r="AI167" s="748" t="str">
        <f t="shared" si="390"/>
        <v>2H19</v>
      </c>
      <c r="AJ167" s="748" t="str">
        <f t="shared" si="390"/>
        <v>1H20</v>
      </c>
      <c r="AK167" s="748" t="str">
        <f t="shared" si="390"/>
        <v>2H20</v>
      </c>
      <c r="AL167" s="748" t="str">
        <f t="shared" si="390"/>
        <v>1H21</v>
      </c>
      <c r="AM167" s="748" t="str">
        <f t="shared" si="390"/>
        <v>2H21</v>
      </c>
      <c r="AN167" s="748" t="str">
        <f t="shared" si="390"/>
        <v>1H22</v>
      </c>
      <c r="AO167" s="748" t="str">
        <f t="shared" si="390"/>
        <v>2H22</v>
      </c>
      <c r="AP167" s="748" t="str">
        <f t="shared" si="390"/>
        <v>1H23</v>
      </c>
      <c r="AQ167" s="748" t="str">
        <f t="shared" si="390"/>
        <v>2H23</v>
      </c>
      <c r="AR167" s="748" t="str">
        <f t="shared" si="390"/>
        <v>1H24</v>
      </c>
      <c r="AS167" s="749" t="s">
        <v>2887</v>
      </c>
      <c r="AT167" s="748" t="str">
        <f t="shared" si="390"/>
        <v>1H25</v>
      </c>
      <c r="AU167" s="748" t="str">
        <f t="shared" si="390"/>
        <v>2H25</v>
      </c>
    </row>
    <row r="168" spans="1:47" x14ac:dyDescent="0.35">
      <c r="A168" s="1617" t="s">
        <v>2923</v>
      </c>
      <c r="B168" s="751" t="s">
        <v>343</v>
      </c>
      <c r="C168" s="752"/>
      <c r="D168" s="752"/>
      <c r="E168" s="752">
        <f>HK!C28</f>
        <v>481.654</v>
      </c>
      <c r="F168" s="752">
        <f>HK!D28</f>
        <v>119.241</v>
      </c>
      <c r="G168" s="752">
        <f>HK!E28</f>
        <v>130.85300000000001</v>
      </c>
      <c r="H168" s="752">
        <f>HK!F28</f>
        <v>237.91</v>
      </c>
      <c r="I168" s="752">
        <f>HK!G28</f>
        <v>292.524</v>
      </c>
      <c r="J168" s="752">
        <f>HK!H28</f>
        <v>522.00199999999995</v>
      </c>
      <c r="K168" s="752">
        <f>HK!I28</f>
        <v>654.726</v>
      </c>
      <c r="L168" s="752">
        <f>HK!J28</f>
        <v>740.09699999999998</v>
      </c>
      <c r="M168" s="752">
        <f>HK!K28</f>
        <v>898.99900000000002</v>
      </c>
      <c r="N168" s="752">
        <f>HK!L28</f>
        <v>903.91899999999998</v>
      </c>
      <c r="O168" s="752">
        <f>HK!M28</f>
        <v>814.09100000000001</v>
      </c>
      <c r="P168" s="752">
        <f>HK!N28</f>
        <v>849.00199999999995</v>
      </c>
      <c r="Q168" s="752">
        <f>HK!O28</f>
        <v>1170.8969999999999</v>
      </c>
      <c r="R168" s="752">
        <f>HK!P28</f>
        <v>1352.8020000000001</v>
      </c>
      <c r="S168" s="752">
        <f>HK!Q28</f>
        <v>990.02499999999998</v>
      </c>
      <c r="T168" s="752">
        <f>HK!R28</f>
        <v>849.71900000000005</v>
      </c>
      <c r="U168" s="752">
        <f>HK!S28</f>
        <v>1271.039</v>
      </c>
      <c r="V168" s="752">
        <f>HK!T28</f>
        <v>1025.539</v>
      </c>
      <c r="W168" s="752">
        <f>HK!U28</f>
        <v>1216.404</v>
      </c>
      <c r="X168" s="752">
        <f>HK!V28</f>
        <v>1241.73</v>
      </c>
      <c r="Y168" s="752"/>
      <c r="Z168" s="785">
        <f>513665/1000</f>
        <v>513.66499999999996</v>
      </c>
      <c r="AA168" s="785">
        <f>N168-Z168</f>
        <v>390.25400000000002</v>
      </c>
      <c r="AB168" s="785">
        <f>384460/1000</f>
        <v>384.46</v>
      </c>
      <c r="AC168" s="785">
        <f>O168-AB168</f>
        <v>429.63100000000003</v>
      </c>
      <c r="AD168" s="785">
        <v>402.51600000000002</v>
      </c>
      <c r="AE168" s="785">
        <f>P168-AD168</f>
        <v>446.48599999999993</v>
      </c>
      <c r="AF168" s="785">
        <v>520.34699999999998</v>
      </c>
      <c r="AG168" s="752">
        <f>Q168-AF168</f>
        <v>650.54999999999995</v>
      </c>
      <c r="AH168" s="785">
        <v>711.923</v>
      </c>
      <c r="AI168" s="752">
        <f>R168-AH168</f>
        <v>640.87900000000013</v>
      </c>
      <c r="AJ168" s="785">
        <v>698.947</v>
      </c>
      <c r="AK168" s="752">
        <f>S168-AJ168</f>
        <v>291.07799999999997</v>
      </c>
      <c r="AL168" s="752">
        <v>439.65899999999999</v>
      </c>
      <c r="AM168" s="752">
        <f>T168-AL168</f>
        <v>410.06000000000006</v>
      </c>
      <c r="AN168" s="752">
        <v>845.21699999999998</v>
      </c>
      <c r="AO168" s="762">
        <f>U168-AN168</f>
        <v>425.822</v>
      </c>
      <c r="AP168" s="752">
        <v>820.43299999999999</v>
      </c>
      <c r="AQ168" s="762">
        <f>V168-AP168</f>
        <v>205.10599999999999</v>
      </c>
      <c r="AR168" s="752">
        <v>932.89700000000005</v>
      </c>
      <c r="AS168" s="762">
        <f>W168-AR168</f>
        <v>283.50699999999995</v>
      </c>
      <c r="AT168" s="752">
        <f>854.534</f>
        <v>854.53399999999999</v>
      </c>
      <c r="AU168" s="762">
        <f>X168-AT168</f>
        <v>387.19600000000003</v>
      </c>
    </row>
    <row r="169" spans="1:47" x14ac:dyDescent="0.35">
      <c r="A169" s="1618" t="s">
        <v>577</v>
      </c>
      <c r="B169" s="753" t="s">
        <v>577</v>
      </c>
      <c r="C169" s="754"/>
      <c r="D169" s="755"/>
      <c r="E169" s="755"/>
      <c r="F169" s="755">
        <f t="shared" ref="F169:X169" si="391">F168/E168-1</f>
        <v>-0.75243432007208488</v>
      </c>
      <c r="G169" s="755">
        <f t="shared" si="391"/>
        <v>9.7382611685578047E-2</v>
      </c>
      <c r="H169" s="755">
        <f t="shared" si="391"/>
        <v>0.81814708107571077</v>
      </c>
      <c r="I169" s="755">
        <f t="shared" si="391"/>
        <v>0.22955739565381861</v>
      </c>
      <c r="J169" s="755">
        <f t="shared" si="391"/>
        <v>0.78447580369473946</v>
      </c>
      <c r="K169" s="755">
        <f t="shared" si="391"/>
        <v>0.25425956222389967</v>
      </c>
      <c r="L169" s="755">
        <f t="shared" si="391"/>
        <v>0.1303919502203974</v>
      </c>
      <c r="M169" s="755">
        <f t="shared" si="391"/>
        <v>0.21470428876214886</v>
      </c>
      <c r="N169" s="755">
        <f t="shared" si="391"/>
        <v>5.4727535848204667E-3</v>
      </c>
      <c r="O169" s="755">
        <f t="shared" si="391"/>
        <v>-9.9376160917073242E-2</v>
      </c>
      <c r="P169" s="755">
        <f t="shared" si="391"/>
        <v>4.2883412296659706E-2</v>
      </c>
      <c r="Q169" s="755">
        <f t="shared" si="391"/>
        <v>0.37914516102435569</v>
      </c>
      <c r="R169" s="755">
        <f t="shared" si="391"/>
        <v>0.15535525328017763</v>
      </c>
      <c r="S169" s="755">
        <f t="shared" si="391"/>
        <v>-0.26816710797293331</v>
      </c>
      <c r="T169" s="755">
        <f t="shared" si="391"/>
        <v>-0.14171965354410232</v>
      </c>
      <c r="U169" s="755">
        <f t="shared" si="391"/>
        <v>0.49583450528939554</v>
      </c>
      <c r="V169" s="755">
        <f t="shared" si="391"/>
        <v>-0.19314906938339427</v>
      </c>
      <c r="W169" s="755">
        <f t="shared" si="391"/>
        <v>0.18611188848010651</v>
      </c>
      <c r="X169" s="755">
        <f t="shared" si="391"/>
        <v>2.0820385332504632E-2</v>
      </c>
      <c r="Y169" s="756"/>
      <c r="Z169" s="755"/>
      <c r="AA169" s="755"/>
      <c r="AB169" s="755">
        <f t="shared" ref="AB169:AU179" si="392">AB168/Z168-1</f>
        <v>-0.25153553385961669</v>
      </c>
      <c r="AC169" s="755">
        <f t="shared" si="392"/>
        <v>0.10090095168787516</v>
      </c>
      <c r="AD169" s="755">
        <f t="shared" si="392"/>
        <v>4.6964573687769962E-2</v>
      </c>
      <c r="AE169" s="755">
        <f t="shared" si="392"/>
        <v>3.92313403827933E-2</v>
      </c>
      <c r="AF169" s="755">
        <f t="shared" si="392"/>
        <v>0.2927361893688698</v>
      </c>
      <c r="AG169" s="755">
        <f t="shared" si="392"/>
        <v>0.45704456578705721</v>
      </c>
      <c r="AH169" s="755">
        <f t="shared" si="392"/>
        <v>0.36816970214107125</v>
      </c>
      <c r="AI169" s="755">
        <f t="shared" si="392"/>
        <v>-1.4865882714625855E-2</v>
      </c>
      <c r="AJ169" s="755">
        <f t="shared" si="392"/>
        <v>-1.8226690245995658E-2</v>
      </c>
      <c r="AK169" s="755">
        <f t="shared" si="392"/>
        <v>-0.54581442050683526</v>
      </c>
      <c r="AL169" s="755">
        <f t="shared" si="392"/>
        <v>-0.37096947264957147</v>
      </c>
      <c r="AM169" s="755">
        <f t="shared" si="392"/>
        <v>0.40876328681659246</v>
      </c>
      <c r="AN169" s="755">
        <f t="shared" si="392"/>
        <v>0.92243761642545707</v>
      </c>
      <c r="AO169" s="755">
        <f t="shared" si="392"/>
        <v>3.8438277325269388E-2</v>
      </c>
      <c r="AP169" s="755">
        <f t="shared" si="392"/>
        <v>-2.9322647320155659E-2</v>
      </c>
      <c r="AQ169" s="755">
        <f t="shared" si="392"/>
        <v>-0.51832925494690274</v>
      </c>
      <c r="AR169" s="755">
        <f t="shared" si="392"/>
        <v>0.13707883520043684</v>
      </c>
      <c r="AS169" s="755">
        <f t="shared" si="392"/>
        <v>0.38224625315690397</v>
      </c>
      <c r="AT169" s="755">
        <f t="shared" si="392"/>
        <v>-8.3999626968464969E-2</v>
      </c>
      <c r="AU169" s="755">
        <f t="shared" si="392"/>
        <v>0.36573700120279251</v>
      </c>
    </row>
    <row r="170" spans="1:47" x14ac:dyDescent="0.35">
      <c r="A170" s="1617" t="s">
        <v>2924</v>
      </c>
      <c r="B170" s="751" t="s">
        <v>359</v>
      </c>
      <c r="C170" s="752"/>
      <c r="D170" s="756"/>
      <c r="E170" s="752">
        <f>Macau!D26</f>
        <v>80.856999999999999</v>
      </c>
      <c r="F170" s="752">
        <f>Macau!E26</f>
        <v>249.232</v>
      </c>
      <c r="G170" s="752">
        <f>Macau!F26</f>
        <v>261.81700000000001</v>
      </c>
      <c r="H170" s="752">
        <f>Macau!G26</f>
        <v>78.352999999999994</v>
      </c>
      <c r="I170" s="752">
        <f>Macau!H26</f>
        <v>42.920999999999999</v>
      </c>
      <c r="J170" s="752">
        <f>Macau!I26</f>
        <v>224.48</v>
      </c>
      <c r="K170" s="752">
        <f>Macau!J26</f>
        <v>178.33</v>
      </c>
      <c r="L170" s="752">
        <f>Macau!K26</f>
        <v>244.102</v>
      </c>
      <c r="M170" s="752">
        <f>Macau!L26</f>
        <v>328.28199999999998</v>
      </c>
      <c r="N170" s="752">
        <f>Macau!M26</f>
        <v>731.83100000000002</v>
      </c>
      <c r="O170" s="752">
        <f>Macau!N26</f>
        <v>929.99699999999996</v>
      </c>
      <c r="P170" s="752">
        <f>Macau!O26</f>
        <v>890.86099999999999</v>
      </c>
      <c r="Q170" s="752">
        <f>Macau!P26</f>
        <v>736.18700000000001</v>
      </c>
      <c r="R170" s="752">
        <f>Macau!Q26</f>
        <v>472.82400000000001</v>
      </c>
      <c r="S170" s="752">
        <f>Macau!R26</f>
        <v>509.601</v>
      </c>
      <c r="T170" s="752">
        <f>Macau!S26</f>
        <v>832.38</v>
      </c>
      <c r="U170" s="752">
        <f>Macau!T26</f>
        <v>544.01</v>
      </c>
      <c r="V170" s="752">
        <f>Macau!U26</f>
        <v>960.24599999999998</v>
      </c>
      <c r="W170" s="752">
        <f>Macau!V26</f>
        <v>1100.7539999999999</v>
      </c>
      <c r="X170" s="752">
        <f>Macau!W26</f>
        <v>747.58799999999997</v>
      </c>
      <c r="Y170" s="752"/>
      <c r="Z170" s="785">
        <f>112387/1000</f>
        <v>112.387</v>
      </c>
      <c r="AA170" s="785">
        <f>N170-Z170</f>
        <v>619.44399999999996</v>
      </c>
      <c r="AB170" s="785">
        <f>262309/1000</f>
        <v>262.30900000000003</v>
      </c>
      <c r="AC170" s="785">
        <f>O170-AB170</f>
        <v>667.68799999999987</v>
      </c>
      <c r="AD170" s="785">
        <v>469.12</v>
      </c>
      <c r="AE170" s="785">
        <f>P170-AD170</f>
        <v>421.74099999999999</v>
      </c>
      <c r="AF170" s="785">
        <v>598.96</v>
      </c>
      <c r="AG170" s="752">
        <f>Q170-AF170</f>
        <v>137.22699999999998</v>
      </c>
      <c r="AH170" s="785">
        <v>226.47900000000001</v>
      </c>
      <c r="AI170" s="752">
        <f>R170-AH170</f>
        <v>246.345</v>
      </c>
      <c r="AJ170" s="785">
        <v>260.49099999999999</v>
      </c>
      <c r="AK170" s="752">
        <f>S170-AJ170</f>
        <v>249.11</v>
      </c>
      <c r="AL170" s="752">
        <v>476.95499999999998</v>
      </c>
      <c r="AM170" s="752">
        <f>T170-AL170</f>
        <v>355.42500000000001</v>
      </c>
      <c r="AN170" s="752">
        <v>414.923</v>
      </c>
      <c r="AO170" s="762">
        <f>U170-AN170</f>
        <v>129.08699999999999</v>
      </c>
      <c r="AP170" s="752">
        <v>695.55200000000002</v>
      </c>
      <c r="AQ170" s="762">
        <f>V170-AP170</f>
        <v>264.69399999999996</v>
      </c>
      <c r="AR170" s="752">
        <v>655.53200000000004</v>
      </c>
      <c r="AS170" s="762">
        <f t="shared" ref="AS170" si="393">W170-AR170</f>
        <v>445.22199999999987</v>
      </c>
      <c r="AT170" s="752">
        <f>600.467</f>
        <v>600.46699999999998</v>
      </c>
      <c r="AU170" s="762">
        <f>X170-AT170</f>
        <v>147.12099999999998</v>
      </c>
    </row>
    <row r="171" spans="1:47" x14ac:dyDescent="0.35">
      <c r="A171" s="1618" t="s">
        <v>577</v>
      </c>
      <c r="B171" s="753" t="s">
        <v>577</v>
      </c>
      <c r="C171" s="754"/>
      <c r="D171" s="755"/>
      <c r="E171" s="755"/>
      <c r="F171" s="755">
        <f t="shared" ref="F171:X171" si="394">F170/E170-1</f>
        <v>2.0823800042049543</v>
      </c>
      <c r="G171" s="755">
        <f t="shared" si="394"/>
        <v>5.0495121011748134E-2</v>
      </c>
      <c r="H171" s="755">
        <f t="shared" si="394"/>
        <v>-0.70073371858970201</v>
      </c>
      <c r="I171" s="755">
        <f t="shared" si="394"/>
        <v>-0.4522098707133102</v>
      </c>
      <c r="J171" s="755">
        <f t="shared" si="394"/>
        <v>4.2300738566203027</v>
      </c>
      <c r="K171" s="755">
        <f t="shared" si="394"/>
        <v>-0.2055862437633641</v>
      </c>
      <c r="L171" s="755">
        <f t="shared" si="394"/>
        <v>0.36882184713732968</v>
      </c>
      <c r="M171" s="755">
        <f t="shared" si="394"/>
        <v>0.34485583895256888</v>
      </c>
      <c r="N171" s="755">
        <f t="shared" si="394"/>
        <v>1.2292754400180335</v>
      </c>
      <c r="O171" s="755">
        <f t="shared" si="394"/>
        <v>0.27078109563546771</v>
      </c>
      <c r="P171" s="755">
        <f t="shared" si="394"/>
        <v>-4.2081856178030619E-2</v>
      </c>
      <c r="Q171" s="755">
        <f t="shared" si="394"/>
        <v>-0.17362304557052111</v>
      </c>
      <c r="R171" s="755">
        <f t="shared" si="394"/>
        <v>-0.35773927004959338</v>
      </c>
      <c r="S171" s="755">
        <f t="shared" si="394"/>
        <v>7.7781584691132499E-2</v>
      </c>
      <c r="T171" s="755">
        <f t="shared" si="394"/>
        <v>0.63339553886275723</v>
      </c>
      <c r="U171" s="755">
        <f t="shared" si="394"/>
        <v>-0.34644032773492872</v>
      </c>
      <c r="V171" s="755">
        <f t="shared" si="394"/>
        <v>0.76512564107277448</v>
      </c>
      <c r="W171" s="755">
        <f t="shared" si="394"/>
        <v>0.14632500421766914</v>
      </c>
      <c r="X171" s="755">
        <f t="shared" si="394"/>
        <v>-0.32084007870968445</v>
      </c>
      <c r="Y171" s="756"/>
      <c r="Z171" s="755"/>
      <c r="AA171" s="755"/>
      <c r="AB171" s="755">
        <f t="shared" ref="AB171:AT171" si="395">AB170/Z170-1</f>
        <v>1.3339799087083026</v>
      </c>
      <c r="AC171" s="755">
        <f t="shared" si="395"/>
        <v>7.7882746462957009E-2</v>
      </c>
      <c r="AD171" s="755">
        <f t="shared" si="395"/>
        <v>0.78842510169304125</v>
      </c>
      <c r="AE171" s="755">
        <f t="shared" si="395"/>
        <v>-0.36835617833479095</v>
      </c>
      <c r="AF171" s="755">
        <f t="shared" si="395"/>
        <v>0.27677353342428379</v>
      </c>
      <c r="AG171" s="755">
        <f t="shared" si="395"/>
        <v>-0.67461783416836396</v>
      </c>
      <c r="AH171" s="755">
        <f t="shared" si="395"/>
        <v>-0.621879591291572</v>
      </c>
      <c r="AI171" s="755">
        <f t="shared" si="395"/>
        <v>0.79516421695438977</v>
      </c>
      <c r="AJ171" s="755">
        <f t="shared" si="395"/>
        <v>0.1501772791296323</v>
      </c>
      <c r="AK171" s="755">
        <f t="shared" si="395"/>
        <v>1.1224096287726582E-2</v>
      </c>
      <c r="AL171" s="755">
        <f t="shared" si="395"/>
        <v>0.83098456376611862</v>
      </c>
      <c r="AM171" s="755">
        <f t="shared" si="395"/>
        <v>0.42677933443057281</v>
      </c>
      <c r="AN171" s="755">
        <f t="shared" si="395"/>
        <v>-0.13005839125284357</v>
      </c>
      <c r="AO171" s="755">
        <f t="shared" si="395"/>
        <v>-0.63680945347119655</v>
      </c>
      <c r="AP171" s="755">
        <f t="shared" si="395"/>
        <v>0.67633994741192938</v>
      </c>
      <c r="AQ171" s="755">
        <f t="shared" si="395"/>
        <v>1.0505085717384399</v>
      </c>
      <c r="AR171" s="755">
        <f t="shared" si="395"/>
        <v>-5.753703533308796E-2</v>
      </c>
      <c r="AS171" s="755">
        <f t="shared" si="392"/>
        <v>0.68202528202377066</v>
      </c>
      <c r="AT171" s="755">
        <f t="shared" si="395"/>
        <v>-8.4000475949305375E-2</v>
      </c>
      <c r="AU171" s="755">
        <f t="shared" si="392"/>
        <v>-0.66955586201939699</v>
      </c>
    </row>
    <row r="172" spans="1:47" x14ac:dyDescent="0.35">
      <c r="A172" s="1617" t="s">
        <v>143</v>
      </c>
      <c r="B172" s="751" t="s">
        <v>1836</v>
      </c>
      <c r="C172" s="752"/>
      <c r="D172" s="756"/>
      <c r="E172" s="752">
        <f>'MainLand China'!D57</f>
        <v>33.253999999999998</v>
      </c>
      <c r="F172" s="752">
        <f>'MainLand China'!E57</f>
        <v>233.27500000000001</v>
      </c>
      <c r="G172" s="752">
        <f>'MainLand China'!F57</f>
        <v>273.166</v>
      </c>
      <c r="H172" s="752">
        <f>'MainLand China'!G57</f>
        <v>303.53500000000003</v>
      </c>
      <c r="I172" s="752">
        <f>'MainLand China'!H57</f>
        <v>833.70899999999995</v>
      </c>
      <c r="J172" s="752">
        <f>'MainLand China'!I57</f>
        <v>1124.2439999999999</v>
      </c>
      <c r="K172" s="752">
        <f>'MainLand China'!J57</f>
        <v>1656.0709999999999</v>
      </c>
      <c r="L172" s="752">
        <f>'MainLand China'!K57</f>
        <v>2491.627</v>
      </c>
      <c r="M172" s="752">
        <f>'MainLand China'!L57</f>
        <v>3305.605</v>
      </c>
      <c r="N172" s="752">
        <f>'MainLand China'!M57</f>
        <v>3528.357</v>
      </c>
      <c r="O172" s="752">
        <f>'MainLand China'!N57</f>
        <v>3721.6350000000002</v>
      </c>
      <c r="P172" s="752">
        <f>'MainLand China'!O57</f>
        <v>4827.0659999999998</v>
      </c>
      <c r="Q172" s="752">
        <f>'MainLand China'!P57</f>
        <v>5998.5749999999998</v>
      </c>
      <c r="R172" s="752">
        <f>'MainLand China'!Q57</f>
        <v>6307.058</v>
      </c>
      <c r="S172" s="752">
        <f>'MainLand China'!R57</f>
        <v>6503.3130000000001</v>
      </c>
      <c r="T172" s="752">
        <f>'MainLand China'!S57</f>
        <v>8784.2119999999995</v>
      </c>
      <c r="U172" s="752">
        <f>'MainLand China'!T57</f>
        <v>10283.782999999999</v>
      </c>
      <c r="V172" s="752">
        <f>'MainLand China'!U57</f>
        <v>11557.993</v>
      </c>
      <c r="W172" s="752">
        <f>'MainLand China'!V57</f>
        <v>12811.411</v>
      </c>
      <c r="X172" s="752">
        <f>'MainLand China'!W57</f>
        <v>11887.62</v>
      </c>
      <c r="Y172" s="752"/>
      <c r="Z172" s="785">
        <f>1687897/1000</f>
        <v>1687.8969999999999</v>
      </c>
      <c r="AA172" s="785">
        <f>N172-Z172</f>
        <v>1840.46</v>
      </c>
      <c r="AB172" s="785">
        <f>1242071/1000</f>
        <v>1242.0709999999999</v>
      </c>
      <c r="AC172" s="785">
        <f>O172-AB172</f>
        <v>2479.5640000000003</v>
      </c>
      <c r="AD172" s="785">
        <v>1902.7149999999999</v>
      </c>
      <c r="AE172" s="785">
        <f>P172-AD172</f>
        <v>2924.3509999999997</v>
      </c>
      <c r="AF172" s="785">
        <v>2681.6480000000001</v>
      </c>
      <c r="AG172" s="752">
        <f>Q172-AF172</f>
        <v>3316.9269999999997</v>
      </c>
      <c r="AH172" s="785">
        <v>2943.1750000000002</v>
      </c>
      <c r="AI172" s="752">
        <f>R172-AH172</f>
        <v>3363.8829999999998</v>
      </c>
      <c r="AJ172" s="785">
        <v>3626.6489999999999</v>
      </c>
      <c r="AK172" s="752">
        <f>S172-AJ172</f>
        <v>2876.6640000000002</v>
      </c>
      <c r="AL172" s="752">
        <v>4316.8270000000002</v>
      </c>
      <c r="AM172" s="752">
        <f>T172-AL172</f>
        <v>4467.3849999999993</v>
      </c>
      <c r="AN172" s="752">
        <v>4971.7619999999997</v>
      </c>
      <c r="AO172" s="762">
        <f>U172-AN172</f>
        <v>5312.0209999999997</v>
      </c>
      <c r="AP172" s="752">
        <v>5720.7560000000003</v>
      </c>
      <c r="AQ172" s="762">
        <f>V172-AP172</f>
        <v>5837.2370000000001</v>
      </c>
      <c r="AR172" s="752">
        <v>6336.3469999999998</v>
      </c>
      <c r="AS172" s="762">
        <f t="shared" ref="AS172" si="396">W172-AR172</f>
        <v>6475.0640000000003</v>
      </c>
      <c r="AT172" s="752">
        <f>5804.094</f>
        <v>5804.0940000000001</v>
      </c>
      <c r="AU172" s="762">
        <f>X172-AT172</f>
        <v>6083.5260000000007</v>
      </c>
    </row>
    <row r="173" spans="1:47" x14ac:dyDescent="0.35">
      <c r="A173" s="1618" t="s">
        <v>577</v>
      </c>
      <c r="B173" s="753" t="s">
        <v>577</v>
      </c>
      <c r="C173" s="754"/>
      <c r="D173" s="755"/>
      <c r="E173" s="755"/>
      <c r="F173" s="755">
        <f t="shared" ref="F173:X173" si="397">F172/E172-1</f>
        <v>6.01494557045769</v>
      </c>
      <c r="G173" s="755">
        <f t="shared" si="397"/>
        <v>0.17100417961633263</v>
      </c>
      <c r="H173" s="755">
        <f t="shared" si="397"/>
        <v>0.11117415783809115</v>
      </c>
      <c r="I173" s="755">
        <f t="shared" si="397"/>
        <v>1.7466651292272717</v>
      </c>
      <c r="J173" s="755">
        <f t="shared" si="397"/>
        <v>0.3484849030057251</v>
      </c>
      <c r="K173" s="755">
        <f t="shared" si="397"/>
        <v>0.47305300272894502</v>
      </c>
      <c r="L173" s="755">
        <f t="shared" si="397"/>
        <v>0.50454117003437671</v>
      </c>
      <c r="M173" s="755">
        <f t="shared" si="397"/>
        <v>0.32668533452238235</v>
      </c>
      <c r="N173" s="755">
        <f t="shared" si="397"/>
        <v>6.7386151702940822E-2</v>
      </c>
      <c r="O173" s="755">
        <f t="shared" si="397"/>
        <v>5.4778470545922664E-2</v>
      </c>
      <c r="P173" s="755">
        <f t="shared" si="397"/>
        <v>0.29702832222934261</v>
      </c>
      <c r="Q173" s="755">
        <f t="shared" si="397"/>
        <v>0.24269587364249845</v>
      </c>
      <c r="R173" s="755">
        <f t="shared" si="397"/>
        <v>5.1426047019500487E-2</v>
      </c>
      <c r="S173" s="755">
        <f t="shared" si="397"/>
        <v>3.1116726689369267E-2</v>
      </c>
      <c r="T173" s="755">
        <f t="shared" si="397"/>
        <v>0.35072877470298591</v>
      </c>
      <c r="U173" s="755">
        <f t="shared" si="397"/>
        <v>0.1707120684245782</v>
      </c>
      <c r="V173" s="755">
        <f t="shared" si="397"/>
        <v>0.12390479262349285</v>
      </c>
      <c r="W173" s="755">
        <f t="shared" si="397"/>
        <v>0.10844599057985227</v>
      </c>
      <c r="X173" s="755">
        <f t="shared" si="397"/>
        <v>-7.2106889709494082E-2</v>
      </c>
      <c r="Y173" s="756"/>
      <c r="Z173" s="755"/>
      <c r="AA173" s="755"/>
      <c r="AB173" s="755">
        <f t="shared" ref="AB173:AT173" si="398">AB172/Z172-1</f>
        <v>-0.2641310459109768</v>
      </c>
      <c r="AC173" s="755">
        <f t="shared" si="398"/>
        <v>0.34725231735544382</v>
      </c>
      <c r="AD173" s="755">
        <f t="shared" si="398"/>
        <v>0.53188907880467395</v>
      </c>
      <c r="AE173" s="755">
        <f t="shared" si="398"/>
        <v>0.17938113313469595</v>
      </c>
      <c r="AF173" s="755">
        <f t="shared" si="398"/>
        <v>0.40937975471891486</v>
      </c>
      <c r="AG173" s="755">
        <f t="shared" si="398"/>
        <v>0.13424380315495643</v>
      </c>
      <c r="AH173" s="755">
        <f t="shared" si="398"/>
        <v>9.7524731060899983E-2</v>
      </c>
      <c r="AI173" s="755">
        <f t="shared" si="398"/>
        <v>1.4156476762979819E-2</v>
      </c>
      <c r="AJ173" s="755">
        <f t="shared" si="398"/>
        <v>0.23222336422400969</v>
      </c>
      <c r="AK173" s="755">
        <f t="shared" si="398"/>
        <v>-0.1448382717234814</v>
      </c>
      <c r="AL173" s="755">
        <f t="shared" si="398"/>
        <v>0.19030736087225431</v>
      </c>
      <c r="AM173" s="755">
        <f t="shared" si="398"/>
        <v>0.55297420901433014</v>
      </c>
      <c r="AN173" s="755">
        <f t="shared" si="398"/>
        <v>0.15171675862850176</v>
      </c>
      <c r="AO173" s="755">
        <f t="shared" si="398"/>
        <v>0.1890672059829186</v>
      </c>
      <c r="AP173" s="755">
        <f t="shared" si="398"/>
        <v>0.15064960873026512</v>
      </c>
      <c r="AQ173" s="755">
        <f t="shared" si="398"/>
        <v>9.8873103099554882E-2</v>
      </c>
      <c r="AR173" s="755">
        <f t="shared" si="398"/>
        <v>0.10760658206712526</v>
      </c>
      <c r="AS173" s="755">
        <f t="shared" si="392"/>
        <v>0.10926864884876197</v>
      </c>
      <c r="AT173" s="755">
        <f t="shared" si="398"/>
        <v>-8.3999976642693319E-2</v>
      </c>
      <c r="AU173" s="755">
        <f t="shared" si="392"/>
        <v>-6.0468591507357949E-2</v>
      </c>
    </row>
    <row r="174" spans="1:47" hidden="1" outlineLevel="1" x14ac:dyDescent="0.35">
      <c r="A174" s="1617" t="s">
        <v>2930</v>
      </c>
      <c r="B174" s="751" t="s">
        <v>718</v>
      </c>
      <c r="C174" s="752"/>
      <c r="D174" s="756"/>
      <c r="E174" s="752">
        <f>Overseas!D18</f>
        <v>-4.4579999999999984</v>
      </c>
      <c r="F174" s="752">
        <f>Overseas!E18</f>
        <v>42.253</v>
      </c>
      <c r="G174" s="752">
        <f>Overseas!F18</f>
        <v>10.026</v>
      </c>
      <c r="H174" s="752">
        <f>Overseas!G18</f>
        <v>-65.683000000000007</v>
      </c>
      <c r="I174" s="752">
        <f>Overseas!H18</f>
        <v>-55.704000000000001</v>
      </c>
      <c r="J174" s="785">
        <f>Overseas!I18</f>
        <v>-94.691999999999993</v>
      </c>
      <c r="K174" s="785">
        <f>Overseas!J18</f>
        <v>-2.3940000000000001</v>
      </c>
      <c r="L174" s="785">
        <f>Overseas!K18</f>
        <v>20.36</v>
      </c>
      <c r="M174" s="785">
        <f>Overseas!L18</f>
        <v>-53.627000000000002</v>
      </c>
      <c r="N174" s="785">
        <f>Overseas!M18</f>
        <v>-28.385999999999999</v>
      </c>
      <c r="O174" s="785">
        <f>Overseas!N18</f>
        <v>-35.228000000000002</v>
      </c>
      <c r="P174" s="785">
        <f>Overseas!O18</f>
        <v>-4.0030000000000001</v>
      </c>
      <c r="Q174" s="785">
        <f>Overseas!P18</f>
        <v>-8.3740000000000006</v>
      </c>
      <c r="R174" s="785">
        <f>Overseas!Q18</f>
        <v>-14.209</v>
      </c>
      <c r="S174" s="785">
        <f>Overseas!R18</f>
        <v>-5.8689999999999998</v>
      </c>
      <c r="T174" s="785">
        <f>Overseas!S18</f>
        <v>0</v>
      </c>
      <c r="U174" s="785">
        <f>Overseas!T18</f>
        <v>0</v>
      </c>
      <c r="V174" s="785">
        <f>Overseas!U18</f>
        <v>0</v>
      </c>
      <c r="W174" s="785">
        <f>Overseas!V18</f>
        <v>0</v>
      </c>
      <c r="X174" s="785">
        <f>Overseas!W18</f>
        <v>0</v>
      </c>
      <c r="Y174" s="752"/>
      <c r="Z174" s="785">
        <f>-15223/1000</f>
        <v>-15.223000000000001</v>
      </c>
      <c r="AA174" s="785">
        <f>N174-Z174</f>
        <v>-13.162999999999998</v>
      </c>
      <c r="AB174" s="785">
        <f>-19267/1000</f>
        <v>-19.266999999999999</v>
      </c>
      <c r="AC174" s="785">
        <f>O174-AB174</f>
        <v>-15.961000000000002</v>
      </c>
      <c r="AD174" s="785">
        <v>1.8140000000000001</v>
      </c>
      <c r="AF174" s="148">
        <v>-3.2749999999999999</v>
      </c>
      <c r="AG174" s="148">
        <v>-3.2749999999999999</v>
      </c>
      <c r="AH174" s="745">
        <v>-3.093</v>
      </c>
      <c r="AI174" s="775">
        <f>R174-AH174</f>
        <v>-11.116</v>
      </c>
      <c r="AJ174" s="745">
        <v>-2.2450000000000001</v>
      </c>
      <c r="AK174" s="775">
        <f>S174-AJ174</f>
        <v>-3.6239999999999997</v>
      </c>
      <c r="AL174" s="775">
        <v>-2.5880000000000001</v>
      </c>
      <c r="AM174" s="775">
        <f>U174-AL174</f>
        <v>2.5880000000000001</v>
      </c>
      <c r="AN174" s="775"/>
      <c r="AO174" s="775"/>
      <c r="AP174" s="775"/>
      <c r="AQ174" s="775"/>
      <c r="AR174" s="775"/>
      <c r="AS174" s="762">
        <f t="shared" ref="AS174:AU174" si="399">W174-AR174</f>
        <v>0</v>
      </c>
      <c r="AT174" s="775"/>
      <c r="AU174" s="762">
        <f t="shared" si="399"/>
        <v>0</v>
      </c>
    </row>
    <row r="175" spans="1:47" hidden="1" outlineLevel="1" x14ac:dyDescent="0.35">
      <c r="A175" s="1618" t="s">
        <v>577</v>
      </c>
      <c r="B175" s="753" t="s">
        <v>577</v>
      </c>
      <c r="C175" s="754"/>
      <c r="D175" s="755"/>
      <c r="E175" s="755"/>
      <c r="F175" s="755">
        <f t="shared" ref="F175:S175" si="400">F174/E174-1</f>
        <v>-10.478017048003592</v>
      </c>
      <c r="G175" s="755">
        <f t="shared" si="400"/>
        <v>-0.76271507348590628</v>
      </c>
      <c r="H175" s="755">
        <f t="shared" si="400"/>
        <v>-7.5512667065629371</v>
      </c>
      <c r="I175" s="755">
        <f t="shared" si="400"/>
        <v>-0.15192667813589522</v>
      </c>
      <c r="J175" s="755">
        <f t="shared" si="400"/>
        <v>0.69991383024558362</v>
      </c>
      <c r="K175" s="755">
        <f t="shared" si="400"/>
        <v>-0.97471803320238248</v>
      </c>
      <c r="L175" s="755">
        <f t="shared" si="400"/>
        <v>-9.5045948203842929</v>
      </c>
      <c r="M175" s="755">
        <f t="shared" si="400"/>
        <v>-3.6339390962671909</v>
      </c>
      <c r="N175" s="755">
        <f t="shared" si="400"/>
        <v>-0.47067708430454813</v>
      </c>
      <c r="O175" s="755">
        <f t="shared" si="400"/>
        <v>0.24103431268935394</v>
      </c>
      <c r="P175" s="755">
        <f t="shared" si="400"/>
        <v>-0.8863687975474055</v>
      </c>
      <c r="Q175" s="755">
        <f t="shared" si="400"/>
        <v>1.0919310517112168</v>
      </c>
      <c r="R175" s="755">
        <f t="shared" si="400"/>
        <v>0.69679961786481948</v>
      </c>
      <c r="S175" s="755">
        <f t="shared" si="400"/>
        <v>-0.58695193187416428</v>
      </c>
      <c r="T175" s="755" t="s">
        <v>6</v>
      </c>
      <c r="U175" s="755" t="s">
        <v>6</v>
      </c>
      <c r="V175" s="755" t="s">
        <v>6</v>
      </c>
      <c r="W175" s="755" t="s">
        <v>6</v>
      </c>
      <c r="X175" s="755" t="s">
        <v>6</v>
      </c>
      <c r="Y175" s="756"/>
      <c r="Z175" s="755"/>
      <c r="AA175" s="755"/>
      <c r="AB175" s="755">
        <f>AB174/Z174-1</f>
        <v>0.26565066018524597</v>
      </c>
      <c r="AC175" s="755">
        <f>AC174/AA174-1</f>
        <v>0.2125655245764646</v>
      </c>
      <c r="AD175" s="755">
        <f>AD174/AB174-1</f>
        <v>-1.0941506202314839</v>
      </c>
      <c r="AF175" s="148">
        <f t="shared" ref="AF175:AK175" si="401">AF174/AD174-1</f>
        <v>-2.8054024255788312</v>
      </c>
      <c r="AG175" s="148" t="e">
        <f t="shared" si="401"/>
        <v>#DIV/0!</v>
      </c>
      <c r="AH175" s="755">
        <f t="shared" si="401"/>
        <v>-5.5572519083969429E-2</v>
      </c>
      <c r="AI175" s="755">
        <f t="shared" si="401"/>
        <v>2.3941984732824428</v>
      </c>
      <c r="AJ175" s="755">
        <f t="shared" si="401"/>
        <v>-0.27416747494342064</v>
      </c>
      <c r="AK175" s="755">
        <f t="shared" si="401"/>
        <v>-0.67398344728319537</v>
      </c>
      <c r="AL175" s="755"/>
      <c r="AM175" s="755">
        <f>AM174/AK174-1</f>
        <v>-1.7141280353200883</v>
      </c>
      <c r="AN175" s="755"/>
      <c r="AO175" s="755"/>
      <c r="AP175" s="755"/>
      <c r="AQ175" s="755"/>
      <c r="AR175" s="755"/>
      <c r="AS175" s="755" t="e">
        <f t="shared" si="392"/>
        <v>#DIV/0!</v>
      </c>
      <c r="AT175" s="755"/>
      <c r="AU175" s="755" t="e">
        <f t="shared" si="392"/>
        <v>#DIV/0!</v>
      </c>
    </row>
    <row r="176" spans="1:47" collapsed="1" x14ac:dyDescent="0.35">
      <c r="A176" s="1617" t="s">
        <v>2675</v>
      </c>
      <c r="B176" s="751" t="s">
        <v>1837</v>
      </c>
      <c r="C176" s="752"/>
      <c r="D176" s="756"/>
      <c r="E176" s="752"/>
      <c r="F176" s="752"/>
      <c r="G176" s="752"/>
      <c r="H176" s="752"/>
      <c r="I176" s="752"/>
      <c r="J176" s="785"/>
      <c r="K176" s="785">
        <f>CSCD!C26</f>
        <v>6.1360000000000001</v>
      </c>
      <c r="L176" s="785">
        <f>CSCD!D26</f>
        <v>-156.679</v>
      </c>
      <c r="M176" s="785">
        <f>CSCD!E26</f>
        <v>-114.998</v>
      </c>
      <c r="N176" s="785">
        <f>CSCD!F26</f>
        <v>19.003</v>
      </c>
      <c r="O176" s="785">
        <f>CSCD!G26</f>
        <v>6.0960000000000001</v>
      </c>
      <c r="P176" s="785">
        <f>CSCD!H26</f>
        <v>252.46600000000001</v>
      </c>
      <c r="Q176" s="785">
        <f>CSCD!I26</f>
        <v>167.66399999999999</v>
      </c>
      <c r="R176" s="785">
        <f>CSCD!J26</f>
        <v>384.30799999999999</v>
      </c>
      <c r="S176" s="785">
        <f>CSCD!K26</f>
        <v>316.11200000000002</v>
      </c>
      <c r="T176" s="785">
        <f>CSCD!L26</f>
        <v>406.86</v>
      </c>
      <c r="U176" s="785">
        <f>CSCD!M26</f>
        <v>471.69</v>
      </c>
      <c r="V176" s="785">
        <f>CSCD!N26</f>
        <v>812.55799999999999</v>
      </c>
      <c r="W176" s="785">
        <f>CSCD!O26</f>
        <v>786.60699999999997</v>
      </c>
      <c r="X176" s="785">
        <f>CSCD!P26</f>
        <v>295.2</v>
      </c>
      <c r="Y176" s="752"/>
      <c r="Z176" s="785">
        <f>42970/1000</f>
        <v>42.97</v>
      </c>
      <c r="AA176" s="785">
        <f>N176-Z176</f>
        <v>-23.966999999999999</v>
      </c>
      <c r="AB176" s="785">
        <f>53002/1000</f>
        <v>53.002000000000002</v>
      </c>
      <c r="AC176" s="785">
        <f>O176-AB176</f>
        <v>-46.906000000000006</v>
      </c>
      <c r="AD176" s="785">
        <v>128.215</v>
      </c>
      <c r="AE176" s="785">
        <f>P176-AD176</f>
        <v>124.251</v>
      </c>
      <c r="AF176" s="785">
        <v>70.015000000000001</v>
      </c>
      <c r="AG176" s="752">
        <f>Q176-AF176</f>
        <v>97.648999999999987</v>
      </c>
      <c r="AH176" s="785">
        <v>168.18899999999999</v>
      </c>
      <c r="AI176" s="752">
        <f>R176-AH176</f>
        <v>216.119</v>
      </c>
      <c r="AJ176" s="785">
        <v>216.53</v>
      </c>
      <c r="AK176" s="752">
        <f>S176-AJ176</f>
        <v>99.582000000000022</v>
      </c>
      <c r="AL176" s="752">
        <v>299.24200000000002</v>
      </c>
      <c r="AM176" s="752">
        <f>T176-AL176</f>
        <v>107.61799999999999</v>
      </c>
      <c r="AN176" s="752">
        <v>374.43799999999999</v>
      </c>
      <c r="AO176" s="762">
        <f>U176-AN176</f>
        <v>97.25200000000001</v>
      </c>
      <c r="AP176" s="752">
        <v>531.65099999999995</v>
      </c>
      <c r="AQ176" s="762">
        <f>V176-AP176</f>
        <v>280.90700000000004</v>
      </c>
      <c r="AR176" s="752">
        <v>645.66899999999998</v>
      </c>
      <c r="AS176" s="762">
        <f t="shared" ref="AS176" si="402">W176-AR176</f>
        <v>140.93799999999999</v>
      </c>
      <c r="AT176" s="752">
        <f>591.433</f>
        <v>591.43299999999999</v>
      </c>
      <c r="AU176" s="762">
        <f>X176-AT176</f>
        <v>-296.233</v>
      </c>
    </row>
    <row r="177" spans="1:55" x14ac:dyDescent="0.35">
      <c r="A177" s="1618" t="s">
        <v>577</v>
      </c>
      <c r="B177" s="753" t="s">
        <v>577</v>
      </c>
      <c r="C177" s="754"/>
      <c r="D177" s="755"/>
      <c r="E177" s="755"/>
      <c r="F177" s="755"/>
      <c r="G177" s="755"/>
      <c r="H177" s="755"/>
      <c r="I177" s="755"/>
      <c r="J177" s="755"/>
      <c r="K177" s="755"/>
      <c r="L177" s="755">
        <f t="shared" ref="L177:X177" si="403">L176/K176-1</f>
        <v>-26.534387222946545</v>
      </c>
      <c r="M177" s="755">
        <f t="shared" si="403"/>
        <v>-0.26602799354093398</v>
      </c>
      <c r="N177" s="755">
        <f t="shared" si="403"/>
        <v>-1.1652463521104715</v>
      </c>
      <c r="O177" s="755">
        <f t="shared" si="403"/>
        <v>-0.67920854601904956</v>
      </c>
      <c r="P177" s="755">
        <f t="shared" si="403"/>
        <v>40.415026246719158</v>
      </c>
      <c r="Q177" s="755">
        <f t="shared" si="403"/>
        <v>-0.33589473434046568</v>
      </c>
      <c r="R177" s="755">
        <f t="shared" si="403"/>
        <v>1.2921318828132455</v>
      </c>
      <c r="S177" s="755">
        <f t="shared" si="403"/>
        <v>-0.17745141917420393</v>
      </c>
      <c r="T177" s="755">
        <f t="shared" si="403"/>
        <v>0.2870754669231157</v>
      </c>
      <c r="U177" s="755">
        <f t="shared" si="403"/>
        <v>0.15934227989971972</v>
      </c>
      <c r="V177" s="755">
        <f t="shared" si="403"/>
        <v>0.72265258962454149</v>
      </c>
      <c r="W177" s="755">
        <f t="shared" si="403"/>
        <v>-3.1937412467786919E-2</v>
      </c>
      <c r="X177" s="755">
        <f t="shared" si="403"/>
        <v>-0.62471729847306223</v>
      </c>
      <c r="Y177" s="756"/>
      <c r="Z177" s="755"/>
      <c r="AA177" s="755"/>
      <c r="AB177" s="755">
        <f>AB176/Z176-1</f>
        <v>0.23346520828485007</v>
      </c>
      <c r="AC177" s="755">
        <f>AC176/AA176-1</f>
        <v>0.95710768974005966</v>
      </c>
      <c r="AD177" s="755">
        <f>AD176/AB176-1</f>
        <v>1.4190596581261086</v>
      </c>
      <c r="AE177" s="755">
        <f>(AE176-AC176)/(-AC176)-1</f>
        <v>2.6489361702127656</v>
      </c>
      <c r="AF177" s="755">
        <f t="shared" ref="AF177:AT177" si="404">AF176/AD176-1</f>
        <v>-0.45392504777132159</v>
      </c>
      <c r="AG177" s="755">
        <f t="shared" si="404"/>
        <v>-0.21409888049190762</v>
      </c>
      <c r="AH177" s="755">
        <f t="shared" si="404"/>
        <v>1.4021852460187101</v>
      </c>
      <c r="AI177" s="755">
        <f t="shared" si="404"/>
        <v>1.2132228696658443</v>
      </c>
      <c r="AJ177" s="755">
        <f t="shared" si="404"/>
        <v>0.28742069933229875</v>
      </c>
      <c r="AK177" s="755">
        <f t="shared" si="404"/>
        <v>-0.53922607452375759</v>
      </c>
      <c r="AL177" s="755">
        <f t="shared" si="404"/>
        <v>0.38198863898766922</v>
      </c>
      <c r="AM177" s="755">
        <f t="shared" si="404"/>
        <v>8.0697314775762363E-2</v>
      </c>
      <c r="AN177" s="755">
        <f t="shared" si="404"/>
        <v>0.25128825499094365</v>
      </c>
      <c r="AO177" s="755">
        <f t="shared" si="404"/>
        <v>-9.6322176587559594E-2</v>
      </c>
      <c r="AP177" s="755">
        <f t="shared" si="404"/>
        <v>0.41986390270218288</v>
      </c>
      <c r="AQ177" s="755">
        <f t="shared" si="404"/>
        <v>1.8884444535845022</v>
      </c>
      <c r="AR177" s="755">
        <f t="shared" si="404"/>
        <v>0.21446023801328318</v>
      </c>
      <c r="AS177" s="755">
        <f t="shared" si="392"/>
        <v>-0.498275229880352</v>
      </c>
      <c r="AT177" s="755">
        <f t="shared" si="404"/>
        <v>-8.3999696438887383E-2</v>
      </c>
      <c r="AU177" s="755">
        <f t="shared" si="392"/>
        <v>-3.1018674878315289</v>
      </c>
    </row>
    <row r="178" spans="1:55" x14ac:dyDescent="0.35">
      <c r="A178" s="1617" t="s">
        <v>96</v>
      </c>
      <c r="B178" s="751" t="s">
        <v>512</v>
      </c>
      <c r="C178" s="761"/>
      <c r="D178" s="761"/>
      <c r="E178" s="762">
        <f t="shared" ref="E178:U178" si="405">E168+E170+E172+E174+E176</f>
        <v>591.30700000000002</v>
      </c>
      <c r="F178" s="762">
        <f t="shared" si="405"/>
        <v>644.00100000000009</v>
      </c>
      <c r="G178" s="762">
        <f t="shared" si="405"/>
        <v>675.86199999999997</v>
      </c>
      <c r="H178" s="762">
        <f t="shared" si="405"/>
        <v>554.11500000000001</v>
      </c>
      <c r="I178" s="762">
        <f t="shared" si="405"/>
        <v>1113.45</v>
      </c>
      <c r="J178" s="762">
        <f t="shared" si="405"/>
        <v>1776.0339999999999</v>
      </c>
      <c r="K178" s="762">
        <f t="shared" si="405"/>
        <v>2492.8690000000001</v>
      </c>
      <c r="L178" s="762">
        <f t="shared" si="405"/>
        <v>3339.5070000000001</v>
      </c>
      <c r="M178" s="762">
        <f t="shared" si="405"/>
        <v>4364.2610000000004</v>
      </c>
      <c r="N178" s="762">
        <f t="shared" si="405"/>
        <v>5154.7239999999993</v>
      </c>
      <c r="O178" s="762">
        <f t="shared" si="405"/>
        <v>5436.5909999999994</v>
      </c>
      <c r="P178" s="762">
        <f t="shared" si="405"/>
        <v>6815.3920000000007</v>
      </c>
      <c r="Q178" s="762">
        <f t="shared" si="405"/>
        <v>8064.9489999999996</v>
      </c>
      <c r="R178" s="762">
        <f t="shared" si="405"/>
        <v>8502.7829999999994</v>
      </c>
      <c r="S178" s="762">
        <f t="shared" si="405"/>
        <v>8313.1820000000007</v>
      </c>
      <c r="T178" s="762">
        <f t="shared" si="405"/>
        <v>10873.171</v>
      </c>
      <c r="U178" s="762">
        <f t="shared" si="405"/>
        <v>12570.521999999999</v>
      </c>
      <c r="V178" s="762">
        <f t="shared" ref="V178:W178" si="406">V168+V170+V172+V174+V176</f>
        <v>14356.335999999999</v>
      </c>
      <c r="W178" s="762">
        <f t="shared" si="406"/>
        <v>15915.175999999999</v>
      </c>
      <c r="X178" s="762">
        <f t="shared" ref="X178" si="407">X168+X170+X172+X174+X176</f>
        <v>14172.138000000001</v>
      </c>
      <c r="Y178" s="762"/>
      <c r="Z178" s="787">
        <f>Z168+Z170+Z172+Z174+Z176</f>
        <v>2341.6959999999995</v>
      </c>
      <c r="AA178" s="787">
        <f>AA168+AA170+AA172+AA174+AA176</f>
        <v>2813.0279999999998</v>
      </c>
      <c r="AB178" s="787">
        <f>AB168+AB170+AB172+AB174+AB176</f>
        <v>1922.5749999999998</v>
      </c>
      <c r="AC178" s="787">
        <f>AC168+AC170+AC172+AC174+AC176</f>
        <v>3514.0160000000005</v>
      </c>
      <c r="AD178" s="787">
        <v>2900.752</v>
      </c>
      <c r="AE178" s="785">
        <f>P178-AD178</f>
        <v>3914.6400000000008</v>
      </c>
      <c r="AF178" s="785">
        <f>AF168+AF170+AF172+AF174+AF176</f>
        <v>3867.6949999999997</v>
      </c>
      <c r="AG178" s="752">
        <f>Q178-AF178</f>
        <v>4197.2539999999999</v>
      </c>
      <c r="AH178" s="785">
        <f t="shared" ref="AH178:AO178" si="408">AH168+AH170+AH172+AH174+AH176</f>
        <v>4046.6730000000002</v>
      </c>
      <c r="AI178" s="785">
        <f t="shared" si="408"/>
        <v>4456.1099999999997</v>
      </c>
      <c r="AJ178" s="785">
        <f t="shared" si="408"/>
        <v>4800.3719999999994</v>
      </c>
      <c r="AK178" s="785">
        <f t="shared" si="408"/>
        <v>3512.8100000000004</v>
      </c>
      <c r="AL178" s="785">
        <f t="shared" si="408"/>
        <v>5530.0950000000012</v>
      </c>
      <c r="AM178" s="785">
        <f t="shared" si="408"/>
        <v>5343.0759999999991</v>
      </c>
      <c r="AN178" s="785">
        <f t="shared" si="408"/>
        <v>6606.34</v>
      </c>
      <c r="AO178" s="785">
        <f t="shared" si="408"/>
        <v>5964.1819999999998</v>
      </c>
      <c r="AP178" s="785">
        <f t="shared" ref="AP178:AR178" si="409">AP168+AP170+AP172+AP174+AP176</f>
        <v>7768.3919999999998</v>
      </c>
      <c r="AQ178" s="785">
        <f t="shared" si="409"/>
        <v>6587.9440000000004</v>
      </c>
      <c r="AR178" s="785">
        <f t="shared" si="409"/>
        <v>8570.4449999999997</v>
      </c>
      <c r="AS178" s="762">
        <f t="shared" ref="AS178" si="410">W178-AR178</f>
        <v>7344.7309999999998</v>
      </c>
      <c r="AT178" s="785">
        <f t="shared" ref="AT178" si="411">AT168+AT170+AT172+AT174+AT176</f>
        <v>7850.5280000000002</v>
      </c>
      <c r="AU178" s="762">
        <f>X178-AT178</f>
        <v>6321.6100000000006</v>
      </c>
    </row>
    <row r="179" spans="1:55" x14ac:dyDescent="0.35">
      <c r="A179" s="1618" t="s">
        <v>577</v>
      </c>
      <c r="B179" s="753" t="s">
        <v>577</v>
      </c>
      <c r="C179" s="763"/>
      <c r="D179" s="763"/>
      <c r="E179" s="763"/>
      <c r="F179" s="755">
        <f t="shared" ref="F179:X179" si="412">F178/E178-1</f>
        <v>8.9114453236643687E-2</v>
      </c>
      <c r="G179" s="755">
        <f t="shared" si="412"/>
        <v>4.9473525662226958E-2</v>
      </c>
      <c r="H179" s="755">
        <f t="shared" si="412"/>
        <v>-0.18013588572815153</v>
      </c>
      <c r="I179" s="755">
        <f t="shared" si="412"/>
        <v>1.0094204271676457</v>
      </c>
      <c r="J179" s="755">
        <f t="shared" si="412"/>
        <v>0.59507297139521298</v>
      </c>
      <c r="K179" s="755">
        <f t="shared" si="412"/>
        <v>0.40361558393589325</v>
      </c>
      <c r="L179" s="755">
        <f t="shared" si="412"/>
        <v>0.33962394333597157</v>
      </c>
      <c r="M179" s="755">
        <f t="shared" si="412"/>
        <v>0.30685786854167407</v>
      </c>
      <c r="N179" s="755">
        <f t="shared" si="412"/>
        <v>0.18112184399603937</v>
      </c>
      <c r="O179" s="755">
        <f t="shared" si="412"/>
        <v>5.4681298164557468E-2</v>
      </c>
      <c r="P179" s="755">
        <f t="shared" si="412"/>
        <v>0.25361499513206009</v>
      </c>
      <c r="Q179" s="755">
        <f t="shared" si="412"/>
        <v>0.18334337922162058</v>
      </c>
      <c r="R179" s="755">
        <f t="shared" si="412"/>
        <v>5.4288502010366058E-2</v>
      </c>
      <c r="S179" s="755">
        <f t="shared" si="412"/>
        <v>-2.2298699143562639E-2</v>
      </c>
      <c r="T179" s="755">
        <f t="shared" si="412"/>
        <v>0.30794333625800552</v>
      </c>
      <c r="U179" s="755">
        <f t="shared" si="412"/>
        <v>0.15610450713963742</v>
      </c>
      <c r="V179" s="755">
        <f t="shared" si="412"/>
        <v>0.14206363108866915</v>
      </c>
      <c r="W179" s="755">
        <f t="shared" si="412"/>
        <v>0.10858202259963834</v>
      </c>
      <c r="X179" s="755">
        <f t="shared" si="412"/>
        <v>-0.10952049791972129</v>
      </c>
      <c r="Y179" s="756"/>
      <c r="Z179" s="755"/>
      <c r="AA179" s="755"/>
      <c r="AB179" s="755">
        <f t="shared" ref="AB179:AT179" si="413">AB178/Z178-1</f>
        <v>-0.17898181488972087</v>
      </c>
      <c r="AC179" s="755">
        <f t="shared" si="413"/>
        <v>0.24919339587092648</v>
      </c>
      <c r="AD179" s="755">
        <f t="shared" si="413"/>
        <v>0.50878483284137177</v>
      </c>
      <c r="AE179" s="755">
        <f t="shared" si="413"/>
        <v>0.11400744902698223</v>
      </c>
      <c r="AF179" s="755">
        <f t="shared" si="413"/>
        <v>0.3333421816135953</v>
      </c>
      <c r="AG179" s="755">
        <f t="shared" si="413"/>
        <v>7.2194122575766517E-2</v>
      </c>
      <c r="AH179" s="755">
        <f t="shared" si="413"/>
        <v>4.6275107008179495E-2</v>
      </c>
      <c r="AI179" s="755">
        <f t="shared" si="413"/>
        <v>6.1672703153061503E-2</v>
      </c>
      <c r="AJ179" s="755">
        <f t="shared" si="413"/>
        <v>0.18625152069366591</v>
      </c>
      <c r="AK179" s="755">
        <f t="shared" si="413"/>
        <v>-0.21168687487517124</v>
      </c>
      <c r="AL179" s="755">
        <f t="shared" si="413"/>
        <v>0.15201384392709594</v>
      </c>
      <c r="AM179" s="755">
        <f t="shared" si="413"/>
        <v>0.521026187012676</v>
      </c>
      <c r="AN179" s="755">
        <f t="shared" si="413"/>
        <v>0.19461600569248794</v>
      </c>
      <c r="AO179" s="755">
        <f t="shared" si="413"/>
        <v>0.11624502440167439</v>
      </c>
      <c r="AP179" s="755">
        <f t="shared" si="413"/>
        <v>0.17589951470859799</v>
      </c>
      <c r="AQ179" s="755">
        <f t="shared" si="413"/>
        <v>0.1045846689453811</v>
      </c>
      <c r="AR179" s="755">
        <f t="shared" si="413"/>
        <v>0.10324569100014513</v>
      </c>
      <c r="AS179" s="755">
        <f t="shared" si="392"/>
        <v>0.11487453445263029</v>
      </c>
      <c r="AT179" s="755">
        <f t="shared" si="413"/>
        <v>-8.3999955661578807E-2</v>
      </c>
      <c r="AU179" s="755">
        <f t="shared" si="392"/>
        <v>-0.13929999614689759</v>
      </c>
    </row>
    <row r="180" spans="1:55" x14ac:dyDescent="0.35">
      <c r="P180" s="151">
        <f>(P178/F178)^(1/10)-1</f>
        <v>0.2660779052681761</v>
      </c>
    </row>
    <row r="181" spans="1:55" ht="10.5" x14ac:dyDescent="0.35">
      <c r="A181" s="1616" t="s">
        <v>2941</v>
      </c>
      <c r="B181" s="746" t="s">
        <v>2080</v>
      </c>
      <c r="C181" s="747"/>
      <c r="D181" s="747" t="s">
        <v>328</v>
      </c>
      <c r="E181" s="747" t="s">
        <v>323</v>
      </c>
      <c r="F181" s="747" t="s">
        <v>198</v>
      </c>
      <c r="G181" s="748" t="s">
        <v>331</v>
      </c>
      <c r="H181" s="748" t="s">
        <v>21</v>
      </c>
      <c r="I181" s="748" t="s">
        <v>721</v>
      </c>
      <c r="J181" s="748" t="s">
        <v>832</v>
      </c>
      <c r="K181" s="748" t="s">
        <v>831</v>
      </c>
      <c r="L181" s="748" t="s">
        <v>1376</v>
      </c>
      <c r="M181" s="748" t="s">
        <v>1510</v>
      </c>
      <c r="N181" s="748" t="s">
        <v>1747</v>
      </c>
      <c r="O181" s="748" t="s">
        <v>1739</v>
      </c>
      <c r="P181" s="748" t="s">
        <v>1810</v>
      </c>
      <c r="Q181" s="748" t="str">
        <f>$Q$1</f>
        <v>2018A</v>
      </c>
      <c r="R181" s="748" t="str">
        <f t="shared" ref="R181:X181" si="414">R$1</f>
        <v>2019A</v>
      </c>
      <c r="S181" s="748" t="str">
        <f t="shared" si="414"/>
        <v>2020A</v>
      </c>
      <c r="T181" s="748" t="str">
        <f t="shared" si="414"/>
        <v>2021A</v>
      </c>
      <c r="U181" s="748" t="str">
        <f t="shared" si="414"/>
        <v>2022A</v>
      </c>
      <c r="V181" s="748" t="str">
        <f t="shared" si="414"/>
        <v>2023A</v>
      </c>
      <c r="W181" s="748" t="str">
        <f t="shared" si="414"/>
        <v>2024A</v>
      </c>
      <c r="X181" s="748" t="str">
        <f t="shared" si="414"/>
        <v>2025A</v>
      </c>
      <c r="Y181" s="750"/>
      <c r="Z181" s="748" t="s">
        <v>1518</v>
      </c>
      <c r="AA181" s="748" t="s">
        <v>1866</v>
      </c>
      <c r="AB181" s="748" t="s">
        <v>1740</v>
      </c>
      <c r="AC181" s="748" t="s">
        <v>1865</v>
      </c>
      <c r="AD181" s="748" t="s">
        <v>1749</v>
      </c>
      <c r="AE181" s="748" t="s">
        <v>1811</v>
      </c>
      <c r="AF181" s="748" t="str">
        <f>$AF$1</f>
        <v>1H18</v>
      </c>
      <c r="AG181" s="748" t="str">
        <f t="shared" ref="AG181:AU181" si="415">AG$1</f>
        <v>2H18</v>
      </c>
      <c r="AH181" s="748" t="str">
        <f t="shared" si="415"/>
        <v>1H19</v>
      </c>
      <c r="AI181" s="748" t="str">
        <f t="shared" si="415"/>
        <v>2H19</v>
      </c>
      <c r="AJ181" s="748" t="str">
        <f t="shared" si="415"/>
        <v>1H20</v>
      </c>
      <c r="AK181" s="748" t="str">
        <f t="shared" si="415"/>
        <v>2H20</v>
      </c>
      <c r="AL181" s="748" t="str">
        <f t="shared" si="415"/>
        <v>1H21</v>
      </c>
      <c r="AM181" s="748" t="str">
        <f t="shared" si="415"/>
        <v>2H21</v>
      </c>
      <c r="AN181" s="748" t="str">
        <f t="shared" si="415"/>
        <v>1H22</v>
      </c>
      <c r="AO181" s="748" t="str">
        <f t="shared" si="415"/>
        <v>2H22</v>
      </c>
      <c r="AP181" s="748" t="str">
        <f t="shared" si="415"/>
        <v>1H23</v>
      </c>
      <c r="AQ181" s="748" t="str">
        <f t="shared" si="415"/>
        <v>2H23</v>
      </c>
      <c r="AR181" s="748" t="str">
        <f t="shared" si="415"/>
        <v>1H24</v>
      </c>
      <c r="AS181" s="748" t="str">
        <f t="shared" si="415"/>
        <v>2H24</v>
      </c>
      <c r="AT181" s="748" t="str">
        <f t="shared" si="415"/>
        <v>1H25</v>
      </c>
      <c r="AU181" s="748" t="str">
        <f t="shared" si="415"/>
        <v>2H25</v>
      </c>
    </row>
    <row r="182" spans="1:55" x14ac:dyDescent="0.35">
      <c r="A182" s="1617" t="s">
        <v>2923</v>
      </c>
      <c r="B182" s="751" t="s">
        <v>153</v>
      </c>
      <c r="C182" s="752"/>
      <c r="D182" s="752"/>
      <c r="E182" s="771">
        <f t="shared" ref="E182:U182" si="416">E168/E$178</f>
        <v>0.81455825823134176</v>
      </c>
      <c r="F182" s="771">
        <f t="shared" si="416"/>
        <v>0.18515654478797391</v>
      </c>
      <c r="G182" s="771">
        <f t="shared" si="416"/>
        <v>0.19360905036827047</v>
      </c>
      <c r="H182" s="771">
        <f t="shared" si="416"/>
        <v>0.42935130794149229</v>
      </c>
      <c r="I182" s="771">
        <f t="shared" si="416"/>
        <v>0.26271857739458437</v>
      </c>
      <c r="J182" s="771">
        <f t="shared" si="416"/>
        <v>0.29391441830505499</v>
      </c>
      <c r="K182" s="771">
        <f t="shared" si="416"/>
        <v>0.26263955306115161</v>
      </c>
      <c r="L182" s="771">
        <f t="shared" si="416"/>
        <v>0.22161864011663995</v>
      </c>
      <c r="M182" s="771">
        <f t="shared" si="416"/>
        <v>0.20599111739650766</v>
      </c>
      <c r="N182" s="771">
        <f t="shared" si="416"/>
        <v>0.17535740031862038</v>
      </c>
      <c r="O182" s="771">
        <f t="shared" si="416"/>
        <v>0.14974291794251215</v>
      </c>
      <c r="P182" s="771">
        <f t="shared" si="416"/>
        <v>0.12457126457289615</v>
      </c>
      <c r="Q182" s="771">
        <f t="shared" si="416"/>
        <v>0.14518343513393575</v>
      </c>
      <c r="R182" s="771">
        <f t="shared" si="416"/>
        <v>0.15910108490361335</v>
      </c>
      <c r="S182" s="771">
        <f t="shared" si="416"/>
        <v>0.11909098104672794</v>
      </c>
      <c r="T182" s="771">
        <f t="shared" si="416"/>
        <v>7.8148223733444461E-2</v>
      </c>
      <c r="U182" s="771">
        <f t="shared" si="416"/>
        <v>0.10111266660207111</v>
      </c>
      <c r="V182" s="771">
        <f t="shared" ref="V182:W182" si="417">V168/V$178</f>
        <v>7.1434591667400377E-2</v>
      </c>
      <c r="W182" s="771">
        <f t="shared" si="417"/>
        <v>7.6430446009519468E-2</v>
      </c>
      <c r="X182" s="771">
        <f t="shared" ref="X182" si="418">X168/X$178</f>
        <v>8.7617690428924699E-2</v>
      </c>
      <c r="Y182" s="771"/>
      <c r="Z182" s="771">
        <f t="shared" ref="Z182:AN182" si="419">Z168/Z$178</f>
        <v>0.21935597105687504</v>
      </c>
      <c r="AA182" s="771">
        <f t="shared" si="419"/>
        <v>0.1387309333572222</v>
      </c>
      <c r="AB182" s="771">
        <f t="shared" si="419"/>
        <v>0.19997139253345123</v>
      </c>
      <c r="AC182" s="771">
        <f t="shared" si="419"/>
        <v>0.12226210694544361</v>
      </c>
      <c r="AD182" s="771">
        <f t="shared" si="419"/>
        <v>0.13876263810211972</v>
      </c>
      <c r="AE182" s="771">
        <f t="shared" si="419"/>
        <v>0.11405544315696969</v>
      </c>
      <c r="AF182" s="771">
        <f t="shared" si="419"/>
        <v>0.13453672019122501</v>
      </c>
      <c r="AG182" s="771">
        <f t="shared" si="419"/>
        <v>0.15499419382291374</v>
      </c>
      <c r="AH182" s="771">
        <f t="shared" si="419"/>
        <v>0.17592797836642593</v>
      </c>
      <c r="AI182" s="771">
        <f t="shared" si="419"/>
        <v>0.14382028271294922</v>
      </c>
      <c r="AJ182" s="771">
        <f t="shared" si="419"/>
        <v>0.14560267412608857</v>
      </c>
      <c r="AK182" s="771">
        <f t="shared" si="419"/>
        <v>8.2861868418730292E-2</v>
      </c>
      <c r="AL182" s="771">
        <f t="shared" si="419"/>
        <v>7.9502974180371208E-2</v>
      </c>
      <c r="AM182" s="771">
        <f t="shared" si="419"/>
        <v>7.6746054145589562E-2</v>
      </c>
      <c r="AN182" s="771">
        <f t="shared" si="419"/>
        <v>0.12794028160827325</v>
      </c>
      <c r="AO182" s="771">
        <f t="shared" ref="AO182" si="420">AO168/AO$178</f>
        <v>7.1396546919594336E-2</v>
      </c>
      <c r="AP182" s="771">
        <f t="shared" ref="AP182:AR182" si="421">AP168/AP$178</f>
        <v>0.10561168900848464</v>
      </c>
      <c r="AQ182" s="771">
        <f t="shared" ref="AQ182:AT182" si="422">AQ168/AQ$178</f>
        <v>3.1133537261397483E-2</v>
      </c>
      <c r="AR182" s="771">
        <f t="shared" si="421"/>
        <v>0.10885047392521627</v>
      </c>
      <c r="AS182" s="771">
        <f t="shared" si="422"/>
        <v>3.8600052200686442E-2</v>
      </c>
      <c r="AT182" s="771">
        <f t="shared" si="422"/>
        <v>0.10885051298460434</v>
      </c>
      <c r="AU182" s="771">
        <f t="shared" ref="AU182" si="423">AU168/AU$178</f>
        <v>6.1249586735024779E-2</v>
      </c>
    </row>
    <row r="183" spans="1:55" x14ac:dyDescent="0.35">
      <c r="A183" s="1625" t="s">
        <v>2924</v>
      </c>
      <c r="B183" s="772" t="s">
        <v>359</v>
      </c>
      <c r="C183" s="754"/>
      <c r="D183" s="755"/>
      <c r="E183" s="773">
        <f t="shared" ref="E183:U183" si="424">E170/E$178</f>
        <v>0.1367428425504856</v>
      </c>
      <c r="F183" s="773">
        <f t="shared" si="424"/>
        <v>0.38700561023973562</v>
      </c>
      <c r="G183" s="773">
        <f t="shared" si="424"/>
        <v>0.3873823354471771</v>
      </c>
      <c r="H183" s="773">
        <f t="shared" si="424"/>
        <v>0.14140205552998925</v>
      </c>
      <c r="I183" s="773">
        <f t="shared" si="424"/>
        <v>3.854775697157483E-2</v>
      </c>
      <c r="J183" s="773">
        <f t="shared" si="424"/>
        <v>0.12639397669188765</v>
      </c>
      <c r="K183" s="773">
        <f t="shared" si="424"/>
        <v>7.1536049427386672E-2</v>
      </c>
      <c r="L183" s="773">
        <f t="shared" si="424"/>
        <v>7.309522034240383E-2</v>
      </c>
      <c r="M183" s="773">
        <f t="shared" si="424"/>
        <v>7.5220524162051702E-2</v>
      </c>
      <c r="N183" s="773">
        <f t="shared" si="424"/>
        <v>0.14197287769432468</v>
      </c>
      <c r="O183" s="773">
        <f t="shared" si="424"/>
        <v>0.17106252797019308</v>
      </c>
      <c r="P183" s="773">
        <f t="shared" si="424"/>
        <v>0.13071309764720795</v>
      </c>
      <c r="Q183" s="773">
        <f t="shared" si="424"/>
        <v>9.1282288331891503E-2</v>
      </c>
      <c r="R183" s="773">
        <f t="shared" si="424"/>
        <v>5.5608146179903693E-2</v>
      </c>
      <c r="S183" s="773">
        <f t="shared" si="424"/>
        <v>6.130035406418384E-2</v>
      </c>
      <c r="T183" s="773">
        <f t="shared" si="424"/>
        <v>7.6553564732864038E-2</v>
      </c>
      <c r="U183" s="773">
        <f t="shared" si="424"/>
        <v>4.3276643563409697E-2</v>
      </c>
      <c r="V183" s="773">
        <f t="shared" ref="V183:W183" si="425">V170/V$178</f>
        <v>6.6886564928544445E-2</v>
      </c>
      <c r="W183" s="773">
        <f t="shared" si="425"/>
        <v>6.916379686910154E-2</v>
      </c>
      <c r="X183" s="773">
        <f t="shared" ref="X183" si="426">X170/X$178</f>
        <v>5.2750544766075512E-2</v>
      </c>
      <c r="Y183" s="771"/>
      <c r="Z183" s="773">
        <f t="shared" ref="Z183:AN183" si="427">Z170/Z$178</f>
        <v>4.7993847194512024E-2</v>
      </c>
      <c r="AA183" s="773">
        <f t="shared" si="427"/>
        <v>0.22020541565885587</v>
      </c>
      <c r="AB183" s="773">
        <f t="shared" si="427"/>
        <v>0.13643628987165654</v>
      </c>
      <c r="AC183" s="773">
        <f t="shared" si="427"/>
        <v>0.19000710298416393</v>
      </c>
      <c r="AD183" s="773">
        <f t="shared" si="427"/>
        <v>0.16172358064391579</v>
      </c>
      <c r="AE183" s="773">
        <f t="shared" si="427"/>
        <v>0.10773429996117137</v>
      </c>
      <c r="AF183" s="773">
        <f t="shared" si="427"/>
        <v>0.15486226292404134</v>
      </c>
      <c r="AG183" s="773">
        <f t="shared" si="427"/>
        <v>3.269447119473827E-2</v>
      </c>
      <c r="AH183" s="773">
        <f t="shared" si="427"/>
        <v>5.5966716361811296E-2</v>
      </c>
      <c r="AI183" s="773">
        <f t="shared" si="427"/>
        <v>5.5282522199855931E-2</v>
      </c>
      <c r="AJ183" s="773">
        <f t="shared" si="427"/>
        <v>5.4264752814990172E-2</v>
      </c>
      <c r="AK183" s="773">
        <f t="shared" si="427"/>
        <v>7.0914737774032746E-2</v>
      </c>
      <c r="AL183" s="773">
        <f t="shared" si="427"/>
        <v>8.624716211927641E-2</v>
      </c>
      <c r="AM183" s="773">
        <f t="shared" si="427"/>
        <v>6.6520670864498296E-2</v>
      </c>
      <c r="AN183" s="773">
        <f t="shared" si="427"/>
        <v>6.2806788630315732E-2</v>
      </c>
      <c r="AO183" s="773">
        <f t="shared" ref="AO183" si="428">AO170/AO$178</f>
        <v>2.1643705708511242E-2</v>
      </c>
      <c r="AP183" s="773">
        <f t="shared" ref="AP183:AR183" si="429">AP170/AP$178</f>
        <v>8.9536161408950529E-2</v>
      </c>
      <c r="AQ183" s="773">
        <f t="shared" ref="AQ183:AT183" si="430">AQ170/AQ$178</f>
        <v>4.0178544322781118E-2</v>
      </c>
      <c r="AR183" s="773">
        <f t="shared" si="429"/>
        <v>7.6487510275137408E-2</v>
      </c>
      <c r="AS183" s="773">
        <f t="shared" si="430"/>
        <v>6.0617876951518018E-2</v>
      </c>
      <c r="AT183" s="773">
        <f t="shared" si="430"/>
        <v>7.6487466830256506E-2</v>
      </c>
      <c r="AU183" s="773">
        <f t="shared" ref="AU183" si="431">AU170/AU$178</f>
        <v>2.3272710591131052E-2</v>
      </c>
    </row>
    <row r="184" spans="1:55" x14ac:dyDescent="0.35">
      <c r="A184" s="1617" t="s">
        <v>143</v>
      </c>
      <c r="B184" s="751" t="s">
        <v>1836</v>
      </c>
      <c r="C184" s="752"/>
      <c r="D184" s="756"/>
      <c r="E184" s="771">
        <f t="shared" ref="E184:U184" si="432">E172/E$178</f>
        <v>5.6238130108387012E-2</v>
      </c>
      <c r="F184" s="771">
        <f t="shared" si="432"/>
        <v>0.362227698404195</v>
      </c>
      <c r="G184" s="771">
        <f t="shared" si="432"/>
        <v>0.40417422491573723</v>
      </c>
      <c r="H184" s="771">
        <f t="shared" si="432"/>
        <v>0.54778340236232559</v>
      </c>
      <c r="I184" s="771">
        <f t="shared" si="432"/>
        <v>0.74876195608244633</v>
      </c>
      <c r="J184" s="771">
        <f t="shared" si="432"/>
        <v>0.63300815187096648</v>
      </c>
      <c r="K184" s="771">
        <f t="shared" si="432"/>
        <v>0.66432331582606219</v>
      </c>
      <c r="L184" s="771">
        <f t="shared" si="432"/>
        <v>0.74610623663912068</v>
      </c>
      <c r="M184" s="771">
        <f t="shared" si="432"/>
        <v>0.75742605678258013</v>
      </c>
      <c r="N184" s="771">
        <f t="shared" si="432"/>
        <v>0.68448999403265831</v>
      </c>
      <c r="O184" s="771">
        <f t="shared" si="432"/>
        <v>0.68455305907691066</v>
      </c>
      <c r="P184" s="771">
        <f t="shared" si="432"/>
        <v>0.70825948089266166</v>
      </c>
      <c r="Q184" s="771">
        <f t="shared" si="432"/>
        <v>0.74378337668347316</v>
      </c>
      <c r="R184" s="771">
        <f t="shared" si="432"/>
        <v>0.74176396128185329</v>
      </c>
      <c r="S184" s="771">
        <f t="shared" si="432"/>
        <v>0.78228926059840864</v>
      </c>
      <c r="T184" s="771">
        <f t="shared" si="432"/>
        <v>0.80787950451620771</v>
      </c>
      <c r="U184" s="771">
        <f t="shared" si="432"/>
        <v>0.81808718842383799</v>
      </c>
      <c r="V184" s="771">
        <f t="shared" ref="V184:W184" si="433">V172/V$178</f>
        <v>0.80507958297994708</v>
      </c>
      <c r="W184" s="771">
        <f t="shared" si="433"/>
        <v>0.80498079317501736</v>
      </c>
      <c r="X184" s="771">
        <f t="shared" ref="X184" si="434">X172/X$178</f>
        <v>0.83880216238368555</v>
      </c>
      <c r="Y184" s="771"/>
      <c r="Z184" s="771">
        <f t="shared" ref="Z184:AN184" si="435">Z172/Z$178</f>
        <v>0.72080107750963418</v>
      </c>
      <c r="AA184" s="771">
        <f t="shared" si="435"/>
        <v>0.65426295081314523</v>
      </c>
      <c r="AB184" s="771">
        <f t="shared" si="435"/>
        <v>0.6460455378853881</v>
      </c>
      <c r="AC184" s="771">
        <f t="shared" si="435"/>
        <v>0.70562114685875077</v>
      </c>
      <c r="AD184" s="771">
        <f t="shared" si="435"/>
        <v>0.65593852904350314</v>
      </c>
      <c r="AE184" s="771">
        <f t="shared" si="435"/>
        <v>0.74702935646700563</v>
      </c>
      <c r="AF184" s="771">
        <f t="shared" si="435"/>
        <v>0.69334526119562179</v>
      </c>
      <c r="AG184" s="771">
        <f t="shared" si="435"/>
        <v>0.7902612041110687</v>
      </c>
      <c r="AH184" s="771">
        <f t="shared" si="435"/>
        <v>0.72730734605934311</v>
      </c>
      <c r="AI184" s="771">
        <f t="shared" si="435"/>
        <v>0.75489227151035321</v>
      </c>
      <c r="AJ184" s="771">
        <f t="shared" si="435"/>
        <v>0.75549332426736937</v>
      </c>
      <c r="AK184" s="771">
        <f t="shared" si="435"/>
        <v>0.81890680110794489</v>
      </c>
      <c r="AL184" s="771">
        <f t="shared" si="435"/>
        <v>0.78060630061508873</v>
      </c>
      <c r="AM184" s="771">
        <f t="shared" si="435"/>
        <v>0.83610732843777635</v>
      </c>
      <c r="AN184" s="771">
        <f t="shared" si="435"/>
        <v>0.75257434525016875</v>
      </c>
      <c r="AO184" s="771">
        <f t="shared" ref="AO184" si="436">AO172/AO$178</f>
        <v>0.8906537392722087</v>
      </c>
      <c r="AP184" s="771">
        <f t="shared" ref="AP184:AR184" si="437">AP172/AP$178</f>
        <v>0.73641443428704423</v>
      </c>
      <c r="AQ184" s="771">
        <f t="shared" ref="AQ184:AT184" si="438">AQ172/AQ$178</f>
        <v>0.8860483634955002</v>
      </c>
      <c r="AR184" s="771">
        <f t="shared" si="437"/>
        <v>0.73932532091390823</v>
      </c>
      <c r="AS184" s="771">
        <f t="shared" si="438"/>
        <v>0.8815930767239808</v>
      </c>
      <c r="AT184" s="771">
        <f t="shared" si="438"/>
        <v>0.73932530397955398</v>
      </c>
      <c r="AU184" s="771">
        <f t="shared" ref="AU184" si="439">AU172/AU$178</f>
        <v>0.96233807526880022</v>
      </c>
    </row>
    <row r="185" spans="1:55" x14ac:dyDescent="0.35">
      <c r="A185" s="1625" t="s">
        <v>2930</v>
      </c>
      <c r="B185" s="772" t="s">
        <v>718</v>
      </c>
      <c r="C185" s="754"/>
      <c r="D185" s="755"/>
      <c r="E185" s="773">
        <f t="shared" ref="E185:U185" si="440">E174/E$178</f>
        <v>-7.5392308902143866E-3</v>
      </c>
      <c r="F185" s="773">
        <f t="shared" si="440"/>
        <v>6.5610146568095384E-2</v>
      </c>
      <c r="G185" s="773">
        <f t="shared" si="440"/>
        <v>1.4834389268815232E-2</v>
      </c>
      <c r="H185" s="773">
        <f t="shared" si="440"/>
        <v>-0.11853676583380707</v>
      </c>
      <c r="I185" s="773">
        <f t="shared" si="440"/>
        <v>-5.0028290448605683E-2</v>
      </c>
      <c r="J185" s="773">
        <f t="shared" si="440"/>
        <v>-5.3316546867909063E-2</v>
      </c>
      <c r="K185" s="773">
        <f t="shared" si="440"/>
        <v>-9.6033927173870754E-4</v>
      </c>
      <c r="L185" s="773">
        <f t="shared" si="440"/>
        <v>6.0967082865824203E-3</v>
      </c>
      <c r="M185" s="773">
        <f t="shared" si="440"/>
        <v>-1.2287761891417583E-2</v>
      </c>
      <c r="N185" s="773">
        <f t="shared" si="440"/>
        <v>-5.5067933802081361E-3</v>
      </c>
      <c r="O185" s="773">
        <f t="shared" si="440"/>
        <v>-6.4797958867974445E-3</v>
      </c>
      <c r="P185" s="773">
        <f t="shared" si="440"/>
        <v>-5.8734699339377684E-4</v>
      </c>
      <c r="Q185" s="773">
        <f t="shared" si="440"/>
        <v>-1.0383202671213421E-3</v>
      </c>
      <c r="R185" s="773">
        <f t="shared" si="440"/>
        <v>-1.6710999210493788E-3</v>
      </c>
      <c r="S185" s="773">
        <f t="shared" si="440"/>
        <v>-7.0598718998333E-4</v>
      </c>
      <c r="T185" s="773">
        <f t="shared" si="440"/>
        <v>0</v>
      </c>
      <c r="U185" s="773">
        <f t="shared" si="440"/>
        <v>0</v>
      </c>
      <c r="V185" s="773">
        <f t="shared" ref="V185:W185" si="441">V174/V$178</f>
        <v>0</v>
      </c>
      <c r="W185" s="773">
        <f t="shared" si="441"/>
        <v>0</v>
      </c>
      <c r="X185" s="773">
        <f t="shared" ref="X185" si="442">X174/X$178</f>
        <v>0</v>
      </c>
      <c r="Y185" s="771"/>
      <c r="Z185" s="773">
        <f t="shared" ref="Z185:AN185" si="443">Z174/Z$178</f>
        <v>-6.500843832845939E-3</v>
      </c>
      <c r="AA185" s="773">
        <f t="shared" si="443"/>
        <v>-4.6792993173192729E-3</v>
      </c>
      <c r="AB185" s="773">
        <f t="shared" si="443"/>
        <v>-1.0021455599911577E-2</v>
      </c>
      <c r="AC185" s="773">
        <f t="shared" si="443"/>
        <v>-4.54209656415907E-3</v>
      </c>
      <c r="AD185" s="773">
        <f t="shared" si="443"/>
        <v>6.2535508033778825E-4</v>
      </c>
      <c r="AE185" s="773">
        <f t="shared" si="443"/>
        <v>0</v>
      </c>
      <c r="AF185" s="773">
        <f t="shared" si="443"/>
        <v>-8.4675756490622972E-4</v>
      </c>
      <c r="AG185" s="773">
        <f t="shared" si="443"/>
        <v>-7.8027205406201294E-4</v>
      </c>
      <c r="AH185" s="773">
        <f t="shared" si="443"/>
        <v>-7.6433158794891507E-4</v>
      </c>
      <c r="AI185" s="773">
        <f t="shared" si="443"/>
        <v>-2.4945524235263491E-3</v>
      </c>
      <c r="AJ185" s="773">
        <f t="shared" si="443"/>
        <v>-4.6767208874645558E-4</v>
      </c>
      <c r="AK185" s="773">
        <f t="shared" si="443"/>
        <v>-1.0316527224643517E-3</v>
      </c>
      <c r="AL185" s="773">
        <f t="shared" si="443"/>
        <v>-4.6798472720631373E-4</v>
      </c>
      <c r="AM185" s="773">
        <f t="shared" si="443"/>
        <v>4.8436518589666335E-4</v>
      </c>
      <c r="AN185" s="773">
        <f t="shared" si="443"/>
        <v>0</v>
      </c>
      <c r="AO185" s="773">
        <f t="shared" ref="AO185" si="444">AO174/AO$178</f>
        <v>0</v>
      </c>
      <c r="AP185" s="773">
        <f t="shared" ref="AP185:AR185" si="445">AP174/AP$178</f>
        <v>0</v>
      </c>
      <c r="AQ185" s="773">
        <f t="shared" ref="AQ185:AT185" si="446">AQ174/AQ$178</f>
        <v>0</v>
      </c>
      <c r="AR185" s="773">
        <f t="shared" si="445"/>
        <v>0</v>
      </c>
      <c r="AS185" s="773">
        <f t="shared" si="446"/>
        <v>0</v>
      </c>
      <c r="AT185" s="773">
        <f t="shared" si="446"/>
        <v>0</v>
      </c>
      <c r="AU185" s="773">
        <f t="shared" ref="AU185" si="447">AU174/AU$178</f>
        <v>0</v>
      </c>
    </row>
    <row r="186" spans="1:55" x14ac:dyDescent="0.35">
      <c r="A186" s="1617" t="s">
        <v>2675</v>
      </c>
      <c r="B186" s="751" t="s">
        <v>1837</v>
      </c>
      <c r="C186" s="752"/>
      <c r="D186" s="756"/>
      <c r="E186" s="771"/>
      <c r="F186" s="771"/>
      <c r="G186" s="771"/>
      <c r="H186" s="771"/>
      <c r="I186" s="771"/>
      <c r="J186" s="771"/>
      <c r="K186" s="771">
        <f t="shared" ref="K186:U186" si="448">K176/K178</f>
        <v>2.4614209571381406E-3</v>
      </c>
      <c r="L186" s="771">
        <f t="shared" si="448"/>
        <v>-4.6916805384746907E-2</v>
      </c>
      <c r="M186" s="771">
        <f t="shared" si="448"/>
        <v>-2.6349936449721955E-2</v>
      </c>
      <c r="N186" s="771">
        <f t="shared" si="448"/>
        <v>3.6865213346049183E-3</v>
      </c>
      <c r="O186" s="771">
        <f t="shared" si="448"/>
        <v>1.1212908971817083E-3</v>
      </c>
      <c r="P186" s="771">
        <f t="shared" si="448"/>
        <v>3.7043503880627847E-2</v>
      </c>
      <c r="Q186" s="771">
        <f t="shared" si="448"/>
        <v>2.0789220117820955E-2</v>
      </c>
      <c r="R186" s="771">
        <f t="shared" si="448"/>
        <v>4.5197907555679123E-2</v>
      </c>
      <c r="S186" s="771">
        <f t="shared" si="448"/>
        <v>3.8025391480662876E-2</v>
      </c>
      <c r="T186" s="771">
        <f t="shared" si="448"/>
        <v>3.7418707017483677E-2</v>
      </c>
      <c r="U186" s="771">
        <f t="shared" si="448"/>
        <v>3.7523501410681274E-2</v>
      </c>
      <c r="V186" s="771">
        <f t="shared" ref="V186:W186" si="449">V176/V178</f>
        <v>5.6599260424108212E-2</v>
      </c>
      <c r="W186" s="771">
        <f t="shared" si="449"/>
        <v>4.9424963946361637E-2</v>
      </c>
      <c r="X186" s="771">
        <f t="shared" ref="X186" si="450">X176/X178</f>
        <v>2.0829602421314271E-2</v>
      </c>
      <c r="Y186" s="771"/>
      <c r="Z186" s="771">
        <f t="shared" ref="Z186:AN186" si="451">Z176/Z178</f>
        <v>1.834994807182487E-2</v>
      </c>
      <c r="AA186" s="771">
        <f t="shared" si="451"/>
        <v>-8.5200005119038993E-3</v>
      </c>
      <c r="AB186" s="771">
        <f t="shared" si="451"/>
        <v>2.756823530941576E-2</v>
      </c>
      <c r="AC186" s="771">
        <f t="shared" si="451"/>
        <v>-1.334826022419932E-2</v>
      </c>
      <c r="AD186" s="771">
        <f t="shared" si="451"/>
        <v>4.4200607290799075E-2</v>
      </c>
      <c r="AE186" s="771">
        <f t="shared" si="451"/>
        <v>3.1740083379314568E-2</v>
      </c>
      <c r="AF186" s="771">
        <f t="shared" si="451"/>
        <v>1.810251325401822E-2</v>
      </c>
      <c r="AG186" s="771">
        <f t="shared" si="451"/>
        <v>2.3264972765527171E-2</v>
      </c>
      <c r="AH186" s="771">
        <f t="shared" si="451"/>
        <v>4.1562290800368593E-2</v>
      </c>
      <c r="AI186" s="771">
        <f t="shared" si="451"/>
        <v>4.8499476000368039E-2</v>
      </c>
      <c r="AJ186" s="771">
        <f t="shared" si="451"/>
        <v>4.5106920880298447E-2</v>
      </c>
      <c r="AK186" s="771">
        <f t="shared" si="451"/>
        <v>2.8348245421756374E-2</v>
      </c>
      <c r="AL186" s="771">
        <f t="shared" si="451"/>
        <v>5.4111547812469761E-2</v>
      </c>
      <c r="AM186" s="771">
        <f t="shared" si="451"/>
        <v>2.0141581366239225E-2</v>
      </c>
      <c r="AN186" s="771">
        <f t="shared" si="451"/>
        <v>5.6678584511242226E-2</v>
      </c>
      <c r="AO186" s="771">
        <f t="shared" ref="AO186" si="452">AO176/AO178</f>
        <v>1.630600809968576E-2</v>
      </c>
      <c r="AP186" s="771">
        <f t="shared" ref="AP186:AR186" si="453">AP176/AP178</f>
        <v>6.8437715295520618E-2</v>
      </c>
      <c r="AQ186" s="771">
        <f t="shared" ref="AQ186:AT186" si="454">AQ176/AQ178</f>
        <v>4.2639554920321121E-2</v>
      </c>
      <c r="AR186" s="771">
        <f t="shared" si="453"/>
        <v>7.5336694885738145E-2</v>
      </c>
      <c r="AS186" s="771">
        <f t="shared" si="454"/>
        <v>1.9188994123814744E-2</v>
      </c>
      <c r="AT186" s="771">
        <f t="shared" si="454"/>
        <v>7.5336716205585144E-2</v>
      </c>
      <c r="AU186" s="771">
        <f t="shared" ref="AU186" si="455">AU176/AU178</f>
        <v>-4.6860372594956026E-2</v>
      </c>
    </row>
    <row r="188" spans="1:55" x14ac:dyDescent="0.35">
      <c r="A188" s="1632"/>
      <c r="B188" s="789"/>
      <c r="C188" s="788"/>
      <c r="D188" s="788"/>
      <c r="E188" s="790">
        <v>2006</v>
      </c>
      <c r="F188" s="790">
        <v>2007</v>
      </c>
      <c r="G188" s="790">
        <v>2008</v>
      </c>
      <c r="H188" s="790">
        <v>2009</v>
      </c>
      <c r="I188" s="790">
        <v>2010</v>
      </c>
      <c r="J188" s="790">
        <v>2011</v>
      </c>
      <c r="K188" s="790">
        <v>2012</v>
      </c>
      <c r="L188" s="790">
        <v>2013</v>
      </c>
      <c r="M188" s="790">
        <v>2014</v>
      </c>
      <c r="N188" s="790">
        <v>2015</v>
      </c>
      <c r="O188" s="790">
        <v>2016</v>
      </c>
      <c r="P188" s="790">
        <v>2017</v>
      </c>
      <c r="Q188" s="790">
        <v>2018</v>
      </c>
      <c r="R188" s="790">
        <v>2019</v>
      </c>
      <c r="S188" s="790">
        <v>2020</v>
      </c>
      <c r="T188" s="790">
        <v>2021</v>
      </c>
      <c r="U188" s="790">
        <v>2022</v>
      </c>
      <c r="V188" s="790">
        <v>2023</v>
      </c>
      <c r="W188" s="790">
        <v>2024</v>
      </c>
      <c r="X188" s="790">
        <v>2025</v>
      </c>
      <c r="AJ188" s="791" t="str">
        <f>AJ$1</f>
        <v>1H20</v>
      </c>
      <c r="AK188" s="791" t="str">
        <f>AK$1</f>
        <v>2H20</v>
      </c>
      <c r="AL188" s="791" t="str">
        <f>AL$1</f>
        <v>1H21</v>
      </c>
      <c r="AM188" s="791" t="str">
        <f>AM$1</f>
        <v>2H21</v>
      </c>
      <c r="AN188" s="791" t="str">
        <f>AN$1</f>
        <v>1H22</v>
      </c>
      <c r="AO188" s="791"/>
      <c r="AP188" s="791" t="str">
        <f>AP$1</f>
        <v>1H23</v>
      </c>
      <c r="AQ188" s="791"/>
      <c r="AR188" s="791" t="str">
        <f>AR$1</f>
        <v>1H24</v>
      </c>
      <c r="AS188" s="791"/>
      <c r="AT188" s="791" t="str">
        <f>AT$1</f>
        <v>1H25</v>
      </c>
      <c r="AU188" s="791"/>
    </row>
    <row r="189" spans="1:55" x14ac:dyDescent="0.35">
      <c r="A189" s="1633" t="s">
        <v>2666</v>
      </c>
      <c r="E189" s="781">
        <f t="shared" ref="E189:X189" si="456">E178</f>
        <v>591.30700000000002</v>
      </c>
      <c r="F189" s="781">
        <f t="shared" si="456"/>
        <v>644.00100000000009</v>
      </c>
      <c r="G189" s="781">
        <f t="shared" si="456"/>
        <v>675.86199999999997</v>
      </c>
      <c r="H189" s="781">
        <f t="shared" si="456"/>
        <v>554.11500000000001</v>
      </c>
      <c r="I189" s="781">
        <f t="shared" si="456"/>
        <v>1113.45</v>
      </c>
      <c r="J189" s="781">
        <f t="shared" si="456"/>
        <v>1776.0339999999999</v>
      </c>
      <c r="K189" s="781">
        <f t="shared" si="456"/>
        <v>2492.8690000000001</v>
      </c>
      <c r="L189" s="781">
        <f t="shared" si="456"/>
        <v>3339.5070000000001</v>
      </c>
      <c r="M189" s="781">
        <f t="shared" si="456"/>
        <v>4364.2610000000004</v>
      </c>
      <c r="N189" s="781">
        <f t="shared" si="456"/>
        <v>5154.7239999999993</v>
      </c>
      <c r="O189" s="781">
        <f t="shared" si="456"/>
        <v>5436.5909999999994</v>
      </c>
      <c r="P189" s="781">
        <f t="shared" si="456"/>
        <v>6815.3920000000007</v>
      </c>
      <c r="Q189" s="781">
        <f t="shared" si="456"/>
        <v>8064.9489999999996</v>
      </c>
      <c r="R189" s="781">
        <f t="shared" si="456"/>
        <v>8502.7829999999994</v>
      </c>
      <c r="S189" s="781">
        <f t="shared" si="456"/>
        <v>8313.1820000000007</v>
      </c>
      <c r="T189" s="781">
        <f t="shared" si="456"/>
        <v>10873.171</v>
      </c>
      <c r="U189" s="781">
        <f t="shared" si="456"/>
        <v>12570.521999999999</v>
      </c>
      <c r="V189" s="781">
        <f t="shared" si="456"/>
        <v>14356.335999999999</v>
      </c>
      <c r="W189" s="781">
        <f t="shared" si="456"/>
        <v>15915.175999999999</v>
      </c>
      <c r="X189" s="781">
        <f t="shared" si="456"/>
        <v>14172.138000000001</v>
      </c>
      <c r="AJ189" s="781">
        <f>AJ178</f>
        <v>4800.3719999999994</v>
      </c>
      <c r="AK189" s="781">
        <f t="shared" ref="AK189:AK195" si="457">S189-AJ189</f>
        <v>3512.8100000000013</v>
      </c>
      <c r="AL189" s="781">
        <f>AL178</f>
        <v>5530.0950000000012</v>
      </c>
      <c r="AM189" s="781">
        <f t="shared" ref="AM189:AM195" si="458">T189-AL189</f>
        <v>5343.0759999999991</v>
      </c>
      <c r="AN189" s="781">
        <f>AN178</f>
        <v>6606.34</v>
      </c>
      <c r="AO189" s="781"/>
      <c r="AP189" s="781">
        <f>AP178</f>
        <v>7768.3919999999998</v>
      </c>
      <c r="AQ189" s="781"/>
      <c r="AR189" s="781">
        <f>AR178</f>
        <v>8570.4449999999997</v>
      </c>
      <c r="AS189" s="781"/>
      <c r="AT189" s="781">
        <f>AT178</f>
        <v>7850.5280000000002</v>
      </c>
      <c r="AU189" s="781"/>
      <c r="AZ189" s="781"/>
      <c r="BA189" s="781"/>
      <c r="BC189" s="781"/>
    </row>
    <row r="190" spans="1:55" x14ac:dyDescent="0.35">
      <c r="A190" s="1627" t="s">
        <v>167</v>
      </c>
      <c r="E190" s="745">
        <f t="shared" ref="E190:X190" si="459">E168</f>
        <v>481.654</v>
      </c>
      <c r="F190" s="745">
        <f t="shared" si="459"/>
        <v>119.241</v>
      </c>
      <c r="G190" s="745">
        <f t="shared" si="459"/>
        <v>130.85300000000001</v>
      </c>
      <c r="H190" s="745">
        <f t="shared" si="459"/>
        <v>237.91</v>
      </c>
      <c r="I190" s="745">
        <f t="shared" si="459"/>
        <v>292.524</v>
      </c>
      <c r="J190" s="745">
        <f t="shared" si="459"/>
        <v>522.00199999999995</v>
      </c>
      <c r="K190" s="745">
        <f t="shared" si="459"/>
        <v>654.726</v>
      </c>
      <c r="L190" s="745">
        <f t="shared" si="459"/>
        <v>740.09699999999998</v>
      </c>
      <c r="M190" s="745">
        <f t="shared" si="459"/>
        <v>898.99900000000002</v>
      </c>
      <c r="N190" s="745">
        <f t="shared" si="459"/>
        <v>903.91899999999998</v>
      </c>
      <c r="O190" s="745">
        <f t="shared" si="459"/>
        <v>814.09100000000001</v>
      </c>
      <c r="P190" s="745">
        <f t="shared" si="459"/>
        <v>849.00199999999995</v>
      </c>
      <c r="Q190" s="745">
        <f t="shared" si="459"/>
        <v>1170.8969999999999</v>
      </c>
      <c r="R190" s="745">
        <f t="shared" si="459"/>
        <v>1352.8020000000001</v>
      </c>
      <c r="S190" s="745">
        <f t="shared" si="459"/>
        <v>990.02499999999998</v>
      </c>
      <c r="T190" s="745">
        <f t="shared" si="459"/>
        <v>849.71900000000005</v>
      </c>
      <c r="U190" s="745">
        <f t="shared" si="459"/>
        <v>1271.039</v>
      </c>
      <c r="V190" s="745">
        <f t="shared" si="459"/>
        <v>1025.539</v>
      </c>
      <c r="W190" s="745">
        <f t="shared" si="459"/>
        <v>1216.404</v>
      </c>
      <c r="X190" s="745">
        <f t="shared" si="459"/>
        <v>1241.73</v>
      </c>
      <c r="AJ190" s="745">
        <f>AJ168</f>
        <v>698.947</v>
      </c>
      <c r="AK190" s="745">
        <f t="shared" si="457"/>
        <v>291.07799999999997</v>
      </c>
      <c r="AL190" s="745">
        <f>AL168</f>
        <v>439.65899999999999</v>
      </c>
      <c r="AM190" s="745">
        <f t="shared" si="458"/>
        <v>410.06000000000006</v>
      </c>
      <c r="AN190" s="745">
        <f>AN168</f>
        <v>845.21699999999998</v>
      </c>
      <c r="AO190" s="745"/>
      <c r="AP190" s="745">
        <f>AP168</f>
        <v>820.43299999999999</v>
      </c>
      <c r="AQ190" s="745"/>
      <c r="AR190" s="745">
        <f>AR168</f>
        <v>932.89700000000005</v>
      </c>
      <c r="AS190" s="745"/>
      <c r="AT190" s="745">
        <f>AT168</f>
        <v>854.53399999999999</v>
      </c>
      <c r="AU190" s="745"/>
      <c r="AZ190" s="745"/>
      <c r="BA190" s="745"/>
      <c r="BC190" s="745"/>
    </row>
    <row r="191" spans="1:55" x14ac:dyDescent="0.35">
      <c r="A191" s="1627" t="s">
        <v>147</v>
      </c>
      <c r="E191" s="745">
        <f t="shared" ref="E191:T191" si="460">E170</f>
        <v>80.856999999999999</v>
      </c>
      <c r="F191" s="745">
        <f t="shared" si="460"/>
        <v>249.232</v>
      </c>
      <c r="G191" s="745">
        <f t="shared" si="460"/>
        <v>261.81700000000001</v>
      </c>
      <c r="H191" s="745">
        <f t="shared" si="460"/>
        <v>78.352999999999994</v>
      </c>
      <c r="I191" s="745">
        <f t="shared" si="460"/>
        <v>42.920999999999999</v>
      </c>
      <c r="J191" s="745">
        <f t="shared" si="460"/>
        <v>224.48</v>
      </c>
      <c r="K191" s="745">
        <f t="shared" si="460"/>
        <v>178.33</v>
      </c>
      <c r="L191" s="745">
        <f t="shared" si="460"/>
        <v>244.102</v>
      </c>
      <c r="M191" s="745">
        <f t="shared" si="460"/>
        <v>328.28199999999998</v>
      </c>
      <c r="N191" s="745">
        <f t="shared" si="460"/>
        <v>731.83100000000002</v>
      </c>
      <c r="O191" s="745">
        <f t="shared" si="460"/>
        <v>929.99699999999996</v>
      </c>
      <c r="P191" s="745">
        <f t="shared" si="460"/>
        <v>890.86099999999999</v>
      </c>
      <c r="Q191" s="745">
        <f t="shared" si="460"/>
        <v>736.18700000000001</v>
      </c>
      <c r="R191" s="745">
        <f t="shared" si="460"/>
        <v>472.82400000000001</v>
      </c>
      <c r="S191" s="745">
        <f t="shared" si="460"/>
        <v>509.601</v>
      </c>
      <c r="T191" s="745">
        <f t="shared" si="460"/>
        <v>832.38</v>
      </c>
      <c r="U191" s="745">
        <f t="shared" ref="U191:X191" si="461">U170</f>
        <v>544.01</v>
      </c>
      <c r="V191" s="745">
        <f t="shared" si="461"/>
        <v>960.24599999999998</v>
      </c>
      <c r="W191" s="745">
        <f t="shared" si="461"/>
        <v>1100.7539999999999</v>
      </c>
      <c r="X191" s="745">
        <f t="shared" si="461"/>
        <v>747.58799999999997</v>
      </c>
      <c r="AJ191" s="745">
        <f>AJ170</f>
        <v>260.49099999999999</v>
      </c>
      <c r="AK191" s="745">
        <f t="shared" si="457"/>
        <v>249.11</v>
      </c>
      <c r="AL191" s="745">
        <f>AL170</f>
        <v>476.95499999999998</v>
      </c>
      <c r="AM191" s="745">
        <f t="shared" si="458"/>
        <v>355.42500000000001</v>
      </c>
      <c r="AN191" s="745">
        <f>AN170</f>
        <v>414.923</v>
      </c>
      <c r="AO191" s="745"/>
      <c r="AP191" s="745">
        <f>AP170</f>
        <v>695.55200000000002</v>
      </c>
      <c r="AQ191" s="745"/>
      <c r="AR191" s="745">
        <f>AR170</f>
        <v>655.53200000000004</v>
      </c>
      <c r="AS191" s="745"/>
      <c r="AT191" s="745">
        <f>AT170</f>
        <v>600.46699999999998</v>
      </c>
      <c r="AU191" s="745"/>
      <c r="AZ191" s="745"/>
      <c r="BA191" s="745"/>
      <c r="BC191" s="745"/>
    </row>
    <row r="192" spans="1:55" x14ac:dyDescent="0.35">
      <c r="A192" s="1627" t="s">
        <v>2669</v>
      </c>
      <c r="E192" s="745">
        <f t="shared" ref="E192:T192" si="462">E172</f>
        <v>33.253999999999998</v>
      </c>
      <c r="F192" s="745">
        <f t="shared" si="462"/>
        <v>233.27500000000001</v>
      </c>
      <c r="G192" s="745">
        <f t="shared" si="462"/>
        <v>273.166</v>
      </c>
      <c r="H192" s="745">
        <f t="shared" si="462"/>
        <v>303.53500000000003</v>
      </c>
      <c r="I192" s="745">
        <f t="shared" si="462"/>
        <v>833.70899999999995</v>
      </c>
      <c r="J192" s="745">
        <f t="shared" si="462"/>
        <v>1124.2439999999999</v>
      </c>
      <c r="K192" s="745">
        <f t="shared" si="462"/>
        <v>1656.0709999999999</v>
      </c>
      <c r="L192" s="745">
        <f t="shared" si="462"/>
        <v>2491.627</v>
      </c>
      <c r="M192" s="745">
        <f t="shared" si="462"/>
        <v>3305.605</v>
      </c>
      <c r="N192" s="745">
        <f t="shared" si="462"/>
        <v>3528.357</v>
      </c>
      <c r="O192" s="745">
        <f t="shared" si="462"/>
        <v>3721.6350000000002</v>
      </c>
      <c r="P192" s="745">
        <f t="shared" si="462"/>
        <v>4827.0659999999998</v>
      </c>
      <c r="Q192" s="745">
        <f t="shared" si="462"/>
        <v>5998.5749999999998</v>
      </c>
      <c r="R192" s="745">
        <f t="shared" si="462"/>
        <v>6307.058</v>
      </c>
      <c r="S192" s="745">
        <f t="shared" si="462"/>
        <v>6503.3130000000001</v>
      </c>
      <c r="T192" s="745">
        <f t="shared" si="462"/>
        <v>8784.2119999999995</v>
      </c>
      <c r="U192" s="745">
        <f t="shared" ref="U192:X192" si="463">U172</f>
        <v>10283.782999999999</v>
      </c>
      <c r="V192" s="745">
        <f t="shared" si="463"/>
        <v>11557.993</v>
      </c>
      <c r="W192" s="745">
        <f t="shared" si="463"/>
        <v>12811.411</v>
      </c>
      <c r="X192" s="745">
        <f t="shared" si="463"/>
        <v>11887.62</v>
      </c>
      <c r="AJ192" s="745">
        <f>AJ172</f>
        <v>3626.6489999999999</v>
      </c>
      <c r="AK192" s="745">
        <f t="shared" si="457"/>
        <v>2876.6640000000002</v>
      </c>
      <c r="AL192" s="745">
        <f>AL172</f>
        <v>4316.8270000000002</v>
      </c>
      <c r="AM192" s="745">
        <f t="shared" si="458"/>
        <v>4467.3849999999993</v>
      </c>
      <c r="AN192" s="745">
        <f>AN172</f>
        <v>4971.7619999999997</v>
      </c>
      <c r="AO192" s="745"/>
      <c r="AP192" s="745">
        <f>AP172</f>
        <v>5720.7560000000003</v>
      </c>
      <c r="AQ192" s="745"/>
      <c r="AR192" s="745">
        <f>AR172</f>
        <v>6336.3469999999998</v>
      </c>
      <c r="AS192" s="745"/>
      <c r="AT192" s="745">
        <f>AT172</f>
        <v>5804.0940000000001</v>
      </c>
      <c r="AU192" s="745"/>
      <c r="AZ192" s="745"/>
      <c r="BA192" s="745"/>
      <c r="BC192" s="745"/>
    </row>
    <row r="193" spans="1:55" x14ac:dyDescent="0.35">
      <c r="A193" s="1627" t="s">
        <v>2675</v>
      </c>
      <c r="E193" s="745">
        <f t="shared" ref="E193:T193" si="464">E176</f>
        <v>0</v>
      </c>
      <c r="F193" s="745">
        <f t="shared" si="464"/>
        <v>0</v>
      </c>
      <c r="G193" s="745">
        <f t="shared" si="464"/>
        <v>0</v>
      </c>
      <c r="H193" s="745">
        <f t="shared" si="464"/>
        <v>0</v>
      </c>
      <c r="I193" s="745">
        <f t="shared" si="464"/>
        <v>0</v>
      </c>
      <c r="J193" s="745">
        <f t="shared" si="464"/>
        <v>0</v>
      </c>
      <c r="K193" s="745">
        <f t="shared" si="464"/>
        <v>6.1360000000000001</v>
      </c>
      <c r="L193" s="745">
        <f t="shared" si="464"/>
        <v>-156.679</v>
      </c>
      <c r="M193" s="745">
        <f t="shared" si="464"/>
        <v>-114.998</v>
      </c>
      <c r="N193" s="745">
        <f t="shared" si="464"/>
        <v>19.003</v>
      </c>
      <c r="O193" s="745">
        <f t="shared" si="464"/>
        <v>6.0960000000000001</v>
      </c>
      <c r="P193" s="745">
        <f t="shared" si="464"/>
        <v>252.46600000000001</v>
      </c>
      <c r="Q193" s="745">
        <f t="shared" si="464"/>
        <v>167.66399999999999</v>
      </c>
      <c r="R193" s="745">
        <f t="shared" si="464"/>
        <v>384.30799999999999</v>
      </c>
      <c r="S193" s="745">
        <f t="shared" si="464"/>
        <v>316.11200000000002</v>
      </c>
      <c r="T193" s="745">
        <f t="shared" si="464"/>
        <v>406.86</v>
      </c>
      <c r="U193" s="745">
        <f t="shared" ref="U193:X193" si="465">U176</f>
        <v>471.69</v>
      </c>
      <c r="V193" s="745">
        <f t="shared" si="465"/>
        <v>812.55799999999999</v>
      </c>
      <c r="W193" s="745">
        <f t="shared" si="465"/>
        <v>786.60699999999997</v>
      </c>
      <c r="X193" s="745">
        <f t="shared" si="465"/>
        <v>295.2</v>
      </c>
      <c r="AJ193" s="745">
        <f>AJ176</f>
        <v>216.53</v>
      </c>
      <c r="AK193" s="745">
        <f t="shared" si="457"/>
        <v>99.582000000000022</v>
      </c>
      <c r="AL193" s="745">
        <f>AL176</f>
        <v>299.24200000000002</v>
      </c>
      <c r="AM193" s="745">
        <f t="shared" si="458"/>
        <v>107.61799999999999</v>
      </c>
      <c r="AN193" s="745">
        <f>AN176</f>
        <v>374.43799999999999</v>
      </c>
      <c r="AO193" s="745"/>
      <c r="AP193" s="745">
        <f>AP176</f>
        <v>531.65099999999995</v>
      </c>
      <c r="AQ193" s="745"/>
      <c r="AR193" s="745">
        <f>AR176</f>
        <v>645.66899999999998</v>
      </c>
      <c r="AS193" s="745"/>
      <c r="AT193" s="745">
        <f>AT176</f>
        <v>591.43299999999999</v>
      </c>
      <c r="AU193" s="745"/>
      <c r="AZ193" s="745"/>
      <c r="BA193" s="745"/>
      <c r="BC193" s="745"/>
    </row>
    <row r="194" spans="1:55" x14ac:dyDescent="0.35">
      <c r="A194" s="1624" t="s">
        <v>2651</v>
      </c>
      <c r="P194" s="745"/>
      <c r="Q194" s="745"/>
      <c r="R194" s="745">
        <f>QoQ!AE4</f>
        <v>1721.8110000000001</v>
      </c>
      <c r="S194" s="745">
        <f>QoQ!AI4</f>
        <v>1552.509</v>
      </c>
      <c r="T194" s="745">
        <f>QoQ!AM4</f>
        <v>2563.5590000000002</v>
      </c>
      <c r="U194" s="745">
        <f>QoQ!AN4</f>
        <v>717.14599999999996</v>
      </c>
      <c r="V194" s="745">
        <f>QoQ!AO4</f>
        <v>2014.2919999999999</v>
      </c>
      <c r="W194" s="745">
        <f>QoQ!AP4</f>
        <v>2638.7289999999998</v>
      </c>
      <c r="X194" s="745">
        <f>QoQ!AQ4</f>
        <v>4400.665</v>
      </c>
      <c r="AJ194" s="745">
        <f>QoQ!AG4</f>
        <v>542.71400000000006</v>
      </c>
      <c r="AK194" s="745">
        <f t="shared" si="457"/>
        <v>1009.795</v>
      </c>
      <c r="AL194" s="745">
        <f>QoQ!AK4</f>
        <v>516.63499999999999</v>
      </c>
      <c r="AM194" s="745">
        <f t="shared" si="458"/>
        <v>2046.9240000000002</v>
      </c>
      <c r="AN194" s="745">
        <f>QoQ!AO4</f>
        <v>2014.2919999999999</v>
      </c>
      <c r="AO194" s="745"/>
      <c r="AP194" s="745">
        <f>QoQ!AS4</f>
        <v>1770.8969999999999</v>
      </c>
      <c r="AQ194" s="745"/>
      <c r="AR194" s="745">
        <f>QoQ!AW4</f>
        <v>1758.34</v>
      </c>
      <c r="AS194" s="745"/>
      <c r="AT194" s="745">
        <f>QoQ!BA4</f>
        <v>1914.9349999999999</v>
      </c>
      <c r="AU194" s="745"/>
      <c r="AZ194" s="745"/>
      <c r="BA194" s="745"/>
      <c r="BC194" s="745"/>
    </row>
    <row r="195" spans="1:55" s="780" customFormat="1" x14ac:dyDescent="0.35">
      <c r="A195" s="1633" t="s">
        <v>2656</v>
      </c>
      <c r="B195" s="781"/>
      <c r="O195" s="781"/>
      <c r="P195" s="781">
        <f>HoH!M19</f>
        <v>731.38</v>
      </c>
      <c r="Q195" s="781">
        <f>HoH!N19</f>
        <v>705.024</v>
      </c>
      <c r="R195" s="781">
        <f>HoH!O19</f>
        <v>452.654</v>
      </c>
      <c r="S195" s="781">
        <f>HoH!P19</f>
        <v>701.94399999999996</v>
      </c>
      <c r="T195" s="781">
        <f>HoH!Q19</f>
        <v>369.24599999999998</v>
      </c>
      <c r="U195" s="781">
        <f>HoH!R19</f>
        <v>275.19600000000003</v>
      </c>
      <c r="V195" s="781">
        <f>HoH!S19</f>
        <v>629.96900000000005</v>
      </c>
      <c r="W195" s="781">
        <f>HoH!T19</f>
        <v>583.49900000000002</v>
      </c>
      <c r="X195" s="781">
        <f>HoH!U19</f>
        <v>846.40899999999999</v>
      </c>
      <c r="AH195" s="781"/>
      <c r="AJ195" s="781">
        <f>QoQ!AG8</f>
        <v>112.16200000000001</v>
      </c>
      <c r="AK195" s="781">
        <f t="shared" si="457"/>
        <v>589.78199999999993</v>
      </c>
      <c r="AL195" s="781">
        <f>QoQ!AK8</f>
        <v>219.81700000000001</v>
      </c>
      <c r="AM195" s="781">
        <f t="shared" si="458"/>
        <v>149.42899999999997</v>
      </c>
      <c r="AN195" s="781">
        <f>QoQ!AO8</f>
        <v>89.600999999999999</v>
      </c>
      <c r="AO195" s="781"/>
      <c r="AP195" s="781">
        <f>QoQ!AS8</f>
        <v>345.238</v>
      </c>
      <c r="AQ195" s="781"/>
      <c r="AR195" s="781">
        <f>QoQ!AW8</f>
        <v>605.70899999999995</v>
      </c>
      <c r="AS195" s="781"/>
      <c r="AT195" s="781">
        <f>QoQ!BA8</f>
        <v>798.78</v>
      </c>
      <c r="AU195" s="781"/>
      <c r="AZ195" s="781"/>
      <c r="BA195" s="781"/>
      <c r="BC195" s="781"/>
    </row>
    <row r="196" spans="1:55" s="764" customFormat="1" x14ac:dyDescent="0.35">
      <c r="A196" s="1623" t="s">
        <v>2660</v>
      </c>
      <c r="B196" s="765"/>
      <c r="O196" s="792"/>
      <c r="P196" s="792"/>
      <c r="Q196" s="792"/>
      <c r="R196" s="792">
        <f>R195/R194</f>
        <v>0.26289412717191374</v>
      </c>
      <c r="S196" s="792">
        <f>S195/S194</f>
        <v>0.45213522111627047</v>
      </c>
      <c r="T196" s="792">
        <f>T195/T194</f>
        <v>0.14403647429218519</v>
      </c>
      <c r="U196" s="792">
        <f t="shared" ref="U196:X196" si="466">U195/U194</f>
        <v>0.38373776051180658</v>
      </c>
      <c r="V196" s="792">
        <f t="shared" si="466"/>
        <v>0.31274959141971476</v>
      </c>
      <c r="W196" s="792">
        <f t="shared" si="466"/>
        <v>0.22112880860444559</v>
      </c>
      <c r="X196" s="792">
        <f t="shared" si="466"/>
        <v>0.19233661276193484</v>
      </c>
      <c r="AJ196" s="792">
        <f>AJ195/AJ194</f>
        <v>0.20666870580084537</v>
      </c>
      <c r="AK196" s="792">
        <f>AK195/AK194</f>
        <v>0.58406112131670285</v>
      </c>
      <c r="AL196" s="792">
        <f>AL195/AL194</f>
        <v>0.42547833576896649</v>
      </c>
      <c r="AM196" s="792">
        <f>AM195/AM194</f>
        <v>7.3001733332551652E-2</v>
      </c>
      <c r="AN196" s="792">
        <f>AN195/AN194</f>
        <v>4.4482627146411741E-2</v>
      </c>
      <c r="AO196" s="792"/>
      <c r="AP196" s="792">
        <f>AP195/AP194</f>
        <v>0.19495092035279296</v>
      </c>
      <c r="AQ196" s="792"/>
      <c r="AR196" s="792">
        <f>AR195/AR194</f>
        <v>0.34447774605593912</v>
      </c>
      <c r="AS196" s="792"/>
      <c r="AT196" s="792">
        <f>AT195/AT194</f>
        <v>0.41713165198818758</v>
      </c>
      <c r="AU196" s="792"/>
      <c r="AZ196" s="792"/>
      <c r="BA196" s="792"/>
      <c r="BC196" s="792"/>
    </row>
    <row r="197" spans="1:55" s="780" customFormat="1" x14ac:dyDescent="0.35">
      <c r="A197" s="1633" t="s">
        <v>149</v>
      </c>
      <c r="B197" s="781"/>
      <c r="O197" s="781"/>
      <c r="P197" s="781">
        <f>HoH!M20</f>
        <v>160.30000000000001</v>
      </c>
      <c r="Q197" s="781">
        <f>HoH!N20</f>
        <v>342.62099999999998</v>
      </c>
      <c r="R197" s="781">
        <f>HoH!O20</f>
        <v>920.14300000000003</v>
      </c>
      <c r="S197" s="781">
        <f>HoH!P20</f>
        <v>1879.577</v>
      </c>
      <c r="T197" s="781">
        <f>HoH!Q20</f>
        <v>782.80799999999999</v>
      </c>
      <c r="U197" s="781">
        <f>HoH!R20</f>
        <v>333.93400000000003</v>
      </c>
      <c r="V197" s="781">
        <f>HoH!S20</f>
        <v>314.53899999999999</v>
      </c>
      <c r="W197" s="781">
        <f>HoH!T20</f>
        <v>244.81299999999999</v>
      </c>
      <c r="X197" s="781">
        <f>HoH!U20</f>
        <v>12.068</v>
      </c>
      <c r="AJ197" s="781">
        <f>HoH!AW20</f>
        <v>529.875</v>
      </c>
      <c r="AK197" s="781">
        <f>S197-AJ197</f>
        <v>1349.702</v>
      </c>
      <c r="AL197" s="781">
        <f>HoH!AY20</f>
        <v>433.928</v>
      </c>
      <c r="AM197" s="781">
        <f>T197-AL197</f>
        <v>348.88</v>
      </c>
      <c r="AN197" s="781">
        <f>HoH!BA20</f>
        <v>224.733</v>
      </c>
      <c r="AO197" s="781"/>
      <c r="AP197" s="781">
        <f>HoH!BC20</f>
        <v>173.30699999999999</v>
      </c>
      <c r="AQ197" s="781"/>
      <c r="AR197" s="781">
        <f>HoH!BE20</f>
        <v>4.9720000000000004</v>
      </c>
      <c r="AS197" s="781"/>
      <c r="AT197" s="781">
        <f>HoH!BG20</f>
        <v>46.954000000000001</v>
      </c>
      <c r="AU197" s="781"/>
      <c r="AZ197" s="781"/>
      <c r="BA197" s="781"/>
      <c r="BC197" s="781"/>
    </row>
    <row r="198" spans="1:55" s="780" customFormat="1" x14ac:dyDescent="0.35">
      <c r="A198" s="1633" t="s">
        <v>2665</v>
      </c>
      <c r="B198" s="781"/>
      <c r="F198" s="781">
        <f>HoH!C18</f>
        <v>0</v>
      </c>
      <c r="G198" s="781">
        <f>HoH!D18</f>
        <v>9.4450000000000003</v>
      </c>
      <c r="H198" s="781">
        <f>HoH!E18</f>
        <v>320.90199999999999</v>
      </c>
      <c r="I198" s="781">
        <f>HoH!F18</f>
        <v>342.16399999999999</v>
      </c>
      <c r="J198" s="781">
        <f>HoH!G18</f>
        <v>393.649</v>
      </c>
      <c r="K198" s="781">
        <f>HoH!H18</f>
        <v>431.53899999999999</v>
      </c>
      <c r="L198" s="781">
        <f>HoH!I18</f>
        <v>452.16899999999998</v>
      </c>
      <c r="M198" s="781">
        <f>HoH!J18</f>
        <v>318.13200000000001</v>
      </c>
      <c r="N198" s="781">
        <f>HoH!K18</f>
        <v>496.19</v>
      </c>
      <c r="O198" s="781">
        <f>HoH!L18</f>
        <v>562.96500000000003</v>
      </c>
      <c r="P198" s="781">
        <f t="shared" ref="P198:T198" si="467">P195+P197</f>
        <v>891.68000000000006</v>
      </c>
      <c r="Q198" s="781">
        <f t="shared" si="467"/>
        <v>1047.645</v>
      </c>
      <c r="R198" s="781">
        <f t="shared" si="467"/>
        <v>1372.797</v>
      </c>
      <c r="S198" s="781">
        <f t="shared" si="467"/>
        <v>2581.5209999999997</v>
      </c>
      <c r="T198" s="781">
        <f t="shared" si="467"/>
        <v>1152.0540000000001</v>
      </c>
      <c r="U198" s="781">
        <f t="shared" ref="U198:X198" si="468">U195+U197</f>
        <v>609.13000000000011</v>
      </c>
      <c r="V198" s="781">
        <f t="shared" si="468"/>
        <v>944.50800000000004</v>
      </c>
      <c r="W198" s="781">
        <f t="shared" si="468"/>
        <v>828.31200000000001</v>
      </c>
      <c r="X198" s="781">
        <f t="shared" si="468"/>
        <v>858.47699999999998</v>
      </c>
      <c r="AJ198" s="781">
        <f>AJ195+AJ197</f>
        <v>642.03700000000003</v>
      </c>
      <c r="AK198" s="781">
        <f>S198-AJ198</f>
        <v>1939.4839999999997</v>
      </c>
      <c r="AL198" s="781">
        <f>AL195+AL197</f>
        <v>653.745</v>
      </c>
      <c r="AM198" s="781">
        <f>T198-AL198</f>
        <v>498.30900000000008</v>
      </c>
      <c r="AN198" s="781">
        <f>AN195+AN197</f>
        <v>314.334</v>
      </c>
      <c r="AO198" s="781"/>
      <c r="AP198" s="781">
        <f>AP195+AP197</f>
        <v>518.54499999999996</v>
      </c>
      <c r="AQ198" s="781"/>
      <c r="AR198" s="781">
        <f>AR195+AR197</f>
        <v>610.68099999999993</v>
      </c>
      <c r="AS198" s="781"/>
      <c r="AT198" s="781">
        <f>AT195+AT197</f>
        <v>845.73399999999992</v>
      </c>
      <c r="AU198" s="781"/>
      <c r="AZ198" s="781"/>
      <c r="BA198" s="781"/>
      <c r="BC198" s="781"/>
    </row>
    <row r="199" spans="1:55" s="780" customFormat="1" x14ac:dyDescent="0.35">
      <c r="A199" s="1633"/>
      <c r="B199" s="781"/>
      <c r="F199" s="781"/>
      <c r="G199" s="781"/>
      <c r="H199" s="781"/>
      <c r="I199" s="781"/>
      <c r="J199" s="781"/>
      <c r="K199" s="781"/>
      <c r="L199" s="781"/>
      <c r="M199" s="781"/>
      <c r="N199" s="781"/>
      <c r="O199" s="781"/>
      <c r="P199" s="781"/>
      <c r="Q199" s="781"/>
      <c r="R199" s="792">
        <f>R198/Q198-1</f>
        <v>0.31036467505691334</v>
      </c>
      <c r="S199" s="792">
        <f>S198/R198-1</f>
        <v>0.88048269336252893</v>
      </c>
      <c r="T199" s="792">
        <f>T198/S198-1</f>
        <v>-0.55373053327863686</v>
      </c>
      <c r="U199" s="792">
        <f t="shared" ref="U199:X199" si="469">U198/T198-1</f>
        <v>-0.47126610384582657</v>
      </c>
      <c r="V199" s="792">
        <f t="shared" si="469"/>
        <v>0.55058526094593918</v>
      </c>
      <c r="W199" s="792">
        <f t="shared" si="469"/>
        <v>-0.12302278011409118</v>
      </c>
      <c r="X199" s="792">
        <f t="shared" si="469"/>
        <v>3.6417436907831835E-2</v>
      </c>
    </row>
    <row r="200" spans="1:55" x14ac:dyDescent="0.35">
      <c r="F200" s="745"/>
      <c r="G200" s="745"/>
      <c r="H200" s="745"/>
      <c r="I200" s="745"/>
      <c r="J200" s="745"/>
      <c r="K200" s="745"/>
      <c r="L200" s="745"/>
      <c r="M200" s="745"/>
      <c r="N200" s="745"/>
      <c r="O200" s="745"/>
      <c r="P200" s="745"/>
      <c r="Q200" s="745"/>
      <c r="R200" s="745"/>
      <c r="S200" s="745"/>
      <c r="T200" s="745"/>
      <c r="U200" s="745"/>
    </row>
    <row r="201" spans="1:55" s="780" customFormat="1" x14ac:dyDescent="0.35">
      <c r="A201" s="1633" t="s">
        <v>2664</v>
      </c>
      <c r="B201" s="781"/>
      <c r="F201" s="781">
        <f t="shared" ref="F201:T201" si="470">F205-SUM(F178,F198,F204)</f>
        <v>-113.69100000000003</v>
      </c>
      <c r="G201" s="781">
        <f t="shared" si="470"/>
        <v>-94.576999999999884</v>
      </c>
      <c r="H201" s="781">
        <f t="shared" si="470"/>
        <v>-139.98099999999999</v>
      </c>
      <c r="I201" s="781">
        <f t="shared" si="470"/>
        <v>-106.59500000000071</v>
      </c>
      <c r="J201" s="781">
        <f t="shared" si="470"/>
        <v>-132.69200000000046</v>
      </c>
      <c r="K201" s="781">
        <f t="shared" si="470"/>
        <v>-143.63599999999951</v>
      </c>
      <c r="L201" s="781">
        <f t="shared" si="470"/>
        <v>-199.47799999999961</v>
      </c>
      <c r="M201" s="781">
        <f t="shared" si="470"/>
        <v>-178.97000000000389</v>
      </c>
      <c r="N201" s="781">
        <f t="shared" si="470"/>
        <v>110.43599999999878</v>
      </c>
      <c r="O201" s="781">
        <f t="shared" si="470"/>
        <v>700.32300000000487</v>
      </c>
      <c r="P201" s="781">
        <f t="shared" si="470"/>
        <v>152.64799999999832</v>
      </c>
      <c r="Q201" s="781">
        <f t="shared" si="470"/>
        <v>-1125.3719999999958</v>
      </c>
      <c r="R201" s="781">
        <f t="shared" si="470"/>
        <v>-312.12399999999798</v>
      </c>
      <c r="S201" s="781">
        <f t="shared" si="470"/>
        <v>29.749999999996362</v>
      </c>
      <c r="T201" s="781">
        <f t="shared" si="470"/>
        <v>28.154999999998836</v>
      </c>
      <c r="U201" s="781">
        <f t="shared" ref="U201:X201" si="471">U205-SUM(U178,U198,U204)</f>
        <v>590.45199999999568</v>
      </c>
      <c r="V201" s="781">
        <f t="shared" si="471"/>
        <v>7.0120000000042637</v>
      </c>
      <c r="W201" s="781">
        <f t="shared" si="471"/>
        <v>-1955.9370000000017</v>
      </c>
      <c r="X201" s="781">
        <f t="shared" si="471"/>
        <v>-593.475000000004</v>
      </c>
      <c r="AJ201" s="781">
        <f>AJ205-SUM(AJ178,AJ198,AJ204)</f>
        <v>-149.46599999999944</v>
      </c>
      <c r="AK201" s="781">
        <f>S201-AJ201</f>
        <v>179.2159999999958</v>
      </c>
      <c r="AL201" s="781">
        <f>AL205-SUM(AL178,AL198,AL204)</f>
        <v>-124.48700000000099</v>
      </c>
      <c r="AM201" s="781">
        <f>T201-AL201</f>
        <v>152.64199999999983</v>
      </c>
      <c r="AN201" s="781">
        <f>AN205-SUM(AN178,AN198,AN204)</f>
        <v>119.30499999999938</v>
      </c>
      <c r="AO201" s="781"/>
      <c r="AP201" s="781">
        <f>AP205-SUM(AP178,AP198,AP204)</f>
        <v>-370.45800000000054</v>
      </c>
      <c r="AQ201" s="781"/>
      <c r="AR201" s="781">
        <f>AR205-SUM(AR178,AR198,AR204)</f>
        <v>-911.50399999999991</v>
      </c>
      <c r="AS201" s="781"/>
      <c r="AT201" s="781">
        <f>AT205-SUM(AT178,AT198,AT204)</f>
        <v>-244.9330000000009</v>
      </c>
      <c r="AU201" s="781"/>
      <c r="AZ201" s="781"/>
      <c r="BA201" s="781"/>
      <c r="BC201" s="781"/>
    </row>
    <row r="202" spans="1:55" x14ac:dyDescent="0.35">
      <c r="A202" s="1627" t="s">
        <v>2659</v>
      </c>
      <c r="F202" s="745"/>
      <c r="G202" s="745"/>
      <c r="H202" s="745"/>
      <c r="I202" s="745"/>
      <c r="J202" s="745"/>
      <c r="K202" s="745"/>
      <c r="L202" s="745"/>
      <c r="M202" s="745"/>
      <c r="N202" s="745"/>
      <c r="O202" s="745"/>
      <c r="P202" s="745"/>
      <c r="Q202" s="745"/>
      <c r="R202" s="745"/>
      <c r="S202" s="745">
        <f>-540285*(10^(-3))</f>
        <v>-540.28499999999997</v>
      </c>
      <c r="T202" s="745">
        <f>28155*(10^(-3))</f>
        <v>28.155000000000001</v>
      </c>
      <c r="U202" s="745">
        <f t="shared" ref="U202:X202" si="472">28155*(10^(-3))</f>
        <v>28.155000000000001</v>
      </c>
      <c r="V202" s="745">
        <f t="shared" si="472"/>
        <v>28.155000000000001</v>
      </c>
      <c r="W202" s="745">
        <f t="shared" si="472"/>
        <v>28.155000000000001</v>
      </c>
      <c r="X202" s="745">
        <f t="shared" si="472"/>
        <v>28.155000000000001</v>
      </c>
      <c r="AJ202" s="745"/>
      <c r="AL202" s="745"/>
      <c r="AN202" s="745"/>
      <c r="AO202" s="745"/>
      <c r="AP202" s="745"/>
      <c r="AQ202" s="745"/>
      <c r="AR202" s="745"/>
      <c r="AS202" s="745"/>
      <c r="AT202" s="745"/>
      <c r="AU202" s="745"/>
      <c r="AZ202" s="745"/>
      <c r="BA202" s="745"/>
      <c r="BC202" s="745"/>
    </row>
    <row r="203" spans="1:55" x14ac:dyDescent="0.35">
      <c r="A203" s="1627" t="s">
        <v>2657</v>
      </c>
      <c r="F203" s="745"/>
      <c r="G203" s="745"/>
      <c r="H203" s="745"/>
      <c r="I203" s="745"/>
      <c r="J203" s="745"/>
      <c r="K203" s="745"/>
      <c r="L203" s="745"/>
      <c r="M203" s="745"/>
      <c r="N203" s="745"/>
      <c r="O203" s="745"/>
      <c r="P203" s="745"/>
      <c r="Q203" s="745"/>
      <c r="R203" s="745"/>
      <c r="S203" s="745">
        <f>570035*(10^(-3))</f>
        <v>570.03499999999997</v>
      </c>
      <c r="T203" s="745">
        <f>0*(10^(-3))</f>
        <v>0</v>
      </c>
      <c r="U203" s="745">
        <f t="shared" ref="U203:X203" si="473">0*(10^(-3))</f>
        <v>0</v>
      </c>
      <c r="V203" s="745">
        <f t="shared" si="473"/>
        <v>0</v>
      </c>
      <c r="W203" s="745">
        <f t="shared" si="473"/>
        <v>0</v>
      </c>
      <c r="X203" s="745">
        <f t="shared" si="473"/>
        <v>0</v>
      </c>
      <c r="AJ203" s="745"/>
      <c r="AL203" s="745"/>
      <c r="AN203" s="745"/>
      <c r="AO203" s="745"/>
      <c r="AP203" s="745"/>
      <c r="AQ203" s="745"/>
      <c r="AR203" s="745"/>
      <c r="AS203" s="745"/>
      <c r="AT203" s="745"/>
      <c r="AU203" s="745"/>
      <c r="AZ203" s="745"/>
      <c r="BA203" s="745"/>
      <c r="BC203" s="745"/>
    </row>
    <row r="204" spans="1:55" s="780" customFormat="1" x14ac:dyDescent="0.35">
      <c r="A204" s="1633" t="s">
        <v>240</v>
      </c>
      <c r="B204" s="781"/>
      <c r="F204" s="781">
        <f>-HoH!C17</f>
        <v>0</v>
      </c>
      <c r="G204" s="781">
        <f>-HoH!D17</f>
        <v>-20.065000000000001</v>
      </c>
      <c r="H204" s="781">
        <f>-HoH!E17</f>
        <v>-12.956</v>
      </c>
      <c r="I204" s="781">
        <f>-HoH!F17</f>
        <v>-15.552</v>
      </c>
      <c r="J204" s="781">
        <f>-HoH!G17</f>
        <v>-192.69</v>
      </c>
      <c r="K204" s="781">
        <f>-HoH!H17</f>
        <v>-239.375</v>
      </c>
      <c r="L204" s="781">
        <f>-HoH!I17</f>
        <v>-418.44</v>
      </c>
      <c r="M204" s="781">
        <f>-HoH!J17</f>
        <v>-455.82900000000001</v>
      </c>
      <c r="N204" s="781">
        <f>-HoH!K17</f>
        <v>-629.10500000000002</v>
      </c>
      <c r="O204" s="781">
        <f>-HoH!L17</f>
        <v>-688.15899999999999</v>
      </c>
      <c r="P204" s="781">
        <f>-HoH!M17</f>
        <v>-1069.7540000000001</v>
      </c>
      <c r="Q204" s="781">
        <f>-HoH!N17</f>
        <v>-1781.7170000000001</v>
      </c>
      <c r="R204" s="781">
        <f>-HoH!O17</f>
        <v>-2278.9850000000001</v>
      </c>
      <c r="S204" s="781">
        <f>-HoH!P17</f>
        <v>-2679.9769999999999</v>
      </c>
      <c r="T204" s="781">
        <f>-HoH!Q17</f>
        <v>-2668.2020000000002</v>
      </c>
      <c r="U204" s="781">
        <f>-HoH!R17</f>
        <v>-2991.4189999999999</v>
      </c>
      <c r="V204" s="781">
        <f>-HoH!S17</f>
        <v>-3204.3090000000002</v>
      </c>
      <c r="W204" s="781">
        <f>-HoH!T17</f>
        <v>-2948.3119999999999</v>
      </c>
      <c r="X204" s="781">
        <f>-HoH!U17</f>
        <v>-2469.6680000000001</v>
      </c>
      <c r="AJ204" s="781">
        <f>-HoH!AW17</f>
        <v>-1344.173</v>
      </c>
      <c r="AK204" s="781">
        <f>S204-AJ204</f>
        <v>-1335.8039999999999</v>
      </c>
      <c r="AL204" s="781">
        <f>-HoH!AY17</f>
        <v>-1256.5540000000001</v>
      </c>
      <c r="AM204" s="781">
        <f>T204-AL204</f>
        <v>-1411.6480000000001</v>
      </c>
      <c r="AN204" s="781">
        <f>-HoH!BA17</f>
        <v>-1474.5820000000001</v>
      </c>
      <c r="AO204" s="781"/>
      <c r="AP204" s="781">
        <f>-HoH!BC17</f>
        <v>-1554.068</v>
      </c>
      <c r="AQ204" s="781"/>
      <c r="AR204" s="781">
        <f>-HoH!BE17</f>
        <v>-1472.4059999999999</v>
      </c>
      <c r="AS204" s="781"/>
      <c r="AT204" s="781">
        <f>-HoH!BG17</f>
        <v>-1299.867</v>
      </c>
      <c r="AU204" s="781"/>
      <c r="AZ204" s="781"/>
      <c r="BA204" s="781"/>
      <c r="BC204" s="781"/>
    </row>
    <row r="205" spans="1:55" s="780" customFormat="1" x14ac:dyDescent="0.35">
      <c r="A205" s="1633" t="s">
        <v>2658</v>
      </c>
      <c r="B205" s="781"/>
      <c r="F205" s="781">
        <f>PL!E103</f>
        <v>530.31000000000006</v>
      </c>
      <c r="G205" s="781">
        <f>PL!F103</f>
        <v>570.66500000000008</v>
      </c>
      <c r="H205" s="781">
        <f>PL!G103</f>
        <v>722.08</v>
      </c>
      <c r="I205" s="781">
        <f>PL!H103</f>
        <v>1333.4669999999994</v>
      </c>
      <c r="J205" s="781">
        <f>PL!I103</f>
        <v>1844.3009999999995</v>
      </c>
      <c r="K205" s="781">
        <f>PL!J103</f>
        <v>2541.3970000000008</v>
      </c>
      <c r="L205" s="781">
        <f>PL!K103</f>
        <v>3173.7580000000003</v>
      </c>
      <c r="M205" s="781">
        <f>PL!L103</f>
        <v>4047.5939999999964</v>
      </c>
      <c r="N205" s="781">
        <f>PL!M103</f>
        <v>5132.2449999999981</v>
      </c>
      <c r="O205" s="781">
        <f>PL!N103</f>
        <v>6011.7200000000048</v>
      </c>
      <c r="P205" s="781">
        <f>PL!O103</f>
        <v>6789.9659999999994</v>
      </c>
      <c r="Q205" s="781">
        <f>PL!P103</f>
        <v>6205.5050000000028</v>
      </c>
      <c r="R205" s="781">
        <f>PL!Q103</f>
        <v>7284.4710000000014</v>
      </c>
      <c r="S205" s="781">
        <f>PL!R103</f>
        <v>8244.4759999999987</v>
      </c>
      <c r="T205" s="781">
        <f>PL!S103</f>
        <v>9385.1779999999999</v>
      </c>
      <c r="U205" s="781">
        <f>PL!T103</f>
        <v>10778.684999999994</v>
      </c>
      <c r="V205" s="781">
        <f>PL!U103</f>
        <v>12103.547000000004</v>
      </c>
      <c r="W205" s="781">
        <f>PL!V103</f>
        <v>11839.239</v>
      </c>
      <c r="X205" s="781">
        <f>PL!W103</f>
        <v>11967.471999999998</v>
      </c>
      <c r="AJ205" s="781">
        <f>HoH!AW21</f>
        <v>3948.7700000000004</v>
      </c>
      <c r="AK205" s="781">
        <f>S205-AJ205</f>
        <v>4295.7059999999983</v>
      </c>
      <c r="AL205" s="781">
        <f>HoH!AY21</f>
        <v>4802.799</v>
      </c>
      <c r="AM205" s="781">
        <f>T205-AL205</f>
        <v>4582.3789999999999</v>
      </c>
      <c r="AN205" s="781">
        <f>HoH!BA21</f>
        <v>5565.396999999999</v>
      </c>
      <c r="AO205" s="781"/>
      <c r="AP205" s="781">
        <f>HoH!BC21</f>
        <v>6362.4109999999991</v>
      </c>
      <c r="AQ205" s="781"/>
      <c r="AR205" s="781">
        <f>HoH!BE21</f>
        <v>6797.2160000000003</v>
      </c>
      <c r="AS205" s="781"/>
      <c r="AT205" s="781">
        <f>HoH!BG21</f>
        <v>7151.4619999999995</v>
      </c>
      <c r="AU205" s="781"/>
      <c r="AZ205" s="781"/>
      <c r="BA205" s="781"/>
      <c r="BC205" s="781"/>
    </row>
    <row r="206" spans="1:55" s="780" customFormat="1" x14ac:dyDescent="0.35">
      <c r="A206" s="1623" t="s">
        <v>2672</v>
      </c>
      <c r="B206" s="781"/>
      <c r="F206" s="792"/>
      <c r="G206" s="792">
        <f t="shared" ref="G206:T206" si="474">G205/F205-1</f>
        <v>7.6096999868001669E-2</v>
      </c>
      <c r="H206" s="792">
        <f t="shared" si="474"/>
        <v>0.26533079827920059</v>
      </c>
      <c r="I206" s="792">
        <f t="shared" si="474"/>
        <v>0.84670258143141952</v>
      </c>
      <c r="J206" s="792">
        <f t="shared" si="474"/>
        <v>0.38308709551867448</v>
      </c>
      <c r="K206" s="792">
        <f t="shared" si="474"/>
        <v>0.37797300982865689</v>
      </c>
      <c r="L206" s="792">
        <f t="shared" si="474"/>
        <v>0.24882417032836623</v>
      </c>
      <c r="M206" s="792">
        <f t="shared" si="474"/>
        <v>0.27533164154292677</v>
      </c>
      <c r="N206" s="792">
        <f t="shared" si="474"/>
        <v>0.26797425828776378</v>
      </c>
      <c r="O206" s="792">
        <f t="shared" si="474"/>
        <v>0.17136262980430739</v>
      </c>
      <c r="P206" s="792">
        <f t="shared" si="474"/>
        <v>0.12945479829399797</v>
      </c>
      <c r="Q206" s="792">
        <f t="shared" si="474"/>
        <v>-8.6077161505668354E-2</v>
      </c>
      <c r="R206" s="792">
        <f t="shared" si="474"/>
        <v>0.17387239233551477</v>
      </c>
      <c r="S206" s="792">
        <f t="shared" si="474"/>
        <v>0.13178788137120701</v>
      </c>
      <c r="T206" s="792">
        <f t="shared" si="474"/>
        <v>0.13835955129228372</v>
      </c>
      <c r="U206" s="792">
        <f t="shared" ref="U206" si="475">U205/T205-1</f>
        <v>0.14847954934898344</v>
      </c>
      <c r="V206" s="792">
        <f t="shared" ref="V206" si="476">V205/U205-1</f>
        <v>0.12291499380490389</v>
      </c>
      <c r="W206" s="792">
        <f t="shared" ref="W206" si="477">W205/V205-1</f>
        <v>-2.1837234985744636E-2</v>
      </c>
      <c r="X206" s="792">
        <f t="shared" ref="X206" si="478">X205/W205-1</f>
        <v>1.0831186024709671E-2</v>
      </c>
      <c r="AK206" s="792"/>
      <c r="AL206" s="792">
        <f>AL205/AJ205-1</f>
        <v>0.21627722050157372</v>
      </c>
      <c r="AM206" s="792">
        <f>AM205/AK205-1</f>
        <v>6.6734781197782533E-2</v>
      </c>
      <c r="AN206" s="792">
        <f>AN205/AL205-1</f>
        <v>0.15878199358332479</v>
      </c>
      <c r="AO206" s="792"/>
      <c r="AP206" s="792">
        <f>AP205/AN205-1</f>
        <v>0.14320883128373407</v>
      </c>
      <c r="AQ206" s="792"/>
      <c r="AR206" s="792">
        <f>AR205/AP205-1</f>
        <v>6.8339659289536892E-2</v>
      </c>
      <c r="AS206" s="792"/>
      <c r="AT206" s="792">
        <f>AT205/AR205-1</f>
        <v>5.2116337041518079E-2</v>
      </c>
      <c r="AU206" s="792"/>
      <c r="AZ206" s="792"/>
      <c r="BA206" s="792"/>
      <c r="BC206" s="792"/>
    </row>
    <row r="208" spans="1:55" x14ac:dyDescent="0.35">
      <c r="A208" s="1633" t="s">
        <v>2661</v>
      </c>
    </row>
    <row r="209" spans="1:55" s="780" customFormat="1" x14ac:dyDescent="0.35">
      <c r="A209" s="1633" t="s">
        <v>2662</v>
      </c>
      <c r="B209" s="781"/>
      <c r="F209" s="781">
        <f t="shared" ref="F209:T209" si="479">F178-E178</f>
        <v>52.694000000000074</v>
      </c>
      <c r="G209" s="781">
        <f t="shared" si="479"/>
        <v>31.860999999999876</v>
      </c>
      <c r="H209" s="781">
        <f t="shared" si="479"/>
        <v>-121.74699999999996</v>
      </c>
      <c r="I209" s="781">
        <f t="shared" si="479"/>
        <v>559.33500000000004</v>
      </c>
      <c r="J209" s="781">
        <f t="shared" si="479"/>
        <v>662.58399999999983</v>
      </c>
      <c r="K209" s="781">
        <f t="shared" si="479"/>
        <v>716.83500000000026</v>
      </c>
      <c r="L209" s="781">
        <f t="shared" si="479"/>
        <v>846.63799999999992</v>
      </c>
      <c r="M209" s="781">
        <f t="shared" si="479"/>
        <v>1024.7540000000004</v>
      </c>
      <c r="N209" s="781">
        <f t="shared" si="479"/>
        <v>790.46299999999883</v>
      </c>
      <c r="O209" s="781">
        <f t="shared" si="479"/>
        <v>281.86700000000019</v>
      </c>
      <c r="P209" s="781">
        <f t="shared" si="479"/>
        <v>1378.8010000000013</v>
      </c>
      <c r="Q209" s="781">
        <f t="shared" si="479"/>
        <v>1249.5569999999989</v>
      </c>
      <c r="R209" s="781">
        <f t="shared" si="479"/>
        <v>437.83399999999983</v>
      </c>
      <c r="S209" s="781">
        <f t="shared" si="479"/>
        <v>-189.60099999999875</v>
      </c>
      <c r="T209" s="781">
        <f t="shared" si="479"/>
        <v>2559.9889999999996</v>
      </c>
      <c r="U209" s="781">
        <f t="shared" ref="U209" si="480">U178-T178</f>
        <v>1697.3509999999987</v>
      </c>
      <c r="V209" s="781">
        <f t="shared" ref="V209" si="481">V178-U178</f>
        <v>1785.8140000000003</v>
      </c>
      <c r="W209" s="781">
        <f t="shared" ref="W209" si="482">W178-V178</f>
        <v>1558.8400000000001</v>
      </c>
      <c r="X209" s="781">
        <f t="shared" ref="X209" si="483">X178-W178</f>
        <v>-1743.0379999999986</v>
      </c>
      <c r="AL209" s="781">
        <f>AL178-AJ178</f>
        <v>729.72300000000178</v>
      </c>
      <c r="AM209" s="781">
        <f>AM178-AK178</f>
        <v>1830.2659999999987</v>
      </c>
      <c r="AN209" s="781">
        <f>AN178-AL178</f>
        <v>1076.244999999999</v>
      </c>
      <c r="AO209" s="781"/>
      <c r="AP209" s="781">
        <f>AP178-AN178</f>
        <v>1162.0519999999997</v>
      </c>
      <c r="AQ209" s="781"/>
      <c r="AR209" s="781">
        <f>AR178-AP178</f>
        <v>802.05299999999988</v>
      </c>
      <c r="AS209" s="781"/>
      <c r="AT209" s="781">
        <f>AT178-AR178</f>
        <v>-719.91699999999946</v>
      </c>
      <c r="AU209" s="781"/>
      <c r="AZ209" s="781"/>
      <c r="BA209" s="781"/>
      <c r="BC209" s="781"/>
    </row>
    <row r="210" spans="1:55" s="780" customFormat="1" x14ac:dyDescent="0.35">
      <c r="A210" s="1627" t="s">
        <v>167</v>
      </c>
      <c r="B210" s="781"/>
      <c r="F210" s="745">
        <f t="shared" ref="F210:T210" si="484">F190-E190</f>
        <v>-362.41300000000001</v>
      </c>
      <c r="G210" s="745">
        <f t="shared" si="484"/>
        <v>11.612000000000009</v>
      </c>
      <c r="H210" s="745">
        <f t="shared" si="484"/>
        <v>107.05699999999999</v>
      </c>
      <c r="I210" s="745">
        <f t="shared" si="484"/>
        <v>54.614000000000004</v>
      </c>
      <c r="J210" s="745">
        <f t="shared" si="484"/>
        <v>229.47799999999995</v>
      </c>
      <c r="K210" s="745">
        <f t="shared" si="484"/>
        <v>132.72400000000005</v>
      </c>
      <c r="L210" s="745">
        <f t="shared" si="484"/>
        <v>85.370999999999981</v>
      </c>
      <c r="M210" s="745">
        <f t="shared" si="484"/>
        <v>158.90200000000004</v>
      </c>
      <c r="N210" s="745">
        <f t="shared" si="484"/>
        <v>4.9199999999999591</v>
      </c>
      <c r="O210" s="745">
        <f t="shared" si="484"/>
        <v>-89.827999999999975</v>
      </c>
      <c r="P210" s="745">
        <f t="shared" si="484"/>
        <v>34.910999999999945</v>
      </c>
      <c r="Q210" s="745">
        <f t="shared" si="484"/>
        <v>321.89499999999998</v>
      </c>
      <c r="R210" s="745">
        <f t="shared" si="484"/>
        <v>181.9050000000002</v>
      </c>
      <c r="S210" s="745">
        <f t="shared" si="484"/>
        <v>-362.77700000000016</v>
      </c>
      <c r="T210" s="745">
        <f t="shared" si="484"/>
        <v>-140.30599999999993</v>
      </c>
      <c r="U210" s="745">
        <f t="shared" ref="U210:U213" si="485">U190-T190</f>
        <v>421.31999999999994</v>
      </c>
      <c r="V210" s="745">
        <f t="shared" ref="V210:V213" si="486">V190-U190</f>
        <v>-245.5</v>
      </c>
      <c r="W210" s="745">
        <f t="shared" ref="W210:W213" si="487">W190-V190</f>
        <v>190.86500000000001</v>
      </c>
      <c r="X210" s="745">
        <f t="shared" ref="X210:X213" si="488">X190-W190</f>
        <v>25.326000000000022</v>
      </c>
      <c r="AL210" s="745">
        <f t="shared" ref="AL210:AT213" si="489">AL190-AJ190</f>
        <v>-259.28800000000001</v>
      </c>
      <c r="AM210" s="745">
        <f t="shared" si="489"/>
        <v>118.98200000000008</v>
      </c>
      <c r="AN210" s="745">
        <f t="shared" si="489"/>
        <v>405.55799999999999</v>
      </c>
      <c r="AO210" s="745"/>
      <c r="AP210" s="745">
        <f t="shared" si="489"/>
        <v>-24.783999999999992</v>
      </c>
      <c r="AQ210" s="745"/>
      <c r="AR210" s="745">
        <f t="shared" si="489"/>
        <v>112.46400000000006</v>
      </c>
      <c r="AS210" s="745"/>
      <c r="AT210" s="745">
        <f t="shared" si="489"/>
        <v>-78.363000000000056</v>
      </c>
      <c r="AU210" s="745"/>
      <c r="AZ210" s="745"/>
      <c r="BA210" s="745"/>
      <c r="BC210" s="745"/>
    </row>
    <row r="211" spans="1:55" s="780" customFormat="1" x14ac:dyDescent="0.35">
      <c r="A211" s="1627" t="s">
        <v>147</v>
      </c>
      <c r="B211" s="781"/>
      <c r="F211" s="745">
        <f t="shared" ref="F211:T211" si="490">F191-E191</f>
        <v>168.375</v>
      </c>
      <c r="G211" s="745">
        <f t="shared" si="490"/>
        <v>12.585000000000008</v>
      </c>
      <c r="H211" s="745">
        <f t="shared" si="490"/>
        <v>-183.464</v>
      </c>
      <c r="I211" s="745">
        <f t="shared" si="490"/>
        <v>-35.431999999999995</v>
      </c>
      <c r="J211" s="745">
        <f t="shared" si="490"/>
        <v>181.559</v>
      </c>
      <c r="K211" s="745">
        <f t="shared" si="490"/>
        <v>-46.149999999999977</v>
      </c>
      <c r="L211" s="745">
        <f t="shared" si="490"/>
        <v>65.771999999999991</v>
      </c>
      <c r="M211" s="745">
        <f t="shared" si="490"/>
        <v>84.179999999999978</v>
      </c>
      <c r="N211" s="745">
        <f t="shared" si="490"/>
        <v>403.54900000000004</v>
      </c>
      <c r="O211" s="745">
        <f t="shared" si="490"/>
        <v>198.16599999999994</v>
      </c>
      <c r="P211" s="745">
        <f t="shared" si="490"/>
        <v>-39.135999999999967</v>
      </c>
      <c r="Q211" s="745">
        <f t="shared" si="490"/>
        <v>-154.67399999999998</v>
      </c>
      <c r="R211" s="745">
        <f t="shared" si="490"/>
        <v>-263.363</v>
      </c>
      <c r="S211" s="745">
        <f t="shared" si="490"/>
        <v>36.776999999999987</v>
      </c>
      <c r="T211" s="745">
        <f t="shared" si="490"/>
        <v>322.779</v>
      </c>
      <c r="U211" s="745">
        <f t="shared" si="485"/>
        <v>-288.37</v>
      </c>
      <c r="V211" s="745">
        <f t="shared" si="486"/>
        <v>416.23599999999999</v>
      </c>
      <c r="W211" s="745">
        <f t="shared" si="487"/>
        <v>140.50799999999992</v>
      </c>
      <c r="X211" s="745">
        <f t="shared" si="488"/>
        <v>-353.16599999999994</v>
      </c>
      <c r="AL211" s="745">
        <f t="shared" si="489"/>
        <v>216.464</v>
      </c>
      <c r="AM211" s="745">
        <f t="shared" si="489"/>
        <v>106.315</v>
      </c>
      <c r="AN211" s="745">
        <f t="shared" si="489"/>
        <v>-62.031999999999982</v>
      </c>
      <c r="AO211" s="745"/>
      <c r="AP211" s="745">
        <f t="shared" si="489"/>
        <v>280.62900000000002</v>
      </c>
      <c r="AQ211" s="745"/>
      <c r="AR211" s="745">
        <f t="shared" si="489"/>
        <v>-40.019999999999982</v>
      </c>
      <c r="AS211" s="745"/>
      <c r="AT211" s="745">
        <f t="shared" si="489"/>
        <v>-55.065000000000055</v>
      </c>
      <c r="AU211" s="745"/>
      <c r="AZ211" s="745"/>
      <c r="BA211" s="745"/>
      <c r="BC211" s="745"/>
    </row>
    <row r="212" spans="1:55" s="780" customFormat="1" x14ac:dyDescent="0.35">
      <c r="A212" s="1627" t="s">
        <v>2669</v>
      </c>
      <c r="B212" s="781"/>
      <c r="F212" s="745">
        <f t="shared" ref="F212:T212" si="491">F192-E192</f>
        <v>200.02100000000002</v>
      </c>
      <c r="G212" s="745">
        <f t="shared" si="491"/>
        <v>39.890999999999991</v>
      </c>
      <c r="H212" s="745">
        <f t="shared" si="491"/>
        <v>30.369000000000028</v>
      </c>
      <c r="I212" s="745">
        <f t="shared" si="491"/>
        <v>530.17399999999998</v>
      </c>
      <c r="J212" s="745">
        <f t="shared" si="491"/>
        <v>290.53499999999997</v>
      </c>
      <c r="K212" s="745">
        <f t="shared" si="491"/>
        <v>531.827</v>
      </c>
      <c r="L212" s="745">
        <f t="shared" si="491"/>
        <v>835.55600000000004</v>
      </c>
      <c r="M212" s="745">
        <f t="shared" si="491"/>
        <v>813.97800000000007</v>
      </c>
      <c r="N212" s="745">
        <f t="shared" si="491"/>
        <v>222.75199999999995</v>
      </c>
      <c r="O212" s="745">
        <f t="shared" si="491"/>
        <v>193.27800000000025</v>
      </c>
      <c r="P212" s="745">
        <f t="shared" si="491"/>
        <v>1105.4309999999996</v>
      </c>
      <c r="Q212" s="745">
        <f t="shared" si="491"/>
        <v>1171.509</v>
      </c>
      <c r="R212" s="745">
        <f t="shared" si="491"/>
        <v>308.48300000000017</v>
      </c>
      <c r="S212" s="745">
        <f t="shared" si="491"/>
        <v>196.25500000000011</v>
      </c>
      <c r="T212" s="745">
        <f t="shared" si="491"/>
        <v>2280.8989999999994</v>
      </c>
      <c r="U212" s="745">
        <f t="shared" si="485"/>
        <v>1499.5709999999999</v>
      </c>
      <c r="V212" s="745">
        <f t="shared" si="486"/>
        <v>1274.2100000000009</v>
      </c>
      <c r="W212" s="745">
        <f t="shared" si="487"/>
        <v>1253.4179999999997</v>
      </c>
      <c r="X212" s="745">
        <f t="shared" si="488"/>
        <v>-923.79099999999926</v>
      </c>
      <c r="AL212" s="745">
        <f t="shared" si="489"/>
        <v>690.17800000000034</v>
      </c>
      <c r="AM212" s="745">
        <f t="shared" si="489"/>
        <v>1590.7209999999991</v>
      </c>
      <c r="AN212" s="745">
        <f t="shared" si="489"/>
        <v>654.93499999999949</v>
      </c>
      <c r="AO212" s="745"/>
      <c r="AP212" s="745">
        <f t="shared" si="489"/>
        <v>748.9940000000006</v>
      </c>
      <c r="AQ212" s="745"/>
      <c r="AR212" s="745">
        <f t="shared" si="489"/>
        <v>615.59099999999944</v>
      </c>
      <c r="AS212" s="745"/>
      <c r="AT212" s="745">
        <f t="shared" si="489"/>
        <v>-532.2529999999997</v>
      </c>
      <c r="AU212" s="745"/>
      <c r="AZ212" s="745"/>
      <c r="BA212" s="745"/>
      <c r="BC212" s="745"/>
    </row>
    <row r="213" spans="1:55" s="780" customFormat="1" x14ac:dyDescent="0.35">
      <c r="A213" s="1627" t="s">
        <v>2675</v>
      </c>
      <c r="B213" s="781"/>
      <c r="F213" s="745">
        <f t="shared" ref="F213:T213" si="492">F193-E193</f>
        <v>0</v>
      </c>
      <c r="G213" s="745">
        <f t="shared" si="492"/>
        <v>0</v>
      </c>
      <c r="H213" s="745">
        <f t="shared" si="492"/>
        <v>0</v>
      </c>
      <c r="I213" s="745">
        <f t="shared" si="492"/>
        <v>0</v>
      </c>
      <c r="J213" s="745">
        <f t="shared" si="492"/>
        <v>0</v>
      </c>
      <c r="K213" s="745">
        <f t="shared" si="492"/>
        <v>6.1360000000000001</v>
      </c>
      <c r="L213" s="745">
        <f t="shared" si="492"/>
        <v>-162.815</v>
      </c>
      <c r="M213" s="745">
        <f t="shared" si="492"/>
        <v>41.680999999999997</v>
      </c>
      <c r="N213" s="745">
        <f t="shared" si="492"/>
        <v>134.001</v>
      </c>
      <c r="O213" s="745">
        <f t="shared" si="492"/>
        <v>-12.907</v>
      </c>
      <c r="P213" s="745">
        <f t="shared" si="492"/>
        <v>246.37</v>
      </c>
      <c r="Q213" s="745">
        <f t="shared" si="492"/>
        <v>-84.802000000000021</v>
      </c>
      <c r="R213" s="745">
        <f t="shared" si="492"/>
        <v>216.64400000000001</v>
      </c>
      <c r="S213" s="745">
        <f t="shared" si="492"/>
        <v>-68.19599999999997</v>
      </c>
      <c r="T213" s="745">
        <f t="shared" si="492"/>
        <v>90.74799999999999</v>
      </c>
      <c r="U213" s="745">
        <f t="shared" si="485"/>
        <v>64.829999999999984</v>
      </c>
      <c r="V213" s="745">
        <f t="shared" si="486"/>
        <v>340.86799999999999</v>
      </c>
      <c r="W213" s="745">
        <f t="shared" si="487"/>
        <v>-25.951000000000022</v>
      </c>
      <c r="X213" s="745">
        <f t="shared" si="488"/>
        <v>-491.40699999999998</v>
      </c>
      <c r="AL213" s="745">
        <f t="shared" si="489"/>
        <v>82.712000000000018</v>
      </c>
      <c r="AM213" s="745">
        <f t="shared" si="489"/>
        <v>8.0359999999999729</v>
      </c>
      <c r="AN213" s="745">
        <f t="shared" si="489"/>
        <v>75.19599999999997</v>
      </c>
      <c r="AO213" s="745"/>
      <c r="AP213" s="745">
        <f t="shared" si="489"/>
        <v>157.21299999999997</v>
      </c>
      <c r="AQ213" s="745"/>
      <c r="AR213" s="745">
        <f t="shared" si="489"/>
        <v>114.01800000000003</v>
      </c>
      <c r="AS213" s="745"/>
      <c r="AT213" s="745">
        <f t="shared" si="489"/>
        <v>-54.23599999999999</v>
      </c>
      <c r="AU213" s="745"/>
      <c r="AZ213" s="745"/>
      <c r="BA213" s="745"/>
      <c r="BC213" s="745"/>
    </row>
    <row r="214" spans="1:55" s="780" customFormat="1" x14ac:dyDescent="0.35">
      <c r="A214" s="1623" t="s">
        <v>2668</v>
      </c>
      <c r="B214" s="781"/>
      <c r="F214" s="781"/>
      <c r="G214" s="792">
        <f t="shared" ref="G214:T214" si="493">G209/F205</f>
        <v>6.0079953234900105E-2</v>
      </c>
      <c r="H214" s="792">
        <f t="shared" si="493"/>
        <v>-0.21334232868670752</v>
      </c>
      <c r="I214" s="792">
        <f t="shared" si="493"/>
        <v>0.77461638599601157</v>
      </c>
      <c r="J214" s="792">
        <f t="shared" si="493"/>
        <v>0.49688818695925741</v>
      </c>
      <c r="K214" s="792">
        <f t="shared" si="493"/>
        <v>0.38867570965910686</v>
      </c>
      <c r="L214" s="792">
        <f t="shared" si="493"/>
        <v>0.33313882089260344</v>
      </c>
      <c r="M214" s="792">
        <f t="shared" si="493"/>
        <v>0.32288347126655537</v>
      </c>
      <c r="N214" s="792">
        <f t="shared" si="493"/>
        <v>0.19529206733679305</v>
      </c>
      <c r="O214" s="792">
        <f t="shared" si="493"/>
        <v>5.4920799766963638E-2</v>
      </c>
      <c r="P214" s="792">
        <f t="shared" si="493"/>
        <v>0.22935216543684672</v>
      </c>
      <c r="Q214" s="792">
        <f t="shared" si="493"/>
        <v>0.18402993475961427</v>
      </c>
      <c r="R214" s="792">
        <f t="shared" si="493"/>
        <v>7.0555740427249616E-2</v>
      </c>
      <c r="S214" s="792">
        <f t="shared" si="493"/>
        <v>-2.6028108286792372E-2</v>
      </c>
      <c r="T214" s="792">
        <f t="shared" si="493"/>
        <v>0.3105096066748208</v>
      </c>
      <c r="U214" s="792">
        <f t="shared" ref="U214" si="494">U209/T205</f>
        <v>0.18085442812059599</v>
      </c>
      <c r="V214" s="792">
        <f t="shared" ref="V214" si="495">V209/U205</f>
        <v>0.1656801363060523</v>
      </c>
      <c r="W214" s="792">
        <f t="shared" ref="W214" si="496">W209/V205</f>
        <v>0.12879199791598278</v>
      </c>
      <c r="X214" s="792">
        <f t="shared" ref="X214" si="497">X209/W205</f>
        <v>-0.14722551001800022</v>
      </c>
      <c r="AL214" s="792">
        <f>AL209/AJ205</f>
        <v>0.18479754455184821</v>
      </c>
      <c r="AM214" s="792">
        <f>AM209/AK205</f>
        <v>0.42606873002947582</v>
      </c>
      <c r="AN214" s="792">
        <f>AN209/AL205</f>
        <v>0.22408703757954454</v>
      </c>
      <c r="AO214" s="792"/>
      <c r="AP214" s="792">
        <f>AP209/AN205</f>
        <v>0.20879948007302981</v>
      </c>
      <c r="AQ214" s="792"/>
      <c r="AR214" s="792">
        <f>AR209/AP205</f>
        <v>0.12606117397948671</v>
      </c>
      <c r="AS214" s="792"/>
      <c r="AT214" s="792">
        <f>AT209/AR205</f>
        <v>-0.10591350929557034</v>
      </c>
      <c r="AU214" s="792"/>
      <c r="AZ214" s="792"/>
      <c r="BA214" s="792"/>
      <c r="BC214" s="792"/>
    </row>
    <row r="215" spans="1:55" s="780" customFormat="1" x14ac:dyDescent="0.35">
      <c r="A215" s="1633" t="s">
        <v>2667</v>
      </c>
      <c r="B215" s="781"/>
      <c r="F215" s="781">
        <f t="shared" ref="F215:T215" si="498">F198-E198</f>
        <v>0</v>
      </c>
      <c r="G215" s="781">
        <f t="shared" si="498"/>
        <v>9.4450000000000003</v>
      </c>
      <c r="H215" s="781">
        <f t="shared" si="498"/>
        <v>311.45699999999999</v>
      </c>
      <c r="I215" s="781">
        <f t="shared" si="498"/>
        <v>21.262</v>
      </c>
      <c r="J215" s="781">
        <f t="shared" si="498"/>
        <v>51.485000000000014</v>
      </c>
      <c r="K215" s="781">
        <f t="shared" si="498"/>
        <v>37.889999999999986</v>
      </c>
      <c r="L215" s="781">
        <f t="shared" si="498"/>
        <v>20.629999999999995</v>
      </c>
      <c r="M215" s="781">
        <f t="shared" si="498"/>
        <v>-134.03699999999998</v>
      </c>
      <c r="N215" s="781">
        <f t="shared" si="498"/>
        <v>178.05799999999999</v>
      </c>
      <c r="O215" s="781">
        <f t="shared" si="498"/>
        <v>66.775000000000034</v>
      </c>
      <c r="P215" s="781">
        <f t="shared" si="498"/>
        <v>328.71500000000003</v>
      </c>
      <c r="Q215" s="781">
        <f t="shared" si="498"/>
        <v>155.96499999999992</v>
      </c>
      <c r="R215" s="781">
        <f t="shared" si="498"/>
        <v>325.15200000000004</v>
      </c>
      <c r="S215" s="781">
        <f t="shared" si="498"/>
        <v>1208.7239999999997</v>
      </c>
      <c r="T215" s="781">
        <f t="shared" si="498"/>
        <v>-1429.4669999999996</v>
      </c>
      <c r="U215" s="781">
        <f t="shared" ref="U215" si="499">U198-T198</f>
        <v>-542.92399999999998</v>
      </c>
      <c r="V215" s="781">
        <f t="shared" ref="V215" si="500">V198-U198</f>
        <v>335.37799999999993</v>
      </c>
      <c r="W215" s="781">
        <f t="shared" ref="W215" si="501">W198-V198</f>
        <v>-116.19600000000003</v>
      </c>
      <c r="X215" s="781">
        <f t="shared" ref="X215" si="502">X198-W198</f>
        <v>30.164999999999964</v>
      </c>
      <c r="AL215" s="781">
        <f>AL198-AJ198</f>
        <v>11.70799999999997</v>
      </c>
      <c r="AM215" s="781">
        <f>AM198-AK198</f>
        <v>-1441.1749999999997</v>
      </c>
      <c r="AN215" s="781">
        <f>AN198-AL198</f>
        <v>-339.411</v>
      </c>
      <c r="AO215" s="781"/>
      <c r="AP215" s="781">
        <f>AP198-AN198</f>
        <v>204.21099999999996</v>
      </c>
      <c r="AQ215" s="781"/>
      <c r="AR215" s="781">
        <f>AR198-AP198</f>
        <v>92.135999999999967</v>
      </c>
      <c r="AS215" s="781"/>
      <c r="AT215" s="781">
        <f>AT198-AR198</f>
        <v>235.053</v>
      </c>
      <c r="AU215" s="781"/>
      <c r="AZ215" s="781"/>
      <c r="BA215" s="781"/>
      <c r="BC215" s="781"/>
    </row>
    <row r="216" spans="1:55" x14ac:dyDescent="0.35">
      <c r="A216" s="1627" t="s">
        <v>2656</v>
      </c>
      <c r="T216" s="745">
        <f>T195-S195</f>
        <v>-332.69799999999998</v>
      </c>
      <c r="U216" s="745">
        <f t="shared" ref="U216:X216" si="503">U195-T195</f>
        <v>-94.049999999999955</v>
      </c>
      <c r="V216" s="745">
        <f t="shared" si="503"/>
        <v>354.77300000000002</v>
      </c>
      <c r="W216" s="745">
        <f t="shared" si="503"/>
        <v>-46.470000000000027</v>
      </c>
      <c r="X216" s="745">
        <f t="shared" si="503"/>
        <v>262.90999999999997</v>
      </c>
      <c r="AL216" s="745">
        <f>AL195-AJ195</f>
        <v>107.655</v>
      </c>
      <c r="AM216" s="745">
        <f>AM195-AK195</f>
        <v>-440.35299999999995</v>
      </c>
      <c r="AN216" s="745">
        <f>AN195-AL195</f>
        <v>-130.21600000000001</v>
      </c>
      <c r="AO216" s="745"/>
      <c r="AP216" s="745">
        <f>AP195-AN195</f>
        <v>255.637</v>
      </c>
      <c r="AQ216" s="745"/>
      <c r="AR216" s="745">
        <f>AR195-AP195</f>
        <v>260.47099999999995</v>
      </c>
      <c r="AS216" s="745"/>
      <c r="AT216" s="745">
        <f>AT195-AR195</f>
        <v>193.07100000000003</v>
      </c>
      <c r="AU216" s="745"/>
      <c r="AZ216" s="745"/>
      <c r="BA216" s="745"/>
      <c r="BC216" s="745"/>
    </row>
    <row r="217" spans="1:55" x14ac:dyDescent="0.35">
      <c r="A217" s="1627" t="s">
        <v>2663</v>
      </c>
      <c r="T217" s="745">
        <f>T197-S197</f>
        <v>-1096.769</v>
      </c>
      <c r="U217" s="745">
        <f t="shared" ref="U217:X217" si="504">U197-T197</f>
        <v>-448.87399999999997</v>
      </c>
      <c r="V217" s="745">
        <f t="shared" si="504"/>
        <v>-19.395000000000039</v>
      </c>
      <c r="W217" s="745">
        <f t="shared" si="504"/>
        <v>-69.725999999999999</v>
      </c>
      <c r="X217" s="745">
        <f t="shared" si="504"/>
        <v>-232.74499999999998</v>
      </c>
      <c r="AL217" s="745">
        <f>AL197-AJ197</f>
        <v>-95.947000000000003</v>
      </c>
      <c r="AM217" s="745">
        <f>AM197-AK197</f>
        <v>-1000.822</v>
      </c>
      <c r="AN217" s="745">
        <f>AN197-AL197</f>
        <v>-209.19499999999999</v>
      </c>
      <c r="AO217" s="745"/>
      <c r="AP217" s="745">
        <f>AP197-AN197</f>
        <v>-51.426000000000016</v>
      </c>
      <c r="AQ217" s="745"/>
      <c r="AR217" s="745">
        <f>AR197-AP197</f>
        <v>-168.33499999999998</v>
      </c>
      <c r="AS217" s="745"/>
      <c r="AT217" s="745">
        <f>AT197-AR197</f>
        <v>41.981999999999999</v>
      </c>
      <c r="AU217" s="745"/>
      <c r="AZ217" s="745"/>
      <c r="BA217" s="745"/>
      <c r="BC217" s="745"/>
    </row>
    <row r="218" spans="1:55" s="780" customFormat="1" x14ac:dyDescent="0.35">
      <c r="A218" s="1633" t="s">
        <v>2664</v>
      </c>
      <c r="B218" s="781"/>
      <c r="F218" s="781">
        <f t="shared" ref="F218:T218" si="505">F201-E201</f>
        <v>-113.69100000000003</v>
      </c>
      <c r="G218" s="781">
        <f t="shared" si="505"/>
        <v>19.114000000000146</v>
      </c>
      <c r="H218" s="781">
        <f t="shared" si="505"/>
        <v>-45.40400000000011</v>
      </c>
      <c r="I218" s="781">
        <f t="shared" si="505"/>
        <v>33.385999999999285</v>
      </c>
      <c r="J218" s="781">
        <f t="shared" si="505"/>
        <v>-26.096999999999753</v>
      </c>
      <c r="K218" s="781">
        <f t="shared" si="505"/>
        <v>-10.94399999999905</v>
      </c>
      <c r="L218" s="781">
        <f t="shared" si="505"/>
        <v>-55.842000000000098</v>
      </c>
      <c r="M218" s="781">
        <f t="shared" si="505"/>
        <v>20.507999999995718</v>
      </c>
      <c r="N218" s="793">
        <f t="shared" si="505"/>
        <v>289.40600000000268</v>
      </c>
      <c r="O218" s="793">
        <f t="shared" si="505"/>
        <v>589.88700000000608</v>
      </c>
      <c r="P218" s="794">
        <f t="shared" si="505"/>
        <v>-547.67500000000655</v>
      </c>
      <c r="Q218" s="794">
        <f t="shared" si="505"/>
        <v>-1278.0199999999941</v>
      </c>
      <c r="R218" s="793">
        <f t="shared" si="505"/>
        <v>813.24799999999777</v>
      </c>
      <c r="S218" s="793">
        <f t="shared" si="505"/>
        <v>341.87399999999434</v>
      </c>
      <c r="T218" s="781">
        <f t="shared" si="505"/>
        <v>-1.5949999999975262</v>
      </c>
      <c r="U218" s="781">
        <f t="shared" ref="U218" si="506">U201-T201</f>
        <v>562.29699999999684</v>
      </c>
      <c r="V218" s="781">
        <f t="shared" ref="V218" si="507">V201-U201</f>
        <v>-583.43999999999141</v>
      </c>
      <c r="W218" s="781">
        <f t="shared" ref="W218" si="508">W201-V201</f>
        <v>-1962.949000000006</v>
      </c>
      <c r="X218" s="781">
        <f t="shared" ref="X218" si="509">X201-W201</f>
        <v>1362.4619999999977</v>
      </c>
      <c r="AL218" s="781">
        <f>AL201-AJ201</f>
        <v>24.97899999999845</v>
      </c>
      <c r="AM218" s="781">
        <f>AM201-AK201</f>
        <v>-26.573999999995976</v>
      </c>
      <c r="AN218" s="781">
        <f>AN201-AL201</f>
        <v>243.79200000000037</v>
      </c>
      <c r="AO218" s="781"/>
      <c r="AP218" s="781">
        <f>AP201-AN201</f>
        <v>-489.76299999999992</v>
      </c>
      <c r="AQ218" s="781"/>
      <c r="AR218" s="781">
        <f>AR201-AP201</f>
        <v>-541.04599999999937</v>
      </c>
      <c r="AS218" s="781"/>
      <c r="AT218" s="781">
        <f>AT201-AR201</f>
        <v>666.570999999999</v>
      </c>
      <c r="AU218" s="781"/>
      <c r="AZ218" s="781"/>
      <c r="BA218" s="781"/>
      <c r="BC218" s="781"/>
    </row>
    <row r="219" spans="1:55" s="780" customFormat="1" x14ac:dyDescent="0.35">
      <c r="A219" s="1633" t="s">
        <v>240</v>
      </c>
      <c r="B219" s="781"/>
      <c r="F219" s="781">
        <f t="shared" ref="F219:T219" si="510">F204-E204</f>
        <v>0</v>
      </c>
      <c r="G219" s="781">
        <f t="shared" si="510"/>
        <v>-20.065000000000001</v>
      </c>
      <c r="H219" s="781">
        <f t="shared" si="510"/>
        <v>7.1090000000000018</v>
      </c>
      <c r="I219" s="781">
        <f t="shared" si="510"/>
        <v>-2.5960000000000001</v>
      </c>
      <c r="J219" s="781">
        <f t="shared" si="510"/>
        <v>-177.13800000000001</v>
      </c>
      <c r="K219" s="781">
        <f t="shared" si="510"/>
        <v>-46.685000000000002</v>
      </c>
      <c r="L219" s="781">
        <f t="shared" si="510"/>
        <v>-179.065</v>
      </c>
      <c r="M219" s="781">
        <f t="shared" si="510"/>
        <v>-37.38900000000001</v>
      </c>
      <c r="N219" s="781">
        <f t="shared" si="510"/>
        <v>-173.27600000000001</v>
      </c>
      <c r="O219" s="781">
        <f t="shared" si="510"/>
        <v>-59.053999999999974</v>
      </c>
      <c r="P219" s="794">
        <f t="shared" si="510"/>
        <v>-381.59500000000014</v>
      </c>
      <c r="Q219" s="794">
        <f t="shared" si="510"/>
        <v>-711.96299999999997</v>
      </c>
      <c r="R219" s="794">
        <f t="shared" si="510"/>
        <v>-497.26800000000003</v>
      </c>
      <c r="S219" s="794">
        <f t="shared" si="510"/>
        <v>-400.99199999999973</v>
      </c>
      <c r="T219" s="781">
        <f t="shared" si="510"/>
        <v>11.774999999999636</v>
      </c>
      <c r="U219" s="781">
        <f t="shared" ref="U219:U220" si="511">U204-T204</f>
        <v>-323.21699999999964</v>
      </c>
      <c r="V219" s="781">
        <f t="shared" ref="V219:V220" si="512">V204-U204</f>
        <v>-212.89000000000033</v>
      </c>
      <c r="W219" s="781">
        <f t="shared" ref="W219:W220" si="513">W204-V204</f>
        <v>255.9970000000003</v>
      </c>
      <c r="X219" s="781">
        <f t="shared" ref="X219:X220" si="514">X204-W204</f>
        <v>478.64399999999978</v>
      </c>
      <c r="AL219" s="781">
        <f t="shared" ref="AL219:AT220" si="515">AL204-AJ204</f>
        <v>87.618999999999915</v>
      </c>
      <c r="AM219" s="781">
        <f t="shared" si="515"/>
        <v>-75.844000000000278</v>
      </c>
      <c r="AN219" s="781">
        <f t="shared" si="515"/>
        <v>-218.02800000000002</v>
      </c>
      <c r="AO219" s="781"/>
      <c r="AP219" s="781">
        <f t="shared" si="515"/>
        <v>-79.485999999999876</v>
      </c>
      <c r="AQ219" s="781"/>
      <c r="AR219" s="781">
        <f t="shared" si="515"/>
        <v>81.662000000000035</v>
      </c>
      <c r="AS219" s="781"/>
      <c r="AT219" s="781">
        <f t="shared" si="515"/>
        <v>172.53899999999999</v>
      </c>
      <c r="AU219" s="781"/>
      <c r="AZ219" s="781"/>
      <c r="BA219" s="781"/>
      <c r="BC219" s="781"/>
    </row>
    <row r="220" spans="1:55" x14ac:dyDescent="0.35">
      <c r="A220" s="1633" t="s">
        <v>2658</v>
      </c>
      <c r="F220" s="781">
        <f t="shared" ref="F220:T220" si="516">F205-E205</f>
        <v>530.31000000000006</v>
      </c>
      <c r="G220" s="781">
        <f t="shared" si="516"/>
        <v>40.355000000000018</v>
      </c>
      <c r="H220" s="781">
        <f t="shared" si="516"/>
        <v>151.41499999999996</v>
      </c>
      <c r="I220" s="781">
        <f t="shared" si="516"/>
        <v>611.38699999999938</v>
      </c>
      <c r="J220" s="781">
        <f t="shared" si="516"/>
        <v>510.83400000000006</v>
      </c>
      <c r="K220" s="781">
        <f t="shared" si="516"/>
        <v>697.09600000000137</v>
      </c>
      <c r="L220" s="781">
        <f t="shared" si="516"/>
        <v>632.36099999999942</v>
      </c>
      <c r="M220" s="781">
        <f t="shared" si="516"/>
        <v>873.83599999999615</v>
      </c>
      <c r="N220" s="781">
        <f t="shared" si="516"/>
        <v>1084.6510000000017</v>
      </c>
      <c r="O220" s="781">
        <f t="shared" si="516"/>
        <v>879.47500000000673</v>
      </c>
      <c r="P220" s="781">
        <f t="shared" si="516"/>
        <v>778.24599999999464</v>
      </c>
      <c r="Q220" s="781">
        <f t="shared" si="516"/>
        <v>-584.4609999999966</v>
      </c>
      <c r="R220" s="781">
        <f t="shared" si="516"/>
        <v>1078.9659999999985</v>
      </c>
      <c r="S220" s="781">
        <f t="shared" si="516"/>
        <v>960.00499999999738</v>
      </c>
      <c r="T220" s="781">
        <f t="shared" si="516"/>
        <v>1140.7020000000011</v>
      </c>
      <c r="U220" s="781">
        <f t="shared" si="511"/>
        <v>1393.5069999999942</v>
      </c>
      <c r="V220" s="781">
        <f t="shared" si="512"/>
        <v>1324.8620000000101</v>
      </c>
      <c r="W220" s="781">
        <f t="shared" si="513"/>
        <v>-264.30800000000454</v>
      </c>
      <c r="X220" s="781">
        <f t="shared" si="514"/>
        <v>128.23299999999836</v>
      </c>
      <c r="AL220" s="781">
        <f t="shared" si="515"/>
        <v>854.02899999999954</v>
      </c>
      <c r="AM220" s="781">
        <f t="shared" si="515"/>
        <v>286.67300000000159</v>
      </c>
      <c r="AN220" s="781">
        <f t="shared" si="515"/>
        <v>762.59799999999905</v>
      </c>
      <c r="AO220" s="781"/>
      <c r="AP220" s="781">
        <f t="shared" si="515"/>
        <v>797.01400000000012</v>
      </c>
      <c r="AQ220" s="781"/>
      <c r="AR220" s="781">
        <f t="shared" si="515"/>
        <v>434.8050000000012</v>
      </c>
      <c r="AS220" s="781"/>
      <c r="AT220" s="781">
        <f t="shared" si="515"/>
        <v>354.24599999999919</v>
      </c>
      <c r="AU220" s="781"/>
      <c r="AZ220" s="781"/>
      <c r="BA220" s="781"/>
      <c r="BC220" s="781"/>
    </row>
    <row r="221" spans="1:55" x14ac:dyDescent="0.35">
      <c r="A221" s="1633"/>
      <c r="F221" s="781"/>
      <c r="G221" s="781"/>
      <c r="H221" s="781"/>
      <c r="I221" s="781"/>
      <c r="J221" s="781"/>
      <c r="K221" s="781"/>
      <c r="L221" s="781"/>
      <c r="M221" s="781"/>
      <c r="N221" s="781"/>
      <c r="O221" s="781"/>
      <c r="P221" s="781"/>
      <c r="Q221" s="781"/>
      <c r="R221" s="781"/>
      <c r="S221" s="781"/>
      <c r="T221" s="781"/>
      <c r="U221" s="781"/>
      <c r="AL221" s="781"/>
      <c r="AM221" s="781"/>
      <c r="AN221" s="781"/>
      <c r="AO221" s="781"/>
      <c r="AP221" s="781"/>
      <c r="AQ221" s="781"/>
      <c r="AR221" s="781"/>
      <c r="AS221" s="781"/>
      <c r="AT221" s="781"/>
      <c r="AU221" s="781"/>
      <c r="AZ221" s="781"/>
      <c r="BA221" s="781"/>
      <c r="BC221" s="781"/>
    </row>
    <row r="222" spans="1:55" x14ac:dyDescent="0.35">
      <c r="A222" s="1623" t="s">
        <v>2673</v>
      </c>
      <c r="F222" s="781"/>
      <c r="G222" s="781"/>
      <c r="H222" s="781"/>
      <c r="I222" s="781"/>
      <c r="J222" s="781"/>
      <c r="K222" s="781"/>
      <c r="L222" s="781"/>
      <c r="M222" s="781"/>
      <c r="N222" s="781"/>
      <c r="O222" s="781"/>
      <c r="P222" s="781"/>
      <c r="Q222" s="781"/>
      <c r="R222" s="781"/>
      <c r="S222" s="781"/>
      <c r="T222" s="781"/>
      <c r="U222" s="781"/>
      <c r="AL222" s="781"/>
      <c r="AM222" s="781"/>
      <c r="AN222" s="781"/>
      <c r="AO222" s="781"/>
      <c r="AP222" s="781"/>
      <c r="AQ222" s="781"/>
      <c r="AR222" s="781"/>
      <c r="AS222" s="781"/>
      <c r="AT222" s="781"/>
      <c r="AU222" s="781"/>
      <c r="AZ222" s="781"/>
      <c r="BA222" s="781"/>
      <c r="BC222" s="781"/>
    </row>
    <row r="223" spans="1:55" x14ac:dyDescent="0.35">
      <c r="A223" s="1633" t="s">
        <v>2662</v>
      </c>
      <c r="B223" s="745" t="s">
        <v>2819</v>
      </c>
      <c r="F223" s="781"/>
      <c r="G223" s="795">
        <f t="shared" ref="G223:T223" si="517">G209/F$205</f>
        <v>6.0079953234900105E-2</v>
      </c>
      <c r="H223" s="795">
        <f t="shared" si="517"/>
        <v>-0.21334232868670752</v>
      </c>
      <c r="I223" s="795">
        <f t="shared" si="517"/>
        <v>0.77461638599601157</v>
      </c>
      <c r="J223" s="795">
        <f t="shared" si="517"/>
        <v>0.49688818695925741</v>
      </c>
      <c r="K223" s="795">
        <f t="shared" si="517"/>
        <v>0.38867570965910686</v>
      </c>
      <c r="L223" s="795">
        <f t="shared" si="517"/>
        <v>0.33313882089260344</v>
      </c>
      <c r="M223" s="795">
        <f t="shared" si="517"/>
        <v>0.32288347126655537</v>
      </c>
      <c r="N223" s="795">
        <f t="shared" si="517"/>
        <v>0.19529206733679305</v>
      </c>
      <c r="O223" s="795">
        <f t="shared" si="517"/>
        <v>5.4920799766963638E-2</v>
      </c>
      <c r="P223" s="795">
        <f t="shared" si="517"/>
        <v>0.22935216543684672</v>
      </c>
      <c r="Q223" s="795">
        <f t="shared" si="517"/>
        <v>0.18402993475961427</v>
      </c>
      <c r="R223" s="795">
        <f t="shared" si="517"/>
        <v>7.0555740427249616E-2</v>
      </c>
      <c r="S223" s="795">
        <f t="shared" si="517"/>
        <v>-2.6028108286792372E-2</v>
      </c>
      <c r="T223" s="795">
        <f t="shared" si="517"/>
        <v>0.3105096066748208</v>
      </c>
      <c r="U223" s="795">
        <f t="shared" ref="U223" si="518">U209/T$205</f>
        <v>0.18085442812059599</v>
      </c>
      <c r="V223" s="795">
        <f t="shared" ref="V223" si="519">V209/U$205</f>
        <v>0.1656801363060523</v>
      </c>
      <c r="W223" s="795">
        <f t="shared" ref="W223" si="520">W209/V$205</f>
        <v>0.12879199791598278</v>
      </c>
      <c r="X223" s="795">
        <f t="shared" ref="X223" si="521">X209/W$205</f>
        <v>-0.14722551001800022</v>
      </c>
      <c r="AL223" s="792">
        <f>AL209/AJ$205</f>
        <v>0.18479754455184821</v>
      </c>
      <c r="AM223" s="792">
        <f>AM209/AK$205</f>
        <v>0.42606873002947582</v>
      </c>
      <c r="AN223" s="792">
        <f>AN209/AL$205</f>
        <v>0.22408703757954454</v>
      </c>
      <c r="AO223" s="792"/>
      <c r="AP223" s="792">
        <f>AP209/AN$205</f>
        <v>0.20879948007302981</v>
      </c>
      <c r="AQ223" s="792"/>
      <c r="AR223" s="792">
        <f>AR209/AP$205</f>
        <v>0.12606117397948671</v>
      </c>
      <c r="AS223" s="792"/>
      <c r="AT223" s="792">
        <f>AT209/AR$205</f>
        <v>-0.10591350929557034</v>
      </c>
      <c r="AU223" s="792"/>
      <c r="AZ223" s="792"/>
      <c r="BA223" s="792"/>
      <c r="BC223" s="792"/>
    </row>
    <row r="224" spans="1:55" x14ac:dyDescent="0.35">
      <c r="A224" s="1633" t="s">
        <v>2667</v>
      </c>
      <c r="B224" s="745" t="s">
        <v>2121</v>
      </c>
      <c r="F224" s="781"/>
      <c r="G224" s="792">
        <f t="shared" ref="G224:T224" si="522">G215/F$205</f>
        <v>1.7810337349851973E-2</v>
      </c>
      <c r="H224" s="792">
        <f t="shared" si="522"/>
        <v>0.5457790472518903</v>
      </c>
      <c r="I224" s="792">
        <f t="shared" si="522"/>
        <v>2.9445490804343007E-2</v>
      </c>
      <c r="J224" s="792">
        <f t="shared" si="522"/>
        <v>3.8609879359594229E-2</v>
      </c>
      <c r="K224" s="792">
        <f t="shared" si="522"/>
        <v>2.0544368842179229E-2</v>
      </c>
      <c r="L224" s="792">
        <f t="shared" si="522"/>
        <v>8.1175825736789602E-3</v>
      </c>
      <c r="M224" s="792">
        <f t="shared" si="522"/>
        <v>-4.2232898664611468E-2</v>
      </c>
      <c r="N224" s="792">
        <f t="shared" si="522"/>
        <v>4.3991072227105819E-2</v>
      </c>
      <c r="O224" s="792">
        <f t="shared" si="522"/>
        <v>1.3010875357665127E-2</v>
      </c>
      <c r="P224" s="792">
        <f t="shared" si="522"/>
        <v>5.4679026967323789E-2</v>
      </c>
      <c r="Q224" s="792">
        <f t="shared" si="522"/>
        <v>2.2969923560736523E-2</v>
      </c>
      <c r="R224" s="792">
        <f t="shared" si="522"/>
        <v>5.2397347194144538E-2</v>
      </c>
      <c r="S224" s="792">
        <f t="shared" si="522"/>
        <v>0.16593160985883526</v>
      </c>
      <c r="T224" s="792">
        <f t="shared" si="522"/>
        <v>-0.17338482154596604</v>
      </c>
      <c r="U224" s="792">
        <f t="shared" ref="U224" si="523">U215/T$205</f>
        <v>-5.784908927672975E-2</v>
      </c>
      <c r="V224" s="792">
        <f t="shared" ref="V224" si="524">V215/U$205</f>
        <v>3.1114927284729085E-2</v>
      </c>
      <c r="W224" s="792">
        <f t="shared" ref="W224" si="525">W215/V$205</f>
        <v>-9.6001610106524957E-3</v>
      </c>
      <c r="X224" s="792">
        <f t="shared" ref="X224" si="526">X215/W$205</f>
        <v>2.5478833563542355E-3</v>
      </c>
      <c r="AL224" s="792">
        <f>AL215/AJ$205</f>
        <v>2.9649739032660723E-3</v>
      </c>
      <c r="AM224" s="792">
        <f>AM215/AK$205</f>
        <v>-0.33549200061642959</v>
      </c>
      <c r="AN224" s="792">
        <f>AN215/AL$205</f>
        <v>-7.0669415896855145E-2</v>
      </c>
      <c r="AO224" s="792"/>
      <c r="AP224" s="792">
        <f>AP215/AN$205</f>
        <v>3.6692979853907993E-2</v>
      </c>
      <c r="AQ224" s="792"/>
      <c r="AR224" s="792">
        <f>AR215/AP$205</f>
        <v>1.4481302763999367E-2</v>
      </c>
      <c r="AS224" s="792"/>
      <c r="AT224" s="792">
        <f>AT215/AR$205</f>
        <v>3.4580775423349794E-2</v>
      </c>
      <c r="AU224" s="792"/>
      <c r="AZ224" s="792"/>
      <c r="BA224" s="792"/>
      <c r="BC224" s="792"/>
    </row>
    <row r="225" spans="1:55" x14ac:dyDescent="0.35">
      <c r="A225" s="1633" t="s">
        <v>2664</v>
      </c>
      <c r="B225" s="745" t="s">
        <v>2817</v>
      </c>
      <c r="F225" s="781"/>
      <c r="G225" s="792">
        <f t="shared" ref="G225:T225" si="527">G218/F$205</f>
        <v>3.6043069148234325E-2</v>
      </c>
      <c r="H225" s="792">
        <f t="shared" si="527"/>
        <v>-7.9563316481648785E-2</v>
      </c>
      <c r="I225" s="792">
        <f t="shared" si="527"/>
        <v>4.6235874141368385E-2</v>
      </c>
      <c r="J225" s="792">
        <f t="shared" si="527"/>
        <v>-1.9570788028499965E-2</v>
      </c>
      <c r="K225" s="792">
        <f t="shared" si="527"/>
        <v>-5.9339554660541062E-3</v>
      </c>
      <c r="L225" s="792">
        <f t="shared" si="527"/>
        <v>-2.1972954245243887E-2</v>
      </c>
      <c r="M225" s="792">
        <f t="shared" si="527"/>
        <v>6.4617403091211476E-3</v>
      </c>
      <c r="N225" s="792">
        <f t="shared" si="527"/>
        <v>7.1500748345808135E-2</v>
      </c>
      <c r="O225" s="792">
        <f t="shared" si="527"/>
        <v>0.1149374201738238</v>
      </c>
      <c r="P225" s="792">
        <f t="shared" si="527"/>
        <v>-9.1101215625479251E-2</v>
      </c>
      <c r="Q225" s="792">
        <f t="shared" si="527"/>
        <v>-0.18822185560281071</v>
      </c>
      <c r="R225" s="792">
        <f t="shared" si="527"/>
        <v>0.13105267016947009</v>
      </c>
      <c r="S225" s="792">
        <f t="shared" si="527"/>
        <v>4.6931891142128819E-2</v>
      </c>
      <c r="T225" s="792">
        <f t="shared" si="527"/>
        <v>-1.934628713817017E-4</v>
      </c>
      <c r="U225" s="792">
        <f t="shared" ref="U225:U226" si="528">U218/T$205</f>
        <v>5.9913301591082969E-2</v>
      </c>
      <c r="V225" s="792">
        <f t="shared" ref="V225:V226" si="529">V218/U$205</f>
        <v>-5.4129051920525716E-2</v>
      </c>
      <c r="W225" s="792">
        <f t="shared" ref="W225:W226" si="530">W218/V$205</f>
        <v>-0.16217964866001722</v>
      </c>
      <c r="X225" s="792">
        <f t="shared" ref="X225:X226" si="531">X218/W$205</f>
        <v>0.11508020067843869</v>
      </c>
      <c r="AL225" s="792">
        <f t="shared" ref="AL225:AT226" si="532">AL218/AJ$205</f>
        <v>6.3257672642363181E-3</v>
      </c>
      <c r="AM225" s="792">
        <f t="shared" si="532"/>
        <v>-6.1861775456690908E-3</v>
      </c>
      <c r="AN225" s="792">
        <f t="shared" si="532"/>
        <v>5.076040034155091E-2</v>
      </c>
      <c r="AO225" s="792"/>
      <c r="AP225" s="792">
        <f t="shared" si="532"/>
        <v>-8.8001448953237305E-2</v>
      </c>
      <c r="AQ225" s="792"/>
      <c r="AR225" s="792">
        <f t="shared" si="532"/>
        <v>-8.5037888938642822E-2</v>
      </c>
      <c r="AS225" s="792"/>
      <c r="AT225" s="792">
        <f t="shared" si="532"/>
        <v>9.8065296144774411E-2</v>
      </c>
      <c r="AU225" s="792"/>
      <c r="AZ225" s="792"/>
      <c r="BA225" s="792"/>
      <c r="BC225" s="792"/>
    </row>
    <row r="226" spans="1:55" x14ac:dyDescent="0.35">
      <c r="A226" s="1633" t="s">
        <v>240</v>
      </c>
      <c r="B226" s="745" t="s">
        <v>2818</v>
      </c>
      <c r="F226" s="781"/>
      <c r="G226" s="795">
        <f t="shared" ref="G226:T226" si="533">G219/F$205</f>
        <v>-3.7836359864984632E-2</v>
      </c>
      <c r="H226" s="795">
        <f t="shared" si="533"/>
        <v>1.2457396195666461E-2</v>
      </c>
      <c r="I226" s="795">
        <f t="shared" si="533"/>
        <v>-3.5951695103035673E-3</v>
      </c>
      <c r="J226" s="795">
        <f t="shared" si="533"/>
        <v>-0.1328401827716772</v>
      </c>
      <c r="K226" s="795">
        <f t="shared" si="533"/>
        <v>-2.531311320657529E-2</v>
      </c>
      <c r="L226" s="795">
        <f t="shared" si="533"/>
        <v>-7.0459278892671992E-2</v>
      </c>
      <c r="M226" s="795">
        <f t="shared" si="533"/>
        <v>-1.1780671368138342E-2</v>
      </c>
      <c r="N226" s="795">
        <f t="shared" si="533"/>
        <v>-4.2809629621943346E-2</v>
      </c>
      <c r="O226" s="795">
        <f t="shared" si="533"/>
        <v>-1.1506465494145348E-2</v>
      </c>
      <c r="P226" s="795">
        <f t="shared" si="533"/>
        <v>-6.3475178484693209E-2</v>
      </c>
      <c r="Q226" s="795">
        <f t="shared" si="533"/>
        <v>-0.10485516422320819</v>
      </c>
      <c r="R226" s="795">
        <f t="shared" si="533"/>
        <v>-8.01333654553497E-2</v>
      </c>
      <c r="S226" s="795">
        <f t="shared" si="533"/>
        <v>-5.5047511342965011E-2</v>
      </c>
      <c r="T226" s="795">
        <f t="shared" si="533"/>
        <v>1.4282290348106585E-3</v>
      </c>
      <c r="U226" s="795">
        <f t="shared" si="528"/>
        <v>-3.4439091085965511E-2</v>
      </c>
      <c r="V226" s="795">
        <f t="shared" si="529"/>
        <v>-1.975101786535189E-2</v>
      </c>
      <c r="W226" s="795">
        <f t="shared" si="530"/>
        <v>2.1150576768942213E-2</v>
      </c>
      <c r="X226" s="795">
        <f t="shared" si="531"/>
        <v>4.0428612007917045E-2</v>
      </c>
      <c r="AL226" s="792">
        <f t="shared" si="532"/>
        <v>2.21889347822233E-2</v>
      </c>
      <c r="AM226" s="792">
        <f t="shared" si="532"/>
        <v>-1.7655770669594312E-2</v>
      </c>
      <c r="AN226" s="792">
        <f t="shared" si="532"/>
        <v>-4.5396028440915392E-2</v>
      </c>
      <c r="AO226" s="792"/>
      <c r="AP226" s="792">
        <f t="shared" si="532"/>
        <v>-1.4282179689966392E-2</v>
      </c>
      <c r="AQ226" s="792"/>
      <c r="AR226" s="792">
        <f t="shared" si="532"/>
        <v>1.2835071484693468E-2</v>
      </c>
      <c r="AS226" s="792"/>
      <c r="AT226" s="792">
        <f t="shared" si="532"/>
        <v>2.538377476896423E-2</v>
      </c>
      <c r="AU226" s="792"/>
      <c r="AZ226" s="792"/>
      <c r="BA226" s="792"/>
      <c r="BC226" s="792"/>
    </row>
    <row r="227" spans="1:55" x14ac:dyDescent="0.35">
      <c r="A227" s="1623" t="s">
        <v>2674</v>
      </c>
      <c r="B227" s="745" t="s">
        <v>1982</v>
      </c>
      <c r="F227" s="792"/>
      <c r="G227" s="792">
        <f>G220/F$205</f>
        <v>7.6096999868001766E-2</v>
      </c>
      <c r="H227" s="792">
        <f t="shared" ref="H227:T227" si="534">H206</f>
        <v>0.26533079827920059</v>
      </c>
      <c r="I227" s="792">
        <f t="shared" si="534"/>
        <v>0.84670258143141952</v>
      </c>
      <c r="J227" s="792">
        <f t="shared" si="534"/>
        <v>0.38308709551867448</v>
      </c>
      <c r="K227" s="792">
        <f t="shared" si="534"/>
        <v>0.37797300982865689</v>
      </c>
      <c r="L227" s="792">
        <f t="shared" si="534"/>
        <v>0.24882417032836623</v>
      </c>
      <c r="M227" s="792">
        <f t="shared" si="534"/>
        <v>0.27533164154292677</v>
      </c>
      <c r="N227" s="792">
        <f t="shared" si="534"/>
        <v>0.26797425828776378</v>
      </c>
      <c r="O227" s="792">
        <f t="shared" si="534"/>
        <v>0.17136262980430739</v>
      </c>
      <c r="P227" s="792">
        <f t="shared" si="534"/>
        <v>0.12945479829399797</v>
      </c>
      <c r="Q227" s="792">
        <f t="shared" si="534"/>
        <v>-8.6077161505668354E-2</v>
      </c>
      <c r="R227" s="792">
        <f t="shared" si="534"/>
        <v>0.17387239233551477</v>
      </c>
      <c r="S227" s="792">
        <f t="shared" si="534"/>
        <v>0.13178788137120701</v>
      </c>
      <c r="T227" s="792">
        <f t="shared" si="534"/>
        <v>0.13835955129228372</v>
      </c>
      <c r="U227" s="792">
        <f t="shared" ref="U227:X227" si="535">U206</f>
        <v>0.14847954934898344</v>
      </c>
      <c r="V227" s="792">
        <f t="shared" si="535"/>
        <v>0.12291499380490389</v>
      </c>
      <c r="W227" s="792">
        <f t="shared" si="535"/>
        <v>-2.1837234985744636E-2</v>
      </c>
      <c r="X227" s="792">
        <f t="shared" si="535"/>
        <v>1.0831186024709671E-2</v>
      </c>
      <c r="AL227" s="792">
        <f>AL206</f>
        <v>0.21627722050157372</v>
      </c>
      <c r="AM227" s="792">
        <f>AM206</f>
        <v>6.6734781197782533E-2</v>
      </c>
      <c r="AN227" s="792">
        <f>AN206</f>
        <v>0.15878199358332479</v>
      </c>
      <c r="AO227" s="792"/>
      <c r="AP227" s="792">
        <f>AP206</f>
        <v>0.14320883128373407</v>
      </c>
      <c r="AQ227" s="792"/>
      <c r="AR227" s="792">
        <f>AR206</f>
        <v>6.8339659289536892E-2</v>
      </c>
      <c r="AS227" s="792"/>
      <c r="AT227" s="792">
        <f>AT206</f>
        <v>5.2116337041518079E-2</v>
      </c>
      <c r="AU227" s="792"/>
      <c r="AZ227" s="792"/>
      <c r="BA227" s="792"/>
      <c r="BC227" s="792"/>
    </row>
    <row r="229" spans="1:55" x14ac:dyDescent="0.35">
      <c r="A229" s="1627" t="s">
        <v>167</v>
      </c>
      <c r="B229" s="745" t="s">
        <v>2821</v>
      </c>
      <c r="G229" s="792">
        <f t="shared" ref="G229:T229" si="536">G210/F$205</f>
        <v>2.189662650148028E-2</v>
      </c>
      <c r="H229" s="792">
        <f t="shared" si="536"/>
        <v>0.18760043107602528</v>
      </c>
      <c r="I229" s="792">
        <f t="shared" si="536"/>
        <v>7.5634278750276979E-2</v>
      </c>
      <c r="J229" s="792">
        <f t="shared" si="536"/>
        <v>0.17209124785240285</v>
      </c>
      <c r="K229" s="792">
        <f t="shared" si="536"/>
        <v>7.196439192951698E-2</v>
      </c>
      <c r="L229" s="792">
        <f t="shared" si="536"/>
        <v>3.3592154236429785E-2</v>
      </c>
      <c r="M229" s="792">
        <f t="shared" si="536"/>
        <v>5.0067459459731976E-2</v>
      </c>
      <c r="N229" s="792">
        <f t="shared" si="536"/>
        <v>1.2155369337932518E-3</v>
      </c>
      <c r="O229" s="792">
        <f t="shared" si="536"/>
        <v>-1.7502671832696999E-2</v>
      </c>
      <c r="P229" s="792">
        <f t="shared" si="536"/>
        <v>5.8071566872708504E-3</v>
      </c>
      <c r="Q229" s="792">
        <f t="shared" si="536"/>
        <v>4.7407453881212369E-2</v>
      </c>
      <c r="R229" s="792">
        <f t="shared" si="536"/>
        <v>2.9313488587955391E-2</v>
      </c>
      <c r="S229" s="792">
        <f t="shared" si="536"/>
        <v>-4.9801420034481583E-2</v>
      </c>
      <c r="T229" s="792">
        <f t="shared" si="536"/>
        <v>-1.7018182841456505E-2</v>
      </c>
      <c r="U229" s="792">
        <f t="shared" ref="U229:U232" si="537">U210/T$205</f>
        <v>4.4892062782400072E-2</v>
      </c>
      <c r="V229" s="792">
        <f t="shared" ref="V229:V232" si="538">V210/U$205</f>
        <v>-2.2776433303320409E-2</v>
      </c>
      <c r="W229" s="792">
        <f t="shared" ref="W229:W232" si="539">W210/V$205</f>
        <v>1.5769344308738581E-2</v>
      </c>
      <c r="X229" s="792">
        <f t="shared" ref="X229:X232" si="540">X210/W$205</f>
        <v>2.1391577617446548E-3</v>
      </c>
      <c r="AL229" s="792">
        <f t="shared" ref="AL229:AT232" si="541">AL210/AJ$205</f>
        <v>-6.5662978598398994E-2</v>
      </c>
      <c r="AM229" s="792">
        <f t="shared" si="541"/>
        <v>2.7697891801720168E-2</v>
      </c>
      <c r="AN229" s="792">
        <f t="shared" si="541"/>
        <v>8.4442009753062749E-2</v>
      </c>
      <c r="AO229" s="792"/>
      <c r="AP229" s="792">
        <f t="shared" si="541"/>
        <v>-4.4532312789186462E-3</v>
      </c>
      <c r="AQ229" s="792"/>
      <c r="AR229" s="792">
        <f t="shared" si="541"/>
        <v>1.7676317987002109E-2</v>
      </c>
      <c r="AS229" s="792"/>
      <c r="AT229" s="792">
        <f t="shared" si="541"/>
        <v>-1.1528690569786226E-2</v>
      </c>
      <c r="AU229" s="792"/>
      <c r="AZ229" s="792"/>
      <c r="BA229" s="792"/>
      <c r="BC229" s="792"/>
    </row>
    <row r="230" spans="1:55" x14ac:dyDescent="0.35">
      <c r="A230" s="1627" t="s">
        <v>147</v>
      </c>
      <c r="B230" s="745" t="s">
        <v>2822</v>
      </c>
      <c r="G230" s="792">
        <f t="shared" ref="G230:T230" si="542">G211/F$205</f>
        <v>2.3731402387282923E-2</v>
      </c>
      <c r="H230" s="792">
        <f t="shared" si="542"/>
        <v>-0.32149159314133507</v>
      </c>
      <c r="I230" s="792">
        <f t="shared" si="542"/>
        <v>-4.9069355196100145E-2</v>
      </c>
      <c r="J230" s="792">
        <f t="shared" si="542"/>
        <v>0.13615560040105984</v>
      </c>
      <c r="K230" s="792">
        <f t="shared" si="542"/>
        <v>-2.502303040555744E-2</v>
      </c>
      <c r="L230" s="792">
        <f t="shared" si="542"/>
        <v>2.588025404924928E-2</v>
      </c>
      <c r="M230" s="792">
        <f t="shared" si="542"/>
        <v>2.6523761421003104E-2</v>
      </c>
      <c r="N230" s="792">
        <f t="shared" si="542"/>
        <v>9.9700958149458757E-2</v>
      </c>
      <c r="O230" s="792">
        <f t="shared" si="542"/>
        <v>3.8611952469143625E-2</v>
      </c>
      <c r="P230" s="792">
        <f t="shared" si="542"/>
        <v>-6.5099505632331403E-3</v>
      </c>
      <c r="Q230" s="792">
        <f t="shared" si="542"/>
        <v>-2.2779790060804425E-2</v>
      </c>
      <c r="R230" s="792">
        <f t="shared" si="542"/>
        <v>-4.2440220417194072E-2</v>
      </c>
      <c r="S230" s="792">
        <f t="shared" si="542"/>
        <v>5.0486850726703392E-3</v>
      </c>
      <c r="T230" s="792">
        <f t="shared" si="542"/>
        <v>3.9150941794238961E-2</v>
      </c>
      <c r="U230" s="792">
        <f t="shared" si="537"/>
        <v>-3.0726108764266378E-2</v>
      </c>
      <c r="V230" s="792">
        <f t="shared" si="538"/>
        <v>3.8616584490594186E-2</v>
      </c>
      <c r="W230" s="792">
        <f t="shared" si="539"/>
        <v>1.1608828387248785E-2</v>
      </c>
      <c r="X230" s="792">
        <f t="shared" si="540"/>
        <v>-2.9830126750545364E-2</v>
      </c>
      <c r="AL230" s="792">
        <f t="shared" si="541"/>
        <v>5.4818082592807377E-2</v>
      </c>
      <c r="AM230" s="792">
        <f t="shared" si="541"/>
        <v>2.4749133204181116E-2</v>
      </c>
      <c r="AN230" s="792">
        <f t="shared" si="541"/>
        <v>-1.291580180640497E-2</v>
      </c>
      <c r="AO230" s="792"/>
      <c r="AP230" s="792">
        <f t="shared" si="541"/>
        <v>5.0423896085041206E-2</v>
      </c>
      <c r="AQ230" s="792"/>
      <c r="AR230" s="792">
        <f t="shared" si="541"/>
        <v>-6.2900683404451532E-3</v>
      </c>
      <c r="AS230" s="792"/>
      <c r="AT230" s="792">
        <f t="shared" si="541"/>
        <v>-8.1011108077189333E-3</v>
      </c>
      <c r="AU230" s="792"/>
      <c r="AZ230" s="792"/>
      <c r="BA230" s="792"/>
      <c r="BC230" s="792"/>
    </row>
    <row r="231" spans="1:55" x14ac:dyDescent="0.35">
      <c r="A231" s="1627" t="s">
        <v>2669</v>
      </c>
      <c r="B231" s="745" t="s">
        <v>2823</v>
      </c>
      <c r="G231" s="792">
        <f t="shared" ref="G231:T231" si="543">G212/F$205</f>
        <v>7.522203993890364E-2</v>
      </c>
      <c r="H231" s="792">
        <f t="shared" si="543"/>
        <v>5.3216861030552121E-2</v>
      </c>
      <c r="I231" s="792">
        <f t="shared" si="543"/>
        <v>0.73423166408154217</v>
      </c>
      <c r="J231" s="795">
        <f t="shared" si="543"/>
        <v>0.21787940758938923</v>
      </c>
      <c r="K231" s="795">
        <f t="shared" si="543"/>
        <v>0.28836236601292314</v>
      </c>
      <c r="L231" s="795">
        <f t="shared" si="543"/>
        <v>0.32877822709320886</v>
      </c>
      <c r="M231" s="795">
        <f t="shared" si="543"/>
        <v>0.25647135036760838</v>
      </c>
      <c r="N231" s="795">
        <f t="shared" si="543"/>
        <v>5.5033187617137526E-2</v>
      </c>
      <c r="O231" s="795">
        <f t="shared" si="543"/>
        <v>3.7659542753707261E-2</v>
      </c>
      <c r="P231" s="795">
        <f t="shared" si="543"/>
        <v>0.18387932239026414</v>
      </c>
      <c r="Q231" s="795">
        <f t="shared" si="543"/>
        <v>0.17253532639191421</v>
      </c>
      <c r="R231" s="795">
        <f t="shared" si="543"/>
        <v>4.9711183860137093E-2</v>
      </c>
      <c r="S231" s="795">
        <f t="shared" si="543"/>
        <v>2.6941558281994682E-2</v>
      </c>
      <c r="T231" s="792">
        <f t="shared" si="543"/>
        <v>0.27665784944974064</v>
      </c>
      <c r="U231" s="792">
        <f t="shared" si="537"/>
        <v>0.15978077347067898</v>
      </c>
      <c r="V231" s="792">
        <f t="shared" si="538"/>
        <v>0.11821571926445588</v>
      </c>
      <c r="W231" s="792">
        <f t="shared" si="539"/>
        <v>0.10355790744646996</v>
      </c>
      <c r="X231" s="792">
        <f t="shared" si="540"/>
        <v>-7.8027903651577551E-2</v>
      </c>
      <c r="AL231" s="792">
        <f t="shared" si="541"/>
        <v>0.17478303370416617</v>
      </c>
      <c r="AM231" s="792">
        <f t="shared" si="541"/>
        <v>0.37030490447903086</v>
      </c>
      <c r="AN231" s="792">
        <f t="shared" si="541"/>
        <v>0.13636527366645981</v>
      </c>
      <c r="AO231" s="792"/>
      <c r="AP231" s="792">
        <f t="shared" si="541"/>
        <v>0.13458051599912832</v>
      </c>
      <c r="AQ231" s="792"/>
      <c r="AR231" s="792">
        <f t="shared" si="541"/>
        <v>9.675435931441706E-2</v>
      </c>
      <c r="AS231" s="792"/>
      <c r="AT231" s="792">
        <f t="shared" si="541"/>
        <v>-7.8304558807605895E-2</v>
      </c>
      <c r="AU231" s="792"/>
      <c r="AZ231" s="792"/>
      <c r="BA231" s="792"/>
      <c r="BC231" s="792"/>
    </row>
    <row r="232" spans="1:55" x14ac:dyDescent="0.35">
      <c r="A232" s="1627" t="s">
        <v>2675</v>
      </c>
      <c r="B232" s="745" t="s">
        <v>1869</v>
      </c>
      <c r="G232" s="792">
        <f t="shared" ref="G232:T232" si="544">G213/F$205</f>
        <v>0</v>
      </c>
      <c r="H232" s="792">
        <f t="shared" si="544"/>
        <v>0</v>
      </c>
      <c r="I232" s="792">
        <f t="shared" si="544"/>
        <v>0</v>
      </c>
      <c r="J232" s="792">
        <f t="shared" si="544"/>
        <v>0</v>
      </c>
      <c r="K232" s="792">
        <f t="shared" si="544"/>
        <v>3.3270057327952443E-3</v>
      </c>
      <c r="L232" s="792">
        <f t="shared" si="544"/>
        <v>-6.4065157863962205E-2</v>
      </c>
      <c r="M232" s="792">
        <f t="shared" si="544"/>
        <v>1.3133011401625453E-2</v>
      </c>
      <c r="N232" s="792">
        <f t="shared" si="544"/>
        <v>3.3106334281550999E-2</v>
      </c>
      <c r="O232" s="792">
        <f t="shared" si="544"/>
        <v>-2.514883837385005E-3</v>
      </c>
      <c r="P232" s="792">
        <f t="shared" si="544"/>
        <v>4.0981615910255266E-2</v>
      </c>
      <c r="Q232" s="792">
        <f t="shared" si="544"/>
        <v>-1.2489311433960057E-2</v>
      </c>
      <c r="R232" s="792">
        <f t="shared" si="544"/>
        <v>3.4911582538407412E-2</v>
      </c>
      <c r="S232" s="792">
        <f t="shared" si="544"/>
        <v>-9.3618328633609717E-3</v>
      </c>
      <c r="T232" s="792">
        <f t="shared" si="544"/>
        <v>1.1007127681613726E-2</v>
      </c>
      <c r="U232" s="792">
        <f t="shared" si="537"/>
        <v>6.9077006317834339E-3</v>
      </c>
      <c r="V232" s="792">
        <f t="shared" si="538"/>
        <v>3.1624265854322695E-2</v>
      </c>
      <c r="W232" s="792">
        <f t="shared" si="539"/>
        <v>-2.1440822264746041E-3</v>
      </c>
      <c r="X232" s="792">
        <f t="shared" si="540"/>
        <v>-4.1506637377621988E-2</v>
      </c>
      <c r="AL232" s="792">
        <f t="shared" si="541"/>
        <v>2.0946269344631369E-2</v>
      </c>
      <c r="AM232" s="792">
        <f t="shared" si="541"/>
        <v>1.870705304320169E-3</v>
      </c>
      <c r="AN232" s="792">
        <f t="shared" si="541"/>
        <v>1.5656703518094339E-2</v>
      </c>
      <c r="AO232" s="792"/>
      <c r="AP232" s="792">
        <f t="shared" si="541"/>
        <v>2.8248299267779099E-2</v>
      </c>
      <c r="AQ232" s="792"/>
      <c r="AR232" s="792">
        <f t="shared" si="541"/>
        <v>1.7920565018512642E-2</v>
      </c>
      <c r="AS232" s="792"/>
      <c r="AT232" s="792">
        <f t="shared" si="541"/>
        <v>-7.9791491104593392E-3</v>
      </c>
      <c r="AU232" s="792"/>
      <c r="AZ232" s="792"/>
      <c r="BA232" s="792"/>
      <c r="BC232" s="792"/>
    </row>
    <row r="235" spans="1:55" x14ac:dyDescent="0.35">
      <c r="A235" s="1624" t="s">
        <v>2942</v>
      </c>
      <c r="Q235" s="745"/>
    </row>
    <row r="236" spans="1:55" x14ac:dyDescent="0.35">
      <c r="A236" s="1624" t="s">
        <v>2670</v>
      </c>
      <c r="N236" s="745">
        <v>8024</v>
      </c>
      <c r="O236" s="745">
        <v>12720</v>
      </c>
      <c r="P236" s="796">
        <v>12985</v>
      </c>
      <c r="Q236" s="796">
        <v>21565</v>
      </c>
      <c r="R236" s="796">
        <v>21732</v>
      </c>
      <c r="S236" s="796">
        <v>33050</v>
      </c>
      <c r="T236" s="796">
        <v>46750</v>
      </c>
      <c r="U236" s="796">
        <v>51170</v>
      </c>
      <c r="V236" s="796">
        <v>61000</v>
      </c>
      <c r="W236" s="796">
        <v>67200</v>
      </c>
      <c r="X236" s="796">
        <v>64330</v>
      </c>
      <c r="Z236" s="745">
        <v>1859</v>
      </c>
      <c r="AA236" s="745">
        <v>6165</v>
      </c>
      <c r="AB236" s="745">
        <v>7483</v>
      </c>
      <c r="AC236" s="745">
        <v>5237</v>
      </c>
      <c r="AD236" s="745">
        <v>5768</v>
      </c>
      <c r="AE236" s="745">
        <v>7217</v>
      </c>
      <c r="AF236" s="745">
        <v>7995</v>
      </c>
      <c r="AG236" s="745">
        <v>13570</v>
      </c>
      <c r="AH236" s="745">
        <v>10510</v>
      </c>
      <c r="AI236" s="745">
        <v>11222</v>
      </c>
      <c r="AJ236" s="745">
        <v>14410</v>
      </c>
      <c r="AK236" s="745">
        <v>18643</v>
      </c>
      <c r="AL236" s="745">
        <v>19623</v>
      </c>
      <c r="AM236" s="745">
        <v>27130</v>
      </c>
      <c r="AN236" s="745">
        <v>22440</v>
      </c>
      <c r="AO236" s="745"/>
      <c r="AP236" s="745">
        <v>24900</v>
      </c>
      <c r="AQ236" s="745"/>
      <c r="AR236" s="745">
        <v>27375</v>
      </c>
      <c r="AS236" s="745"/>
      <c r="AT236" s="745">
        <v>27375</v>
      </c>
      <c r="AU236" s="745"/>
      <c r="AZ236" s="745"/>
      <c r="BA236" s="745"/>
      <c r="BC236" s="745"/>
    </row>
    <row r="237" spans="1:55" x14ac:dyDescent="0.35">
      <c r="A237" s="1624" t="s">
        <v>2671</v>
      </c>
      <c r="N237" s="745">
        <v>-10170</v>
      </c>
      <c r="O237" s="745">
        <v>-12991</v>
      </c>
      <c r="P237" s="796">
        <v>-18905</v>
      </c>
      <c r="Q237" s="796">
        <v>-26809</v>
      </c>
      <c r="R237" s="796">
        <v>-25300</v>
      </c>
      <c r="S237" s="796">
        <v>-38810</v>
      </c>
      <c r="T237" s="796">
        <v>-48490</v>
      </c>
      <c r="U237" s="796">
        <v>-51470</v>
      </c>
      <c r="V237" s="796">
        <v>-61000</v>
      </c>
      <c r="W237" s="796">
        <v>-66200</v>
      </c>
      <c r="X237" s="745">
        <f>-(X236-X238)</f>
        <v>-63900</v>
      </c>
      <c r="Z237" s="745">
        <v>-2666</v>
      </c>
      <c r="AA237" s="745">
        <v>-7504</v>
      </c>
      <c r="AB237" s="745">
        <v>-6418</v>
      </c>
      <c r="AC237" s="745">
        <v>-6573</v>
      </c>
      <c r="AD237" s="745">
        <v>-9433</v>
      </c>
      <c r="AE237" s="745">
        <v>-9472</v>
      </c>
      <c r="AF237" s="745">
        <v>-13688</v>
      </c>
      <c r="AG237" s="745">
        <v>-13121</v>
      </c>
      <c r="AH237" s="745">
        <v>-12012</v>
      </c>
      <c r="AI237" s="745">
        <v>-13288</v>
      </c>
      <c r="AJ237" s="745">
        <v>-18407</v>
      </c>
      <c r="AK237" s="745">
        <v>-20409</v>
      </c>
      <c r="AL237" s="745">
        <v>-21035</v>
      </c>
      <c r="AM237" s="745">
        <v>-27460</v>
      </c>
      <c r="AN237" s="745">
        <v>-23430</v>
      </c>
      <c r="AO237" s="745"/>
      <c r="AP237" s="745">
        <v>-25580</v>
      </c>
      <c r="AQ237" s="745"/>
      <c r="AR237" s="745">
        <v>-27597</v>
      </c>
      <c r="AS237" s="745"/>
      <c r="AT237" s="745">
        <v>-27597</v>
      </c>
      <c r="AU237" s="745"/>
      <c r="AZ237" s="745"/>
      <c r="BA237" s="745"/>
      <c r="BC237" s="745"/>
    </row>
    <row r="238" spans="1:55" x14ac:dyDescent="0.35">
      <c r="A238" s="1633" t="s">
        <v>2695</v>
      </c>
      <c r="B238" s="745" t="s">
        <v>2824</v>
      </c>
      <c r="N238" s="745">
        <f t="shared" ref="N238:U238" si="545">N236+N237</f>
        <v>-2146</v>
      </c>
      <c r="O238" s="745">
        <f t="shared" si="545"/>
        <v>-271</v>
      </c>
      <c r="P238" s="745">
        <f t="shared" si="545"/>
        <v>-5920</v>
      </c>
      <c r="Q238" s="745">
        <f t="shared" si="545"/>
        <v>-5244</v>
      </c>
      <c r="R238" s="745">
        <f t="shared" si="545"/>
        <v>-3568</v>
      </c>
      <c r="S238" s="745">
        <f t="shared" si="545"/>
        <v>-5760</v>
      </c>
      <c r="T238" s="745">
        <f t="shared" si="545"/>
        <v>-1740</v>
      </c>
      <c r="U238" s="745">
        <f t="shared" si="545"/>
        <v>-300</v>
      </c>
      <c r="V238" s="745">
        <f>V236+V237</f>
        <v>0</v>
      </c>
      <c r="W238" s="745">
        <f>W236+W237</f>
        <v>1000</v>
      </c>
      <c r="X238" s="796">
        <v>430</v>
      </c>
      <c r="Z238" s="745">
        <f t="shared" ref="Z238:AN238" si="546">Z236+Z237</f>
        <v>-807</v>
      </c>
      <c r="AA238" s="745">
        <f t="shared" si="546"/>
        <v>-1339</v>
      </c>
      <c r="AB238" s="745">
        <f t="shared" si="546"/>
        <v>1065</v>
      </c>
      <c r="AC238" s="745">
        <f t="shared" si="546"/>
        <v>-1336</v>
      </c>
      <c r="AD238" s="745">
        <f t="shared" si="546"/>
        <v>-3665</v>
      </c>
      <c r="AE238" s="745">
        <f t="shared" si="546"/>
        <v>-2255</v>
      </c>
      <c r="AF238" s="745">
        <f t="shared" si="546"/>
        <v>-5693</v>
      </c>
      <c r="AG238" s="745">
        <f t="shared" si="546"/>
        <v>449</v>
      </c>
      <c r="AH238" s="745">
        <f t="shared" si="546"/>
        <v>-1502</v>
      </c>
      <c r="AI238" s="745">
        <f t="shared" si="546"/>
        <v>-2066</v>
      </c>
      <c r="AJ238" s="745">
        <f t="shared" si="546"/>
        <v>-3997</v>
      </c>
      <c r="AK238" s="745">
        <f t="shared" si="546"/>
        <v>-1766</v>
      </c>
      <c r="AL238" s="745">
        <f t="shared" si="546"/>
        <v>-1412</v>
      </c>
      <c r="AM238" s="745">
        <f t="shared" si="546"/>
        <v>-330</v>
      </c>
      <c r="AN238" s="745">
        <f t="shared" si="546"/>
        <v>-990</v>
      </c>
      <c r="AO238" s="745">
        <f>AN238-AL238</f>
        <v>422</v>
      </c>
      <c r="AP238" s="745">
        <f t="shared" ref="AP238:AR238" si="547">AP236+AP237</f>
        <v>-680</v>
      </c>
      <c r="AQ238" s="745"/>
      <c r="AR238" s="745">
        <f t="shared" si="547"/>
        <v>-222</v>
      </c>
      <c r="AS238" s="745"/>
      <c r="AT238" s="745">
        <f>AT236+AT237</f>
        <v>-222</v>
      </c>
      <c r="AU238" s="745"/>
      <c r="AZ238" s="745"/>
      <c r="BA238" s="745"/>
      <c r="BC238" s="745"/>
    </row>
    <row r="239" spans="1:55" x14ac:dyDescent="0.35">
      <c r="A239" s="1633" t="s">
        <v>2696</v>
      </c>
      <c r="B239" s="745" t="s">
        <v>2825</v>
      </c>
      <c r="N239" s="745">
        <v>2446</v>
      </c>
      <c r="O239" s="745">
        <v>3138</v>
      </c>
      <c r="P239" s="796">
        <v>1075</v>
      </c>
      <c r="Q239" s="796">
        <v>3319</v>
      </c>
      <c r="R239" s="796">
        <v>864</v>
      </c>
      <c r="S239" s="796">
        <v>1230</v>
      </c>
      <c r="T239" s="796">
        <v>1190</v>
      </c>
      <c r="U239" s="796">
        <v>500</v>
      </c>
      <c r="V239" s="796">
        <v>500</v>
      </c>
      <c r="W239" s="796">
        <v>1000</v>
      </c>
      <c r="X239" s="796">
        <v>630</v>
      </c>
      <c r="Z239" s="745">
        <v>1273</v>
      </c>
      <c r="AA239" s="745">
        <v>1173</v>
      </c>
      <c r="AB239" s="745">
        <v>1026</v>
      </c>
      <c r="AC239" s="745">
        <v>2112</v>
      </c>
      <c r="AD239" s="745">
        <v>1576</v>
      </c>
      <c r="AE239" s="745">
        <v>-501</v>
      </c>
      <c r="AF239" s="745">
        <v>1699</v>
      </c>
      <c r="AG239" s="745">
        <v>1620</v>
      </c>
      <c r="AH239" s="745">
        <v>96</v>
      </c>
      <c r="AI239" s="745">
        <v>768</v>
      </c>
      <c r="AJ239" s="745">
        <v>-1033</v>
      </c>
      <c r="AK239" s="745">
        <v>2264</v>
      </c>
      <c r="AL239" s="745">
        <v>441</v>
      </c>
      <c r="AM239" s="745">
        <v>750</v>
      </c>
      <c r="AN239" s="745">
        <v>1090</v>
      </c>
      <c r="AO239" s="745"/>
      <c r="AP239" s="745">
        <v>850</v>
      </c>
      <c r="AQ239" s="745"/>
      <c r="AR239" s="745">
        <v>224</v>
      </c>
      <c r="AS239" s="745"/>
      <c r="AT239" s="745">
        <v>224</v>
      </c>
      <c r="AU239" s="745"/>
      <c r="AZ239" s="745"/>
      <c r="BA239" s="745"/>
      <c r="BC239" s="745"/>
    </row>
    <row r="240" spans="1:55" x14ac:dyDescent="0.35">
      <c r="A240" s="1633" t="s">
        <v>1880</v>
      </c>
      <c r="B240" s="745" t="s">
        <v>2826</v>
      </c>
      <c r="M240" s="745"/>
      <c r="N240" s="745">
        <f t="shared" ref="N240:T240" si="548">N238+N239</f>
        <v>300</v>
      </c>
      <c r="O240" s="745">
        <f t="shared" si="548"/>
        <v>2867</v>
      </c>
      <c r="P240" s="745">
        <f t="shared" si="548"/>
        <v>-4845</v>
      </c>
      <c r="Q240" s="745">
        <f t="shared" si="548"/>
        <v>-1925</v>
      </c>
      <c r="R240" s="745">
        <f t="shared" si="548"/>
        <v>-2704</v>
      </c>
      <c r="S240" s="745">
        <f t="shared" si="548"/>
        <v>-4530</v>
      </c>
      <c r="T240" s="745">
        <f t="shared" si="548"/>
        <v>-550</v>
      </c>
      <c r="U240" s="796">
        <v>212</v>
      </c>
      <c r="V240" s="796">
        <v>500</v>
      </c>
      <c r="W240" s="796">
        <v>2000</v>
      </c>
      <c r="X240" s="796">
        <v>1050</v>
      </c>
      <c r="Z240" s="745">
        <f t="shared" ref="Z240:AN240" si="549">Z238+Z239</f>
        <v>466</v>
      </c>
      <c r="AA240" s="745">
        <f t="shared" si="549"/>
        <v>-166</v>
      </c>
      <c r="AB240" s="745">
        <f t="shared" si="549"/>
        <v>2091</v>
      </c>
      <c r="AC240" s="745">
        <f t="shared" si="549"/>
        <v>776</v>
      </c>
      <c r="AD240" s="745">
        <f t="shared" si="549"/>
        <v>-2089</v>
      </c>
      <c r="AE240" s="745">
        <f t="shared" si="549"/>
        <v>-2756</v>
      </c>
      <c r="AF240" s="745">
        <f t="shared" si="549"/>
        <v>-3994</v>
      </c>
      <c r="AG240" s="745">
        <f t="shared" si="549"/>
        <v>2069</v>
      </c>
      <c r="AH240" s="745">
        <f t="shared" si="549"/>
        <v>-1406</v>
      </c>
      <c r="AI240" s="745">
        <f t="shared" si="549"/>
        <v>-1298</v>
      </c>
      <c r="AJ240" s="745">
        <f t="shared" si="549"/>
        <v>-5030</v>
      </c>
      <c r="AK240" s="745">
        <f t="shared" si="549"/>
        <v>498</v>
      </c>
      <c r="AL240" s="745">
        <f t="shared" si="549"/>
        <v>-971</v>
      </c>
      <c r="AM240" s="745">
        <f t="shared" si="549"/>
        <v>420</v>
      </c>
      <c r="AN240" s="745">
        <f t="shared" si="549"/>
        <v>100</v>
      </c>
      <c r="AO240" s="745"/>
      <c r="AP240" s="745">
        <f t="shared" ref="AP240:AR240" si="550">AP238+AP239</f>
        <v>170</v>
      </c>
      <c r="AQ240" s="745"/>
      <c r="AR240" s="745">
        <f t="shared" si="550"/>
        <v>2</v>
      </c>
      <c r="AS240" s="745"/>
      <c r="AT240" s="745">
        <f t="shared" ref="AT240" si="551">AT238+AT239</f>
        <v>2</v>
      </c>
      <c r="AU240" s="745"/>
      <c r="AZ240" s="745"/>
      <c r="BA240" s="745"/>
      <c r="BC240" s="745"/>
    </row>
    <row r="241" spans="1:55" x14ac:dyDescent="0.35">
      <c r="A241" s="1633" t="s">
        <v>1879</v>
      </c>
      <c r="B241" s="745" t="s">
        <v>2827</v>
      </c>
      <c r="M241" s="745"/>
      <c r="N241" s="745">
        <f>CF!M18</f>
        <v>-935.20399999999995</v>
      </c>
      <c r="O241" s="745">
        <f>CF!N18</f>
        <v>-5690.5309999999999</v>
      </c>
      <c r="P241" s="745">
        <f>CF!O18</f>
        <v>-4800.1890000000003</v>
      </c>
      <c r="Q241" s="745">
        <f>CF!P18</f>
        <v>-6953.9700000000012</v>
      </c>
      <c r="R241" s="745">
        <f>CF!Q18</f>
        <v>-3090.0410000000006</v>
      </c>
      <c r="S241" s="745">
        <f>CF!R18</f>
        <v>324.54000000000065</v>
      </c>
      <c r="T241" s="745">
        <f>CF!S18</f>
        <v>-4937.6689999999999</v>
      </c>
      <c r="U241" s="796">
        <v>500</v>
      </c>
      <c r="V241" s="796">
        <v>1200</v>
      </c>
      <c r="W241" s="796">
        <v>1100</v>
      </c>
      <c r="X241" s="745"/>
      <c r="Z241" s="745"/>
      <c r="AA241" s="745"/>
      <c r="AB241" s="745"/>
      <c r="AC241" s="745"/>
      <c r="AD241" s="745"/>
      <c r="AE241" s="745"/>
      <c r="AF241" s="745"/>
      <c r="AG241" s="745"/>
      <c r="AH241" s="745"/>
      <c r="AI241" s="745"/>
      <c r="AJ241" s="745"/>
      <c r="AK241" s="745"/>
      <c r="AL241" s="745"/>
      <c r="AM241" s="745"/>
      <c r="AN241" s="745">
        <v>1899</v>
      </c>
      <c r="AO241" s="745"/>
      <c r="AP241" s="745">
        <v>1097</v>
      </c>
      <c r="AQ241" s="745"/>
      <c r="AR241" s="745">
        <v>-1587</v>
      </c>
      <c r="AS241" s="745"/>
      <c r="AT241" s="745">
        <v>-1587</v>
      </c>
      <c r="AU241" s="745"/>
      <c r="AZ241" s="745"/>
      <c r="BA241" s="745"/>
      <c r="BC241" s="745"/>
    </row>
    <row r="242" spans="1:55" x14ac:dyDescent="0.35">
      <c r="A242" s="1633" t="s">
        <v>2697</v>
      </c>
      <c r="B242" s="745" t="s">
        <v>2816</v>
      </c>
      <c r="N242" s="745">
        <f t="shared" ref="N242:V242" si="552">N240+N241</f>
        <v>-635.20399999999995</v>
      </c>
      <c r="O242" s="745">
        <f t="shared" si="552"/>
        <v>-2823.5309999999999</v>
      </c>
      <c r="P242" s="745">
        <f t="shared" si="552"/>
        <v>-9645.1890000000003</v>
      </c>
      <c r="Q242" s="745">
        <f t="shared" si="552"/>
        <v>-8878.9700000000012</v>
      </c>
      <c r="R242" s="745">
        <f t="shared" si="552"/>
        <v>-5794.0410000000011</v>
      </c>
      <c r="S242" s="745">
        <f t="shared" si="552"/>
        <v>-4205.4599999999991</v>
      </c>
      <c r="T242" s="745">
        <f t="shared" si="552"/>
        <v>-5487.6689999999999</v>
      </c>
      <c r="U242" s="745">
        <f t="shared" si="552"/>
        <v>712</v>
      </c>
      <c r="V242" s="745">
        <f t="shared" si="552"/>
        <v>1700</v>
      </c>
      <c r="W242" s="745">
        <f>W240+W241</f>
        <v>3100</v>
      </c>
      <c r="Z242" s="745"/>
      <c r="AA242" s="745"/>
      <c r="AB242" s="745"/>
      <c r="AC242" s="745"/>
      <c r="AD242" s="745"/>
      <c r="AE242" s="745"/>
      <c r="AF242" s="745"/>
      <c r="AG242" s="745"/>
      <c r="AH242" s="745"/>
      <c r="AI242" s="745"/>
      <c r="AJ242" s="745"/>
      <c r="AK242" s="745"/>
      <c r="AL242" s="745"/>
      <c r="AM242" s="745"/>
      <c r="AN242" s="745">
        <f>AN240+AN241</f>
        <v>1999</v>
      </c>
      <c r="AO242" s="745"/>
      <c r="AP242" s="745">
        <f>AP240+AP241</f>
        <v>1267</v>
      </c>
      <c r="AQ242" s="745"/>
      <c r="AR242" s="745">
        <f>AR240+AR241</f>
        <v>-1585</v>
      </c>
      <c r="AS242" s="745"/>
      <c r="AT242" s="745">
        <f>AT240+AT241</f>
        <v>-1585</v>
      </c>
      <c r="AU242" s="745"/>
      <c r="AZ242" s="745"/>
      <c r="BA242" s="745"/>
      <c r="BC242" s="745"/>
    </row>
    <row r="243" spans="1:55" x14ac:dyDescent="0.35">
      <c r="U243" s="797"/>
    </row>
    <row r="245" spans="1:55" ht="10.5" x14ac:dyDescent="0.35">
      <c r="A245" s="1634" t="s">
        <v>2943</v>
      </c>
      <c r="B245" s="799"/>
      <c r="C245" s="800"/>
      <c r="D245" s="800"/>
      <c r="E245" s="800"/>
      <c r="F245" s="800"/>
      <c r="G245" s="800"/>
      <c r="H245" s="800"/>
      <c r="I245" s="800"/>
      <c r="J245" s="800"/>
      <c r="K245" s="800"/>
      <c r="L245" s="800"/>
      <c r="M245" s="800"/>
      <c r="N245" s="800"/>
      <c r="O245" s="749" t="str">
        <f t="shared" ref="O245:X245" si="553">O1</f>
        <v>2016A</v>
      </c>
      <c r="P245" s="749" t="str">
        <f t="shared" si="553"/>
        <v>2017A</v>
      </c>
      <c r="Q245" s="749" t="str">
        <f t="shared" si="553"/>
        <v>2018A</v>
      </c>
      <c r="R245" s="749" t="str">
        <f t="shared" si="553"/>
        <v>2019A</v>
      </c>
      <c r="S245" s="749" t="str">
        <f t="shared" si="553"/>
        <v>2020A</v>
      </c>
      <c r="T245" s="749" t="str">
        <f t="shared" si="553"/>
        <v>2021A</v>
      </c>
      <c r="U245" s="749" t="str">
        <f t="shared" si="553"/>
        <v>2022A</v>
      </c>
      <c r="V245" s="749" t="str">
        <f t="shared" si="553"/>
        <v>2023A</v>
      </c>
      <c r="W245" s="749" t="str">
        <f t="shared" si="553"/>
        <v>2024A</v>
      </c>
      <c r="X245" s="749" t="str">
        <f t="shared" si="553"/>
        <v>2025A</v>
      </c>
    </row>
    <row r="246" spans="1:55" ht="10.5" x14ac:dyDescent="0.35">
      <c r="A246" s="1635"/>
    </row>
    <row r="247" spans="1:55" ht="10.5" collapsed="1" x14ac:dyDescent="0.35">
      <c r="A247" s="1635" t="s">
        <v>2944</v>
      </c>
      <c r="B247" s="802" t="s">
        <v>262</v>
      </c>
      <c r="R247" s="803">
        <f>'PL（org）'!R3</f>
        <v>61669.678</v>
      </c>
      <c r="S247" s="803">
        <f>'PL（org）'!S3</f>
        <v>62458.008999999998</v>
      </c>
      <c r="T247" s="803">
        <f>'PL（org）'!T3</f>
        <v>77309.614000000001</v>
      </c>
      <c r="U247" s="803">
        <f>'PL（org）'!U3</f>
        <v>101975.265</v>
      </c>
      <c r="V247" s="803">
        <f>'PL（org）'!V3</f>
        <v>113734.01300000001</v>
      </c>
      <c r="W247" s="803">
        <f>'PL（org）'!W3</f>
        <v>105322.671</v>
      </c>
      <c r="X247" s="803">
        <f>'PL（org）'!X3</f>
        <v>100448.5</v>
      </c>
    </row>
    <row r="248" spans="1:55" ht="10.5" x14ac:dyDescent="0.35">
      <c r="A248" s="1636" t="s">
        <v>1636</v>
      </c>
      <c r="B248" s="804" t="s">
        <v>1636</v>
      </c>
      <c r="R248" s="164"/>
      <c r="S248" s="164">
        <f>S247/R247-1</f>
        <v>1.2783121715018497E-2</v>
      </c>
      <c r="T248" s="164">
        <f>T247/S247-1</f>
        <v>0.23778543757294601</v>
      </c>
      <c r="U248" s="164">
        <f>U247/T247-1</f>
        <v>0.31905024128046988</v>
      </c>
      <c r="V248" s="164">
        <f t="shared" ref="V248:X248" si="554">V247/U247-1</f>
        <v>0.11530980576515293</v>
      </c>
      <c r="W248" s="164">
        <f t="shared" si="554"/>
        <v>-7.395625792259708E-2</v>
      </c>
      <c r="X248" s="164">
        <f t="shared" si="554"/>
        <v>-4.6278459838907882E-2</v>
      </c>
    </row>
    <row r="249" spans="1:55" ht="10.5" x14ac:dyDescent="0.35">
      <c r="A249" s="1635" t="s">
        <v>2945</v>
      </c>
      <c r="B249" s="801" t="s">
        <v>343</v>
      </c>
      <c r="R249" s="805">
        <v>26286.313999999998</v>
      </c>
      <c r="S249" s="805">
        <v>26754.732</v>
      </c>
      <c r="T249" s="805">
        <v>32121.267</v>
      </c>
      <c r="U249" s="805">
        <v>45219.644999999997</v>
      </c>
      <c r="V249" s="805">
        <v>40215.031999999999</v>
      </c>
      <c r="W249" s="805">
        <v>45221.644999999997</v>
      </c>
      <c r="X249" s="805">
        <f>42786.319</f>
        <v>42786.319000000003</v>
      </c>
    </row>
    <row r="250" spans="1:55" ht="10.5" x14ac:dyDescent="0.35">
      <c r="A250" s="1637" t="s">
        <v>1636</v>
      </c>
      <c r="B250" s="806" t="s">
        <v>1636</v>
      </c>
      <c r="R250" s="164"/>
      <c r="S250" s="164">
        <f>S249/R249-1</f>
        <v>1.7819843436398086E-2</v>
      </c>
      <c r="T250" s="164">
        <f>T249/S249-1</f>
        <v>0.20058264833301265</v>
      </c>
      <c r="U250" s="164">
        <f>U249/T249-1</f>
        <v>0.40777899576626275</v>
      </c>
      <c r="V250" s="164">
        <f t="shared" ref="V250:X250" si="555">V249/U249-1</f>
        <v>-0.11067342523365675</v>
      </c>
      <c r="W250" s="164">
        <f t="shared" si="555"/>
        <v>0.12449605908556771</v>
      </c>
      <c r="X250" s="164">
        <f t="shared" si="555"/>
        <v>-5.3853105078331298E-2</v>
      </c>
    </row>
    <row r="251" spans="1:55" ht="10.5" x14ac:dyDescent="0.35">
      <c r="A251" s="1635" t="s">
        <v>2946</v>
      </c>
      <c r="B251" s="801" t="s">
        <v>154</v>
      </c>
      <c r="R251" s="805">
        <v>31031.737000000001</v>
      </c>
      <c r="S251" s="805">
        <v>31512.241999999998</v>
      </c>
      <c r="T251" s="805">
        <v>39511.724999999999</v>
      </c>
      <c r="U251" s="805">
        <v>49243.336000000003</v>
      </c>
      <c r="V251" s="805">
        <v>63591.981</v>
      </c>
      <c r="W251" s="805">
        <v>49245.336000000003</v>
      </c>
      <c r="X251" s="805">
        <f>51084.853</f>
        <v>51084.853000000003</v>
      </c>
    </row>
    <row r="252" spans="1:55" ht="10.5" x14ac:dyDescent="0.35">
      <c r="A252" s="1637" t="s">
        <v>1636</v>
      </c>
      <c r="B252" s="806" t="s">
        <v>1636</v>
      </c>
      <c r="R252" s="164"/>
      <c r="S252" s="164">
        <f>S251/R251-1</f>
        <v>1.5484308854512241E-2</v>
      </c>
      <c r="T252" s="164">
        <f>T251/S251-1</f>
        <v>0.2538531850574135</v>
      </c>
      <c r="U252" s="164">
        <f>U251/T251-1</f>
        <v>0.24629678911766084</v>
      </c>
      <c r="V252" s="164">
        <f t="shared" ref="V252:X252" si="556">V251/U251-1</f>
        <v>0.2913824725441021</v>
      </c>
      <c r="W252" s="164">
        <f t="shared" si="556"/>
        <v>-0.22560462458309005</v>
      </c>
      <c r="X252" s="164">
        <f t="shared" si="556"/>
        <v>3.7354136440453933E-2</v>
      </c>
    </row>
    <row r="253" spans="1:55" ht="10.5" x14ac:dyDescent="0.35">
      <c r="A253" s="1635" t="s">
        <v>2947</v>
      </c>
      <c r="B253" s="801" t="s">
        <v>2241</v>
      </c>
      <c r="R253" s="805">
        <v>2678.0010000000002</v>
      </c>
      <c r="S253" s="805">
        <v>2294.9679999999998</v>
      </c>
      <c r="T253" s="805">
        <v>3521.279</v>
      </c>
      <c r="U253" s="805">
        <v>4596.232</v>
      </c>
      <c r="V253" s="805">
        <v>5008.692</v>
      </c>
      <c r="W253" s="805">
        <v>4598.232</v>
      </c>
      <c r="X253" s="805">
        <f>2999.234</f>
        <v>2999.2339999999999</v>
      </c>
    </row>
    <row r="254" spans="1:55" ht="10.5" x14ac:dyDescent="0.35">
      <c r="A254" s="1637" t="s">
        <v>1636</v>
      </c>
      <c r="B254" s="806" t="s">
        <v>1636</v>
      </c>
      <c r="R254" s="164"/>
      <c r="S254" s="164">
        <f>IFERROR(S253/R253-1,"n.a.")</f>
        <v>-0.14302944621753333</v>
      </c>
      <c r="T254" s="164">
        <f>IFERROR(T253/S253-1,"n.a.")</f>
        <v>0.53434775561140735</v>
      </c>
      <c r="U254" s="164">
        <f>IFERROR(U253/T253-1,"n.a.")</f>
        <v>0.30527345319697763</v>
      </c>
      <c r="V254" s="164">
        <f t="shared" ref="V254:X254" si="557">IFERROR(V253/U253-1,"n.a.")</f>
        <v>8.9738725112222362E-2</v>
      </c>
      <c r="W254" s="164">
        <f t="shared" si="557"/>
        <v>-8.1949538921538778E-2</v>
      </c>
      <c r="X254" s="164">
        <f t="shared" si="557"/>
        <v>-0.34774191471852656</v>
      </c>
    </row>
    <row r="255" spans="1:55" ht="10.5" x14ac:dyDescent="0.35">
      <c r="A255" s="1635" t="s">
        <v>2948</v>
      </c>
      <c r="B255" s="801" t="s">
        <v>157</v>
      </c>
      <c r="R255" s="805">
        <v>834.11300000000006</v>
      </c>
      <c r="S255" s="805">
        <v>764.31299999999999</v>
      </c>
      <c r="T255" s="805">
        <v>869.34199999999998</v>
      </c>
      <c r="U255" s="805">
        <v>791.68799999999999</v>
      </c>
      <c r="V255" s="805">
        <v>774.97900000000004</v>
      </c>
      <c r="W255" s="805">
        <v>793.68799999999999</v>
      </c>
      <c r="X255" s="805">
        <f>716.12</f>
        <v>716.12</v>
      </c>
    </row>
    <row r="256" spans="1:55" ht="10.5" x14ac:dyDescent="0.35">
      <c r="A256" s="1637" t="s">
        <v>1636</v>
      </c>
      <c r="B256" s="806" t="s">
        <v>1636</v>
      </c>
      <c r="R256" s="164"/>
      <c r="S256" s="164">
        <f>S255/R255-1</f>
        <v>-8.3681707394561711E-2</v>
      </c>
      <c r="T256" s="164">
        <f>T255/S255-1</f>
        <v>0.13741621560800343</v>
      </c>
      <c r="U256" s="164">
        <f>U255/T255-1</f>
        <v>-8.932502973513301E-2</v>
      </c>
      <c r="V256" s="164">
        <f t="shared" ref="V256:X256" si="558">V255/U255-1</f>
        <v>-2.1105536524489432E-2</v>
      </c>
      <c r="W256" s="164">
        <f t="shared" si="558"/>
        <v>2.414129931262643E-2</v>
      </c>
      <c r="X256" s="164">
        <f t="shared" si="558"/>
        <v>-9.7731098366108604E-2</v>
      </c>
    </row>
    <row r="257" spans="1:24" ht="10.5" x14ac:dyDescent="0.35">
      <c r="A257" s="1635" t="s">
        <v>551</v>
      </c>
      <c r="B257" s="801" t="s">
        <v>2242</v>
      </c>
      <c r="R257" s="805">
        <v>839.51300000000003</v>
      </c>
      <c r="S257" s="805">
        <v>1131.7539999999999</v>
      </c>
      <c r="T257" s="805">
        <v>1286.001</v>
      </c>
      <c r="U257" s="805">
        <v>2124.364</v>
      </c>
      <c r="V257" s="805">
        <v>4142.3289999999997</v>
      </c>
      <c r="W257" s="805">
        <v>2126.364</v>
      </c>
      <c r="X257" s="805">
        <f>2861.974</f>
        <v>2861.9740000000002</v>
      </c>
    </row>
    <row r="258" spans="1:24" ht="10.5" x14ac:dyDescent="0.35">
      <c r="A258" s="1637" t="s">
        <v>1636</v>
      </c>
      <c r="B258" s="806" t="s">
        <v>1636</v>
      </c>
      <c r="R258" s="164"/>
      <c r="S258" s="164">
        <f>S257/R257-1</f>
        <v>0.3481077720059127</v>
      </c>
      <c r="T258" s="164">
        <f>T257/S257-1</f>
        <v>0.13629021854572643</v>
      </c>
      <c r="U258" s="164">
        <f>U257/T257-1</f>
        <v>0.65191473412540124</v>
      </c>
      <c r="V258" s="164">
        <f t="shared" ref="V258:X258" si="559">V257/U257-1</f>
        <v>0.94991489217478731</v>
      </c>
      <c r="W258" s="164">
        <f t="shared" si="559"/>
        <v>-0.48667428395957923</v>
      </c>
      <c r="X258" s="164">
        <f t="shared" si="559"/>
        <v>0.34594735426295786</v>
      </c>
    </row>
    <row r="259" spans="1:24" x14ac:dyDescent="0.35">
      <c r="B259" s="148"/>
    </row>
    <row r="260" spans="1:24" ht="10.5" x14ac:dyDescent="0.35">
      <c r="A260" s="1635" t="s">
        <v>2944</v>
      </c>
      <c r="B260" s="802" t="s">
        <v>262</v>
      </c>
      <c r="R260" s="803">
        <f>SUM(R262,R265)</f>
        <v>61669.678000000007</v>
      </c>
      <c r="S260" s="803">
        <f>SUM(S262,S265)</f>
        <v>62458.008999999998</v>
      </c>
      <c r="T260" s="803">
        <f>SUM(T262,T265)</f>
        <v>77309.614000000001</v>
      </c>
      <c r="U260" s="803">
        <f>SUM(U262,U265)</f>
        <v>101975.26500000001</v>
      </c>
      <c r="V260" s="803">
        <f t="shared" ref="V260:X260" si="560">SUM(V262,V265)</f>
        <v>113734.01300000001</v>
      </c>
      <c r="W260" s="803">
        <f t="shared" si="560"/>
        <v>101975.26500000001</v>
      </c>
      <c r="X260" s="803">
        <f t="shared" si="560"/>
        <v>100448.5</v>
      </c>
    </row>
    <row r="261" spans="1:24" ht="10.5" x14ac:dyDescent="0.35">
      <c r="A261" s="1636" t="s">
        <v>1636</v>
      </c>
      <c r="B261" s="804" t="s">
        <v>1636</v>
      </c>
      <c r="R261" s="164"/>
      <c r="S261" s="164">
        <f>S260/R260-1</f>
        <v>1.2783121715018275E-2</v>
      </c>
      <c r="T261" s="164">
        <f>T260/S260-1</f>
        <v>0.23778543757294601</v>
      </c>
      <c r="U261" s="164">
        <f>U260/T260-1</f>
        <v>0.3190502412804701</v>
      </c>
      <c r="V261" s="164">
        <f t="shared" ref="V261:X261" si="561">V260/U260-1</f>
        <v>0.11530980576515293</v>
      </c>
      <c r="W261" s="164">
        <f t="shared" si="561"/>
        <v>-0.103388139482953</v>
      </c>
      <c r="X261" s="164">
        <f t="shared" si="561"/>
        <v>-1.49719150031139E-2</v>
      </c>
    </row>
    <row r="262" spans="1:24" ht="10.5" x14ac:dyDescent="0.35">
      <c r="A262" s="1635" t="s">
        <v>2949</v>
      </c>
      <c r="B262" s="801" t="s">
        <v>343</v>
      </c>
      <c r="R262" s="807">
        <f>SUM(R263:R264)</f>
        <v>58818.145000000004</v>
      </c>
      <c r="S262" s="807">
        <f>SUM(S263:S264)</f>
        <v>59290.962999999996</v>
      </c>
      <c r="T262" s="807">
        <f>SUM(T263:T264)</f>
        <v>73493.622000000003</v>
      </c>
      <c r="U262" s="807">
        <f>SUM(U263:U264)</f>
        <v>97498.882000000012</v>
      </c>
      <c r="V262" s="807">
        <f t="shared" ref="V262:X262" si="562">SUM(V263:V264)</f>
        <v>109785.217</v>
      </c>
      <c r="W262" s="807">
        <f t="shared" si="562"/>
        <v>97498.882000000012</v>
      </c>
      <c r="X262" s="807">
        <f t="shared" si="562"/>
        <v>97621.152000000002</v>
      </c>
    </row>
    <row r="263" spans="1:24" ht="10.5" x14ac:dyDescent="0.35">
      <c r="A263" s="1638" t="s">
        <v>2950</v>
      </c>
      <c r="B263" s="802" t="s">
        <v>343</v>
      </c>
      <c r="R263" s="808">
        <v>58245.355000000003</v>
      </c>
      <c r="S263" s="808">
        <v>58540.053999999996</v>
      </c>
      <c r="T263" s="808">
        <v>72559.86</v>
      </c>
      <c r="U263" s="808">
        <v>95921.767000000007</v>
      </c>
      <c r="V263" s="808">
        <v>106429.594</v>
      </c>
      <c r="W263" s="808">
        <v>95921.767000000007</v>
      </c>
      <c r="X263" s="808">
        <f>95063.432</f>
        <v>95063.432000000001</v>
      </c>
    </row>
    <row r="264" spans="1:24" ht="10.5" x14ac:dyDescent="0.35">
      <c r="A264" s="1638" t="s">
        <v>2951</v>
      </c>
      <c r="B264" s="802"/>
      <c r="R264" s="808">
        <v>572.79</v>
      </c>
      <c r="S264" s="808">
        <v>750.90899999999999</v>
      </c>
      <c r="T264" s="808">
        <v>933.76199999999994</v>
      </c>
      <c r="U264" s="808">
        <v>1577.115</v>
      </c>
      <c r="V264" s="808">
        <v>3355.623</v>
      </c>
      <c r="W264" s="808">
        <v>1577.115</v>
      </c>
      <c r="X264" s="808">
        <f>2557.72</f>
        <v>2557.7199999999998</v>
      </c>
    </row>
    <row r="265" spans="1:24" ht="10.5" x14ac:dyDescent="0.35">
      <c r="A265" s="1635" t="s">
        <v>2952</v>
      </c>
      <c r="B265" s="801"/>
      <c r="R265" s="807">
        <f>SUM(R266:R267)</f>
        <v>2851.5330000000004</v>
      </c>
      <c r="S265" s="807">
        <f>SUM(S266:S267)</f>
        <v>3167.0459999999998</v>
      </c>
      <c r="T265" s="807">
        <f>SUM(T266:T267)</f>
        <v>3815.9920000000002</v>
      </c>
      <c r="U265" s="807">
        <f>SUM(U266:U267)</f>
        <v>4476.3829999999998</v>
      </c>
      <c r="V265" s="807">
        <f t="shared" ref="V265:X265" si="563">SUM(V266:V267)</f>
        <v>3948.7959999999998</v>
      </c>
      <c r="W265" s="807">
        <f t="shared" si="563"/>
        <v>4476.3829999999998</v>
      </c>
      <c r="X265" s="807">
        <f t="shared" si="563"/>
        <v>2827.3480000000004</v>
      </c>
    </row>
    <row r="266" spans="1:24" ht="10.5" x14ac:dyDescent="0.35">
      <c r="A266" s="1638" t="s">
        <v>2953</v>
      </c>
      <c r="B266" s="802"/>
      <c r="R266" s="808">
        <v>2372.1680000000001</v>
      </c>
      <c r="S266" s="808">
        <v>2949.7629999999999</v>
      </c>
      <c r="T266" s="808">
        <v>3259.125</v>
      </c>
      <c r="U266" s="808">
        <v>4082.6190000000001</v>
      </c>
      <c r="V266" s="808">
        <v>3287.9389999999999</v>
      </c>
      <c r="W266" s="808">
        <v>4082.6190000000001</v>
      </c>
      <c r="X266" s="808">
        <f>2559.731</f>
        <v>2559.7310000000002</v>
      </c>
    </row>
    <row r="267" spans="1:24" ht="10.5" x14ac:dyDescent="0.35">
      <c r="A267" s="1638" t="s">
        <v>2954</v>
      </c>
      <c r="B267" s="802"/>
      <c r="R267" s="808">
        <v>479.36500000000001</v>
      </c>
      <c r="S267" s="808">
        <v>217.28299999999999</v>
      </c>
      <c r="T267" s="808">
        <v>556.86699999999996</v>
      </c>
      <c r="U267" s="808">
        <v>393.76400000000001</v>
      </c>
      <c r="V267" s="808">
        <v>660.85699999999997</v>
      </c>
      <c r="W267" s="808">
        <v>393.76400000000001</v>
      </c>
      <c r="X267" s="808">
        <f>267.617</f>
        <v>267.61700000000002</v>
      </c>
    </row>
    <row r="268" spans="1:24" x14ac:dyDescent="0.35">
      <c r="B268" s="148"/>
    </row>
    <row r="269" spans="1:24" ht="10.5" x14ac:dyDescent="0.35">
      <c r="A269" s="1635" t="s">
        <v>2955</v>
      </c>
      <c r="B269" s="802" t="s">
        <v>262</v>
      </c>
      <c r="R269" s="803"/>
      <c r="S269" s="803"/>
      <c r="T269" s="803"/>
      <c r="U269" s="803"/>
    </row>
    <row r="270" spans="1:24" ht="10.5" x14ac:dyDescent="0.35">
      <c r="A270" s="1635" t="s">
        <v>2944</v>
      </c>
      <c r="B270" s="802" t="s">
        <v>262</v>
      </c>
      <c r="R270" s="803">
        <v>1050</v>
      </c>
      <c r="S270" s="803">
        <v>3000</v>
      </c>
      <c r="T270" s="803"/>
      <c r="U270" s="803"/>
    </row>
    <row r="271" spans="1:24" ht="10.5" x14ac:dyDescent="0.35">
      <c r="A271" s="1636" t="s">
        <v>1636</v>
      </c>
      <c r="B271" s="804" t="s">
        <v>1636</v>
      </c>
      <c r="R271" s="164"/>
      <c r="S271" s="164">
        <f>S270/R270-1</f>
        <v>1.8571428571428572</v>
      </c>
      <c r="T271" s="164"/>
      <c r="U271" s="164"/>
    </row>
    <row r="272" spans="1:24" ht="10.5" x14ac:dyDescent="0.35">
      <c r="A272" s="1639" t="s">
        <v>29</v>
      </c>
      <c r="B272" s="809" t="s">
        <v>262</v>
      </c>
      <c r="R272" s="181">
        <v>0.4</v>
      </c>
      <c r="S272" s="181">
        <v>0.47199999999999998</v>
      </c>
      <c r="T272" s="181"/>
      <c r="U272" s="181"/>
    </row>
    <row r="273" spans="1:24" ht="10.5" x14ac:dyDescent="0.35">
      <c r="A273" s="1639" t="s">
        <v>2956</v>
      </c>
      <c r="B273" s="809" t="s">
        <v>262</v>
      </c>
      <c r="R273" s="181">
        <v>0.26900000000000002</v>
      </c>
      <c r="S273" s="181">
        <v>0.42399999999999999</v>
      </c>
      <c r="T273" s="181"/>
      <c r="U273" s="181"/>
    </row>
    <row r="274" spans="1:24" x14ac:dyDescent="0.35">
      <c r="B274" s="148"/>
    </row>
    <row r="275" spans="1:24" ht="10.5" collapsed="1" x14ac:dyDescent="0.35">
      <c r="A275" s="1635"/>
      <c r="B275" s="802"/>
      <c r="R275" s="803"/>
      <c r="S275" s="803"/>
      <c r="T275" s="803"/>
      <c r="U275" s="803"/>
    </row>
    <row r="276" spans="1:24" ht="10.5" x14ac:dyDescent="0.35">
      <c r="A276" s="1636"/>
      <c r="B276" s="804"/>
      <c r="R276" s="164"/>
      <c r="S276" s="164"/>
      <c r="T276" s="164"/>
      <c r="U276" s="164"/>
    </row>
    <row r="277" spans="1:24" ht="10.5" x14ac:dyDescent="0.35">
      <c r="A277" s="1635"/>
      <c r="B277" s="801"/>
      <c r="R277" s="805"/>
      <c r="S277" s="805"/>
      <c r="T277" s="805"/>
      <c r="U277" s="805"/>
      <c r="V277" s="805"/>
      <c r="W277" s="805"/>
      <c r="X277" s="805"/>
    </row>
    <row r="278" spans="1:24" ht="10.5" x14ac:dyDescent="0.35">
      <c r="A278" s="1637"/>
      <c r="B278" s="806"/>
      <c r="R278" s="164"/>
      <c r="S278" s="164"/>
      <c r="T278" s="164"/>
      <c r="U278" s="164"/>
    </row>
    <row r="279" spans="1:24" ht="10.5" x14ac:dyDescent="0.35">
      <c r="A279" s="1637"/>
      <c r="B279" s="806"/>
      <c r="R279" s="164"/>
      <c r="S279" s="164"/>
      <c r="T279" s="180"/>
      <c r="U279" s="180"/>
    </row>
    <row r="280" spans="1:24" ht="10.5" x14ac:dyDescent="0.35">
      <c r="A280" s="1635"/>
      <c r="B280" s="801"/>
      <c r="R280" s="805"/>
      <c r="S280" s="805"/>
      <c r="T280" s="805"/>
      <c r="U280" s="805"/>
    </row>
    <row r="281" spans="1:24" ht="10.5" x14ac:dyDescent="0.35">
      <c r="A281" s="1637"/>
      <c r="B281" s="806"/>
      <c r="R281" s="164"/>
      <c r="S281" s="164"/>
      <c r="T281" s="164"/>
      <c r="U281" s="164"/>
    </row>
    <row r="282" spans="1:24" ht="10.5" x14ac:dyDescent="0.35">
      <c r="A282" s="1637"/>
      <c r="B282" s="806"/>
      <c r="R282" s="164"/>
      <c r="S282" s="164"/>
      <c r="T282" s="180"/>
      <c r="U282" s="180"/>
    </row>
    <row r="283" spans="1:24" ht="10.5" x14ac:dyDescent="0.35">
      <c r="A283" s="1635"/>
      <c r="B283" s="801"/>
      <c r="R283" s="805"/>
      <c r="S283" s="805"/>
      <c r="T283" s="805"/>
      <c r="U283" s="805"/>
    </row>
    <row r="284" spans="1:24" ht="10.5" x14ac:dyDescent="0.35">
      <c r="A284" s="1637"/>
      <c r="B284" s="806"/>
      <c r="R284" s="164"/>
      <c r="S284" s="164"/>
      <c r="T284" s="164"/>
      <c r="U284" s="164"/>
    </row>
    <row r="285" spans="1:24" ht="10.5" x14ac:dyDescent="0.35">
      <c r="A285" s="1637"/>
      <c r="B285" s="806"/>
      <c r="R285" s="164"/>
      <c r="S285" s="164"/>
      <c r="T285" s="180"/>
      <c r="U285" s="180"/>
    </row>
    <row r="286" spans="1:24" ht="10.5" x14ac:dyDescent="0.35">
      <c r="A286" s="1635"/>
      <c r="B286" s="801"/>
      <c r="R286" s="805"/>
      <c r="S286" s="805"/>
      <c r="T286" s="805"/>
      <c r="U286" s="805"/>
    </row>
    <row r="287" spans="1:24" ht="10.5" x14ac:dyDescent="0.35">
      <c r="A287" s="1637"/>
      <c r="B287" s="806"/>
      <c r="R287" s="164"/>
      <c r="S287" s="164"/>
      <c r="T287" s="164"/>
      <c r="U287" s="164"/>
    </row>
    <row r="288" spans="1:24" ht="10.5" x14ac:dyDescent="0.35">
      <c r="A288" s="1637"/>
      <c r="B288" s="806"/>
      <c r="R288" s="164"/>
      <c r="S288" s="164"/>
      <c r="T288" s="180"/>
      <c r="U288" s="180"/>
    </row>
    <row r="290" spans="1:21" ht="10.5" x14ac:dyDescent="0.35">
      <c r="A290" s="1635"/>
      <c r="T290" s="803"/>
      <c r="U290" s="803"/>
    </row>
    <row r="291" spans="1:21" ht="10.5" x14ac:dyDescent="0.35">
      <c r="A291" s="1636"/>
      <c r="T291" s="164"/>
      <c r="U291" s="164"/>
    </row>
    <row r="292" spans="1:21" ht="10.5" x14ac:dyDescent="0.35">
      <c r="A292" s="1635"/>
      <c r="T292" s="805"/>
      <c r="U292" s="805"/>
    </row>
    <row r="293" spans="1:21" ht="10.5" x14ac:dyDescent="0.35">
      <c r="A293" s="1637"/>
      <c r="T293" s="164"/>
      <c r="U293" s="164"/>
    </row>
    <row r="294" spans="1:21" ht="10.5" x14ac:dyDescent="0.35">
      <c r="A294" s="1637"/>
      <c r="T294" s="180"/>
      <c r="U294" s="180"/>
    </row>
    <row r="295" spans="1:21" ht="10.5" x14ac:dyDescent="0.35">
      <c r="A295" s="1635"/>
      <c r="T295" s="805"/>
      <c r="U295" s="805"/>
    </row>
    <row r="296" spans="1:21" ht="10.5" x14ac:dyDescent="0.35">
      <c r="A296" s="1637"/>
      <c r="T296" s="164"/>
      <c r="U296" s="164"/>
    </row>
    <row r="297" spans="1:21" ht="10.5" x14ac:dyDescent="0.35">
      <c r="A297" s="1637"/>
      <c r="T297" s="180"/>
      <c r="U297" s="180"/>
    </row>
    <row r="298" spans="1:21" ht="10.5" x14ac:dyDescent="0.35">
      <c r="A298" s="1635"/>
      <c r="T298" s="805"/>
      <c r="U298" s="805"/>
    </row>
    <row r="299" spans="1:21" ht="10.5" x14ac:dyDescent="0.35">
      <c r="A299" s="1637"/>
      <c r="T299" s="164"/>
      <c r="U299" s="164"/>
    </row>
    <row r="300" spans="1:21" ht="10.5" x14ac:dyDescent="0.35">
      <c r="A300" s="1637"/>
      <c r="T300" s="180"/>
      <c r="U300" s="180"/>
    </row>
    <row r="301" spans="1:21" ht="10.5" x14ac:dyDescent="0.35">
      <c r="A301" s="1635"/>
      <c r="T301" s="805"/>
      <c r="U301" s="805"/>
    </row>
    <row r="302" spans="1:21" ht="10.5" x14ac:dyDescent="0.35">
      <c r="A302" s="1637"/>
      <c r="T302" s="164"/>
      <c r="U302" s="164"/>
    </row>
    <row r="303" spans="1:21" ht="10.5" x14ac:dyDescent="0.35">
      <c r="A303" s="1637"/>
      <c r="T303" s="180"/>
      <c r="U303" s="180"/>
    </row>
  </sheetData>
  <phoneticPr fontId="51" type="noConversion"/>
  <pageMargins left="0.75" right="0.75" top="1" bottom="1" header="0.5" footer="0.5"/>
  <pageSetup paperSize="9" fitToHeight="2"/>
  <headerFooter alignWithMargins="0">
    <oddHeader>&amp;A</oddHeader>
    <oddFooter>&amp;F</oddFooter>
  </headerFooter>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2060"/>
    <pageSetUpPr fitToPage="1"/>
  </sheetPr>
  <dimension ref="A1:AG170"/>
  <sheetViews>
    <sheetView showGridLines="0" zoomScale="130" zoomScaleNormal="130" workbookViewId="0">
      <pane xSplit="2" ySplit="2" topLeftCell="Q47" activePane="bottomRight" state="frozen"/>
      <selection pane="topRight"/>
      <selection pane="bottomLeft"/>
      <selection pane="bottomRight" activeCell="R62" sqref="R62"/>
    </sheetView>
  </sheetViews>
  <sheetFormatPr defaultColWidth="9" defaultRowHeight="12" outlineLevelCol="1" x14ac:dyDescent="0.35"/>
  <cols>
    <col min="1" max="1" width="31.0625" style="810" hidden="1" customWidth="1" outlineLevel="1"/>
    <col min="2" max="2" width="25" style="1647" customWidth="1" collapsed="1"/>
    <col min="3" max="13" width="8.0625" style="625" hidden="1" customWidth="1" outlineLevel="1"/>
    <col min="14" max="14" width="8.0625" style="625" customWidth="1" collapsed="1"/>
    <col min="15" max="23" width="8.0625" style="625" customWidth="1"/>
    <col min="24" max="33" width="8.0625" style="625" customWidth="1" outlineLevel="1"/>
    <col min="34" max="16384" width="9" style="625"/>
  </cols>
  <sheetData>
    <row r="1" spans="1:33" x14ac:dyDescent="0.35">
      <c r="A1" s="811" t="s">
        <v>2081</v>
      </c>
      <c r="B1" s="1640" t="s">
        <v>2935</v>
      </c>
      <c r="D1" s="812"/>
      <c r="E1" s="812"/>
      <c r="F1" s="812"/>
      <c r="G1" s="812">
        <f t="shared" ref="G1:T1" si="0">G29/(F15+G3)</f>
        <v>0.23421130908555438</v>
      </c>
      <c r="H1" s="812">
        <f t="shared" si="0"/>
        <v>0.32518759630200306</v>
      </c>
      <c r="I1" s="812">
        <f t="shared" si="0"/>
        <v>0.23783457504520797</v>
      </c>
      <c r="J1" s="812">
        <f t="shared" si="0"/>
        <v>0.20846171854216544</v>
      </c>
      <c r="K1" s="812">
        <f t="shared" si="0"/>
        <v>0.25016852230863695</v>
      </c>
      <c r="L1" s="812">
        <f t="shared" si="0"/>
        <v>0.18803434864846699</v>
      </c>
      <c r="M1" s="812">
        <f t="shared" si="0"/>
        <v>0.13052378085490668</v>
      </c>
      <c r="N1" s="812">
        <f t="shared" si="0"/>
        <v>0.11541252299516251</v>
      </c>
      <c r="O1" s="812">
        <f t="shared" si="0"/>
        <v>0.12182999740057188</v>
      </c>
      <c r="P1" s="812">
        <f t="shared" si="0"/>
        <v>0.12250689626347906</v>
      </c>
      <c r="Q1" s="812">
        <f t="shared" si="0"/>
        <v>0.12650120422908928</v>
      </c>
      <c r="R1" s="812">
        <f t="shared" si="0"/>
        <v>0.1411820097753464</v>
      </c>
      <c r="S1" s="812">
        <f t="shared" si="0"/>
        <v>0.15551136139881069</v>
      </c>
      <c r="T1" s="812">
        <f t="shared" si="0"/>
        <v>0.16888744682385176</v>
      </c>
      <c r="U1" s="812">
        <f>U29/(T15+U3)</f>
        <v>0.22249015102905359</v>
      </c>
      <c r="V1" s="812">
        <f>V29/(U15+V3)</f>
        <v>0.19108328156165189</v>
      </c>
      <c r="W1" s="812">
        <f>W29/(V15+W3)</f>
        <v>0.16703102210714343</v>
      </c>
      <c r="X1" s="813">
        <v>0.18</v>
      </c>
      <c r="Y1" s="813">
        <v>0.17</v>
      </c>
      <c r="Z1" s="813">
        <v>0.16</v>
      </c>
      <c r="AA1" s="813">
        <f t="shared" ref="AA1:AG1" si="1">Z1</f>
        <v>0.16</v>
      </c>
      <c r="AB1" s="813">
        <f t="shared" si="1"/>
        <v>0.16</v>
      </c>
      <c r="AC1" s="813">
        <f t="shared" si="1"/>
        <v>0.16</v>
      </c>
      <c r="AD1" s="813">
        <f t="shared" si="1"/>
        <v>0.16</v>
      </c>
      <c r="AE1" s="813">
        <f t="shared" si="1"/>
        <v>0.16</v>
      </c>
      <c r="AF1" s="813">
        <f t="shared" si="1"/>
        <v>0.16</v>
      </c>
      <c r="AG1" s="813">
        <f t="shared" si="1"/>
        <v>0.16</v>
      </c>
    </row>
    <row r="2" spans="1:33" s="322" customFormat="1" ht="11.65" x14ac:dyDescent="0.4">
      <c r="A2" s="814" t="s">
        <v>759</v>
      </c>
      <c r="B2" s="1641" t="s">
        <v>2958</v>
      </c>
      <c r="C2" s="815" t="s">
        <v>328</v>
      </c>
      <c r="D2" s="815" t="s">
        <v>323</v>
      </c>
      <c r="E2" s="815" t="s">
        <v>198</v>
      </c>
      <c r="F2" s="815" t="s">
        <v>331</v>
      </c>
      <c r="G2" s="815" t="s">
        <v>56</v>
      </c>
      <c r="H2" s="815" t="s">
        <v>721</v>
      </c>
      <c r="I2" s="815" t="s">
        <v>747</v>
      </c>
      <c r="J2" s="816" t="s">
        <v>1748</v>
      </c>
      <c r="K2" s="816" t="s">
        <v>2042</v>
      </c>
      <c r="L2" s="816" t="s">
        <v>1510</v>
      </c>
      <c r="M2" s="816" t="s">
        <v>1587</v>
      </c>
      <c r="N2" s="816" t="s">
        <v>1739</v>
      </c>
      <c r="O2" s="816" t="s">
        <v>1810</v>
      </c>
      <c r="P2" s="816" t="s">
        <v>1818</v>
      </c>
      <c r="Q2" s="816" t="str">
        <f>PL!Q3</f>
        <v>2019A</v>
      </c>
      <c r="R2" s="816" t="str">
        <f>PL!R3</f>
        <v>2020A</v>
      </c>
      <c r="S2" s="816" t="str">
        <f>PL!S3</f>
        <v>2021A</v>
      </c>
      <c r="T2" s="816" t="str">
        <f>PL!T3</f>
        <v>2022A</v>
      </c>
      <c r="U2" s="816" t="str">
        <f>PL!U3</f>
        <v>2023A</v>
      </c>
      <c r="V2" s="816" t="str">
        <f>PL!V3</f>
        <v>2024A</v>
      </c>
      <c r="W2" s="816" t="str">
        <f>PL!W3</f>
        <v>2025A</v>
      </c>
      <c r="X2" s="816" t="str">
        <f>PL!X3</f>
        <v>2026E</v>
      </c>
      <c r="Y2" s="816" t="str">
        <f>PL!Y3</f>
        <v>2027E</v>
      </c>
      <c r="Z2" s="816" t="str">
        <f>PL!Z3</f>
        <v>2028E</v>
      </c>
      <c r="AA2" s="816" t="str">
        <f>PL!AA3</f>
        <v>2029E</v>
      </c>
      <c r="AB2" s="816" t="str">
        <f>PL!AB3</f>
        <v>2030E</v>
      </c>
      <c r="AC2" s="816" t="str">
        <f>PL!AC3</f>
        <v>2031E</v>
      </c>
      <c r="AD2" s="816" t="str">
        <f>PL!AD3</f>
        <v>2032E</v>
      </c>
      <c r="AE2" s="816" t="str">
        <f>PL!AE3</f>
        <v>2033E</v>
      </c>
      <c r="AF2" s="816" t="str">
        <f>PL!AF3</f>
        <v>2034E</v>
      </c>
      <c r="AG2" s="816" t="str">
        <f>PL!AG3</f>
        <v>2035E</v>
      </c>
    </row>
    <row r="3" spans="1:33" x14ac:dyDescent="0.35">
      <c r="A3" s="817" t="s">
        <v>1474</v>
      </c>
      <c r="B3" s="1649" t="s">
        <v>2957</v>
      </c>
      <c r="C3" s="818"/>
      <c r="D3" s="818"/>
      <c r="E3" s="818"/>
      <c r="F3" s="819">
        <v>1260</v>
      </c>
      <c r="G3" s="819">
        <v>5880</v>
      </c>
      <c r="H3" s="819">
        <v>7770</v>
      </c>
      <c r="I3" s="818">
        <f t="shared" ref="I3:P3" si="2">I5+I8</f>
        <v>19780</v>
      </c>
      <c r="J3" s="818">
        <f t="shared" si="2"/>
        <v>15590</v>
      </c>
      <c r="K3" s="818">
        <f t="shared" si="2"/>
        <v>23040</v>
      </c>
      <c r="L3" s="818">
        <f t="shared" si="2"/>
        <v>38660</v>
      </c>
      <c r="M3" s="818">
        <f t="shared" si="2"/>
        <v>48250</v>
      </c>
      <c r="N3" s="818">
        <f t="shared" si="2"/>
        <v>58540</v>
      </c>
      <c r="O3" s="818">
        <f t="shared" si="2"/>
        <v>75100</v>
      </c>
      <c r="P3" s="818">
        <f t="shared" si="2"/>
        <v>81940</v>
      </c>
      <c r="Q3" s="819">
        <v>55430</v>
      </c>
      <c r="R3" s="819">
        <v>65580</v>
      </c>
      <c r="S3" s="819">
        <v>81150</v>
      </c>
      <c r="T3" s="819">
        <v>91930</v>
      </c>
      <c r="U3" s="819">
        <v>96055</v>
      </c>
      <c r="V3" s="819">
        <v>100190</v>
      </c>
      <c r="W3" s="819">
        <f>106911</f>
        <v>106911</v>
      </c>
      <c r="X3" s="818">
        <f t="shared" ref="X3:AC3" si="3">W3*(1+X4)</f>
        <v>117602.1</v>
      </c>
      <c r="Y3" s="818">
        <f t="shared" si="3"/>
        <v>112898.016</v>
      </c>
      <c r="Z3" s="818">
        <f t="shared" si="3"/>
        <v>111769.03584</v>
      </c>
      <c r="AA3" s="818">
        <f t="shared" si="3"/>
        <v>114004.4165568</v>
      </c>
      <c r="AB3" s="818">
        <f t="shared" si="3"/>
        <v>117424.549053504</v>
      </c>
      <c r="AC3" s="818">
        <f t="shared" si="3"/>
        <v>120712.43642700212</v>
      </c>
      <c r="AD3" s="818">
        <f t="shared" ref="AD3" si="4">AC3*(1+AD4)</f>
        <v>123850.95977410418</v>
      </c>
      <c r="AE3" s="818">
        <f t="shared" ref="AE3" si="5">AD3*(1+AE4)</f>
        <v>126823.38280868268</v>
      </c>
      <c r="AF3" s="818">
        <f t="shared" ref="AF3:AG3" si="6">AE3*(1+AF4)</f>
        <v>129613.4972304737</v>
      </c>
      <c r="AG3" s="818">
        <f t="shared" si="6"/>
        <v>132205.76717508317</v>
      </c>
    </row>
    <row r="4" spans="1:33" x14ac:dyDescent="0.35">
      <c r="A4" s="674" t="s">
        <v>577</v>
      </c>
      <c r="B4" s="1643" t="s">
        <v>577</v>
      </c>
      <c r="C4" s="820"/>
      <c r="D4" s="820"/>
      <c r="E4" s="820"/>
      <c r="F4" s="820"/>
      <c r="G4" s="820">
        <f t="shared" ref="G4:V4" si="7">G3/F3-1</f>
        <v>3.666666666666667</v>
      </c>
      <c r="H4" s="820">
        <f t="shared" si="7"/>
        <v>0.3214285714285714</v>
      </c>
      <c r="I4" s="820">
        <f t="shared" si="7"/>
        <v>1.5456885456885456</v>
      </c>
      <c r="J4" s="820">
        <f t="shared" si="7"/>
        <v>-0.2118301314459049</v>
      </c>
      <c r="K4" s="820">
        <f t="shared" si="7"/>
        <v>0.47787042976266836</v>
      </c>
      <c r="L4" s="820">
        <f t="shared" si="7"/>
        <v>0.67795138888888884</v>
      </c>
      <c r="M4" s="820">
        <f t="shared" si="7"/>
        <v>0.24806001034661151</v>
      </c>
      <c r="N4" s="820">
        <f t="shared" si="7"/>
        <v>0.21326424870466321</v>
      </c>
      <c r="O4" s="820">
        <f t="shared" si="7"/>
        <v>0.28288349846258964</v>
      </c>
      <c r="P4" s="820">
        <f t="shared" si="7"/>
        <v>9.1078561917443457E-2</v>
      </c>
      <c r="Q4" s="820">
        <f t="shared" si="7"/>
        <v>-0.32352941176470584</v>
      </c>
      <c r="R4" s="820">
        <f t="shared" si="7"/>
        <v>0.18311383727223518</v>
      </c>
      <c r="S4" s="820">
        <f t="shared" si="7"/>
        <v>0.23741994510521502</v>
      </c>
      <c r="T4" s="820">
        <f t="shared" si="7"/>
        <v>0.13284041897720278</v>
      </c>
      <c r="U4" s="820">
        <f t="shared" si="7"/>
        <v>4.4871097574241237E-2</v>
      </c>
      <c r="V4" s="820">
        <f t="shared" si="7"/>
        <v>4.3048253604705655E-2</v>
      </c>
      <c r="W4" s="820">
        <f>W3/V3-1</f>
        <v>6.7082543167980901E-2</v>
      </c>
      <c r="X4" s="821">
        <v>0.1</v>
      </c>
      <c r="Y4" s="821">
        <v>-0.04</v>
      </c>
      <c r="Z4" s="821">
        <v>-0.01</v>
      </c>
      <c r="AA4" s="821">
        <v>0.02</v>
      </c>
      <c r="AB4" s="821">
        <v>0.03</v>
      </c>
      <c r="AC4" s="821">
        <f t="shared" ref="AC4:AG4" si="8">AB4-0.2%</f>
        <v>2.7999999999999997E-2</v>
      </c>
      <c r="AD4" s="821">
        <f t="shared" si="8"/>
        <v>2.5999999999999995E-2</v>
      </c>
      <c r="AE4" s="821">
        <f t="shared" si="8"/>
        <v>2.3999999999999994E-2</v>
      </c>
      <c r="AF4" s="821">
        <f t="shared" si="8"/>
        <v>2.1999999999999992E-2</v>
      </c>
      <c r="AG4" s="821">
        <f t="shared" si="8"/>
        <v>1.999999999999999E-2</v>
      </c>
    </row>
    <row r="5" spans="1:33" x14ac:dyDescent="0.35">
      <c r="A5" s="822" t="s">
        <v>2084</v>
      </c>
      <c r="B5" s="1650" t="s">
        <v>2974</v>
      </c>
      <c r="C5" s="823"/>
      <c r="D5" s="824"/>
      <c r="E5" s="824"/>
      <c r="F5" s="824"/>
      <c r="G5" s="825"/>
      <c r="H5" s="825"/>
      <c r="I5" s="825">
        <v>930</v>
      </c>
      <c r="J5" s="825">
        <v>590</v>
      </c>
      <c r="K5" s="825">
        <v>600</v>
      </c>
      <c r="L5" s="825">
        <f>0.83*1000</f>
        <v>830</v>
      </c>
      <c r="M5" s="826">
        <v>2420</v>
      </c>
      <c r="N5" s="826">
        <v>750</v>
      </c>
      <c r="O5" s="826">
        <v>2470</v>
      </c>
      <c r="P5" s="827">
        <v>0</v>
      </c>
      <c r="Q5" s="824"/>
      <c r="R5" s="824"/>
      <c r="S5" s="824"/>
      <c r="T5" s="824"/>
      <c r="U5" s="824"/>
      <c r="V5" s="824"/>
      <c r="W5" s="824"/>
      <c r="X5" s="824"/>
      <c r="Y5" s="824"/>
      <c r="Z5" s="824"/>
      <c r="AA5" s="824"/>
      <c r="AB5" s="824"/>
      <c r="AC5" s="824"/>
      <c r="AD5" s="824"/>
      <c r="AE5" s="824"/>
      <c r="AF5" s="824"/>
      <c r="AG5" s="824"/>
    </row>
    <row r="6" spans="1:33" x14ac:dyDescent="0.35">
      <c r="A6" s="630" t="s">
        <v>577</v>
      </c>
      <c r="B6" s="1651" t="s">
        <v>577</v>
      </c>
      <c r="C6" s="828"/>
      <c r="D6" s="828"/>
      <c r="E6" s="828"/>
      <c r="F6" s="828"/>
      <c r="G6" s="828"/>
      <c r="H6" s="828"/>
      <c r="I6" s="828"/>
      <c r="J6" s="828">
        <f t="shared" ref="J6:P6" si="9">J5/I5-1</f>
        <v>-0.36559139784946237</v>
      </c>
      <c r="K6" s="828">
        <f t="shared" si="9"/>
        <v>1.6949152542372836E-2</v>
      </c>
      <c r="L6" s="828">
        <f t="shared" si="9"/>
        <v>0.3833333333333333</v>
      </c>
      <c r="M6" s="828">
        <f t="shared" si="9"/>
        <v>1.9156626506024095</v>
      </c>
      <c r="N6" s="828">
        <f t="shared" si="9"/>
        <v>-0.69008264462809921</v>
      </c>
      <c r="O6" s="828">
        <f t="shared" si="9"/>
        <v>2.2933333333333334</v>
      </c>
      <c r="P6" s="828">
        <f t="shared" si="9"/>
        <v>-1</v>
      </c>
      <c r="Q6" s="829"/>
      <c r="R6" s="829"/>
      <c r="S6" s="829"/>
      <c r="T6" s="829"/>
      <c r="U6" s="829"/>
      <c r="V6" s="829"/>
      <c r="W6" s="829"/>
      <c r="X6" s="829"/>
      <c r="Y6" s="829"/>
      <c r="Z6" s="829"/>
      <c r="AA6" s="829"/>
      <c r="AB6" s="829"/>
      <c r="AC6" s="829"/>
      <c r="AD6" s="829"/>
      <c r="AE6" s="829"/>
      <c r="AF6" s="829"/>
      <c r="AG6" s="829"/>
    </row>
    <row r="7" spans="1:33" x14ac:dyDescent="0.35">
      <c r="A7" s="630"/>
      <c r="B7" s="1651"/>
      <c r="C7" s="828"/>
      <c r="D7" s="828"/>
      <c r="E7" s="828"/>
      <c r="F7" s="828"/>
      <c r="G7" s="828"/>
      <c r="H7" s="828"/>
      <c r="I7" s="828"/>
      <c r="J7" s="828"/>
      <c r="K7" s="828"/>
      <c r="L7" s="828"/>
      <c r="M7" s="828"/>
      <c r="N7" s="828"/>
      <c r="O7" s="828"/>
      <c r="P7" s="829"/>
      <c r="Q7" s="829"/>
      <c r="R7" s="829"/>
      <c r="S7" s="829"/>
      <c r="T7" s="829"/>
      <c r="U7" s="829"/>
      <c r="V7" s="829"/>
      <c r="W7" s="829"/>
      <c r="X7" s="829"/>
      <c r="Y7" s="829"/>
      <c r="Z7" s="829"/>
      <c r="AA7" s="829"/>
      <c r="AB7" s="829"/>
      <c r="AC7" s="829"/>
      <c r="AD7" s="829"/>
      <c r="AE7" s="829"/>
      <c r="AF7" s="829"/>
      <c r="AG7" s="829"/>
    </row>
    <row r="8" spans="1:33" x14ac:dyDescent="0.35">
      <c r="A8" s="830" t="s">
        <v>195</v>
      </c>
      <c r="B8" s="1652" t="s">
        <v>2975</v>
      </c>
      <c r="C8" s="828"/>
      <c r="D8" s="828"/>
      <c r="E8" s="828"/>
      <c r="F8" s="828"/>
      <c r="G8" s="828"/>
      <c r="H8" s="828"/>
      <c r="I8" s="831">
        <f>I10+I12</f>
        <v>18850</v>
      </c>
      <c r="J8" s="831">
        <f>J10+J12</f>
        <v>15000</v>
      </c>
      <c r="K8" s="831">
        <f>K10+K12</f>
        <v>22440</v>
      </c>
      <c r="L8" s="831">
        <f>L10+L12</f>
        <v>37830</v>
      </c>
      <c r="M8" s="831">
        <f>M10+M12</f>
        <v>45830</v>
      </c>
      <c r="N8" s="831">
        <v>57790</v>
      </c>
      <c r="O8" s="831">
        <v>72630</v>
      </c>
      <c r="P8" s="831">
        <v>81940</v>
      </c>
      <c r="Q8" s="829"/>
      <c r="R8" s="829"/>
      <c r="S8" s="829"/>
      <c r="T8" s="829"/>
      <c r="U8" s="829"/>
      <c r="V8" s="829"/>
      <c r="W8" s="829"/>
      <c r="X8" s="829"/>
      <c r="Y8" s="829"/>
      <c r="Z8" s="829"/>
      <c r="AA8" s="829"/>
      <c r="AB8" s="829"/>
      <c r="AC8" s="829"/>
      <c r="AD8" s="829"/>
      <c r="AE8" s="829"/>
      <c r="AF8" s="829"/>
      <c r="AG8" s="829"/>
    </row>
    <row r="9" spans="1:33" x14ac:dyDescent="0.35">
      <c r="A9" s="630" t="s">
        <v>577</v>
      </c>
      <c r="B9" s="1653" t="s">
        <v>577</v>
      </c>
      <c r="C9" s="828"/>
      <c r="D9" s="828"/>
      <c r="E9" s="828"/>
      <c r="F9" s="828"/>
      <c r="G9" s="828"/>
      <c r="H9" s="828"/>
      <c r="I9" s="828"/>
      <c r="J9" s="828">
        <f t="shared" ref="J9:P9" si="10">J8/I8-1</f>
        <v>-0.20424403183023876</v>
      </c>
      <c r="K9" s="828">
        <f t="shared" si="10"/>
        <v>0.496</v>
      </c>
      <c r="L9" s="828">
        <f t="shared" si="10"/>
        <v>0.68582887700534756</v>
      </c>
      <c r="M9" s="828">
        <f t="shared" si="10"/>
        <v>0.21147237642082994</v>
      </c>
      <c r="N9" s="828">
        <f t="shared" si="10"/>
        <v>0.26096443377700207</v>
      </c>
      <c r="O9" s="828">
        <f t="shared" si="10"/>
        <v>0.25679183249697179</v>
      </c>
      <c r="P9" s="828">
        <f t="shared" si="10"/>
        <v>0.12818394602781225</v>
      </c>
      <c r="Q9" s="829"/>
      <c r="R9" s="829"/>
      <c r="S9" s="829"/>
      <c r="T9" s="829"/>
      <c r="U9" s="829"/>
      <c r="V9" s="829"/>
      <c r="W9" s="829"/>
      <c r="X9" s="829"/>
      <c r="Y9" s="829"/>
      <c r="Z9" s="829"/>
      <c r="AA9" s="829"/>
      <c r="AB9" s="829"/>
      <c r="AC9" s="829"/>
      <c r="AD9" s="829"/>
      <c r="AE9" s="829"/>
      <c r="AF9" s="829"/>
      <c r="AG9" s="829"/>
    </row>
    <row r="10" spans="1:33" x14ac:dyDescent="0.35">
      <c r="A10" s="832" t="s">
        <v>2085</v>
      </c>
      <c r="B10" s="1654" t="s">
        <v>2976</v>
      </c>
      <c r="C10" s="828"/>
      <c r="D10" s="833"/>
      <c r="E10" s="833"/>
      <c r="F10" s="833"/>
      <c r="G10" s="831"/>
      <c r="H10" s="831"/>
      <c r="I10" s="831">
        <v>10090</v>
      </c>
      <c r="J10" s="831">
        <v>2710</v>
      </c>
      <c r="K10" s="831">
        <v>7360</v>
      </c>
      <c r="L10" s="831">
        <v>10570</v>
      </c>
      <c r="M10" s="834">
        <v>23790</v>
      </c>
      <c r="N10" s="833"/>
      <c r="O10" s="833"/>
      <c r="P10" s="833"/>
      <c r="Q10" s="833"/>
      <c r="R10" s="833"/>
      <c r="S10" s="833"/>
      <c r="T10" s="833"/>
      <c r="U10" s="833"/>
      <c r="V10" s="833"/>
      <c r="W10" s="833"/>
      <c r="X10" s="833"/>
      <c r="Y10" s="833"/>
      <c r="Z10" s="833"/>
      <c r="AA10" s="833"/>
      <c r="AB10" s="833"/>
      <c r="AC10" s="833"/>
      <c r="AD10" s="833"/>
      <c r="AE10" s="833"/>
      <c r="AF10" s="833"/>
      <c r="AG10" s="833"/>
    </row>
    <row r="11" spans="1:33" x14ac:dyDescent="0.35">
      <c r="A11" s="835" t="s">
        <v>577</v>
      </c>
      <c r="B11" s="1655" t="s">
        <v>577</v>
      </c>
      <c r="C11" s="828"/>
      <c r="D11" s="833"/>
      <c r="E11" s="828"/>
      <c r="F11" s="828"/>
      <c r="G11" s="828"/>
      <c r="H11" s="828"/>
      <c r="I11" s="828"/>
      <c r="J11" s="828">
        <f>J10/I10-1</f>
        <v>-0.73141724479682857</v>
      </c>
      <c r="K11" s="828">
        <f>K10/J10-1</f>
        <v>1.7158671586715868</v>
      </c>
      <c r="L11" s="828">
        <f>L10/K10-1</f>
        <v>0.43614130434782616</v>
      </c>
      <c r="M11" s="828">
        <f>M10/L10-1</f>
        <v>1.2507095553453169</v>
      </c>
      <c r="N11" s="829"/>
      <c r="O11" s="829"/>
      <c r="P11" s="829"/>
      <c r="Q11" s="829"/>
      <c r="R11" s="829"/>
      <c r="S11" s="829"/>
      <c r="T11" s="829"/>
      <c r="U11" s="829"/>
      <c r="V11" s="829"/>
      <c r="W11" s="829"/>
      <c r="X11" s="829"/>
      <c r="Y11" s="829"/>
      <c r="Z11" s="829"/>
      <c r="AA11" s="829"/>
      <c r="AB11" s="829"/>
      <c r="AC11" s="829"/>
      <c r="AD11" s="829"/>
      <c r="AE11" s="829"/>
      <c r="AF11" s="829"/>
      <c r="AG11" s="829"/>
    </row>
    <row r="12" spans="1:33" x14ac:dyDescent="0.35">
      <c r="A12" s="832" t="s">
        <v>2086</v>
      </c>
      <c r="B12" s="1654" t="s">
        <v>2977</v>
      </c>
      <c r="C12" s="828"/>
      <c r="D12" s="833"/>
      <c r="E12" s="833"/>
      <c r="F12" s="833"/>
      <c r="G12" s="836"/>
      <c r="H12" s="836"/>
      <c r="I12" s="836">
        <v>8760</v>
      </c>
      <c r="J12" s="836">
        <v>12290</v>
      </c>
      <c r="K12" s="836">
        <v>15080</v>
      </c>
      <c r="L12" s="836">
        <v>27260</v>
      </c>
      <c r="M12" s="836">
        <v>22040</v>
      </c>
      <c r="N12" s="833"/>
      <c r="O12" s="833"/>
      <c r="P12" s="833"/>
      <c r="Q12" s="833"/>
      <c r="R12" s="833"/>
      <c r="S12" s="833"/>
      <c r="T12" s="833"/>
      <c r="U12" s="833"/>
      <c r="V12" s="833"/>
      <c r="W12" s="833"/>
      <c r="X12" s="833"/>
      <c r="Y12" s="833"/>
      <c r="Z12" s="833"/>
      <c r="AA12" s="833"/>
      <c r="AB12" s="833"/>
      <c r="AC12" s="833"/>
      <c r="AD12" s="833"/>
      <c r="AE12" s="833"/>
      <c r="AF12" s="833"/>
      <c r="AG12" s="833"/>
    </row>
    <row r="13" spans="1:33" x14ac:dyDescent="0.35">
      <c r="A13" s="837" t="s">
        <v>577</v>
      </c>
      <c r="B13" s="1656" t="s">
        <v>577</v>
      </c>
      <c r="C13" s="838"/>
      <c r="D13" s="839"/>
      <c r="E13" s="838"/>
      <c r="F13" s="838"/>
      <c r="G13" s="838"/>
      <c r="H13" s="838"/>
      <c r="I13" s="838"/>
      <c r="J13" s="838">
        <f>J12/I12-1</f>
        <v>0.40296803652968038</v>
      </c>
      <c r="K13" s="838">
        <f>K12/J12-1</f>
        <v>0.22701383238405204</v>
      </c>
      <c r="L13" s="838">
        <f>L12/K12-1</f>
        <v>0.80769230769230771</v>
      </c>
      <c r="M13" s="838">
        <f>M12/L12-1</f>
        <v>-0.19148936170212771</v>
      </c>
      <c r="N13" s="840"/>
      <c r="O13" s="840"/>
      <c r="P13" s="840"/>
      <c r="Q13" s="840"/>
      <c r="R13" s="840"/>
      <c r="S13" s="840"/>
      <c r="T13" s="840"/>
      <c r="U13" s="840"/>
      <c r="V13" s="840"/>
      <c r="W13" s="840"/>
      <c r="X13" s="840"/>
      <c r="Y13" s="840"/>
      <c r="Z13" s="840"/>
      <c r="AA13" s="840"/>
      <c r="AB13" s="840"/>
      <c r="AC13" s="840"/>
      <c r="AD13" s="840"/>
      <c r="AE13" s="840"/>
      <c r="AF13" s="840"/>
      <c r="AG13" s="840"/>
    </row>
    <row r="14" spans="1:33" x14ac:dyDescent="0.35">
      <c r="A14" s="811"/>
      <c r="B14" s="1643"/>
      <c r="C14" s="820"/>
      <c r="D14" s="820"/>
      <c r="E14" s="841"/>
      <c r="F14" s="841"/>
      <c r="G14" s="841"/>
      <c r="H14" s="841"/>
      <c r="I14" s="841"/>
      <c r="J14" s="841"/>
      <c r="K14" s="841"/>
      <c r="L14" s="841"/>
      <c r="M14" s="841"/>
      <c r="N14" s="841"/>
      <c r="O14" s="841"/>
      <c r="P14" s="841"/>
      <c r="Q14" s="841"/>
      <c r="R14" s="841"/>
      <c r="S14" s="841"/>
      <c r="T14" s="841"/>
      <c r="U14" s="841"/>
      <c r="V14" s="841"/>
      <c r="W14" s="841"/>
      <c r="X14" s="841"/>
      <c r="Y14" s="841"/>
      <c r="Z14" s="841"/>
      <c r="AA14" s="841"/>
      <c r="AB14" s="841"/>
      <c r="AC14" s="841"/>
      <c r="AD14" s="841"/>
      <c r="AE14" s="841"/>
      <c r="AF14" s="841"/>
      <c r="AG14" s="841"/>
    </row>
    <row r="15" spans="1:33" x14ac:dyDescent="0.35">
      <c r="A15" s="811" t="s">
        <v>2087</v>
      </c>
      <c r="B15" s="1644" t="s">
        <v>2959</v>
      </c>
      <c r="C15" s="841"/>
      <c r="D15" s="841"/>
      <c r="E15" s="841"/>
      <c r="F15" s="842">
        <v>911</v>
      </c>
      <c r="G15" s="842">
        <v>5210</v>
      </c>
      <c r="H15" s="842">
        <v>7870</v>
      </c>
      <c r="I15" s="841">
        <f t="shared" ref="I15:P15" si="11">I17+I19+I21</f>
        <v>22000</v>
      </c>
      <c r="J15" s="841">
        <f t="shared" si="11"/>
        <v>25820</v>
      </c>
      <c r="K15" s="841">
        <f t="shared" si="11"/>
        <v>36290</v>
      </c>
      <c r="L15" s="841">
        <f t="shared" si="11"/>
        <v>51410</v>
      </c>
      <c r="M15" s="841">
        <f t="shared" si="11"/>
        <v>88230</v>
      </c>
      <c r="N15" s="841">
        <f t="shared" si="11"/>
        <v>117250</v>
      </c>
      <c r="O15" s="841">
        <f t="shared" si="11"/>
        <v>157320</v>
      </c>
      <c r="P15" s="841">
        <f t="shared" si="11"/>
        <v>189540</v>
      </c>
      <c r="Q15" s="842">
        <v>157430</v>
      </c>
      <c r="R15" s="842">
        <v>172780</v>
      </c>
      <c r="S15" s="842">
        <v>185450</v>
      </c>
      <c r="T15" s="842">
        <v>193823</v>
      </c>
      <c r="U15" s="842">
        <v>205640</v>
      </c>
      <c r="V15" s="842">
        <v>198194</v>
      </c>
      <c r="W15" s="842">
        <f>196465</f>
        <v>196465</v>
      </c>
      <c r="X15" s="841">
        <f t="shared" ref="X15:AC15" si="12">W15+X3-X25</f>
        <v>254695.71199999997</v>
      </c>
      <c r="Y15" s="841">
        <f t="shared" si="12"/>
        <v>302098.47133999999</v>
      </c>
      <c r="Z15" s="841">
        <f t="shared" si="12"/>
        <v>344469.62982819998</v>
      </c>
      <c r="AA15" s="841">
        <f t="shared" si="12"/>
        <v>381754.04944134998</v>
      </c>
      <c r="AB15" s="841">
        <f t="shared" si="12"/>
        <v>415749.86563302827</v>
      </c>
      <c r="AC15" s="841">
        <f t="shared" si="12"/>
        <v>446860.58383406315</v>
      </c>
      <c r="AD15" s="841">
        <f t="shared" ref="AD15" si="13">AC15+AD3-AD25</f>
        <v>475410.07887213537</v>
      </c>
      <c r="AE15" s="841">
        <f t="shared" ref="AE15" si="14">AD15+AE3-AE25</f>
        <v>501655.61603300006</v>
      </c>
      <c r="AF15" s="841">
        <f t="shared" ref="AF15:AG15" si="15">AE15+AF3-AF25</f>
        <v>525798.90839241992</v>
      </c>
      <c r="AG15" s="841">
        <f t="shared" si="15"/>
        <v>547995.52369569475</v>
      </c>
    </row>
    <row r="16" spans="1:33" x14ac:dyDescent="0.35">
      <c r="A16" s="622" t="s">
        <v>577</v>
      </c>
      <c r="B16" s="1657" t="s">
        <v>577</v>
      </c>
      <c r="C16" s="843"/>
      <c r="D16" s="843"/>
      <c r="E16" s="843"/>
      <c r="F16" s="843"/>
      <c r="G16" s="843">
        <f t="shared" ref="G16:AC16" si="16">G15/F15-1</f>
        <v>4.7189901207464322</v>
      </c>
      <c r="H16" s="843">
        <f t="shared" si="16"/>
        <v>0.51055662188099804</v>
      </c>
      <c r="I16" s="843">
        <f t="shared" si="16"/>
        <v>1.7954256670902162</v>
      </c>
      <c r="J16" s="843">
        <f t="shared" si="16"/>
        <v>0.17363636363636359</v>
      </c>
      <c r="K16" s="843">
        <f t="shared" si="16"/>
        <v>0.40549961270333079</v>
      </c>
      <c r="L16" s="843">
        <f t="shared" si="16"/>
        <v>0.41664370349958668</v>
      </c>
      <c r="M16" s="843">
        <f t="shared" si="16"/>
        <v>0.71620307333203659</v>
      </c>
      <c r="N16" s="843">
        <f t="shared" si="16"/>
        <v>0.32891306811742038</v>
      </c>
      <c r="O16" s="843">
        <f t="shared" si="16"/>
        <v>0.34174840085287839</v>
      </c>
      <c r="P16" s="843">
        <f t="shared" si="16"/>
        <v>0.20480549199084663</v>
      </c>
      <c r="Q16" s="843">
        <f t="shared" si="16"/>
        <v>-0.16941015089163236</v>
      </c>
      <c r="R16" s="843">
        <f t="shared" si="16"/>
        <v>9.7503652416947251E-2</v>
      </c>
      <c r="S16" s="843">
        <f t="shared" si="16"/>
        <v>7.3330246556314371E-2</v>
      </c>
      <c r="T16" s="843">
        <f t="shared" si="16"/>
        <v>4.5149636020490602E-2</v>
      </c>
      <c r="U16" s="843">
        <f t="shared" si="16"/>
        <v>6.096799657419405E-2</v>
      </c>
      <c r="V16" s="843">
        <f t="shared" si="16"/>
        <v>-3.6208908772612292E-2</v>
      </c>
      <c r="W16" s="843">
        <f t="shared" si="16"/>
        <v>-8.7237756945215406E-3</v>
      </c>
      <c r="X16" s="843">
        <f t="shared" si="16"/>
        <v>0.29639229379278742</v>
      </c>
      <c r="Y16" s="843">
        <f t="shared" si="16"/>
        <v>0.18611526267077494</v>
      </c>
      <c r="Z16" s="843">
        <f t="shared" si="16"/>
        <v>0.14025611682262662</v>
      </c>
      <c r="AA16" s="843">
        <f t="shared" si="16"/>
        <v>0.10823717502104668</v>
      </c>
      <c r="AB16" s="843">
        <f t="shared" si="16"/>
        <v>8.9051619076279565E-2</v>
      </c>
      <c r="AC16" s="843">
        <f t="shared" si="16"/>
        <v>7.483037463804143E-2</v>
      </c>
      <c r="AD16" s="843">
        <f t="shared" ref="AD16" si="17">AD15/AC15-1</f>
        <v>6.3889042960821429E-2</v>
      </c>
      <c r="AE16" s="843">
        <f t="shared" ref="AE16" si="18">AE15/AD15-1</f>
        <v>5.520610169462481E-2</v>
      </c>
      <c r="AF16" s="843">
        <f t="shared" ref="AF16:AG16" si="19">AF15/AE15-1</f>
        <v>4.8127224310455352E-2</v>
      </c>
      <c r="AG16" s="843">
        <f t="shared" si="19"/>
        <v>4.2215027359297608E-2</v>
      </c>
    </row>
    <row r="17" spans="1:33" x14ac:dyDescent="0.35">
      <c r="A17" s="844" t="s">
        <v>2084</v>
      </c>
      <c r="B17" s="1658" t="s">
        <v>2978</v>
      </c>
      <c r="C17" s="823"/>
      <c r="D17" s="824"/>
      <c r="E17" s="824"/>
      <c r="F17" s="824"/>
      <c r="G17" s="823"/>
      <c r="H17" s="825"/>
      <c r="I17" s="825">
        <v>3140</v>
      </c>
      <c r="J17" s="825">
        <v>1040</v>
      </c>
      <c r="K17" s="825">
        <v>410</v>
      </c>
      <c r="L17" s="825">
        <v>570</v>
      </c>
      <c r="M17" s="826">
        <v>2090</v>
      </c>
      <c r="N17" s="826">
        <v>2040</v>
      </c>
      <c r="O17" s="826">
        <v>3550</v>
      </c>
      <c r="P17" s="826">
        <v>0</v>
      </c>
      <c r="Q17" s="824"/>
      <c r="R17" s="824"/>
      <c r="S17" s="824"/>
      <c r="T17" s="824"/>
      <c r="U17" s="824"/>
      <c r="V17" s="824"/>
      <c r="W17" s="824"/>
      <c r="X17" s="824"/>
      <c r="Y17" s="824"/>
      <c r="Z17" s="824"/>
      <c r="AA17" s="824"/>
      <c r="AB17" s="824"/>
      <c r="AC17" s="824"/>
      <c r="AD17" s="824"/>
      <c r="AE17" s="824"/>
      <c r="AF17" s="824"/>
      <c r="AG17" s="824"/>
    </row>
    <row r="18" spans="1:33" x14ac:dyDescent="0.35">
      <c r="A18" s="845"/>
      <c r="B18" s="1659"/>
      <c r="C18" s="828"/>
      <c r="D18" s="828"/>
      <c r="E18" s="828"/>
      <c r="F18" s="828"/>
      <c r="G18" s="828"/>
      <c r="H18" s="828"/>
      <c r="I18" s="828"/>
      <c r="J18" s="828"/>
      <c r="K18" s="828"/>
      <c r="L18" s="828"/>
      <c r="M18" s="828"/>
      <c r="N18" s="828"/>
      <c r="O18" s="828"/>
      <c r="P18" s="828"/>
      <c r="Q18" s="828"/>
      <c r="R18" s="828"/>
      <c r="S18" s="828"/>
      <c r="T18" s="828"/>
      <c r="U18" s="828"/>
      <c r="V18" s="828"/>
      <c r="W18" s="828"/>
      <c r="X18" s="828"/>
      <c r="Y18" s="828"/>
      <c r="Z18" s="828"/>
      <c r="AA18" s="828"/>
      <c r="AB18" s="828"/>
      <c r="AC18" s="828"/>
      <c r="AD18" s="828"/>
      <c r="AE18" s="828"/>
      <c r="AF18" s="828"/>
      <c r="AG18" s="828"/>
    </row>
    <row r="19" spans="1:33" x14ac:dyDescent="0.35">
      <c r="A19" s="845" t="s">
        <v>195</v>
      </c>
      <c r="B19" s="1660" t="s">
        <v>2975</v>
      </c>
      <c r="C19" s="828"/>
      <c r="D19" s="833"/>
      <c r="E19" s="833"/>
      <c r="F19" s="833"/>
      <c r="G19" s="846"/>
      <c r="H19" s="836"/>
      <c r="I19" s="836">
        <v>9110</v>
      </c>
      <c r="J19" s="836">
        <v>8320</v>
      </c>
      <c r="K19" s="836">
        <v>9890</v>
      </c>
      <c r="L19" s="836">
        <v>15610</v>
      </c>
      <c r="M19" s="836">
        <v>32610</v>
      </c>
      <c r="N19" s="836">
        <v>115210</v>
      </c>
      <c r="O19" s="836">
        <v>153770</v>
      </c>
      <c r="P19" s="836">
        <v>189540</v>
      </c>
      <c r="Q19" s="833"/>
      <c r="R19" s="833"/>
      <c r="S19" s="833"/>
      <c r="T19" s="833"/>
      <c r="U19" s="833"/>
      <c r="V19" s="833"/>
      <c r="W19" s="833"/>
      <c r="X19" s="833"/>
      <c r="Y19" s="833"/>
      <c r="Z19" s="833"/>
      <c r="AA19" s="833"/>
      <c r="AB19" s="833"/>
      <c r="AC19" s="833"/>
      <c r="AD19" s="833"/>
      <c r="AE19" s="833"/>
      <c r="AF19" s="833"/>
      <c r="AG19" s="833"/>
    </row>
    <row r="20" spans="1:33" x14ac:dyDescent="0.35">
      <c r="A20" s="845"/>
      <c r="B20" s="1659"/>
      <c r="C20" s="828"/>
      <c r="D20" s="833"/>
      <c r="E20" s="828"/>
      <c r="F20" s="828"/>
      <c r="G20" s="828"/>
      <c r="H20" s="828"/>
      <c r="I20" s="828"/>
      <c r="J20" s="828"/>
      <c r="K20" s="828"/>
      <c r="L20" s="828"/>
      <c r="M20" s="828"/>
      <c r="N20" s="828"/>
      <c r="O20" s="828"/>
      <c r="P20" s="828"/>
      <c r="Q20" s="828"/>
      <c r="R20" s="828"/>
      <c r="S20" s="828"/>
      <c r="T20" s="828"/>
      <c r="U20" s="828"/>
      <c r="V20" s="828"/>
      <c r="W20" s="828"/>
      <c r="X20" s="828"/>
      <c r="Y20" s="828"/>
      <c r="Z20" s="828"/>
      <c r="AA20" s="828"/>
      <c r="AB20" s="828"/>
      <c r="AC20" s="828"/>
      <c r="AD20" s="828"/>
      <c r="AE20" s="828"/>
      <c r="AF20" s="828"/>
      <c r="AG20" s="828"/>
    </row>
    <row r="21" spans="1:33" x14ac:dyDescent="0.35">
      <c r="A21" s="847" t="s">
        <v>2086</v>
      </c>
      <c r="B21" s="1661" t="s">
        <v>2977</v>
      </c>
      <c r="C21" s="838"/>
      <c r="D21" s="839"/>
      <c r="E21" s="839"/>
      <c r="F21" s="839"/>
      <c r="G21" s="848"/>
      <c r="H21" s="848"/>
      <c r="I21" s="848">
        <v>9750</v>
      </c>
      <c r="J21" s="848">
        <v>16460</v>
      </c>
      <c r="K21" s="848">
        <v>25990</v>
      </c>
      <c r="L21" s="848">
        <v>35230</v>
      </c>
      <c r="M21" s="848">
        <v>53530</v>
      </c>
      <c r="N21" s="848"/>
      <c r="O21" s="848"/>
      <c r="P21" s="839"/>
      <c r="Q21" s="839"/>
      <c r="R21" s="839"/>
      <c r="S21" s="839"/>
      <c r="T21" s="839"/>
      <c r="U21" s="839"/>
      <c r="V21" s="839"/>
      <c r="W21" s="839"/>
      <c r="X21" s="839"/>
      <c r="Y21" s="839"/>
      <c r="Z21" s="839"/>
      <c r="AA21" s="839"/>
      <c r="AB21" s="839"/>
      <c r="AC21" s="839"/>
      <c r="AD21" s="839"/>
      <c r="AE21" s="839"/>
      <c r="AF21" s="839"/>
      <c r="AG21" s="839"/>
    </row>
    <row r="22" spans="1:33" x14ac:dyDescent="0.35">
      <c r="C22" s="820"/>
      <c r="D22" s="849"/>
      <c r="E22" s="849"/>
      <c r="F22" s="849"/>
      <c r="G22" s="850"/>
      <c r="H22" s="850"/>
      <c r="I22" s="850"/>
      <c r="J22" s="850"/>
      <c r="K22" s="850"/>
      <c r="L22" s="850"/>
      <c r="M22" s="850"/>
      <c r="N22" s="850"/>
      <c r="O22" s="850"/>
      <c r="P22" s="851"/>
      <c r="Q22" s="849"/>
      <c r="R22" s="849"/>
      <c r="S22" s="849"/>
      <c r="T22" s="849"/>
      <c r="U22" s="849"/>
      <c r="V22" s="849"/>
      <c r="W22" s="849"/>
      <c r="X22" s="849"/>
      <c r="Y22" s="849"/>
      <c r="Z22" s="849"/>
      <c r="AA22" s="849"/>
      <c r="AB22" s="849"/>
      <c r="AC22" s="849"/>
      <c r="AD22" s="849"/>
      <c r="AE22" s="849"/>
      <c r="AF22" s="849"/>
      <c r="AG22" s="849"/>
    </row>
    <row r="23" spans="1:33" s="646" customFormat="1" x14ac:dyDescent="0.35">
      <c r="A23" s="811" t="s">
        <v>2089</v>
      </c>
      <c r="B23" s="1644" t="s">
        <v>2960</v>
      </c>
      <c r="C23" s="852"/>
      <c r="D23" s="853"/>
      <c r="E23" s="853"/>
      <c r="F23" s="853"/>
      <c r="G23" s="854"/>
      <c r="H23" s="854"/>
      <c r="I23" s="854"/>
      <c r="J23" s="854"/>
      <c r="K23" s="854"/>
      <c r="L23" s="855">
        <f t="shared" ref="L23:AC23" si="20">L15/L25</f>
        <v>3.3131598567730212</v>
      </c>
      <c r="M23" s="855">
        <f t="shared" si="20"/>
        <v>6.030338281268155</v>
      </c>
      <c r="N23" s="855">
        <f t="shared" si="20"/>
        <v>6.419526134397338</v>
      </c>
      <c r="O23" s="855">
        <f t="shared" si="20"/>
        <v>6.3308221581833903</v>
      </c>
      <c r="P23" s="855">
        <f t="shared" si="20"/>
        <v>6.1899131586600413</v>
      </c>
      <c r="Q23" s="855">
        <f t="shared" si="20"/>
        <v>4.9296151286672449</v>
      </c>
      <c r="R23" s="855">
        <f t="shared" si="20"/>
        <v>5.3410117616015693</v>
      </c>
      <c r="S23" s="855">
        <f t="shared" si="20"/>
        <v>4.5756879106969812</v>
      </c>
      <c r="T23" s="855">
        <f t="shared" si="20"/>
        <v>3.985574508115501</v>
      </c>
      <c r="U23" s="855">
        <f t="shared" ref="U23" si="21">U15/U25</f>
        <v>3.1070301634096311</v>
      </c>
      <c r="V23" s="855">
        <f t="shared" si="20"/>
        <v>3.28031437816407</v>
      </c>
      <c r="W23" s="855">
        <f>W15/W25</f>
        <v>3.6654335058663916</v>
      </c>
      <c r="X23" s="855">
        <f t="shared" si="20"/>
        <v>4.2898729603559209</v>
      </c>
      <c r="Y23" s="855">
        <f t="shared" si="20"/>
        <v>4.6125244291851279</v>
      </c>
      <c r="Z23" s="855">
        <f t="shared" si="20"/>
        <v>4.963691152713122</v>
      </c>
      <c r="AA23" s="855">
        <f t="shared" si="20"/>
        <v>4.9759393202497666</v>
      </c>
      <c r="AB23" s="855">
        <f t="shared" si="20"/>
        <v>4.9832935413461348</v>
      </c>
      <c r="AC23" s="855">
        <f t="shared" si="20"/>
        <v>4.9871876642713691</v>
      </c>
      <c r="AD23" s="855">
        <f t="shared" ref="AD23:AF23" si="22">AD15/AD25</f>
        <v>4.9884865903051585</v>
      </c>
      <c r="AE23" s="855">
        <f t="shared" si="22"/>
        <v>4.9877347521400512</v>
      </c>
      <c r="AF23" s="855">
        <f t="shared" si="22"/>
        <v>4.9852838442406879</v>
      </c>
      <c r="AG23" s="855">
        <f t="shared" ref="AG23" si="23">AG15/AG25</f>
        <v>4.981363044542551</v>
      </c>
    </row>
    <row r="24" spans="1:33" x14ac:dyDescent="0.35">
      <c r="A24" s="674"/>
      <c r="B24" s="1643"/>
      <c r="C24" s="852"/>
      <c r="D24" s="853"/>
      <c r="E24" s="820"/>
      <c r="F24" s="820"/>
      <c r="G24" s="820"/>
      <c r="H24" s="820"/>
      <c r="I24" s="820"/>
      <c r="J24" s="820"/>
      <c r="K24" s="820"/>
      <c r="L24" s="820"/>
      <c r="M24" s="856"/>
      <c r="N24" s="856"/>
      <c r="O24" s="856"/>
      <c r="P24" s="857"/>
      <c r="T24" s="857"/>
      <c r="U24" s="857"/>
      <c r="V24" s="636"/>
      <c r="W24" s="636"/>
      <c r="X24" s="636"/>
      <c r="Y24" s="636"/>
      <c r="Z24" s="636"/>
      <c r="AA24" s="636"/>
      <c r="AB24" s="636"/>
      <c r="AC24" s="636"/>
      <c r="AD24" s="636"/>
      <c r="AE24" s="636"/>
      <c r="AF24" s="636"/>
      <c r="AG24" s="636"/>
    </row>
    <row r="25" spans="1:33" x14ac:dyDescent="0.35">
      <c r="A25" s="817" t="s">
        <v>262</v>
      </c>
      <c r="B25" s="1642" t="s">
        <v>2961</v>
      </c>
      <c r="C25" s="859"/>
      <c r="D25" s="860">
        <v>845.16200000000003</v>
      </c>
      <c r="E25" s="860">
        <v>766.40899999999999</v>
      </c>
      <c r="F25" s="860">
        <v>1052.143</v>
      </c>
      <c r="G25" s="860">
        <v>2134.4789999999998</v>
      </c>
      <c r="H25" s="860">
        <v>4825.3130000000001</v>
      </c>
      <c r="I25" s="860">
        <v>7547.348</v>
      </c>
      <c r="J25" s="860">
        <f>8809951/1000</f>
        <v>8809.9509999999991</v>
      </c>
      <c r="K25" s="860">
        <f>13958179/1000</f>
        <v>13958.179</v>
      </c>
      <c r="L25" s="860">
        <f>15516909/1000</f>
        <v>15516.909</v>
      </c>
      <c r="M25" s="860">
        <f>14631020/1000</f>
        <v>14631.02</v>
      </c>
      <c r="N25" s="860">
        <f>18264588/1000</f>
        <v>18264.588</v>
      </c>
      <c r="O25" s="860">
        <f>24849853/1000</f>
        <v>24849.852999999999</v>
      </c>
      <c r="P25" s="860">
        <f>30620785/1000</f>
        <v>30620.785</v>
      </c>
      <c r="Q25" s="860">
        <v>31935.556</v>
      </c>
      <c r="R25" s="860">
        <v>32349.675999999999</v>
      </c>
      <c r="S25" s="860">
        <v>40529.425000000003</v>
      </c>
      <c r="T25" s="860">
        <v>48631.131999999998</v>
      </c>
      <c r="U25" s="860">
        <v>66185.388999999996</v>
      </c>
      <c r="V25" s="860">
        <v>60419.209000000003</v>
      </c>
      <c r="W25" s="860">
        <f>53599.39</f>
        <v>53599.39</v>
      </c>
      <c r="X25" s="859">
        <f>X29+X31+X33</f>
        <v>59371.387999999999</v>
      </c>
      <c r="Y25" s="859">
        <f>Y29+Y31+Y33</f>
        <v>65495.256660000006</v>
      </c>
      <c r="Z25" s="859">
        <f t="shared" ref="Z25:AC25" si="24">Z29+Z31+Z33</f>
        <v>69397.877351799994</v>
      </c>
      <c r="AA25" s="859">
        <f t="shared" si="24"/>
        <v>76719.996943650011</v>
      </c>
      <c r="AB25" s="859">
        <f t="shared" si="24"/>
        <v>83428.732861825745</v>
      </c>
      <c r="AC25" s="859">
        <f t="shared" si="24"/>
        <v>89601.718225967285</v>
      </c>
      <c r="AD25" s="859">
        <f t="shared" ref="AD25:AF25" si="25">AD29+AD31+AD33</f>
        <v>95301.464736031965</v>
      </c>
      <c r="AE25" s="859">
        <f t="shared" si="25"/>
        <v>100577.84564781805</v>
      </c>
      <c r="AF25" s="859">
        <f t="shared" si="25"/>
        <v>105470.20487105378</v>
      </c>
      <c r="AG25" s="859">
        <f t="shared" ref="AG25" si="26">AG29+AG31+AG33</f>
        <v>110009.15187180828</v>
      </c>
    </row>
    <row r="26" spans="1:33" x14ac:dyDescent="0.35">
      <c r="A26" s="674" t="s">
        <v>577</v>
      </c>
      <c r="B26" s="1643" t="s">
        <v>577</v>
      </c>
      <c r="C26" s="820"/>
      <c r="D26" s="820"/>
      <c r="E26" s="820">
        <f t="shared" ref="E26:AC26" si="27">E25/D25-1</f>
        <v>-9.3180952290803476E-2</v>
      </c>
      <c r="F26" s="820">
        <f t="shared" si="27"/>
        <v>0.37282182229070915</v>
      </c>
      <c r="G26" s="820">
        <f t="shared" si="27"/>
        <v>1.0286966695591757</v>
      </c>
      <c r="H26" s="820">
        <f t="shared" si="27"/>
        <v>1.2606514282876526</v>
      </c>
      <c r="I26" s="820">
        <f t="shared" si="27"/>
        <v>0.56411573715528918</v>
      </c>
      <c r="J26" s="820">
        <f t="shared" si="27"/>
        <v>0.16729094776072317</v>
      </c>
      <c r="K26" s="820">
        <f t="shared" si="27"/>
        <v>0.58436511167882799</v>
      </c>
      <c r="L26" s="820">
        <f t="shared" si="27"/>
        <v>0.1116714436747086</v>
      </c>
      <c r="M26" s="820">
        <f t="shared" si="27"/>
        <v>-5.7091847351814717E-2</v>
      </c>
      <c r="N26" s="820">
        <f t="shared" si="27"/>
        <v>0.2483468685026744</v>
      </c>
      <c r="O26" s="820">
        <f t="shared" si="27"/>
        <v>0.3605482368395061</v>
      </c>
      <c r="P26" s="820">
        <f t="shared" si="27"/>
        <v>0.2322320377508873</v>
      </c>
      <c r="Q26" s="820">
        <f t="shared" si="27"/>
        <v>4.2937207520969745E-2</v>
      </c>
      <c r="R26" s="820">
        <f t="shared" si="27"/>
        <v>1.2967364651487401E-2</v>
      </c>
      <c r="S26" s="820">
        <f t="shared" si="27"/>
        <v>0.25285412441225086</v>
      </c>
      <c r="T26" s="820">
        <f t="shared" si="27"/>
        <v>0.19989691440231372</v>
      </c>
      <c r="U26" s="820">
        <f t="shared" si="27"/>
        <v>0.36096747655390793</v>
      </c>
      <c r="V26" s="820">
        <f t="shared" si="27"/>
        <v>-8.7121645534182668E-2</v>
      </c>
      <c r="W26" s="820">
        <f t="shared" si="27"/>
        <v>-0.11287501297807467</v>
      </c>
      <c r="X26" s="820">
        <f>X25/W25-1</f>
        <v>0.10768775540169395</v>
      </c>
      <c r="Y26" s="820">
        <f t="shared" si="27"/>
        <v>0.103145115286845</v>
      </c>
      <c r="Z26" s="820">
        <f t="shared" si="27"/>
        <v>5.958631038060247E-2</v>
      </c>
      <c r="AA26" s="820">
        <f t="shared" si="27"/>
        <v>0.10550927306799096</v>
      </c>
      <c r="AB26" s="820">
        <f t="shared" si="27"/>
        <v>8.7444423689214013E-2</v>
      </c>
      <c r="AC26" s="820">
        <f t="shared" si="27"/>
        <v>7.399111975445205E-2</v>
      </c>
      <c r="AD26" s="820">
        <f t="shared" ref="AD26" si="28">AD25/AC25-1</f>
        <v>6.3612022435668436E-2</v>
      </c>
      <c r="AE26" s="820">
        <f t="shared" ref="AE26" si="29">AE25/AD25-1</f>
        <v>5.5365160718156003E-2</v>
      </c>
      <c r="AF26" s="820">
        <f t="shared" ref="AF26:AG26" si="30">AF25/AE25-1</f>
        <v>4.8642513584619351E-2</v>
      </c>
      <c r="AG26" s="820">
        <f t="shared" si="30"/>
        <v>4.3035348289156561E-2</v>
      </c>
    </row>
    <row r="27" spans="1:33" x14ac:dyDescent="0.35">
      <c r="A27" s="674" t="s">
        <v>2044</v>
      </c>
      <c r="B27" s="1643" t="s">
        <v>2964</v>
      </c>
      <c r="C27" s="820"/>
      <c r="D27" s="820">
        <f>D25/(PL!D4-PL!D16)</f>
        <v>8.1972447406568852E-2</v>
      </c>
      <c r="E27" s="820">
        <f>E25/(PL!E4-PL!E16)</f>
        <v>7.4895197792728421E-2</v>
      </c>
      <c r="F27" s="820">
        <f>F25/(PL!F4-PL!F16)</f>
        <v>9.3977226839213515E-2</v>
      </c>
      <c r="G27" s="820">
        <f>G25/(PL!G4-PL!G16)</f>
        <v>0.21991081495865697</v>
      </c>
      <c r="H27" s="820">
        <f>H25/(PL!H4-PL!H16)</f>
        <v>0.40268421482631334</v>
      </c>
      <c r="I27" s="820">
        <f>I25/(PL!I4-PL!I16)</f>
        <v>0.46078543841068775</v>
      </c>
      <c r="J27" s="820">
        <f>J25/(PL!J4-PL!J16)</f>
        <v>0.40208514942041912</v>
      </c>
      <c r="K27" s="820">
        <f>K25/(PL!K4-PL!K16)</f>
        <v>0.51155806611687771</v>
      </c>
      <c r="L27" s="820">
        <f>L25/(PL!L4-PL!L16)</f>
        <v>0.45055460179168882</v>
      </c>
      <c r="M27" s="820">
        <f>M25/(PL!M4-PL!M16)</f>
        <v>0.38500783487636248</v>
      </c>
      <c r="N27" s="820">
        <f>N25/(PL!N4-PL!N16)</f>
        <v>0.39527316643000959</v>
      </c>
      <c r="O27" s="820">
        <f>O25/(PL!O4-PL!O16)</f>
        <v>0.49548559111401852</v>
      </c>
      <c r="P27" s="820">
        <f>P25/(PL!P4-PL!P16)</f>
        <v>0.55047311789760467</v>
      </c>
      <c r="Q27" s="820">
        <f>Q25/(PL!Q4-PL!Q16)</f>
        <v>0.51784859327463972</v>
      </c>
      <c r="R27" s="820">
        <f>R25/(PL!R4-PL!R16)</f>
        <v>0.51795109176617793</v>
      </c>
      <c r="S27" s="820">
        <f>S25/(PL!S4-PL!S16)</f>
        <v>0.52424818729530842</v>
      </c>
      <c r="T27" s="820">
        <f>T25/(PL!T4-PL!T16)</f>
        <v>0.47689145009821743</v>
      </c>
      <c r="U27" s="820">
        <f>U25/(PL!U4-PL!U16)</f>
        <v>0.58193134585171069</v>
      </c>
      <c r="V27" s="820">
        <f>V25/(PL!V4-PL!V16)</f>
        <v>0.52489721193051908</v>
      </c>
      <c r="W27" s="820">
        <f>W25/(PL!W4-PL!W16)</f>
        <v>0.53360070085665789</v>
      </c>
      <c r="X27" s="820">
        <f>X25/(PL!X4-PL!X16)</f>
        <v>0.5733017029259081</v>
      </c>
      <c r="Y27" s="820">
        <f>Y25/(PL!Y4-PL!Y16)</f>
        <v>0.5735395451401607</v>
      </c>
      <c r="Z27" s="820">
        <f>Z25/(PL!Z4-PL!Z16)</f>
        <v>0.56473073912148475</v>
      </c>
      <c r="AA27" s="820">
        <f>AA25/(PL!AA4-PL!AA16)</f>
        <v>0.56897416538643231</v>
      </c>
      <c r="AB27" s="820">
        <f>AB25/(PL!AB4-PL!AB16)</f>
        <v>0.57103059038687598</v>
      </c>
      <c r="AC27" s="820">
        <f>AC25/(PL!AC4-PL!AC16)</f>
        <v>0.57141617959715829</v>
      </c>
      <c r="AD27" s="820">
        <f>AD25/(PL!AD4-PL!AD16)</f>
        <v>0.57046210767067906</v>
      </c>
      <c r="AE27" s="820">
        <f>AE25/(PL!AE4-PL!AE16)</f>
        <v>0.56839070273168613</v>
      </c>
      <c r="AF27" s="820">
        <f>AF25/(PL!AF4-PL!AF16)</f>
        <v>0.56535666604549761</v>
      </c>
      <c r="AG27" s="820">
        <f>AG25/(PL!AG4-PL!AG16)</f>
        <v>0.56147079890170093</v>
      </c>
    </row>
    <row r="28" spans="1:33" x14ac:dyDescent="0.35">
      <c r="A28" s="674"/>
      <c r="B28" s="1643"/>
      <c r="C28" s="820"/>
      <c r="D28" s="820"/>
      <c r="E28" s="820"/>
      <c r="F28" s="820"/>
      <c r="G28" s="820"/>
      <c r="H28" s="820"/>
      <c r="I28" s="820"/>
      <c r="J28" s="820"/>
      <c r="K28" s="820"/>
      <c r="L28" s="820"/>
      <c r="M28" s="820"/>
      <c r="N28" s="820"/>
      <c r="O28" s="820"/>
      <c r="P28" s="820"/>
      <c r="Q28" s="820"/>
      <c r="R28" s="820"/>
      <c r="S28" s="820"/>
      <c r="T28" s="820"/>
      <c r="U28" s="820"/>
      <c r="V28" s="820"/>
      <c r="W28" s="820"/>
      <c r="X28" s="820"/>
      <c r="Y28" s="820"/>
      <c r="Z28" s="820"/>
      <c r="AA28" s="820"/>
      <c r="AB28" s="820"/>
      <c r="AC28" s="820"/>
      <c r="AD28" s="820"/>
      <c r="AE28" s="820"/>
      <c r="AF28" s="820"/>
      <c r="AG28" s="820"/>
    </row>
    <row r="29" spans="1:33" x14ac:dyDescent="0.35">
      <c r="A29" s="810" t="s">
        <v>2091</v>
      </c>
      <c r="B29" s="1643" t="s">
        <v>2975</v>
      </c>
      <c r="C29" s="820"/>
      <c r="D29" s="849"/>
      <c r="E29" s="849"/>
      <c r="F29" s="849"/>
      <c r="G29" s="861">
        <v>1590.5289999999998</v>
      </c>
      <c r="H29" s="861">
        <v>4220.9349999999995</v>
      </c>
      <c r="I29" s="861">
        <v>6576.1260000000002</v>
      </c>
      <c r="J29" s="861">
        <v>7836.0759999999991</v>
      </c>
      <c r="K29" s="861">
        <v>12223.234</v>
      </c>
      <c r="L29" s="861">
        <f>M29/0.923</f>
        <v>14093.1744312026</v>
      </c>
      <c r="M29" s="861">
        <v>13008</v>
      </c>
      <c r="N29" s="861">
        <f>16939096/1000</f>
        <v>16939.096000000001</v>
      </c>
      <c r="O29" s="861">
        <f>23434</f>
        <v>23434</v>
      </c>
      <c r="P29" s="861">
        <v>29311</v>
      </c>
      <c r="Q29" s="861">
        <v>30989</v>
      </c>
      <c r="R29" s="861">
        <v>31485</v>
      </c>
      <c r="S29" s="861">
        <v>39489</v>
      </c>
      <c r="T29" s="861">
        <v>46846</v>
      </c>
      <c r="U29" s="861">
        <v>64495</v>
      </c>
      <c r="V29" s="861">
        <v>58439</v>
      </c>
      <c r="W29" s="861">
        <f>50962</f>
        <v>50962</v>
      </c>
      <c r="X29" s="849">
        <f>(W15+X3)*X1</f>
        <v>56532.077999999994</v>
      </c>
      <c r="Y29" s="849">
        <f>(X15+Y3)*Y1</f>
        <v>62490.933760000007</v>
      </c>
      <c r="Z29" s="849">
        <f t="shared" ref="Z29:AC29" si="31">(Y15+Z3)*Z1</f>
        <v>66218.80114879999</v>
      </c>
      <c r="AA29" s="849">
        <f t="shared" si="31"/>
        <v>73355.847421600003</v>
      </c>
      <c r="AB29" s="849">
        <f t="shared" si="31"/>
        <v>79868.575759176645</v>
      </c>
      <c r="AC29" s="849">
        <f t="shared" si="31"/>
        <v>85833.968329604861</v>
      </c>
      <c r="AD29" s="849">
        <f t="shared" ref="AD29" si="32">(AC15+AD3)*AD1</f>
        <v>91313.846977306777</v>
      </c>
      <c r="AE29" s="849">
        <f t="shared" ref="AE29" si="33">(AD15+AE3)*AE1</f>
        <v>96357.353868930906</v>
      </c>
      <c r="AF29" s="849">
        <f t="shared" ref="AF29:AG29" si="34">(AE15+AF3)*AF1</f>
        <v>101003.05812215579</v>
      </c>
      <c r="AG29" s="849">
        <f t="shared" si="34"/>
        <v>105280.74809080049</v>
      </c>
    </row>
    <row r="30" spans="1:33" s="862" customFormat="1" x14ac:dyDescent="0.35">
      <c r="A30" s="863" t="s">
        <v>577</v>
      </c>
      <c r="B30" s="1662" t="s">
        <v>577</v>
      </c>
      <c r="C30" s="864"/>
      <c r="D30" s="864"/>
      <c r="E30" s="864"/>
      <c r="F30" s="864"/>
      <c r="G30" s="864"/>
      <c r="H30" s="820">
        <f t="shared" ref="H30:AC30" si="35">H29/G29-1</f>
        <v>1.6537931719572545</v>
      </c>
      <c r="I30" s="820">
        <f t="shared" si="35"/>
        <v>0.55797850476257072</v>
      </c>
      <c r="J30" s="820">
        <f t="shared" si="35"/>
        <v>0.19159456494598781</v>
      </c>
      <c r="K30" s="820">
        <f t="shared" si="35"/>
        <v>0.55986669858740545</v>
      </c>
      <c r="L30" s="820">
        <f t="shared" si="35"/>
        <v>0.15298246202294741</v>
      </c>
      <c r="M30" s="820">
        <f t="shared" si="35"/>
        <v>-7.6999999999999957E-2</v>
      </c>
      <c r="N30" s="820">
        <f t="shared" si="35"/>
        <v>0.30220602706027067</v>
      </c>
      <c r="O30" s="820">
        <f t="shared" si="35"/>
        <v>0.38342683694572588</v>
      </c>
      <c r="P30" s="820">
        <f t="shared" si="35"/>
        <v>0.25078945122471619</v>
      </c>
      <c r="Q30" s="820">
        <f t="shared" si="35"/>
        <v>5.7248132100576665E-2</v>
      </c>
      <c r="R30" s="820">
        <f t="shared" si="35"/>
        <v>1.6005679434638154E-2</v>
      </c>
      <c r="S30" s="820">
        <f t="shared" si="35"/>
        <v>0.2542162934730825</v>
      </c>
      <c r="T30" s="820">
        <f t="shared" si="35"/>
        <v>0.18630504697510708</v>
      </c>
      <c r="U30" s="820">
        <f t="shared" si="35"/>
        <v>0.37674507962259307</v>
      </c>
      <c r="V30" s="820">
        <f t="shared" si="35"/>
        <v>-9.3898751841227979E-2</v>
      </c>
      <c r="W30" s="1723">
        <v>-4.7E-2</v>
      </c>
      <c r="X30" s="820">
        <f>X29/W29-1</f>
        <v>0.10929865389898352</v>
      </c>
      <c r="Y30" s="820">
        <f t="shared" si="35"/>
        <v>0.10540662878162754</v>
      </c>
      <c r="Z30" s="820">
        <f t="shared" si="35"/>
        <v>5.9654531697623137E-2</v>
      </c>
      <c r="AA30" s="820">
        <f t="shared" si="35"/>
        <v>0.10777975663984596</v>
      </c>
      <c r="AB30" s="820">
        <f t="shared" si="35"/>
        <v>8.878267468094081E-2</v>
      </c>
      <c r="AC30" s="820">
        <f t="shared" si="35"/>
        <v>7.4690108265049515E-2</v>
      </c>
      <c r="AD30" s="820">
        <f t="shared" ref="AD30" si="36">AD29/AC29-1</f>
        <v>6.3842774071204866E-2</v>
      </c>
      <c r="AE30" s="820">
        <f t="shared" ref="AE30" si="37">AE29/AD29-1</f>
        <v>5.5232662499451246E-2</v>
      </c>
      <c r="AF30" s="820">
        <f t="shared" ref="AF30:AG30" si="38">AF29/AE29-1</f>
        <v>4.8213281775505878E-2</v>
      </c>
      <c r="AG30" s="820">
        <f t="shared" si="38"/>
        <v>4.2352083671280072E-2</v>
      </c>
    </row>
    <row r="31" spans="1:33" x14ac:dyDescent="0.35">
      <c r="A31" s="810" t="s">
        <v>2092</v>
      </c>
      <c r="B31" s="1643" t="s">
        <v>2979</v>
      </c>
      <c r="C31" s="820"/>
      <c r="D31" s="849"/>
      <c r="E31" s="849"/>
      <c r="F31" s="849"/>
      <c r="G31" s="861">
        <v>470.41</v>
      </c>
      <c r="H31" s="861">
        <v>452.387</v>
      </c>
      <c r="I31" s="861">
        <v>614.63099999999997</v>
      </c>
      <c r="J31" s="861">
        <v>788.31</v>
      </c>
      <c r="K31" s="861">
        <v>906.51700000000005</v>
      </c>
      <c r="L31" s="861">
        <f ca="1">L25-L29-L33</f>
        <v>746.71456879739833</v>
      </c>
      <c r="M31" s="861">
        <v>946</v>
      </c>
      <c r="N31" s="861">
        <f>836842/1000</f>
        <v>836.84199999999998</v>
      </c>
      <c r="O31" s="861">
        <v>792</v>
      </c>
      <c r="P31" s="861">
        <v>849</v>
      </c>
      <c r="Q31" s="861">
        <v>166</v>
      </c>
      <c r="R31" s="861">
        <v>150</v>
      </c>
      <c r="S31" s="861">
        <v>205</v>
      </c>
      <c r="T31" s="861">
        <v>152</v>
      </c>
      <c r="U31" s="861">
        <v>152</v>
      </c>
      <c r="V31" s="861">
        <v>132</v>
      </c>
      <c r="W31" s="861">
        <f>173</f>
        <v>173</v>
      </c>
      <c r="X31" s="849">
        <f t="shared" ref="X31:AC31" si="39">W31*(1+X32)</f>
        <v>178.19</v>
      </c>
      <c r="Y31" s="849">
        <f t="shared" si="39"/>
        <v>183.53569999999999</v>
      </c>
      <c r="Z31" s="849">
        <f t="shared" si="39"/>
        <v>189.04177099999998</v>
      </c>
      <c r="AA31" s="849">
        <f t="shared" si="39"/>
        <v>194.71302412999998</v>
      </c>
      <c r="AB31" s="849">
        <f t="shared" si="39"/>
        <v>200.55441485389997</v>
      </c>
      <c r="AC31" s="849">
        <f t="shared" si="39"/>
        <v>206.57104729951698</v>
      </c>
      <c r="AD31" s="849">
        <f t="shared" ref="AD31" si="40">AC31*(1+AD32)</f>
        <v>212.7681787185025</v>
      </c>
      <c r="AE31" s="849">
        <f t="shared" ref="AE31" si="41">AD31*(1+AE32)</f>
        <v>219.15122408005757</v>
      </c>
      <c r="AF31" s="849">
        <f t="shared" ref="AF31:AG31" si="42">AE31*(1+AF32)</f>
        <v>225.72576080245932</v>
      </c>
      <c r="AG31" s="849">
        <f t="shared" si="42"/>
        <v>232.49753362653311</v>
      </c>
    </row>
    <row r="32" spans="1:33" s="862" customFormat="1" x14ac:dyDescent="0.35">
      <c r="A32" s="863" t="s">
        <v>577</v>
      </c>
      <c r="B32" s="1662" t="s">
        <v>577</v>
      </c>
      <c r="C32" s="864"/>
      <c r="D32" s="864"/>
      <c r="E32" s="864"/>
      <c r="F32" s="864"/>
      <c r="G32" s="864"/>
      <c r="H32" s="820">
        <f t="shared" ref="H32:V32" si="43">H31/G31-1</f>
        <v>-3.8313386195021448E-2</v>
      </c>
      <c r="I32" s="820">
        <f t="shared" si="43"/>
        <v>0.35863983713059833</v>
      </c>
      <c r="J32" s="820">
        <f t="shared" si="43"/>
        <v>0.28257442270240185</v>
      </c>
      <c r="K32" s="820">
        <f t="shared" si="43"/>
        <v>0.14994989280866688</v>
      </c>
      <c r="L32" s="820">
        <f t="shared" ca="1" si="43"/>
        <v>-0.17628178092920677</v>
      </c>
      <c r="M32" s="820">
        <f t="shared" ca="1" si="43"/>
        <v>0.26688300929169717</v>
      </c>
      <c r="N32" s="820">
        <f t="shared" si="43"/>
        <v>-0.11538900634249472</v>
      </c>
      <c r="O32" s="820">
        <f t="shared" si="43"/>
        <v>-5.3584786614438551E-2</v>
      </c>
      <c r="P32" s="820">
        <f t="shared" si="43"/>
        <v>7.1969696969697017E-2</v>
      </c>
      <c r="Q32" s="820">
        <f t="shared" si="43"/>
        <v>-0.80447585394581855</v>
      </c>
      <c r="R32" s="820">
        <f t="shared" si="43"/>
        <v>-9.6385542168674676E-2</v>
      </c>
      <c r="S32" s="820">
        <f t="shared" si="43"/>
        <v>0.3666666666666667</v>
      </c>
      <c r="T32" s="820">
        <f t="shared" si="43"/>
        <v>-0.25853658536585367</v>
      </c>
      <c r="U32" s="820">
        <f t="shared" si="43"/>
        <v>0</v>
      </c>
      <c r="V32" s="820">
        <f t="shared" si="43"/>
        <v>-0.13157894736842102</v>
      </c>
      <c r="W32" s="1723">
        <v>0.42799999999999999</v>
      </c>
      <c r="X32" s="865">
        <v>0.03</v>
      </c>
      <c r="Y32" s="865">
        <f t="shared" ref="Y32:AC32" si="44">X32</f>
        <v>0.03</v>
      </c>
      <c r="Z32" s="865">
        <f t="shared" si="44"/>
        <v>0.03</v>
      </c>
      <c r="AA32" s="865">
        <f t="shared" si="44"/>
        <v>0.03</v>
      </c>
      <c r="AB32" s="865">
        <f t="shared" si="44"/>
        <v>0.03</v>
      </c>
      <c r="AC32" s="865">
        <f t="shared" si="44"/>
        <v>0.03</v>
      </c>
      <c r="AD32" s="865">
        <f t="shared" ref="AD32" si="45">AC32</f>
        <v>0.03</v>
      </c>
      <c r="AE32" s="865">
        <f t="shared" ref="AE32" si="46">AD32</f>
        <v>0.03</v>
      </c>
      <c r="AF32" s="865">
        <f t="shared" ref="AF32:AG32" si="47">AE32</f>
        <v>0.03</v>
      </c>
      <c r="AG32" s="865">
        <f t="shared" si="47"/>
        <v>0.03</v>
      </c>
    </row>
    <row r="33" spans="1:33" x14ac:dyDescent="0.35">
      <c r="A33" s="810" t="s">
        <v>2093</v>
      </c>
      <c r="B33" s="1643" t="s">
        <v>2980</v>
      </c>
      <c r="C33" s="820"/>
      <c r="D33" s="849"/>
      <c r="E33" s="861"/>
      <c r="F33" s="861"/>
      <c r="G33" s="866">
        <f t="shared" ref="G33:S33" si="48">G25-G29-G31</f>
        <v>73.54000000000002</v>
      </c>
      <c r="H33" s="866">
        <f t="shared" si="48"/>
        <v>151.99100000000061</v>
      </c>
      <c r="I33" s="866">
        <f t="shared" si="48"/>
        <v>356.59099999999978</v>
      </c>
      <c r="J33" s="866">
        <f t="shared" si="48"/>
        <v>185.56500000000005</v>
      </c>
      <c r="K33" s="866">
        <f t="shared" si="48"/>
        <v>828.42799999999966</v>
      </c>
      <c r="L33" s="866">
        <f t="shared" ca="1" si="48"/>
        <v>677.020000000001</v>
      </c>
      <c r="M33" s="866">
        <f t="shared" si="48"/>
        <v>677.02000000000044</v>
      </c>
      <c r="N33" s="866">
        <f t="shared" si="48"/>
        <v>488.64999999999839</v>
      </c>
      <c r="O33" s="866">
        <f t="shared" si="48"/>
        <v>623.85299999999916</v>
      </c>
      <c r="P33" s="866">
        <f t="shared" si="48"/>
        <v>460.78499999999985</v>
      </c>
      <c r="Q33" s="866">
        <f t="shared" si="48"/>
        <v>780.55600000000049</v>
      </c>
      <c r="R33" s="866">
        <f t="shared" si="48"/>
        <v>714.67599999999948</v>
      </c>
      <c r="S33" s="866">
        <f t="shared" si="48"/>
        <v>835.42500000000291</v>
      </c>
      <c r="T33" s="861">
        <v>1633</v>
      </c>
      <c r="U33" s="861">
        <v>1538</v>
      </c>
      <c r="V33" s="861">
        <v>1848</v>
      </c>
      <c r="W33" s="861">
        <f>2464</f>
        <v>2464</v>
      </c>
      <c r="X33" s="849">
        <f t="shared" ref="X33:AC33" si="49">W33*(1+X34)</f>
        <v>2661.1200000000003</v>
      </c>
      <c r="Y33" s="849">
        <f t="shared" si="49"/>
        <v>2820.7872000000007</v>
      </c>
      <c r="Z33" s="849">
        <f t="shared" si="49"/>
        <v>2990.0344320000008</v>
      </c>
      <c r="AA33" s="849">
        <f t="shared" si="49"/>
        <v>3169.4364979200009</v>
      </c>
      <c r="AB33" s="849">
        <f t="shared" si="49"/>
        <v>3359.6026877952013</v>
      </c>
      <c r="AC33" s="849">
        <f t="shared" si="49"/>
        <v>3561.1788490629137</v>
      </c>
      <c r="AD33" s="849">
        <f t="shared" ref="AD33" si="50">AC33*(1+AD34)</f>
        <v>3774.8495800066889</v>
      </c>
      <c r="AE33" s="849">
        <f t="shared" ref="AE33" si="51">AD33*(1+AE34)</f>
        <v>4001.3405548070905</v>
      </c>
      <c r="AF33" s="849">
        <f t="shared" ref="AF33:AG33" si="52">AE33*(1+AF34)</f>
        <v>4241.4209880955159</v>
      </c>
      <c r="AG33" s="849">
        <f t="shared" si="52"/>
        <v>4495.9062473812473</v>
      </c>
    </row>
    <row r="34" spans="1:33" s="862" customFormat="1" x14ac:dyDescent="0.35">
      <c r="A34" s="863" t="s">
        <v>577</v>
      </c>
      <c r="B34" s="1662" t="s">
        <v>577</v>
      </c>
      <c r="C34" s="864"/>
      <c r="D34" s="864"/>
      <c r="E34" s="864"/>
      <c r="F34" s="820" t="e">
        <f t="shared" ref="F34:V34" si="53">F33/E33-1</f>
        <v>#DIV/0!</v>
      </c>
      <c r="G34" s="820" t="e">
        <f t="shared" si="53"/>
        <v>#DIV/0!</v>
      </c>
      <c r="H34" s="820">
        <f t="shared" si="53"/>
        <v>1.0667799836823573</v>
      </c>
      <c r="I34" s="820">
        <f t="shared" si="53"/>
        <v>1.346132336783088</v>
      </c>
      <c r="J34" s="820">
        <f t="shared" si="53"/>
        <v>-0.47961389939734833</v>
      </c>
      <c r="K34" s="820">
        <f t="shared" si="53"/>
        <v>3.4643548082881974</v>
      </c>
      <c r="L34" s="820">
        <f t="shared" ca="1" si="53"/>
        <v>-0.18276543042967974</v>
      </c>
      <c r="M34" s="820">
        <f t="shared" ca="1" si="53"/>
        <v>-8.8817841970012523E-16</v>
      </c>
      <c r="N34" s="820">
        <f t="shared" si="53"/>
        <v>-0.27823402558270349</v>
      </c>
      <c r="O34" s="820">
        <f t="shared" si="53"/>
        <v>0.27668679013609165</v>
      </c>
      <c r="P34" s="820">
        <f t="shared" si="53"/>
        <v>-0.2613885001755214</v>
      </c>
      <c r="Q34" s="820">
        <f t="shared" si="53"/>
        <v>0.69397007281053136</v>
      </c>
      <c r="R34" s="820">
        <f t="shared" si="53"/>
        <v>-8.4401375429823067E-2</v>
      </c>
      <c r="S34" s="820">
        <f t="shared" si="53"/>
        <v>0.16895628228736315</v>
      </c>
      <c r="T34" s="820">
        <f t="shared" si="53"/>
        <v>0.95469371876589082</v>
      </c>
      <c r="U34" s="820">
        <f t="shared" si="53"/>
        <v>-5.8175137783221031E-2</v>
      </c>
      <c r="V34" s="820">
        <f t="shared" si="53"/>
        <v>0.20156046814044215</v>
      </c>
      <c r="W34" s="1723">
        <v>0.45800000000000002</v>
      </c>
      <c r="X34" s="865">
        <v>0.08</v>
      </c>
      <c r="Y34" s="865">
        <v>0.06</v>
      </c>
      <c r="Z34" s="865">
        <f t="shared" ref="Z34:AC34" si="54">Y34</f>
        <v>0.06</v>
      </c>
      <c r="AA34" s="865">
        <f t="shared" si="54"/>
        <v>0.06</v>
      </c>
      <c r="AB34" s="865">
        <f t="shared" si="54"/>
        <v>0.06</v>
      </c>
      <c r="AC34" s="865">
        <f t="shared" si="54"/>
        <v>0.06</v>
      </c>
      <c r="AD34" s="865">
        <f t="shared" ref="AD34" si="55">AC34</f>
        <v>0.06</v>
      </c>
      <c r="AE34" s="865">
        <f t="shared" ref="AE34" si="56">AD34</f>
        <v>0.06</v>
      </c>
      <c r="AF34" s="865">
        <f t="shared" ref="AF34:AG34" si="57">AE34</f>
        <v>0.06</v>
      </c>
      <c r="AG34" s="865">
        <f t="shared" si="57"/>
        <v>0.06</v>
      </c>
    </row>
    <row r="35" spans="1:33" s="862" customFormat="1" x14ac:dyDescent="0.35">
      <c r="A35" s="863"/>
      <c r="B35" s="1662"/>
      <c r="C35" s="864"/>
      <c r="D35" s="864"/>
      <c r="E35" s="864"/>
      <c r="F35" s="820"/>
      <c r="G35" s="820"/>
      <c r="H35" s="820"/>
      <c r="I35" s="820"/>
      <c r="J35" s="820"/>
      <c r="K35" s="820"/>
      <c r="L35" s="820"/>
      <c r="M35" s="820"/>
      <c r="N35" s="820"/>
      <c r="O35" s="820"/>
      <c r="P35" s="820"/>
      <c r="Q35" s="820"/>
      <c r="R35" s="820"/>
      <c r="S35" s="820"/>
      <c r="T35" s="865"/>
      <c r="U35" s="865"/>
      <c r="V35" s="865"/>
      <c r="W35" s="865"/>
      <c r="X35" s="865"/>
      <c r="Y35" s="865"/>
      <c r="Z35" s="865"/>
      <c r="AA35" s="865"/>
      <c r="AB35" s="865"/>
      <c r="AC35" s="865"/>
      <c r="AD35" s="865"/>
      <c r="AE35" s="865"/>
      <c r="AF35" s="865"/>
      <c r="AG35" s="865"/>
    </row>
    <row r="36" spans="1:33" x14ac:dyDescent="0.35">
      <c r="A36" s="674" t="s">
        <v>2605</v>
      </c>
      <c r="B36" s="1643" t="s">
        <v>2981</v>
      </c>
      <c r="C36" s="820"/>
      <c r="D36" s="842"/>
      <c r="E36" s="842"/>
      <c r="F36" s="842"/>
      <c r="G36" s="842"/>
      <c r="H36" s="842"/>
      <c r="I36" s="842"/>
      <c r="J36" s="842"/>
      <c r="K36" s="842"/>
      <c r="L36" s="842"/>
      <c r="M36" s="842"/>
      <c r="N36" s="842"/>
      <c r="O36" s="867">
        <f>1691682/1000</f>
        <v>1691.682</v>
      </c>
      <c r="P36" s="867">
        <f>1844441/1000</f>
        <v>1844.441</v>
      </c>
      <c r="Q36" s="867">
        <f>2372168/1000</f>
        <v>2372.1680000000001</v>
      </c>
      <c r="R36" s="867">
        <v>2949.7629999999999</v>
      </c>
      <c r="S36" s="867">
        <v>3259.125</v>
      </c>
      <c r="T36" s="820"/>
      <c r="U36" s="820"/>
      <c r="V36" s="1722"/>
      <c r="W36" s="820"/>
      <c r="X36" s="820"/>
      <c r="Y36" s="820"/>
      <c r="Z36" s="820"/>
      <c r="AA36" s="820"/>
      <c r="AB36" s="820"/>
      <c r="AC36" s="820"/>
      <c r="AD36" s="820"/>
      <c r="AE36" s="820"/>
      <c r="AF36" s="820"/>
      <c r="AG36" s="820"/>
    </row>
    <row r="37" spans="1:33" x14ac:dyDescent="0.35">
      <c r="A37" s="674" t="s">
        <v>2606</v>
      </c>
      <c r="B37" s="1663" t="s">
        <v>2592</v>
      </c>
      <c r="C37" s="820"/>
      <c r="D37" s="842"/>
      <c r="E37" s="842"/>
      <c r="F37" s="842"/>
      <c r="G37" s="842"/>
      <c r="H37" s="842"/>
      <c r="I37" s="842"/>
      <c r="J37" s="842"/>
      <c r="K37" s="842"/>
      <c r="L37" s="842"/>
      <c r="M37" s="842"/>
      <c r="N37" s="842"/>
      <c r="O37" s="868">
        <f>O36/O25</f>
        <v>6.8076137110348295E-2</v>
      </c>
      <c r="P37" s="868">
        <f>P36/P25</f>
        <v>6.023493519189662E-2</v>
      </c>
      <c r="Q37" s="868">
        <f>Q36/Q25</f>
        <v>7.4279840313411172E-2</v>
      </c>
      <c r="R37" s="868">
        <f>R36/R25</f>
        <v>9.1183695317381228E-2</v>
      </c>
      <c r="S37" s="868">
        <f>S36/S25</f>
        <v>8.0413798123215405E-2</v>
      </c>
      <c r="T37" s="820"/>
      <c r="U37" s="820"/>
      <c r="V37" s="820"/>
      <c r="W37" s="820"/>
      <c r="X37" s="820"/>
      <c r="Y37" s="820"/>
      <c r="Z37" s="820"/>
      <c r="AA37" s="820"/>
      <c r="AB37" s="820"/>
      <c r="AC37" s="820"/>
      <c r="AD37" s="820"/>
      <c r="AE37" s="820"/>
      <c r="AF37" s="820"/>
      <c r="AG37" s="820"/>
    </row>
    <row r="38" spans="1:33" x14ac:dyDescent="0.35">
      <c r="A38" s="674"/>
      <c r="B38" s="1643"/>
      <c r="C38" s="820"/>
      <c r="D38" s="820"/>
      <c r="E38" s="820"/>
      <c r="F38" s="820"/>
      <c r="G38" s="820"/>
      <c r="H38" s="820"/>
      <c r="I38" s="820"/>
      <c r="J38" s="820"/>
      <c r="K38" s="820"/>
      <c r="L38" s="820"/>
      <c r="M38" s="820"/>
      <c r="N38" s="820"/>
      <c r="O38" s="820"/>
      <c r="P38" s="820"/>
      <c r="Q38" s="820"/>
      <c r="R38" s="820"/>
      <c r="S38" s="820"/>
      <c r="T38" s="820"/>
      <c r="U38" s="820"/>
      <c r="V38" s="820"/>
      <c r="W38" s="820"/>
      <c r="X38" s="820"/>
      <c r="Y38" s="820"/>
      <c r="Z38" s="820"/>
      <c r="AA38" s="820"/>
      <c r="AB38" s="820"/>
      <c r="AC38" s="820"/>
      <c r="AD38" s="820"/>
      <c r="AE38" s="820"/>
      <c r="AF38" s="820"/>
      <c r="AG38" s="820"/>
    </row>
    <row r="39" spans="1:33" s="646" customFormat="1" x14ac:dyDescent="0.35">
      <c r="A39" s="811" t="s">
        <v>2094</v>
      </c>
      <c r="B39" s="1644" t="s">
        <v>2965</v>
      </c>
      <c r="C39" s="869"/>
      <c r="D39" s="869">
        <f t="shared" ref="D39:AC39" si="58">D25-D42</f>
        <v>776.26800000000003</v>
      </c>
      <c r="E39" s="869">
        <f t="shared" si="58"/>
        <v>467.505</v>
      </c>
      <c r="F39" s="869">
        <f t="shared" si="58"/>
        <v>714.14300000000003</v>
      </c>
      <c r="G39" s="869">
        <f t="shared" si="58"/>
        <v>1769.7119999999998</v>
      </c>
      <c r="H39" s="869">
        <f t="shared" si="58"/>
        <v>3905.37</v>
      </c>
      <c r="I39" s="869">
        <f t="shared" si="58"/>
        <v>6337.4400000000005</v>
      </c>
      <c r="J39" s="869">
        <f t="shared" si="58"/>
        <v>7039.4879999999994</v>
      </c>
      <c r="K39" s="869">
        <f t="shared" si="58"/>
        <v>11165.800999999999</v>
      </c>
      <c r="L39" s="869">
        <f t="shared" si="58"/>
        <v>11941.415999999999</v>
      </c>
      <c r="M39" s="869">
        <f t="shared" si="58"/>
        <v>10995.259</v>
      </c>
      <c r="N39" s="869">
        <f t="shared" si="58"/>
        <v>14236.599</v>
      </c>
      <c r="O39" s="869">
        <f t="shared" si="58"/>
        <v>19487.567999999999</v>
      </c>
      <c r="P39" s="869">
        <f t="shared" si="58"/>
        <v>24236.725999999999</v>
      </c>
      <c r="Q39" s="869">
        <f t="shared" si="58"/>
        <v>25103.317999999999</v>
      </c>
      <c r="R39" s="869">
        <f t="shared" si="58"/>
        <v>25262.323</v>
      </c>
      <c r="S39" s="869">
        <f t="shared" si="58"/>
        <v>31096.646000000001</v>
      </c>
      <c r="T39" s="869">
        <f t="shared" si="58"/>
        <v>37616.284999999996</v>
      </c>
      <c r="U39" s="869">
        <f t="shared" ref="U39" si="59">U25-U42</f>
        <v>53330.588999999993</v>
      </c>
      <c r="V39" s="869">
        <f t="shared" si="58"/>
        <v>46251.650999999998</v>
      </c>
      <c r="W39" s="869">
        <f>W25-W42</f>
        <v>40268.07</v>
      </c>
      <c r="X39" s="869">
        <f t="shared" si="58"/>
        <v>45122.25488</v>
      </c>
      <c r="Y39" s="869">
        <f t="shared" si="58"/>
        <v>50103.871344900006</v>
      </c>
      <c r="Z39" s="869">
        <f t="shared" si="58"/>
        <v>53436.365560885999</v>
      </c>
      <c r="AA39" s="869">
        <f t="shared" si="58"/>
        <v>59074.397646610509</v>
      </c>
      <c r="AB39" s="869">
        <f t="shared" si="58"/>
        <v>64240.124303605829</v>
      </c>
      <c r="AC39" s="869">
        <f t="shared" si="58"/>
        <v>68993.323033994806</v>
      </c>
      <c r="AD39" s="869">
        <f t="shared" ref="AD39:AF39" si="60">AD25-AD42</f>
        <v>73382.12784674461</v>
      </c>
      <c r="AE39" s="869">
        <f t="shared" si="60"/>
        <v>77444.941148819897</v>
      </c>
      <c r="AF39" s="869">
        <f t="shared" si="60"/>
        <v>81212.057750711407</v>
      </c>
      <c r="AG39" s="869">
        <f t="shared" ref="AG39" si="61">AG25-AG42</f>
        <v>84707.046941292385</v>
      </c>
    </row>
    <row r="40" spans="1:33" s="870" customFormat="1" x14ac:dyDescent="0.35">
      <c r="A40" s="810" t="s">
        <v>2096</v>
      </c>
      <c r="B40" s="1664" t="s">
        <v>2966</v>
      </c>
      <c r="C40" s="820"/>
      <c r="D40" s="820">
        <f t="shared" ref="D40:AC40" si="62">D39/D25</f>
        <v>0.91848426692160789</v>
      </c>
      <c r="E40" s="820">
        <f t="shared" si="62"/>
        <v>0.60999414150929854</v>
      </c>
      <c r="F40" s="820">
        <f t="shared" si="62"/>
        <v>0.67875089222662699</v>
      </c>
      <c r="G40" s="820">
        <f t="shared" si="62"/>
        <v>0.8291072435006388</v>
      </c>
      <c r="H40" s="820">
        <f t="shared" si="62"/>
        <v>0.80935060585707075</v>
      </c>
      <c r="I40" s="820">
        <f t="shared" si="62"/>
        <v>0.8396909748960828</v>
      </c>
      <c r="J40" s="820">
        <f t="shared" si="62"/>
        <v>0.79903826933884192</v>
      </c>
      <c r="K40" s="820">
        <f t="shared" si="62"/>
        <v>0.79994682687476637</v>
      </c>
      <c r="L40" s="820">
        <f t="shared" si="62"/>
        <v>0.76957440428373969</v>
      </c>
      <c r="M40" s="820">
        <f t="shared" si="62"/>
        <v>0.75150324447646166</v>
      </c>
      <c r="N40" s="820">
        <f t="shared" si="62"/>
        <v>0.77946455731714293</v>
      </c>
      <c r="O40" s="820">
        <f t="shared" si="62"/>
        <v>0.78421260681099403</v>
      </c>
      <c r="P40" s="820">
        <f t="shared" si="62"/>
        <v>0.79151223588813935</v>
      </c>
      <c r="Q40" s="820">
        <f t="shared" si="62"/>
        <v>0.78606171754141363</v>
      </c>
      <c r="R40" s="820">
        <f t="shared" si="62"/>
        <v>0.78091425088770594</v>
      </c>
      <c r="S40" s="820">
        <f t="shared" si="62"/>
        <v>0.76726097150403683</v>
      </c>
      <c r="T40" s="820">
        <f t="shared" si="62"/>
        <v>0.77350214673185069</v>
      </c>
      <c r="U40" s="820">
        <f t="shared" ref="U40" si="63">U39/U25</f>
        <v>0.80577586391461709</v>
      </c>
      <c r="V40" s="820">
        <f t="shared" si="62"/>
        <v>0.76551235551594188</v>
      </c>
      <c r="W40" s="820">
        <f>W39/W25</f>
        <v>0.75127851268456602</v>
      </c>
      <c r="X40" s="820">
        <f t="shared" si="62"/>
        <v>0.76</v>
      </c>
      <c r="Y40" s="820">
        <f t="shared" si="62"/>
        <v>0.76500000000000001</v>
      </c>
      <c r="Z40" s="820">
        <f t="shared" si="62"/>
        <v>0.77</v>
      </c>
      <c r="AA40" s="820">
        <f t="shared" si="62"/>
        <v>0.77</v>
      </c>
      <c r="AB40" s="820">
        <f t="shared" si="62"/>
        <v>0.77</v>
      </c>
      <c r="AC40" s="820">
        <f t="shared" si="62"/>
        <v>0.77</v>
      </c>
      <c r="AD40" s="820">
        <f t="shared" ref="AD40:AF40" si="64">AD39/AD25</f>
        <v>0.77</v>
      </c>
      <c r="AE40" s="820">
        <f t="shared" si="64"/>
        <v>0.77</v>
      </c>
      <c r="AF40" s="820">
        <f t="shared" si="64"/>
        <v>0.77</v>
      </c>
      <c r="AG40" s="820">
        <f t="shared" ref="AG40" si="65">AG39/AG25</f>
        <v>0.77000000000000013</v>
      </c>
    </row>
    <row r="41" spans="1:33" x14ac:dyDescent="0.35">
      <c r="A41" s="674"/>
      <c r="B41" s="1648"/>
      <c r="C41" s="873"/>
      <c r="D41" s="873"/>
      <c r="E41" s="873"/>
      <c r="F41" s="873"/>
      <c r="G41" s="873"/>
      <c r="H41" s="873"/>
      <c r="I41" s="849"/>
      <c r="J41" s="849"/>
      <c r="K41" s="849"/>
      <c r="L41" s="873"/>
      <c r="M41" s="873"/>
      <c r="N41" s="873"/>
      <c r="O41" s="873"/>
      <c r="P41" s="873"/>
      <c r="Q41" s="873"/>
      <c r="R41" s="873"/>
      <c r="S41" s="873"/>
      <c r="T41" s="873"/>
      <c r="U41" s="873"/>
      <c r="V41" s="873"/>
      <c r="W41" s="873"/>
      <c r="X41" s="873"/>
      <c r="Y41" s="873"/>
      <c r="Z41" s="873"/>
      <c r="AA41" s="873"/>
      <c r="AB41" s="873"/>
      <c r="AC41" s="873"/>
      <c r="AD41" s="873"/>
      <c r="AE41" s="873"/>
      <c r="AF41" s="873"/>
      <c r="AG41" s="873"/>
    </row>
    <row r="42" spans="1:33" x14ac:dyDescent="0.35">
      <c r="A42" s="817" t="s">
        <v>20</v>
      </c>
      <c r="B42" s="1642" t="s">
        <v>134</v>
      </c>
      <c r="C42" s="859"/>
      <c r="D42" s="860">
        <v>68.894000000000005</v>
      </c>
      <c r="E42" s="860">
        <v>298.904</v>
      </c>
      <c r="F42" s="860">
        <v>338</v>
      </c>
      <c r="G42" s="874">
        <v>364.767</v>
      </c>
      <c r="H42" s="874">
        <v>919.94299999999998</v>
      </c>
      <c r="I42" s="860">
        <v>1209.9079999999999</v>
      </c>
      <c r="J42" s="860">
        <f>1770463/1000</f>
        <v>1770.463</v>
      </c>
      <c r="K42" s="860">
        <f>2792378/1000</f>
        <v>2792.3780000000002</v>
      </c>
      <c r="L42" s="860">
        <f>3575493/1000</f>
        <v>3575.4929999999999</v>
      </c>
      <c r="M42" s="860">
        <f>3635761/1000</f>
        <v>3635.761</v>
      </c>
      <c r="N42" s="860">
        <f>4027989/1000</f>
        <v>4027.989</v>
      </c>
      <c r="O42" s="860">
        <f>5362285/1000</f>
        <v>5362.2849999999999</v>
      </c>
      <c r="P42" s="860">
        <f>6384059/1000</f>
        <v>6384.0590000000002</v>
      </c>
      <c r="Q42" s="860">
        <v>6832.2380000000003</v>
      </c>
      <c r="R42" s="860">
        <v>7087.3530000000001</v>
      </c>
      <c r="S42" s="860">
        <v>9432.7790000000005</v>
      </c>
      <c r="T42" s="860">
        <v>11014.847</v>
      </c>
      <c r="U42" s="860">
        <v>12854.8</v>
      </c>
      <c r="V42" s="860">
        <v>14167.558000000001</v>
      </c>
      <c r="W42" s="860">
        <f>13331.32</f>
        <v>13331.32</v>
      </c>
      <c r="X42" s="859">
        <f t="shared" ref="X42:AC42" si="66">X25*X44</f>
        <v>14249.133119999999</v>
      </c>
      <c r="Y42" s="859">
        <f t="shared" si="66"/>
        <v>15391.3853151</v>
      </c>
      <c r="Z42" s="859">
        <f t="shared" si="66"/>
        <v>15961.511790913997</v>
      </c>
      <c r="AA42" s="859">
        <f t="shared" si="66"/>
        <v>17645.599297039502</v>
      </c>
      <c r="AB42" s="859">
        <f t="shared" si="66"/>
        <v>19188.608558219919</v>
      </c>
      <c r="AC42" s="859">
        <f t="shared" si="66"/>
        <v>20608.395191972475</v>
      </c>
      <c r="AD42" s="859">
        <f t="shared" ref="AD42:AF42" si="67">AD25*AD44</f>
        <v>21919.336889287351</v>
      </c>
      <c r="AE42" s="859">
        <f t="shared" si="67"/>
        <v>23132.904498998148</v>
      </c>
      <c r="AF42" s="859">
        <f t="shared" si="67"/>
        <v>24258.147120342368</v>
      </c>
      <c r="AG42" s="859">
        <f t="shared" ref="AG42" si="68">AG25*AG44</f>
        <v>25302.104930515903</v>
      </c>
    </row>
    <row r="43" spans="1:33" x14ac:dyDescent="0.35">
      <c r="A43" s="674" t="s">
        <v>577</v>
      </c>
      <c r="B43" s="1643" t="s">
        <v>577</v>
      </c>
      <c r="C43" s="820"/>
      <c r="D43" s="820"/>
      <c r="E43" s="820">
        <f t="shared" ref="E43:AC43" si="69">E42/D42-1</f>
        <v>3.3386071355996165</v>
      </c>
      <c r="F43" s="820">
        <f t="shared" si="69"/>
        <v>0.13079784813853279</v>
      </c>
      <c r="G43" s="820">
        <f t="shared" si="69"/>
        <v>7.9192307692307784E-2</v>
      </c>
      <c r="H43" s="820">
        <f t="shared" si="69"/>
        <v>1.5220017161640169</v>
      </c>
      <c r="I43" s="820">
        <f t="shared" si="69"/>
        <v>0.31519887645212785</v>
      </c>
      <c r="J43" s="820">
        <f t="shared" si="69"/>
        <v>0.46330382144758131</v>
      </c>
      <c r="K43" s="820">
        <f t="shared" si="69"/>
        <v>0.57720212170488749</v>
      </c>
      <c r="L43" s="820">
        <f t="shared" si="69"/>
        <v>0.2804473463119963</v>
      </c>
      <c r="M43" s="820">
        <f t="shared" si="69"/>
        <v>1.6855857360089876E-2</v>
      </c>
      <c r="N43" s="820">
        <f t="shared" si="69"/>
        <v>0.10788057850887345</v>
      </c>
      <c r="O43" s="820">
        <f t="shared" si="69"/>
        <v>0.33125611812743272</v>
      </c>
      <c r="P43" s="820">
        <f t="shared" si="69"/>
        <v>0.19054824575717255</v>
      </c>
      <c r="Q43" s="820">
        <f t="shared" si="69"/>
        <v>7.0202828639271742E-2</v>
      </c>
      <c r="R43" s="820">
        <f t="shared" si="69"/>
        <v>3.7339887749811895E-2</v>
      </c>
      <c r="S43" s="820">
        <f t="shared" si="69"/>
        <v>0.33093116710851</v>
      </c>
      <c r="T43" s="820">
        <f t="shared" si="69"/>
        <v>0.16772024447938394</v>
      </c>
      <c r="U43" s="820">
        <f t="shared" si="69"/>
        <v>0.16704299206334872</v>
      </c>
      <c r="V43" s="820">
        <f t="shared" si="69"/>
        <v>0.10212200889939949</v>
      </c>
      <c r="W43" s="820">
        <f t="shared" si="69"/>
        <v>-5.9024851001139411E-2</v>
      </c>
      <c r="X43" s="820">
        <f t="shared" si="69"/>
        <v>6.8846379803350288E-2</v>
      </c>
      <c r="Y43" s="820">
        <f t="shared" si="69"/>
        <v>8.0162925385035777E-2</v>
      </c>
      <c r="Z43" s="820">
        <f t="shared" si="69"/>
        <v>3.7041920798036587E-2</v>
      </c>
      <c r="AA43" s="820">
        <f t="shared" si="69"/>
        <v>0.10550927306799118</v>
      </c>
      <c r="AB43" s="820">
        <f t="shared" si="69"/>
        <v>8.7444423689214013E-2</v>
      </c>
      <c r="AC43" s="820">
        <f t="shared" si="69"/>
        <v>7.399111975445205E-2</v>
      </c>
      <c r="AD43" s="820">
        <f t="shared" ref="AD43" si="70">AD42/AC42-1</f>
        <v>6.3612022435668436E-2</v>
      </c>
      <c r="AE43" s="820">
        <f t="shared" ref="AE43" si="71">AE42/AD42-1</f>
        <v>5.5365160718155781E-2</v>
      </c>
      <c r="AF43" s="820">
        <f t="shared" ref="AF43:AG43" si="72">AF42/AE42-1</f>
        <v>4.8642513584619351E-2</v>
      </c>
      <c r="AG43" s="820">
        <f t="shared" si="72"/>
        <v>4.3035348289156561E-2</v>
      </c>
    </row>
    <row r="44" spans="1:33" x14ac:dyDescent="0.35">
      <c r="A44" s="674" t="s">
        <v>2097</v>
      </c>
      <c r="B44" s="1643" t="s">
        <v>2967</v>
      </c>
      <c r="C44" s="820"/>
      <c r="D44" s="820">
        <f t="shared" ref="D44:T44" si="73">D42/D25</f>
        <v>8.1515733078392077E-2</v>
      </c>
      <c r="E44" s="820">
        <f t="shared" si="73"/>
        <v>0.39000585849070146</v>
      </c>
      <c r="F44" s="820">
        <f t="shared" si="73"/>
        <v>0.32124910777337301</v>
      </c>
      <c r="G44" s="820">
        <f t="shared" si="73"/>
        <v>0.17089275649936123</v>
      </c>
      <c r="H44" s="820">
        <f t="shared" si="73"/>
        <v>0.19064939414292917</v>
      </c>
      <c r="I44" s="820">
        <f t="shared" si="73"/>
        <v>0.16030902510391729</v>
      </c>
      <c r="J44" s="820">
        <f t="shared" si="73"/>
        <v>0.20096173066115805</v>
      </c>
      <c r="K44" s="820">
        <f t="shared" si="73"/>
        <v>0.2000531731252336</v>
      </c>
      <c r="L44" s="820">
        <f t="shared" si="73"/>
        <v>0.23042559571626026</v>
      </c>
      <c r="M44" s="820">
        <f t="shared" si="73"/>
        <v>0.24849675552353834</v>
      </c>
      <c r="N44" s="820">
        <f t="shared" si="73"/>
        <v>0.22053544268285713</v>
      </c>
      <c r="O44" s="820">
        <f t="shared" si="73"/>
        <v>0.215787393189006</v>
      </c>
      <c r="P44" s="820">
        <f t="shared" si="73"/>
        <v>0.20848776411186062</v>
      </c>
      <c r="Q44" s="820">
        <f t="shared" si="73"/>
        <v>0.21393828245858629</v>
      </c>
      <c r="R44" s="820">
        <f t="shared" si="73"/>
        <v>0.21908574911229406</v>
      </c>
      <c r="S44" s="820">
        <f t="shared" si="73"/>
        <v>0.23273902849596312</v>
      </c>
      <c r="T44" s="820">
        <f t="shared" si="73"/>
        <v>0.22649785326814931</v>
      </c>
      <c r="U44" s="820">
        <f t="shared" ref="U44:V44" si="74">U42/U25</f>
        <v>0.19422413608538283</v>
      </c>
      <c r="V44" s="820">
        <f t="shared" si="74"/>
        <v>0.23448764448405804</v>
      </c>
      <c r="W44" s="820">
        <f>W42/W25</f>
        <v>0.248721487315434</v>
      </c>
      <c r="X44" s="821">
        <v>0.24</v>
      </c>
      <c r="Y44" s="821">
        <f>X44-0.5%</f>
        <v>0.23499999999999999</v>
      </c>
      <c r="Z44" s="821">
        <f>Y44-0.5%</f>
        <v>0.22999999999999998</v>
      </c>
      <c r="AA44" s="821">
        <f t="shared" ref="AA44:AG44" si="75">Z44</f>
        <v>0.22999999999999998</v>
      </c>
      <c r="AB44" s="821">
        <f t="shared" si="75"/>
        <v>0.22999999999999998</v>
      </c>
      <c r="AC44" s="821">
        <f t="shared" si="75"/>
        <v>0.22999999999999998</v>
      </c>
      <c r="AD44" s="821">
        <f t="shared" si="75"/>
        <v>0.22999999999999998</v>
      </c>
      <c r="AE44" s="821">
        <f t="shared" si="75"/>
        <v>0.22999999999999998</v>
      </c>
      <c r="AF44" s="821">
        <f t="shared" si="75"/>
        <v>0.22999999999999998</v>
      </c>
      <c r="AG44" s="821">
        <f t="shared" si="75"/>
        <v>0.22999999999999998</v>
      </c>
    </row>
    <row r="45" spans="1:33" x14ac:dyDescent="0.35">
      <c r="A45" s="674" t="s">
        <v>2044</v>
      </c>
      <c r="B45" s="1643" t="s">
        <v>2968</v>
      </c>
      <c r="C45" s="820"/>
      <c r="D45" s="820">
        <f>D42/(PL!D40-PL!D58)</f>
        <v>0.12725956192298743</v>
      </c>
      <c r="E45" s="820">
        <f>E42/(PL!E40-PL!E58)</f>
        <v>0.35983179984518648</v>
      </c>
      <c r="F45" s="820">
        <f>F42/(PL!F40-PL!F58)</f>
        <v>0.37167649190174101</v>
      </c>
      <c r="G45" s="820">
        <f>G42/(PL!G40-PL!G58)</f>
        <v>0.36737462508888086</v>
      </c>
      <c r="H45" s="820">
        <f>H42/(PL!H40-PL!H58)</f>
        <v>0.69912239503774765</v>
      </c>
      <c r="I45" s="820">
        <f>I42/(PL!I40-PL!I58)</f>
        <v>0.67284994194142556</v>
      </c>
      <c r="J45" s="820">
        <f>J42/(PL!J40-PL!J58)</f>
        <v>0.65133247272016903</v>
      </c>
      <c r="K45" s="820">
        <f>K42/(PL!K40-PL!K58)</f>
        <v>0.74544020267249</v>
      </c>
      <c r="L45" s="820">
        <f>L42/(PL!L40-PL!L58)</f>
        <v>0.75399064379181224</v>
      </c>
      <c r="M45" s="820">
        <f>M42/(PL!M40-PL!M58)</f>
        <v>0.7110657593267512</v>
      </c>
      <c r="N45" s="820">
        <f>N42/(PL!N40-PL!N58)</f>
        <v>0.67325273889923831</v>
      </c>
      <c r="O45" s="820">
        <f>O42/(PL!O40-PL!O58)</f>
        <v>0.70417122453883974</v>
      </c>
      <c r="P45" s="820">
        <f>P42/(PL!P40-PL!P58)</f>
        <v>0.73410187938233429</v>
      </c>
      <c r="Q45" s="820">
        <f>Q42/(PL!Q40-PL!Q58)</f>
        <v>0.7397637191234927</v>
      </c>
      <c r="R45" s="820">
        <f>R42/(PL!R40-PL!R58)</f>
        <v>0.76338126048896837</v>
      </c>
      <c r="S45" s="820">
        <f>S42/(PL!S40-PL!S58)</f>
        <v>0.78719697151144763</v>
      </c>
      <c r="T45" s="820">
        <f>T42/(PL!T40-PL!T58)</f>
        <v>0.7857906951244561</v>
      </c>
      <c r="U45" s="820">
        <f>U42/(PL!U40-PL!U58)</f>
        <v>0.78685626596461611</v>
      </c>
      <c r="V45" s="820">
        <f>V42/(PL!V40-PL!V58)</f>
        <v>0.86760130639063904</v>
      </c>
      <c r="W45" s="820">
        <f>W42/(PL!W40-PL!W58)</f>
        <v>0.83421377036049749</v>
      </c>
      <c r="X45" s="820">
        <f>X42/(PL!X40-PL!X58)</f>
        <v>0.83464784262488878</v>
      </c>
      <c r="Y45" s="820">
        <f>Y42/(PL!Y40-PL!Y58)</f>
        <v>0.82971170442045761</v>
      </c>
      <c r="Z45" s="820">
        <f>Z42/(PL!Z40-PL!Z58)</f>
        <v>0.8170411415612876</v>
      </c>
      <c r="AA45" s="820">
        <f>AA42/(PL!AA40-PL!AA58)</f>
        <v>0.81603249007902645</v>
      </c>
      <c r="AB45" s="820">
        <f>AB42/(PL!AB40-PL!AB58)</f>
        <v>0.81427497040984942</v>
      </c>
      <c r="AC45" s="820">
        <f>AC42/(PL!AC40-PL!AC58)</f>
        <v>0.811924381776713</v>
      </c>
      <c r="AD45" s="820">
        <f>AD42/(PL!AD40-PL!AD58)</f>
        <v>0.80907131960985845</v>
      </c>
      <c r="AE45" s="820">
        <f>AE42/(PL!AE40-PL!AE58)</f>
        <v>0.80576899272536884</v>
      </c>
      <c r="AF45" s="820">
        <f>AF42/(PL!AF40-PL!AF58)</f>
        <v>0.80204773674334617</v>
      </c>
      <c r="AG45" s="820">
        <f>AG42/(PL!AG40-PL!AG58)</f>
        <v>0.797923124609768</v>
      </c>
    </row>
    <row r="46" spans="1:33" x14ac:dyDescent="0.35">
      <c r="A46" s="700"/>
      <c r="B46" s="1648"/>
      <c r="C46" s="873"/>
      <c r="D46" s="873"/>
      <c r="E46" s="873"/>
      <c r="F46" s="873"/>
      <c r="G46" s="873"/>
      <c r="H46" s="873"/>
      <c r="I46" s="873"/>
      <c r="J46" s="873"/>
      <c r="K46" s="873"/>
      <c r="L46" s="873"/>
      <c r="M46" s="873"/>
      <c r="N46" s="873"/>
      <c r="O46" s="873" t="s">
        <v>1809</v>
      </c>
      <c r="P46" s="873"/>
      <c r="Q46" s="873"/>
      <c r="R46" s="873"/>
      <c r="S46" s="873"/>
      <c r="T46" s="873"/>
      <c r="U46" s="873"/>
      <c r="V46" s="873"/>
      <c r="W46" s="873"/>
      <c r="X46" s="873"/>
      <c r="Y46" s="873"/>
      <c r="Z46" s="873"/>
      <c r="AA46" s="873"/>
      <c r="AB46" s="873"/>
      <c r="AC46" s="873"/>
      <c r="AD46" s="873"/>
      <c r="AE46" s="873"/>
      <c r="AF46" s="873"/>
      <c r="AG46" s="873"/>
    </row>
    <row r="47" spans="1:33" x14ac:dyDescent="0.35">
      <c r="A47" s="810" t="s">
        <v>2091</v>
      </c>
      <c r="B47" s="1643" t="s">
        <v>2975</v>
      </c>
      <c r="C47" s="820"/>
      <c r="D47" s="849"/>
      <c r="E47" s="849"/>
      <c r="F47" s="849"/>
      <c r="G47" s="849"/>
      <c r="H47" s="849"/>
      <c r="I47" s="849"/>
      <c r="J47" s="849"/>
      <c r="K47" s="849"/>
      <c r="L47" s="849"/>
      <c r="M47" s="861">
        <v>3083</v>
      </c>
      <c r="N47" s="867">
        <v>3755</v>
      </c>
      <c r="O47" s="867">
        <v>5240</v>
      </c>
      <c r="P47" s="875"/>
      <c r="Q47" s="875"/>
      <c r="R47" s="875"/>
      <c r="S47" s="875"/>
      <c r="T47" s="875"/>
      <c r="U47" s="875"/>
      <c r="V47" s="875"/>
      <c r="W47" s="875"/>
      <c r="X47" s="875"/>
      <c r="Y47" s="875"/>
      <c r="Z47" s="875"/>
      <c r="AA47" s="875"/>
      <c r="AB47" s="875"/>
      <c r="AC47" s="875"/>
      <c r="AD47" s="875"/>
      <c r="AE47" s="875"/>
      <c r="AF47" s="875"/>
      <c r="AG47" s="875"/>
    </row>
    <row r="48" spans="1:33" s="623" customFormat="1" x14ac:dyDescent="0.35">
      <c r="A48" s="876" t="s">
        <v>2098</v>
      </c>
      <c r="B48" s="1665" t="s">
        <v>29</v>
      </c>
      <c r="C48" s="878"/>
      <c r="D48" s="879"/>
      <c r="E48" s="879"/>
      <c r="F48" s="879"/>
      <c r="G48" s="843"/>
      <c r="H48" s="843"/>
      <c r="I48" s="843"/>
      <c r="J48" s="843"/>
      <c r="K48" s="843"/>
      <c r="L48" s="843"/>
      <c r="M48" s="843">
        <f>M47/M29</f>
        <v>0.2370079950799508</v>
      </c>
      <c r="N48" s="843">
        <f>N47/N29</f>
        <v>0.22167652866481186</v>
      </c>
      <c r="O48" s="843">
        <f>O47/O29</f>
        <v>0.22360672527097381</v>
      </c>
      <c r="P48" s="880"/>
      <c r="Q48" s="880"/>
      <c r="R48" s="880"/>
      <c r="S48" s="880"/>
      <c r="T48" s="880"/>
      <c r="U48" s="880"/>
      <c r="V48" s="880"/>
      <c r="W48" s="880"/>
      <c r="X48" s="880"/>
      <c r="Y48" s="880"/>
      <c r="Z48" s="880"/>
      <c r="AA48" s="880"/>
      <c r="AB48" s="880"/>
      <c r="AC48" s="880"/>
      <c r="AD48" s="880"/>
      <c r="AE48" s="880"/>
      <c r="AF48" s="880"/>
      <c r="AG48" s="880"/>
    </row>
    <row r="49" spans="1:33" x14ac:dyDescent="0.35">
      <c r="A49" s="810" t="s">
        <v>2092</v>
      </c>
      <c r="B49" s="1643" t="s">
        <v>2979</v>
      </c>
      <c r="C49" s="820"/>
      <c r="D49" s="849"/>
      <c r="E49" s="849"/>
      <c r="F49" s="849"/>
      <c r="G49" s="849"/>
      <c r="H49" s="849"/>
      <c r="I49" s="849"/>
      <c r="J49" s="849"/>
      <c r="K49" s="849"/>
      <c r="L49" s="849"/>
      <c r="M49" s="861">
        <v>231</v>
      </c>
      <c r="N49" s="867">
        <v>78</v>
      </c>
      <c r="O49" s="875"/>
      <c r="P49" s="875"/>
      <c r="Q49" s="875"/>
      <c r="R49" s="875"/>
      <c r="S49" s="875"/>
      <c r="T49" s="875"/>
      <c r="U49" s="875"/>
      <c r="V49" s="875"/>
      <c r="W49" s="875"/>
      <c r="X49" s="875"/>
      <c r="Y49" s="875"/>
      <c r="Z49" s="875"/>
      <c r="AA49" s="875"/>
      <c r="AB49" s="875"/>
      <c r="AC49" s="875"/>
      <c r="AD49" s="875"/>
      <c r="AE49" s="875"/>
      <c r="AF49" s="875"/>
      <c r="AG49" s="875"/>
    </row>
    <row r="50" spans="1:33" s="623" customFormat="1" x14ac:dyDescent="0.35">
      <c r="A50" s="876" t="s">
        <v>2098</v>
      </c>
      <c r="B50" s="1665" t="s">
        <v>29</v>
      </c>
      <c r="C50" s="878"/>
      <c r="D50" s="879"/>
      <c r="E50" s="879"/>
      <c r="F50" s="879"/>
      <c r="G50" s="843"/>
      <c r="H50" s="843"/>
      <c r="I50" s="843"/>
      <c r="J50" s="843"/>
      <c r="K50" s="843"/>
      <c r="L50" s="843"/>
      <c r="M50" s="843">
        <f>M49/M31</f>
        <v>0.2441860465116279</v>
      </c>
      <c r="N50" s="843">
        <f>N49/N31</f>
        <v>9.3207558894032566E-2</v>
      </c>
      <c r="O50" s="880"/>
      <c r="P50" s="880"/>
      <c r="Q50" s="880"/>
      <c r="R50" s="880"/>
      <c r="S50" s="880"/>
      <c r="T50" s="880"/>
      <c r="U50" s="880"/>
      <c r="V50" s="880"/>
      <c r="W50" s="880"/>
      <c r="X50" s="880"/>
      <c r="Y50" s="880"/>
      <c r="Z50" s="880"/>
      <c r="AA50" s="880"/>
      <c r="AB50" s="880"/>
      <c r="AC50" s="880"/>
      <c r="AD50" s="880"/>
      <c r="AE50" s="880"/>
      <c r="AF50" s="880"/>
      <c r="AG50" s="880"/>
    </row>
    <row r="51" spans="1:33" x14ac:dyDescent="0.35">
      <c r="A51" s="810" t="s">
        <v>2093</v>
      </c>
      <c r="B51" s="1643" t="s">
        <v>2980</v>
      </c>
      <c r="C51" s="820"/>
      <c r="D51" s="849"/>
      <c r="E51" s="849"/>
      <c r="F51" s="849"/>
      <c r="G51" s="849"/>
      <c r="H51" s="849"/>
      <c r="I51" s="849"/>
      <c r="J51" s="849"/>
      <c r="K51" s="849"/>
      <c r="L51" s="849"/>
      <c r="M51" s="849">
        <f>M42-M47-M49</f>
        <v>321.76099999999997</v>
      </c>
      <c r="N51" s="866">
        <f>N42-N47-N49</f>
        <v>194.98900000000003</v>
      </c>
      <c r="O51" s="866"/>
      <c r="P51" s="875"/>
      <c r="Q51" s="875"/>
      <c r="R51" s="875"/>
      <c r="S51" s="875"/>
      <c r="T51" s="875"/>
      <c r="U51" s="875"/>
      <c r="V51" s="875"/>
      <c r="W51" s="875"/>
      <c r="X51" s="875"/>
      <c r="Y51" s="875"/>
      <c r="Z51" s="875"/>
      <c r="AA51" s="875"/>
      <c r="AB51" s="875"/>
      <c r="AC51" s="875"/>
      <c r="AD51" s="875"/>
      <c r="AE51" s="875"/>
      <c r="AF51" s="875"/>
      <c r="AG51" s="875"/>
    </row>
    <row r="52" spans="1:33" s="623" customFormat="1" x14ac:dyDescent="0.35">
      <c r="A52" s="876" t="s">
        <v>2098</v>
      </c>
      <c r="B52" s="1665" t="s">
        <v>29</v>
      </c>
      <c r="C52" s="878"/>
      <c r="D52" s="879"/>
      <c r="E52" s="879"/>
      <c r="F52" s="879"/>
      <c r="G52" s="843"/>
      <c r="H52" s="843"/>
      <c r="I52" s="843"/>
      <c r="J52" s="843"/>
      <c r="K52" s="843"/>
      <c r="L52" s="843"/>
      <c r="M52" s="843">
        <f>M51/M33</f>
        <v>0.47526070130867593</v>
      </c>
      <c r="N52" s="843">
        <f>N51/N33</f>
        <v>0.39903611992223609</v>
      </c>
      <c r="O52" s="843"/>
      <c r="P52" s="880"/>
      <c r="Q52" s="880"/>
      <c r="R52" s="880"/>
      <c r="S52" s="880"/>
      <c r="T52" s="880"/>
      <c r="U52" s="880"/>
      <c r="V52" s="880"/>
      <c r="W52" s="880"/>
      <c r="X52" s="880"/>
      <c r="Y52" s="880"/>
      <c r="Z52" s="880"/>
      <c r="AA52" s="880"/>
      <c r="AB52" s="880"/>
      <c r="AC52" s="880"/>
      <c r="AD52" s="880"/>
      <c r="AE52" s="880"/>
      <c r="AF52" s="880"/>
      <c r="AG52" s="880"/>
    </row>
    <row r="53" spans="1:33" x14ac:dyDescent="0.35">
      <c r="A53" s="674"/>
      <c r="B53" s="1643"/>
      <c r="C53" s="820"/>
      <c r="D53" s="820"/>
      <c r="E53" s="820"/>
      <c r="F53" s="820"/>
      <c r="G53" s="820"/>
      <c r="H53" s="820"/>
      <c r="I53" s="820"/>
      <c r="J53" s="820"/>
      <c r="K53" s="820"/>
      <c r="L53" s="820"/>
      <c r="M53" s="820"/>
    </row>
    <row r="54" spans="1:33" x14ac:dyDescent="0.35">
      <c r="A54" s="674" t="s">
        <v>2074</v>
      </c>
      <c r="B54" s="1643" t="s">
        <v>2969</v>
      </c>
      <c r="C54" s="820"/>
      <c r="D54" s="841">
        <f t="shared" ref="D54:T54" si="76">+D57-D42</f>
        <v>-35.640000000000008</v>
      </c>
      <c r="E54" s="841">
        <f t="shared" si="76"/>
        <v>-65.628999999999991</v>
      </c>
      <c r="F54" s="841">
        <f t="shared" si="76"/>
        <v>-64.834000000000003</v>
      </c>
      <c r="G54" s="875">
        <f t="shared" si="76"/>
        <v>-61.231999999999971</v>
      </c>
      <c r="H54" s="875">
        <f t="shared" si="76"/>
        <v>-86.234000000000037</v>
      </c>
      <c r="I54" s="881">
        <f t="shared" si="76"/>
        <v>-85.663999999999987</v>
      </c>
      <c r="J54" s="881">
        <f t="shared" si="76"/>
        <v>-114.39200000000005</v>
      </c>
      <c r="K54" s="881">
        <f t="shared" si="76"/>
        <v>-300.7510000000002</v>
      </c>
      <c r="L54" s="881">
        <f t="shared" si="76"/>
        <v>-269.88799999999992</v>
      </c>
      <c r="M54" s="881">
        <f t="shared" si="76"/>
        <v>-107.404</v>
      </c>
      <c r="N54" s="881">
        <f t="shared" si="76"/>
        <v>-306.35399999999981</v>
      </c>
      <c r="O54" s="881">
        <f t="shared" si="76"/>
        <v>-535.21900000000005</v>
      </c>
      <c r="P54" s="881">
        <f t="shared" si="76"/>
        <v>-385.48400000000038</v>
      </c>
      <c r="Q54" s="881">
        <f t="shared" si="76"/>
        <v>-525.18000000000029</v>
      </c>
      <c r="R54" s="881">
        <f t="shared" si="76"/>
        <v>-584.04</v>
      </c>
      <c r="S54" s="881">
        <f t="shared" si="76"/>
        <v>-648.56700000000092</v>
      </c>
      <c r="T54" s="881">
        <f t="shared" si="76"/>
        <v>-731.06400000000031</v>
      </c>
      <c r="U54" s="881">
        <f t="shared" ref="U54" si="77">+U57-U42</f>
        <v>-1296.8069999999989</v>
      </c>
      <c r="V54" s="881">
        <f>+V57-V42</f>
        <v>-1356.1470000000008</v>
      </c>
      <c r="W54" s="881">
        <f>+W57-W42</f>
        <v>-1443.6999999999989</v>
      </c>
      <c r="X54" s="881">
        <f>X25*X55</f>
        <v>-1599.1688124734242</v>
      </c>
      <c r="Y54" s="881">
        <f t="shared" ref="Y54:AG54" si="78">Y25*Y55</f>
        <v>-1764.1152639991226</v>
      </c>
      <c r="Z54" s="881">
        <f t="shared" si="78"/>
        <v>-1869.2323836669329</v>
      </c>
      <c r="AA54" s="881">
        <f t="shared" si="78"/>
        <v>-2066.4537336627791</v>
      </c>
      <c r="AB54" s="881">
        <f t="shared" si="78"/>
        <v>-2247.1535894833455</v>
      </c>
      <c r="AC54" s="881">
        <f t="shared" si="78"/>
        <v>-2413.4229998294545</v>
      </c>
      <c r="AD54" s="881">
        <f t="shared" si="78"/>
        <v>-2566.9457178413641</v>
      </c>
      <c r="AE54" s="881">
        <f t="shared" si="78"/>
        <v>-2709.0650800644335</v>
      </c>
      <c r="AF54" s="881">
        <f t="shared" si="78"/>
        <v>-2840.8408150230853</v>
      </c>
      <c r="AG54" s="881">
        <f t="shared" si="78"/>
        <v>-2963.0973889316556</v>
      </c>
    </row>
    <row r="55" spans="1:33" x14ac:dyDescent="0.35">
      <c r="A55" s="674" t="s">
        <v>2044</v>
      </c>
      <c r="B55" s="1643" t="s">
        <v>2970</v>
      </c>
      <c r="C55" s="820"/>
      <c r="D55" s="820">
        <f t="shared" ref="D55:I55" si="79">-D54/D25</f>
        <v>4.2169430239409729E-2</v>
      </c>
      <c r="E55" s="820">
        <f t="shared" si="79"/>
        <v>8.56318232171073E-2</v>
      </c>
      <c r="F55" s="820">
        <f t="shared" si="79"/>
        <v>6.1620901341357594E-2</v>
      </c>
      <c r="G55" s="820">
        <f t="shared" si="79"/>
        <v>2.8687094133978353E-2</v>
      </c>
      <c r="H55" s="820">
        <f t="shared" si="79"/>
        <v>1.7871172294937145E-2</v>
      </c>
      <c r="I55" s="820">
        <f t="shared" si="79"/>
        <v>1.1350212021494171E-2</v>
      </c>
      <c r="J55" s="820">
        <f t="shared" ref="J55:W55" si="80">J54/J25</f>
        <v>-1.2984408199319163E-2</v>
      </c>
      <c r="K55" s="820">
        <f t="shared" si="80"/>
        <v>-2.1546578532916093E-2</v>
      </c>
      <c r="L55" s="820">
        <f t="shared" si="80"/>
        <v>-1.7393154783597681E-2</v>
      </c>
      <c r="M55" s="820">
        <f t="shared" si="80"/>
        <v>-7.3408415817899225E-3</v>
      </c>
      <c r="N55" s="820">
        <f t="shared" si="80"/>
        <v>-1.6773113086372374E-2</v>
      </c>
      <c r="O55" s="820">
        <f t="shared" si="80"/>
        <v>-2.1538115336134988E-2</v>
      </c>
      <c r="P55" s="820">
        <f t="shared" si="80"/>
        <v>-1.2588965305755564E-2</v>
      </c>
      <c r="Q55" s="820">
        <f t="shared" si="80"/>
        <v>-1.6444993160601315E-2</v>
      </c>
      <c r="R55" s="820">
        <f t="shared" si="80"/>
        <v>-1.8053967526599029E-2</v>
      </c>
      <c r="S55" s="820">
        <f t="shared" si="80"/>
        <v>-1.6002373584130564E-2</v>
      </c>
      <c r="T55" s="820">
        <f t="shared" si="80"/>
        <v>-1.5032839457654417E-2</v>
      </c>
      <c r="U55" s="820">
        <f t="shared" ref="U55" si="81">U54/U25</f>
        <v>-1.9593554099984197E-2</v>
      </c>
      <c r="V55" s="820">
        <f t="shared" si="80"/>
        <v>-2.2445626522518705E-2</v>
      </c>
      <c r="W55" s="820">
        <f t="shared" si="80"/>
        <v>-2.6935008029009264E-2</v>
      </c>
      <c r="X55" s="821">
        <f>W55</f>
        <v>-2.6935008029009264E-2</v>
      </c>
      <c r="Y55" s="821">
        <f t="shared" ref="Y55:AG55" si="82">X55</f>
        <v>-2.6935008029009264E-2</v>
      </c>
      <c r="Z55" s="821">
        <f t="shared" si="82"/>
        <v>-2.6935008029009264E-2</v>
      </c>
      <c r="AA55" s="821">
        <f t="shared" si="82"/>
        <v>-2.6935008029009264E-2</v>
      </c>
      <c r="AB55" s="821">
        <f t="shared" si="82"/>
        <v>-2.6935008029009264E-2</v>
      </c>
      <c r="AC55" s="821">
        <f t="shared" si="82"/>
        <v>-2.6935008029009264E-2</v>
      </c>
      <c r="AD55" s="821">
        <f t="shared" si="82"/>
        <v>-2.6935008029009264E-2</v>
      </c>
      <c r="AE55" s="821">
        <f t="shared" si="82"/>
        <v>-2.6935008029009264E-2</v>
      </c>
      <c r="AF55" s="821">
        <f t="shared" si="82"/>
        <v>-2.6935008029009264E-2</v>
      </c>
      <c r="AG55" s="821">
        <f t="shared" si="82"/>
        <v>-2.6935008029009264E-2</v>
      </c>
    </row>
    <row r="56" spans="1:33" x14ac:dyDescent="0.35">
      <c r="C56" s="875"/>
      <c r="D56" s="875"/>
      <c r="E56" s="875"/>
      <c r="F56" s="875"/>
      <c r="G56" s="875"/>
      <c r="H56" s="875"/>
      <c r="I56" s="875"/>
      <c r="J56" s="875"/>
      <c r="K56" s="875"/>
      <c r="L56" s="875"/>
      <c r="M56" s="875"/>
      <c r="N56" s="875"/>
      <c r="O56" s="875"/>
      <c r="P56" s="875"/>
      <c r="Q56" s="875"/>
      <c r="R56" s="875"/>
      <c r="S56" s="875"/>
      <c r="T56" s="875"/>
      <c r="U56" s="875"/>
      <c r="V56" s="875"/>
      <c r="W56" s="875"/>
      <c r="X56" s="875"/>
      <c r="Y56" s="875"/>
      <c r="Z56" s="875"/>
      <c r="AA56" s="875"/>
      <c r="AB56" s="875"/>
      <c r="AC56" s="875"/>
      <c r="AD56" s="875"/>
      <c r="AE56" s="875"/>
      <c r="AF56" s="875"/>
      <c r="AG56" s="875"/>
    </row>
    <row r="57" spans="1:33" s="646" customFormat="1" x14ac:dyDescent="0.35">
      <c r="A57" s="817" t="s">
        <v>2100</v>
      </c>
      <c r="B57" s="1642" t="s">
        <v>488</v>
      </c>
      <c r="C57" s="860"/>
      <c r="D57" s="860">
        <v>33.253999999999998</v>
      </c>
      <c r="E57" s="860">
        <v>233.27500000000001</v>
      </c>
      <c r="F57" s="860">
        <v>273.166</v>
      </c>
      <c r="G57" s="860">
        <v>303.53500000000003</v>
      </c>
      <c r="H57" s="860">
        <v>833.70899999999995</v>
      </c>
      <c r="I57" s="860">
        <v>1124.2439999999999</v>
      </c>
      <c r="J57" s="860">
        <f>1656071/1000</f>
        <v>1656.0709999999999</v>
      </c>
      <c r="K57" s="860">
        <f>2491627/1000</f>
        <v>2491.627</v>
      </c>
      <c r="L57" s="860">
        <f>3305605/1000</f>
        <v>3305.605</v>
      </c>
      <c r="M57" s="860">
        <f>3528357/1000</f>
        <v>3528.357</v>
      </c>
      <c r="N57" s="860">
        <f>3721635/1000</f>
        <v>3721.6350000000002</v>
      </c>
      <c r="O57" s="860">
        <f>4827066/1000</f>
        <v>4827.0659999999998</v>
      </c>
      <c r="P57" s="860">
        <f>5998575/1000</f>
        <v>5998.5749999999998</v>
      </c>
      <c r="Q57" s="860">
        <v>6307.058</v>
      </c>
      <c r="R57" s="860">
        <v>6503.3130000000001</v>
      </c>
      <c r="S57" s="860">
        <v>8784.2119999999995</v>
      </c>
      <c r="T57" s="860">
        <v>10283.782999999999</v>
      </c>
      <c r="U57" s="860">
        <v>11557.993</v>
      </c>
      <c r="V57" s="860">
        <v>12811.411</v>
      </c>
      <c r="W57" s="860">
        <f>11887.62</f>
        <v>11887.62</v>
      </c>
      <c r="X57" s="859">
        <f>X42+X54</f>
        <v>12649.964307526574</v>
      </c>
      <c r="Y57" s="859">
        <f t="shared" ref="Y57:AG57" si="83">Y42+Y54</f>
        <v>13627.270051100877</v>
      </c>
      <c r="Z57" s="859">
        <f t="shared" si="83"/>
        <v>14092.279407247064</v>
      </c>
      <c r="AA57" s="859">
        <f t="shared" si="83"/>
        <v>15579.145563376722</v>
      </c>
      <c r="AB57" s="859">
        <f t="shared" si="83"/>
        <v>16941.454968736572</v>
      </c>
      <c r="AC57" s="859">
        <f t="shared" si="83"/>
        <v>18194.972192143021</v>
      </c>
      <c r="AD57" s="859">
        <f t="shared" si="83"/>
        <v>19352.391171445986</v>
      </c>
      <c r="AE57" s="859">
        <f t="shared" si="83"/>
        <v>20423.839418933716</v>
      </c>
      <c r="AF57" s="859">
        <f t="shared" si="83"/>
        <v>21417.306305319282</v>
      </c>
      <c r="AG57" s="859">
        <f t="shared" si="83"/>
        <v>22339.007541584248</v>
      </c>
    </row>
    <row r="58" spans="1:33" x14ac:dyDescent="0.35">
      <c r="A58" s="674" t="s">
        <v>577</v>
      </c>
      <c r="B58" s="1643" t="s">
        <v>577</v>
      </c>
      <c r="C58" s="820"/>
      <c r="D58" s="820"/>
      <c r="E58" s="820">
        <f t="shared" ref="E58:V58" si="84">E57/D57-1</f>
        <v>6.01494557045769</v>
      </c>
      <c r="F58" s="820">
        <f t="shared" si="84"/>
        <v>0.17100417961633263</v>
      </c>
      <c r="G58" s="820">
        <f t="shared" si="84"/>
        <v>0.11117415783809115</v>
      </c>
      <c r="H58" s="820">
        <f t="shared" si="84"/>
        <v>1.7466651292272717</v>
      </c>
      <c r="I58" s="820">
        <f t="shared" si="84"/>
        <v>0.3484849030057251</v>
      </c>
      <c r="J58" s="820">
        <f t="shared" si="84"/>
        <v>0.47305300272894502</v>
      </c>
      <c r="K58" s="820">
        <f t="shared" si="84"/>
        <v>0.50454117003437671</v>
      </c>
      <c r="L58" s="820">
        <f t="shared" si="84"/>
        <v>0.32668533452238235</v>
      </c>
      <c r="M58" s="820">
        <f t="shared" si="84"/>
        <v>6.7386151702940822E-2</v>
      </c>
      <c r="N58" s="820">
        <f t="shared" si="84"/>
        <v>5.4778470545922664E-2</v>
      </c>
      <c r="O58" s="820">
        <f t="shared" si="84"/>
        <v>0.29702832222934261</v>
      </c>
      <c r="P58" s="820">
        <f t="shared" si="84"/>
        <v>0.24269587364249845</v>
      </c>
      <c r="Q58" s="820">
        <f t="shared" si="84"/>
        <v>5.1426047019500487E-2</v>
      </c>
      <c r="R58" s="820">
        <f t="shared" si="84"/>
        <v>3.1116726689369267E-2</v>
      </c>
      <c r="S58" s="820">
        <f t="shared" si="84"/>
        <v>0.35072877470298591</v>
      </c>
      <c r="T58" s="820">
        <f t="shared" si="84"/>
        <v>0.1707120684245782</v>
      </c>
      <c r="U58" s="820">
        <f t="shared" si="84"/>
        <v>0.12390479262349285</v>
      </c>
      <c r="V58" s="820">
        <f t="shared" si="84"/>
        <v>0.10844599057985227</v>
      </c>
      <c r="W58" s="820">
        <f>W57/V57-1</f>
        <v>-7.2106889709494082E-2</v>
      </c>
      <c r="X58" s="820">
        <f t="shared" ref="X58:AG58" si="85">X57/W57-1</f>
        <v>6.412926284038134E-2</v>
      </c>
      <c r="Y58" s="820">
        <f t="shared" si="85"/>
        <v>7.7257589018873141E-2</v>
      </c>
      <c r="Z58" s="820">
        <f t="shared" si="85"/>
        <v>3.4123441775384844E-2</v>
      </c>
      <c r="AA58" s="820">
        <f t="shared" si="85"/>
        <v>0.10550927306799096</v>
      </c>
      <c r="AB58" s="820">
        <f t="shared" si="85"/>
        <v>8.744442368921379E-2</v>
      </c>
      <c r="AC58" s="820">
        <f t="shared" si="85"/>
        <v>7.3991119754452273E-2</v>
      </c>
      <c r="AD58" s="820">
        <f t="shared" si="85"/>
        <v>6.3612022435668436E-2</v>
      </c>
      <c r="AE58" s="820">
        <f t="shared" si="85"/>
        <v>5.5365160718156003E-2</v>
      </c>
      <c r="AF58" s="820">
        <f t="shared" si="85"/>
        <v>4.8642513584619351E-2</v>
      </c>
      <c r="AG58" s="820">
        <f t="shared" si="85"/>
        <v>4.3035348289156561E-2</v>
      </c>
    </row>
    <row r="59" spans="1:33" x14ac:dyDescent="0.35">
      <c r="A59" s="674" t="s">
        <v>2102</v>
      </c>
      <c r="B59" s="1643" t="s">
        <v>93</v>
      </c>
      <c r="C59" s="820"/>
      <c r="D59" s="820">
        <f t="shared" ref="D59:T59" si="86">D57/D25</f>
        <v>3.9346302838982342E-2</v>
      </c>
      <c r="E59" s="820">
        <f t="shared" si="86"/>
        <v>0.30437403527359413</v>
      </c>
      <c r="F59" s="820">
        <f t="shared" si="86"/>
        <v>0.2596282064320154</v>
      </c>
      <c r="G59" s="820">
        <f t="shared" si="86"/>
        <v>0.14220566236538287</v>
      </c>
      <c r="H59" s="820">
        <f t="shared" si="86"/>
        <v>0.17277822184799202</v>
      </c>
      <c r="I59" s="820">
        <f t="shared" si="86"/>
        <v>0.14895881308242312</v>
      </c>
      <c r="J59" s="820">
        <f t="shared" si="86"/>
        <v>0.1879773224618389</v>
      </c>
      <c r="K59" s="820">
        <f t="shared" si="86"/>
        <v>0.17850659459231752</v>
      </c>
      <c r="L59" s="820">
        <f t="shared" si="86"/>
        <v>0.21303244093266255</v>
      </c>
      <c r="M59" s="820">
        <f t="shared" si="86"/>
        <v>0.2411559139417484</v>
      </c>
      <c r="N59" s="820">
        <f t="shared" si="86"/>
        <v>0.20376232959648474</v>
      </c>
      <c r="O59" s="820">
        <f t="shared" si="86"/>
        <v>0.19424927785287099</v>
      </c>
      <c r="P59" s="820">
        <f t="shared" si="86"/>
        <v>0.19589879880610506</v>
      </c>
      <c r="Q59" s="820">
        <f t="shared" si="86"/>
        <v>0.19749328929798499</v>
      </c>
      <c r="R59" s="820">
        <f t="shared" si="86"/>
        <v>0.20103178158569501</v>
      </c>
      <c r="S59" s="820">
        <f t="shared" si="86"/>
        <v>0.21673665491183255</v>
      </c>
      <c r="T59" s="820">
        <f t="shared" si="86"/>
        <v>0.2114650138104949</v>
      </c>
      <c r="U59" s="820">
        <f t="shared" ref="U59:V59" si="87">U57/U25</f>
        <v>0.17463058198539863</v>
      </c>
      <c r="V59" s="820">
        <f t="shared" si="87"/>
        <v>0.21204201796153935</v>
      </c>
      <c r="W59" s="820">
        <f>W57/W25</f>
        <v>0.22178647928642473</v>
      </c>
      <c r="X59" s="820">
        <f t="shared" ref="X59:AG59" si="88">X57/X25</f>
        <v>0.21306499197099071</v>
      </c>
      <c r="Y59" s="820">
        <f t="shared" si="88"/>
        <v>0.20806499197099071</v>
      </c>
      <c r="Z59" s="820">
        <f t="shared" si="88"/>
        <v>0.2030649919709907</v>
      </c>
      <c r="AA59" s="820">
        <f t="shared" si="88"/>
        <v>0.2030649919709907</v>
      </c>
      <c r="AB59" s="820">
        <f t="shared" si="88"/>
        <v>0.2030649919709907</v>
      </c>
      <c r="AC59" s="820">
        <f t="shared" si="88"/>
        <v>0.20306499197099073</v>
      </c>
      <c r="AD59" s="820">
        <f t="shared" si="88"/>
        <v>0.20306499197099073</v>
      </c>
      <c r="AE59" s="820">
        <f t="shared" si="88"/>
        <v>0.20306499197099073</v>
      </c>
      <c r="AF59" s="820">
        <f t="shared" si="88"/>
        <v>0.20306499197099073</v>
      </c>
      <c r="AG59" s="820">
        <f t="shared" si="88"/>
        <v>0.20306499197099073</v>
      </c>
    </row>
    <row r="60" spans="1:33" x14ac:dyDescent="0.35">
      <c r="B60" s="1643"/>
      <c r="C60" s="882"/>
      <c r="D60" s="882"/>
      <c r="E60" s="882"/>
      <c r="F60" s="883"/>
      <c r="G60" s="883"/>
      <c r="H60" s="883"/>
      <c r="I60" s="883"/>
      <c r="J60" s="883"/>
      <c r="K60" s="883"/>
      <c r="L60" s="883"/>
      <c r="M60" s="883"/>
      <c r="N60" s="883"/>
      <c r="O60" s="883"/>
      <c r="P60" s="883"/>
      <c r="Q60" s="883"/>
      <c r="R60" s="883"/>
      <c r="S60" s="883"/>
      <c r="T60" s="883"/>
      <c r="U60" s="883"/>
      <c r="V60" s="883"/>
      <c r="W60" s="883"/>
      <c r="X60" s="883"/>
      <c r="Y60" s="883"/>
      <c r="Z60" s="883"/>
      <c r="AA60" s="883"/>
      <c r="AB60" s="883"/>
      <c r="AC60" s="883"/>
      <c r="AD60" s="883"/>
      <c r="AE60" s="883"/>
      <c r="AF60" s="883"/>
      <c r="AG60" s="883"/>
    </row>
    <row r="61" spans="1:33" x14ac:dyDescent="0.35">
      <c r="A61" s="810" t="s">
        <v>2091</v>
      </c>
      <c r="B61" s="1643" t="s">
        <v>2975</v>
      </c>
      <c r="C61" s="882"/>
      <c r="D61" s="882"/>
      <c r="E61" s="882"/>
      <c r="F61" s="883"/>
      <c r="G61" s="883"/>
      <c r="H61" s="883"/>
      <c r="I61" s="883"/>
      <c r="J61" s="883"/>
      <c r="K61" s="883"/>
      <c r="L61" s="883"/>
      <c r="M61" s="883"/>
      <c r="N61" s="883"/>
      <c r="O61" s="883"/>
      <c r="P61" s="883">
        <f>Q61/(1+Q62)</f>
        <v>5880.0000000000009</v>
      </c>
      <c r="Q61" s="867">
        <v>6027</v>
      </c>
      <c r="R61" s="867">
        <v>6472</v>
      </c>
      <c r="S61" s="867">
        <v>8795</v>
      </c>
      <c r="T61" s="867">
        <v>9365</v>
      </c>
      <c r="U61" s="867">
        <v>9366</v>
      </c>
      <c r="V61" s="867">
        <v>11905</v>
      </c>
      <c r="W61" s="867">
        <f>11602</f>
        <v>11602</v>
      </c>
      <c r="X61" s="883"/>
      <c r="Y61" s="883"/>
      <c r="Z61" s="883"/>
      <c r="AA61" s="883"/>
      <c r="AB61" s="883"/>
      <c r="AC61" s="883"/>
      <c r="AD61" s="883"/>
      <c r="AE61" s="883"/>
      <c r="AF61" s="883"/>
      <c r="AG61" s="883"/>
    </row>
    <row r="62" spans="1:33" x14ac:dyDescent="0.35">
      <c r="A62" s="863" t="s">
        <v>577</v>
      </c>
      <c r="B62" s="1643" t="s">
        <v>577</v>
      </c>
      <c r="C62" s="882"/>
      <c r="D62" s="882"/>
      <c r="E62" s="882"/>
      <c r="F62" s="883"/>
      <c r="G62" s="883"/>
      <c r="H62" s="883"/>
      <c r="I62" s="883"/>
      <c r="J62" s="883"/>
      <c r="K62" s="883"/>
      <c r="L62" s="883"/>
      <c r="M62" s="883"/>
      <c r="N62" s="883"/>
      <c r="O62" s="883"/>
      <c r="P62" s="883"/>
      <c r="Q62" s="820">
        <v>2.5000000000000001E-2</v>
      </c>
      <c r="R62" s="884">
        <f>R61/Q61-1</f>
        <v>7.3834411813505918E-2</v>
      </c>
      <c r="S62" s="884">
        <f>S61/R61-1</f>
        <v>0.35893077873918422</v>
      </c>
      <c r="T62" s="884">
        <f>T61/S61-1</f>
        <v>6.4809550881182565E-2</v>
      </c>
      <c r="U62" s="884">
        <f>U61/T61-1</f>
        <v>1.0678056593693697E-4</v>
      </c>
      <c r="V62" s="884">
        <f>V61/U61-1</f>
        <v>0.27108691010036301</v>
      </c>
      <c r="W62" s="1723">
        <v>6.5000000000000002E-2</v>
      </c>
      <c r="X62" s="883"/>
      <c r="Y62" s="883"/>
      <c r="Z62" s="883"/>
      <c r="AA62" s="883"/>
      <c r="AB62" s="883"/>
      <c r="AC62" s="883"/>
      <c r="AD62" s="883"/>
      <c r="AE62" s="883"/>
      <c r="AF62" s="883"/>
      <c r="AG62" s="883"/>
    </row>
    <row r="63" spans="1:33" x14ac:dyDescent="0.35">
      <c r="A63" s="810" t="s">
        <v>2092</v>
      </c>
      <c r="B63" s="1643" t="s">
        <v>2979</v>
      </c>
      <c r="C63" s="882"/>
      <c r="D63" s="882"/>
      <c r="E63" s="882"/>
      <c r="F63" s="883"/>
      <c r="G63" s="883"/>
      <c r="H63" s="883"/>
      <c r="I63" s="883"/>
      <c r="J63" s="883"/>
      <c r="K63" s="883"/>
      <c r="L63" s="883"/>
      <c r="M63" s="883"/>
      <c r="N63" s="883"/>
      <c r="O63" s="883"/>
      <c r="P63" s="883"/>
      <c r="Q63" s="883"/>
      <c r="R63" s="883"/>
      <c r="S63" s="883"/>
      <c r="T63" s="883"/>
      <c r="U63" s="883"/>
      <c r="V63" s="883"/>
      <c r="W63" s="883"/>
      <c r="X63" s="883"/>
      <c r="Y63" s="883"/>
      <c r="Z63" s="883"/>
      <c r="AA63" s="883"/>
      <c r="AB63" s="883"/>
      <c r="AC63" s="883"/>
      <c r="AD63" s="883"/>
      <c r="AE63" s="883"/>
      <c r="AF63" s="883"/>
      <c r="AG63" s="883"/>
    </row>
    <row r="64" spans="1:33" x14ac:dyDescent="0.35">
      <c r="A64" s="863" t="s">
        <v>577</v>
      </c>
      <c r="B64" s="1643" t="s">
        <v>577</v>
      </c>
      <c r="C64" s="882"/>
      <c r="D64" s="882"/>
      <c r="E64" s="882"/>
      <c r="F64" s="883"/>
      <c r="G64" s="883"/>
      <c r="H64" s="883"/>
      <c r="I64" s="883"/>
      <c r="J64" s="883"/>
      <c r="K64" s="883"/>
      <c r="L64" s="883"/>
      <c r="M64" s="883"/>
      <c r="N64" s="883"/>
      <c r="O64" s="883"/>
      <c r="P64" s="883"/>
      <c r="Q64" s="883"/>
      <c r="R64" s="883"/>
      <c r="S64" s="883"/>
      <c r="T64" s="883"/>
      <c r="U64" s="883"/>
      <c r="V64" s="883"/>
      <c r="W64" s="883"/>
      <c r="X64" s="883"/>
      <c r="Y64" s="883"/>
      <c r="Z64" s="883"/>
      <c r="AA64" s="883"/>
      <c r="AB64" s="883"/>
      <c r="AC64" s="883"/>
      <c r="AD64" s="883"/>
      <c r="AE64" s="883"/>
      <c r="AF64" s="883"/>
      <c r="AG64" s="883"/>
    </row>
    <row r="65" spans="1:33" x14ac:dyDescent="0.35">
      <c r="A65" s="810" t="s">
        <v>2093</v>
      </c>
      <c r="B65" s="1643" t="s">
        <v>2980</v>
      </c>
      <c r="C65" s="882"/>
      <c r="D65" s="882"/>
      <c r="E65" s="882"/>
      <c r="F65" s="883"/>
      <c r="G65" s="883"/>
      <c r="H65" s="883"/>
      <c r="I65" s="883"/>
      <c r="J65" s="883"/>
      <c r="K65" s="883"/>
      <c r="L65" s="883"/>
      <c r="M65" s="883"/>
      <c r="N65" s="883"/>
      <c r="O65" s="883"/>
      <c r="P65" s="883"/>
      <c r="Q65" s="883"/>
      <c r="R65" s="883"/>
      <c r="S65" s="883"/>
      <c r="T65" s="883"/>
      <c r="U65" s="883"/>
      <c r="V65" s="883"/>
      <c r="W65" s="883"/>
      <c r="X65" s="883"/>
      <c r="Y65" s="883"/>
      <c r="Z65" s="883"/>
      <c r="AA65" s="883"/>
      <c r="AB65" s="883"/>
      <c r="AC65" s="883"/>
      <c r="AD65" s="883"/>
      <c r="AE65" s="883"/>
      <c r="AF65" s="883"/>
      <c r="AG65" s="883"/>
    </row>
    <row r="66" spans="1:33" x14ac:dyDescent="0.35">
      <c r="A66" s="863" t="s">
        <v>577</v>
      </c>
      <c r="B66" s="1643" t="s">
        <v>577</v>
      </c>
      <c r="C66" s="882"/>
      <c r="D66" s="882"/>
      <c r="E66" s="882"/>
      <c r="F66" s="883"/>
      <c r="G66" s="883"/>
      <c r="H66" s="883"/>
      <c r="I66" s="883"/>
      <c r="J66" s="883"/>
      <c r="K66" s="883"/>
      <c r="L66" s="883"/>
      <c r="M66" s="883"/>
      <c r="N66" s="883"/>
      <c r="O66" s="883"/>
      <c r="P66" s="883"/>
      <c r="Q66" s="883"/>
      <c r="R66" s="883"/>
      <c r="S66" s="883"/>
      <c r="T66" s="883"/>
      <c r="U66" s="883"/>
      <c r="V66" s="883"/>
      <c r="W66" s="883"/>
      <c r="X66" s="883"/>
      <c r="Y66" s="883"/>
      <c r="Z66" s="883"/>
      <c r="AA66" s="883"/>
      <c r="AB66" s="883"/>
      <c r="AC66" s="883"/>
      <c r="AD66" s="883"/>
      <c r="AE66" s="883"/>
      <c r="AF66" s="883"/>
      <c r="AG66" s="883"/>
    </row>
    <row r="67" spans="1:33" x14ac:dyDescent="0.35">
      <c r="B67" s="1643"/>
      <c r="C67" s="882"/>
      <c r="D67" s="882"/>
      <c r="E67" s="882"/>
      <c r="F67" s="883"/>
      <c r="G67" s="883"/>
      <c r="H67" s="883"/>
      <c r="I67" s="883"/>
      <c r="J67" s="883"/>
      <c r="K67" s="883"/>
      <c r="L67" s="883"/>
      <c r="M67" s="883"/>
      <c r="N67" s="883"/>
      <c r="O67" s="883"/>
      <c r="P67" s="883"/>
      <c r="Q67" s="883"/>
      <c r="R67" s="883"/>
      <c r="S67" s="883"/>
      <c r="T67" s="883"/>
      <c r="U67" s="883"/>
      <c r="V67" s="883"/>
      <c r="W67" s="883"/>
      <c r="X67" s="883"/>
      <c r="Y67" s="883"/>
      <c r="Z67" s="883"/>
      <c r="AA67" s="883"/>
      <c r="AB67" s="883"/>
      <c r="AC67" s="883"/>
      <c r="AD67" s="883"/>
      <c r="AE67" s="883"/>
      <c r="AF67" s="883"/>
      <c r="AG67" s="883"/>
    </row>
    <row r="68" spans="1:33" x14ac:dyDescent="0.35">
      <c r="A68" s="625" t="s">
        <v>672</v>
      </c>
      <c r="B68" s="1647" t="s">
        <v>2971</v>
      </c>
      <c r="C68" s="743"/>
      <c r="D68" s="885">
        <v>50.436999999999998</v>
      </c>
      <c r="E68" s="885">
        <v>47.545999999999999</v>
      </c>
      <c r="F68" s="885">
        <v>77.67</v>
      </c>
      <c r="G68" s="867">
        <v>76.593999999999994</v>
      </c>
      <c r="H68" s="867">
        <v>172.518</v>
      </c>
      <c r="I68" s="867">
        <v>190.608</v>
      </c>
      <c r="J68" s="867">
        <v>236.85599999999999</v>
      </c>
      <c r="K68" s="867">
        <v>263.40699999999998</v>
      </c>
      <c r="L68" s="867">
        <v>272.64</v>
      </c>
      <c r="M68" s="867">
        <v>307.66899999999998</v>
      </c>
      <c r="N68" s="867">
        <f>335109/1000</f>
        <v>335.10899999999998</v>
      </c>
      <c r="O68" s="867">
        <v>326.69200000000001</v>
      </c>
      <c r="P68" s="867">
        <v>332.09800000000001</v>
      </c>
      <c r="Q68" s="867">
        <v>298.87099999999998</v>
      </c>
      <c r="R68" s="867">
        <v>222.756</v>
      </c>
      <c r="S68" s="867">
        <v>209.72300000000001</v>
      </c>
      <c r="T68" s="867">
        <v>297.82299999999998</v>
      </c>
      <c r="U68" s="867">
        <v>369.39299999999997</v>
      </c>
      <c r="V68" s="867">
        <v>378.98399999999998</v>
      </c>
      <c r="W68" s="867"/>
      <c r="X68" s="875"/>
      <c r="Y68" s="875"/>
      <c r="Z68" s="875"/>
      <c r="AA68" s="875"/>
      <c r="AB68" s="875"/>
      <c r="AC68" s="875"/>
      <c r="AD68" s="875"/>
      <c r="AE68" s="875"/>
      <c r="AF68" s="875"/>
      <c r="AG68" s="875"/>
    </row>
    <row r="69" spans="1:33" x14ac:dyDescent="0.35">
      <c r="A69" s="674" t="s">
        <v>577</v>
      </c>
      <c r="B69" s="1666" t="s">
        <v>577</v>
      </c>
      <c r="C69" s="882"/>
      <c r="D69" s="820"/>
      <c r="E69" s="820">
        <f t="shared" ref="E69:U69" si="89">E68/D68-1</f>
        <v>-5.731903166326302E-2</v>
      </c>
      <c r="F69" s="820">
        <f t="shared" si="89"/>
        <v>0.63357590543894338</v>
      </c>
      <c r="G69" s="820">
        <f t="shared" si="89"/>
        <v>-1.3853482683146789E-2</v>
      </c>
      <c r="H69" s="820">
        <f t="shared" si="89"/>
        <v>1.2523696373084054</v>
      </c>
      <c r="I69" s="820">
        <f t="shared" si="89"/>
        <v>0.10485862344798802</v>
      </c>
      <c r="J69" s="820">
        <f t="shared" si="89"/>
        <v>0.24263409720473428</v>
      </c>
      <c r="K69" s="820">
        <f t="shared" si="89"/>
        <v>0.11209764582700021</v>
      </c>
      <c r="L69" s="820">
        <f t="shared" si="89"/>
        <v>3.5052219568955989E-2</v>
      </c>
      <c r="M69" s="820">
        <f t="shared" si="89"/>
        <v>0.12848078051643186</v>
      </c>
      <c r="N69" s="820">
        <f t="shared" si="89"/>
        <v>8.9186755896759173E-2</v>
      </c>
      <c r="O69" s="820">
        <f t="shared" si="89"/>
        <v>-2.5117200672020057E-2</v>
      </c>
      <c r="P69" s="820">
        <f t="shared" si="89"/>
        <v>1.6547696301103088E-2</v>
      </c>
      <c r="Q69" s="820">
        <f t="shared" si="89"/>
        <v>-0.10005179194093317</v>
      </c>
      <c r="R69" s="820">
        <f t="shared" si="89"/>
        <v>-0.25467509393684895</v>
      </c>
      <c r="S69" s="820">
        <f t="shared" si="89"/>
        <v>-5.8507963870782276E-2</v>
      </c>
      <c r="T69" s="820">
        <f t="shared" si="89"/>
        <v>0.42007791229383495</v>
      </c>
      <c r="U69" s="820">
        <f t="shared" si="89"/>
        <v>0.2403105200068496</v>
      </c>
      <c r="V69" s="820">
        <f t="shared" ref="V69" si="90">V68/U68-1</f>
        <v>2.5964216972167886E-2</v>
      </c>
      <c r="W69" s="882"/>
      <c r="X69" s="882"/>
      <c r="Y69" s="882"/>
      <c r="Z69" s="882"/>
      <c r="AA69" s="882"/>
      <c r="AB69" s="882"/>
      <c r="AC69" s="882"/>
      <c r="AD69" s="882"/>
      <c r="AE69" s="882"/>
      <c r="AF69" s="882"/>
      <c r="AG69" s="882"/>
    </row>
    <row r="70" spans="1:33" x14ac:dyDescent="0.35">
      <c r="A70" s="674"/>
      <c r="C70" s="882"/>
      <c r="D70" s="882"/>
      <c r="E70" s="882"/>
      <c r="F70" s="882"/>
      <c r="G70" s="882"/>
      <c r="H70" s="882"/>
      <c r="I70" s="882"/>
      <c r="J70" s="882"/>
      <c r="K70" s="882"/>
      <c r="L70" s="882"/>
      <c r="M70" s="882"/>
      <c r="N70" s="882"/>
      <c r="O70" s="882"/>
      <c r="P70" s="882"/>
      <c r="Q70" s="882"/>
      <c r="R70" s="882"/>
      <c r="S70" s="882"/>
      <c r="T70" s="882"/>
      <c r="U70" s="882"/>
      <c r="V70" s="882"/>
      <c r="W70" s="882"/>
      <c r="X70" s="882"/>
      <c r="Y70" s="882"/>
      <c r="Z70" s="882"/>
      <c r="AA70" s="882"/>
      <c r="AB70" s="882"/>
      <c r="AC70" s="882"/>
      <c r="AD70" s="882"/>
      <c r="AE70" s="882"/>
      <c r="AF70" s="882"/>
      <c r="AG70" s="882"/>
    </row>
    <row r="71" spans="1:33" s="886" customFormat="1" x14ac:dyDescent="0.35">
      <c r="A71" s="810" t="s">
        <v>2104</v>
      </c>
      <c r="B71" s="1647" t="s">
        <v>2972</v>
      </c>
      <c r="C71" s="885"/>
      <c r="D71" s="885"/>
      <c r="E71" s="885"/>
      <c r="F71" s="887"/>
      <c r="G71" s="887"/>
      <c r="H71" s="887"/>
      <c r="I71" s="887"/>
      <c r="J71" s="887"/>
      <c r="K71" s="887">
        <f>-55/1000</f>
        <v>-5.5E-2</v>
      </c>
      <c r="L71" s="887">
        <f>943/1000</f>
        <v>0.94299999999999995</v>
      </c>
      <c r="M71" s="887">
        <f>3876/1000</f>
        <v>3.8759999999999999</v>
      </c>
      <c r="N71" s="867">
        <f>1625/1000</f>
        <v>1.625</v>
      </c>
      <c r="O71" s="867">
        <v>0.318</v>
      </c>
      <c r="P71" s="887">
        <v>0.10100000000000001</v>
      </c>
      <c r="Q71" s="887">
        <v>0.34799999999999998</v>
      </c>
      <c r="R71" s="887">
        <v>7.4999999999999997E-2</v>
      </c>
      <c r="S71" s="887">
        <v>12.77</v>
      </c>
      <c r="T71" s="887">
        <v>0.34399999999999997</v>
      </c>
      <c r="U71" s="887">
        <v>2.0790000000000002</v>
      </c>
      <c r="V71" s="887">
        <v>4.3890000000000002</v>
      </c>
      <c r="W71" s="887"/>
      <c r="X71" s="887"/>
      <c r="Y71" s="887"/>
      <c r="Z71" s="887"/>
      <c r="AA71" s="887"/>
      <c r="AB71" s="887"/>
      <c r="AC71" s="887"/>
      <c r="AD71" s="887"/>
      <c r="AE71" s="887"/>
      <c r="AF71" s="887"/>
      <c r="AG71" s="887"/>
    </row>
    <row r="72" spans="1:33" x14ac:dyDescent="0.35">
      <c r="C72" s="743"/>
      <c r="D72" s="743"/>
      <c r="E72" s="743"/>
      <c r="F72" s="883"/>
      <c r="G72" s="883"/>
      <c r="H72" s="883"/>
      <c r="I72" s="883"/>
      <c r="J72" s="883"/>
      <c r="K72" s="883"/>
      <c r="L72" s="883"/>
      <c r="M72" s="883"/>
      <c r="N72" s="883"/>
      <c r="O72" s="883"/>
      <c r="P72" s="883"/>
      <c r="Q72" s="883"/>
      <c r="R72" s="883"/>
      <c r="S72" s="883"/>
      <c r="T72" s="883"/>
      <c r="U72" s="883"/>
      <c r="V72" s="883"/>
      <c r="W72" s="883"/>
      <c r="X72" s="883"/>
      <c r="Y72" s="883"/>
      <c r="Z72" s="883"/>
      <c r="AA72" s="883"/>
      <c r="AB72" s="883"/>
      <c r="AC72" s="883"/>
      <c r="AD72" s="883"/>
      <c r="AE72" s="883"/>
      <c r="AF72" s="883"/>
      <c r="AG72" s="883"/>
    </row>
    <row r="73" spans="1:33" x14ac:dyDescent="0.35">
      <c r="A73" s="810" t="s">
        <v>2106</v>
      </c>
      <c r="B73" s="1647" t="s">
        <v>487</v>
      </c>
      <c r="C73" s="743"/>
      <c r="D73" s="885">
        <v>85.010999999999996</v>
      </c>
      <c r="E73" s="885">
        <v>72.347999999999999</v>
      </c>
      <c r="F73" s="885">
        <v>157.005</v>
      </c>
      <c r="G73" s="867">
        <v>540</v>
      </c>
      <c r="H73" s="867">
        <v>241.536</v>
      </c>
      <c r="I73" s="867">
        <v>295.125</v>
      </c>
      <c r="J73" s="867">
        <v>207.078</v>
      </c>
      <c r="K73" s="867">
        <v>225.631</v>
      </c>
      <c r="L73" s="867">
        <v>321.40199999999999</v>
      </c>
      <c r="M73" s="867">
        <f>303446/1000</f>
        <v>303.44600000000003</v>
      </c>
      <c r="N73" s="867">
        <f>103210/1000</f>
        <v>103.21</v>
      </c>
      <c r="O73" s="867">
        <v>664.38400000000001</v>
      </c>
      <c r="P73" s="867">
        <f>582551/1000</f>
        <v>582.55100000000004</v>
      </c>
      <c r="Q73" s="867">
        <v>344.62900000000002</v>
      </c>
      <c r="R73" s="867">
        <v>318.50400000000002</v>
      </c>
      <c r="S73" s="867">
        <v>367.67700000000002</v>
      </c>
      <c r="T73" s="875">
        <f t="shared" ref="T73:AC73" si="91">T25*T74</f>
        <v>441.17449779669954</v>
      </c>
      <c r="U73" s="875">
        <f t="shared" ref="U73" si="92">U25*U74</f>
        <v>600.42414298631172</v>
      </c>
      <c r="V73" s="875">
        <f t="shared" si="91"/>
        <v>548.11420363089292</v>
      </c>
      <c r="W73" s="875">
        <f>W25*W74</f>
        <v>486.24580578258883</v>
      </c>
      <c r="X73" s="875">
        <f t="shared" si="91"/>
        <v>526.73424758080375</v>
      </c>
      <c r="Y73" s="875">
        <f t="shared" si="91"/>
        <v>567.96526094105536</v>
      </c>
      <c r="Z73" s="875">
        <f t="shared" si="91"/>
        <v>587.92863979452898</v>
      </c>
      <c r="AA73" s="875">
        <f t="shared" si="91"/>
        <v>634.61656380637237</v>
      </c>
      <c r="AB73" s="875">
        <f t="shared" si="91"/>
        <v>673.42449691968477</v>
      </c>
      <c r="AC73" s="875">
        <f t="shared" si="91"/>
        <v>705.33158587165724</v>
      </c>
      <c r="AD73" s="875">
        <f t="shared" ref="AD73:AF73" si="93">AD25*AD74</f>
        <v>731.13886158950447</v>
      </c>
      <c r="AE73" s="875">
        <f t="shared" si="93"/>
        <v>751.50291303913332</v>
      </c>
      <c r="AF73" s="875">
        <f t="shared" si="93"/>
        <v>766.96386272130962</v>
      </c>
      <c r="AG73" s="875">
        <f t="shared" ref="AG73" si="94">AG25*AG74</f>
        <v>777.96858930435644</v>
      </c>
    </row>
    <row r="74" spans="1:33" x14ac:dyDescent="0.35">
      <c r="A74" s="876" t="s">
        <v>354</v>
      </c>
      <c r="B74" s="1665" t="s">
        <v>2973</v>
      </c>
      <c r="C74" s="843"/>
      <c r="D74" s="843">
        <f t="shared" ref="D74:S74" si="95">D73/D25</f>
        <v>0.10058544989008024</v>
      </c>
      <c r="E74" s="843">
        <f t="shared" si="95"/>
        <v>9.4398682687703309E-2</v>
      </c>
      <c r="F74" s="843">
        <f t="shared" si="95"/>
        <v>0.14922401232532079</v>
      </c>
      <c r="G74" s="843">
        <f t="shared" si="95"/>
        <v>0.25298913692755937</v>
      </c>
      <c r="H74" s="843">
        <f t="shared" si="95"/>
        <v>5.0056027453555862E-2</v>
      </c>
      <c r="I74" s="843">
        <f t="shared" si="95"/>
        <v>3.9103139274881724E-2</v>
      </c>
      <c r="J74" s="843">
        <f t="shared" si="95"/>
        <v>2.3505011548872409E-2</v>
      </c>
      <c r="K74" s="843">
        <f t="shared" si="95"/>
        <v>1.6164787684697268E-2</v>
      </c>
      <c r="L74" s="843">
        <f t="shared" si="95"/>
        <v>2.0713017006157606E-2</v>
      </c>
      <c r="M74" s="843">
        <f t="shared" si="95"/>
        <v>2.0739907402218028E-2</v>
      </c>
      <c r="N74" s="843">
        <f t="shared" si="95"/>
        <v>5.6508255209479679E-3</v>
      </c>
      <c r="O74" s="843">
        <f t="shared" si="95"/>
        <v>2.6735932804109547E-2</v>
      </c>
      <c r="P74" s="843">
        <f t="shared" si="95"/>
        <v>1.9024691888206002E-2</v>
      </c>
      <c r="Q74" s="843">
        <f t="shared" si="95"/>
        <v>1.0791388758035089E-2</v>
      </c>
      <c r="R74" s="843">
        <f t="shared" si="95"/>
        <v>9.8456627509963326E-3</v>
      </c>
      <c r="S74" s="843">
        <f t="shared" si="95"/>
        <v>9.0718533509912859E-3</v>
      </c>
      <c r="T74" s="888">
        <f>S74</f>
        <v>9.0718533509912859E-3</v>
      </c>
      <c r="U74" s="888">
        <f>T74</f>
        <v>9.0718533509912859E-3</v>
      </c>
      <c r="V74" s="888">
        <f>U74</f>
        <v>9.0718533509912859E-3</v>
      </c>
      <c r="W74" s="888">
        <f t="shared" ref="W74" si="96">V74</f>
        <v>9.0718533509912859E-3</v>
      </c>
      <c r="X74" s="888">
        <f>W74-0.02%</f>
        <v>8.8718533509912854E-3</v>
      </c>
      <c r="Y74" s="888">
        <f t="shared" ref="Y74:AG74" si="97">X74-0.02%</f>
        <v>8.6718533509912848E-3</v>
      </c>
      <c r="Z74" s="888">
        <f t="shared" si="97"/>
        <v>8.4718533509912843E-3</v>
      </c>
      <c r="AA74" s="888">
        <f t="shared" si="97"/>
        <v>8.2718533509912838E-3</v>
      </c>
      <c r="AB74" s="888">
        <f t="shared" si="97"/>
        <v>8.0718533509912833E-3</v>
      </c>
      <c r="AC74" s="888">
        <f t="shared" si="97"/>
        <v>7.8718533509912827E-3</v>
      </c>
      <c r="AD74" s="888">
        <f t="shared" si="97"/>
        <v>7.6718533509912831E-3</v>
      </c>
      <c r="AE74" s="888">
        <f t="shared" si="97"/>
        <v>7.4718533509912834E-3</v>
      </c>
      <c r="AF74" s="888">
        <f t="shared" si="97"/>
        <v>7.2718533509912838E-3</v>
      </c>
      <c r="AG74" s="888">
        <f t="shared" si="97"/>
        <v>7.0718533509912841E-3</v>
      </c>
    </row>
    <row r="75" spans="1:33" x14ac:dyDescent="0.35">
      <c r="A75" s="622" t="s">
        <v>577</v>
      </c>
      <c r="B75" s="1667" t="s">
        <v>577</v>
      </c>
      <c r="C75" s="843"/>
      <c r="D75" s="843"/>
      <c r="E75" s="843">
        <f t="shared" ref="E75:AC75" si="98">E73/D73-1</f>
        <v>-0.14895719377492322</v>
      </c>
      <c r="F75" s="843">
        <f t="shared" si="98"/>
        <v>1.1701360092884392</v>
      </c>
      <c r="G75" s="843">
        <f t="shared" si="98"/>
        <v>2.4393809114359417</v>
      </c>
      <c r="H75" s="843">
        <f t="shared" si="98"/>
        <v>-0.55271111111111115</v>
      </c>
      <c r="I75" s="843">
        <f t="shared" si="98"/>
        <v>0.22186754769475359</v>
      </c>
      <c r="J75" s="843">
        <f t="shared" si="98"/>
        <v>-0.2983379923761118</v>
      </c>
      <c r="K75" s="843">
        <f t="shared" si="98"/>
        <v>8.9594259168042978E-2</v>
      </c>
      <c r="L75" s="843">
        <f t="shared" si="98"/>
        <v>0.42445851855463124</v>
      </c>
      <c r="M75" s="843">
        <f t="shared" si="98"/>
        <v>-5.5867729510083786E-2</v>
      </c>
      <c r="N75" s="843">
        <f t="shared" si="98"/>
        <v>-0.6598735854155271</v>
      </c>
      <c r="O75" s="843">
        <f t="shared" si="98"/>
        <v>5.4372056971223728</v>
      </c>
      <c r="P75" s="843">
        <f t="shared" si="98"/>
        <v>-0.12317123832000765</v>
      </c>
      <c r="Q75" s="843">
        <f t="shared" si="98"/>
        <v>-0.40841402726971543</v>
      </c>
      <c r="R75" s="843">
        <f t="shared" si="98"/>
        <v>-7.5806156765681365E-2</v>
      </c>
      <c r="S75" s="843">
        <f t="shared" si="98"/>
        <v>0.15438738602968871</v>
      </c>
      <c r="T75" s="843">
        <f t="shared" si="98"/>
        <v>0.19989691440231372</v>
      </c>
      <c r="U75" s="843">
        <f t="shared" si="98"/>
        <v>0.36096747655390771</v>
      </c>
      <c r="V75" s="843">
        <f t="shared" si="98"/>
        <v>-8.7121645534182557E-2</v>
      </c>
      <c r="W75" s="843">
        <f>W73/V73-1</f>
        <v>-0.11287501297807467</v>
      </c>
      <c r="X75" s="843">
        <f t="shared" si="98"/>
        <v>8.3267436586009769E-2</v>
      </c>
      <c r="Y75" s="843">
        <f t="shared" si="98"/>
        <v>7.8276689905048435E-2</v>
      </c>
      <c r="Z75" s="843">
        <f t="shared" si="98"/>
        <v>3.5148943476571937E-2</v>
      </c>
      <c r="AA75" s="843">
        <f t="shared" si="98"/>
        <v>7.9410868686648817E-2</v>
      </c>
      <c r="AB75" s="843">
        <f t="shared" si="98"/>
        <v>6.1151780975501113E-2</v>
      </c>
      <c r="AC75" s="843">
        <f t="shared" si="98"/>
        <v>4.7380350875144694E-2</v>
      </c>
      <c r="AD75" s="843">
        <f t="shared" ref="AD75" si="99">AD73/AC73-1</f>
        <v>3.6588855844239987E-2</v>
      </c>
      <c r="AE75" s="843">
        <f t="shared" ref="AE75" si="100">AE73/AD73-1</f>
        <v>2.7852508626551753E-2</v>
      </c>
      <c r="AF75" s="843">
        <f t="shared" ref="AF75:AG75" si="101">AF73/AE73-1</f>
        <v>2.0573372922336519E-2</v>
      </c>
      <c r="AG75" s="843">
        <f t="shared" si="101"/>
        <v>1.4348429069396262E-2</v>
      </c>
    </row>
    <row r="76" spans="1:33" x14ac:dyDescent="0.35">
      <c r="A76" s="674"/>
      <c r="C76" s="882"/>
      <c r="D76" s="882"/>
      <c r="E76" s="882"/>
      <c r="F76" s="882"/>
      <c r="G76" s="882"/>
      <c r="H76" s="882"/>
      <c r="I76" s="882"/>
      <c r="J76" s="882"/>
      <c r="K76" s="882"/>
      <c r="L76" s="882"/>
      <c r="M76" s="882"/>
      <c r="N76" s="882"/>
      <c r="O76" s="882"/>
      <c r="P76" s="882"/>
      <c r="Q76" s="882"/>
      <c r="R76" s="882"/>
      <c r="S76" s="882"/>
      <c r="T76" s="882"/>
      <c r="U76" s="882"/>
      <c r="V76" s="882"/>
      <c r="W76" s="882"/>
      <c r="X76" s="882"/>
      <c r="Y76" s="882"/>
      <c r="Z76" s="882"/>
      <c r="AA76" s="882"/>
      <c r="AB76" s="882"/>
      <c r="AC76" s="882"/>
      <c r="AD76" s="882"/>
      <c r="AE76" s="882"/>
      <c r="AF76" s="882"/>
      <c r="AG76" s="882"/>
    </row>
    <row r="77" spans="1:33" x14ac:dyDescent="0.35">
      <c r="C77" s="743"/>
      <c r="D77" s="743"/>
      <c r="E77" s="743"/>
      <c r="F77" s="883"/>
      <c r="G77" s="883"/>
      <c r="H77" s="883"/>
      <c r="I77" s="883"/>
      <c r="J77" s="883"/>
      <c r="K77" s="883"/>
      <c r="L77" s="883"/>
      <c r="M77" s="883"/>
      <c r="N77" s="883"/>
      <c r="O77" s="883"/>
      <c r="P77" s="883"/>
      <c r="Q77" s="883"/>
      <c r="R77" s="883"/>
      <c r="S77" s="883"/>
      <c r="T77" s="883"/>
      <c r="U77" s="883"/>
      <c r="V77" s="883"/>
      <c r="W77" s="883"/>
      <c r="X77" s="883"/>
      <c r="Y77" s="883"/>
      <c r="Z77" s="883"/>
      <c r="AA77" s="883"/>
      <c r="AB77" s="883"/>
      <c r="AC77" s="883"/>
      <c r="AD77" s="883"/>
      <c r="AE77" s="883"/>
      <c r="AF77" s="883"/>
      <c r="AG77" s="883"/>
    </row>
    <row r="78" spans="1:33" x14ac:dyDescent="0.35">
      <c r="B78" s="1644"/>
      <c r="C78" s="889"/>
      <c r="D78" s="889"/>
      <c r="E78" s="889"/>
      <c r="F78" s="889"/>
      <c r="G78" s="743"/>
      <c r="H78" s="743"/>
      <c r="I78" s="743"/>
      <c r="J78" s="743"/>
      <c r="K78" s="743"/>
      <c r="L78" s="743"/>
      <c r="M78" s="743"/>
      <c r="N78" s="743"/>
      <c r="O78" s="743"/>
      <c r="P78" s="743"/>
      <c r="Q78" s="743"/>
      <c r="R78" s="743"/>
      <c r="S78" s="743"/>
      <c r="T78" s="743"/>
      <c r="U78" s="743"/>
      <c r="V78" s="743"/>
      <c r="W78" s="743"/>
      <c r="X78" s="743"/>
      <c r="Y78" s="743"/>
      <c r="Z78" s="743"/>
      <c r="AA78" s="743"/>
      <c r="AB78" s="743"/>
      <c r="AC78" s="743"/>
      <c r="AD78" s="743"/>
      <c r="AE78" s="743"/>
      <c r="AF78" s="743"/>
      <c r="AG78" s="743"/>
    </row>
    <row r="79" spans="1:33" x14ac:dyDescent="0.35">
      <c r="A79" s="674"/>
      <c r="C79" s="890"/>
      <c r="D79" s="820"/>
      <c r="E79" s="820"/>
      <c r="F79" s="820"/>
      <c r="G79" s="820"/>
      <c r="H79" s="820"/>
      <c r="I79" s="820"/>
      <c r="J79" s="820"/>
      <c r="K79" s="820"/>
      <c r="L79" s="820"/>
      <c r="M79" s="820"/>
    </row>
    <row r="80" spans="1:33" x14ac:dyDescent="0.35">
      <c r="C80" s="820"/>
      <c r="D80" s="820"/>
      <c r="E80" s="820"/>
      <c r="F80" s="820"/>
      <c r="G80" s="820"/>
      <c r="H80" s="820"/>
      <c r="I80" s="820"/>
      <c r="J80" s="820"/>
      <c r="K80" s="820"/>
      <c r="L80" s="820"/>
      <c r="M80" s="820"/>
    </row>
    <row r="81" spans="2:13" x14ac:dyDescent="0.35">
      <c r="B81" s="1644"/>
      <c r="C81" s="891"/>
      <c r="D81" s="891"/>
      <c r="E81" s="891"/>
      <c r="F81" s="891"/>
      <c r="G81" s="891"/>
      <c r="H81" s="891"/>
      <c r="I81" s="891"/>
      <c r="J81" s="891"/>
      <c r="K81" s="891"/>
      <c r="L81" s="891"/>
      <c r="M81" s="891"/>
    </row>
    <row r="82" spans="2:13" x14ac:dyDescent="0.35">
      <c r="C82" s="890"/>
      <c r="F82" s="892"/>
      <c r="G82" s="892"/>
      <c r="H82" s="892"/>
      <c r="I82" s="892"/>
      <c r="J82" s="892"/>
      <c r="K82" s="892"/>
      <c r="L82" s="892"/>
      <c r="M82" s="892"/>
    </row>
    <row r="83" spans="2:13" x14ac:dyDescent="0.35">
      <c r="C83" s="890"/>
    </row>
    <row r="84" spans="2:13" x14ac:dyDescent="0.35">
      <c r="C84" s="890"/>
    </row>
    <row r="85" spans="2:13" x14ac:dyDescent="0.35">
      <c r="C85" s="890"/>
      <c r="D85" s="890"/>
      <c r="E85" s="890"/>
    </row>
    <row r="86" spans="2:13" x14ac:dyDescent="0.35">
      <c r="C86" s="890"/>
    </row>
    <row r="87" spans="2:13" x14ac:dyDescent="0.35">
      <c r="C87" s="890"/>
      <c r="E87" s="646"/>
    </row>
    <row r="88" spans="2:13" x14ac:dyDescent="0.35">
      <c r="C88" s="890"/>
    </row>
    <row r="89" spans="2:13" x14ac:dyDescent="0.35">
      <c r="C89" s="890"/>
    </row>
    <row r="90" spans="2:13" x14ac:dyDescent="0.35">
      <c r="C90" s="890"/>
    </row>
    <row r="91" spans="2:13" x14ac:dyDescent="0.35">
      <c r="C91" s="890"/>
    </row>
    <row r="92" spans="2:13" x14ac:dyDescent="0.35">
      <c r="C92" s="890"/>
    </row>
    <row r="93" spans="2:13" x14ac:dyDescent="0.35">
      <c r="C93" s="890"/>
    </row>
    <row r="94" spans="2:13" x14ac:dyDescent="0.35">
      <c r="C94" s="890"/>
    </row>
    <row r="95" spans="2:13" x14ac:dyDescent="0.35">
      <c r="C95" s="890"/>
    </row>
    <row r="96" spans="2:13" x14ac:dyDescent="0.35">
      <c r="C96" s="890"/>
    </row>
    <row r="97" spans="3:5" x14ac:dyDescent="0.35">
      <c r="C97" s="890"/>
      <c r="E97" s="646"/>
    </row>
    <row r="98" spans="3:5" x14ac:dyDescent="0.35">
      <c r="C98" s="890"/>
    </row>
    <row r="99" spans="3:5" x14ac:dyDescent="0.35">
      <c r="C99" s="890"/>
    </row>
    <row r="100" spans="3:5" x14ac:dyDescent="0.35">
      <c r="C100" s="890"/>
    </row>
    <row r="101" spans="3:5" x14ac:dyDescent="0.35">
      <c r="C101" s="890"/>
    </row>
    <row r="102" spans="3:5" x14ac:dyDescent="0.35">
      <c r="C102" s="890"/>
    </row>
    <row r="103" spans="3:5" x14ac:dyDescent="0.35">
      <c r="C103" s="890"/>
    </row>
    <row r="104" spans="3:5" x14ac:dyDescent="0.35">
      <c r="C104" s="890"/>
    </row>
    <row r="105" spans="3:5" x14ac:dyDescent="0.35">
      <c r="C105" s="890"/>
    </row>
    <row r="106" spans="3:5" x14ac:dyDescent="0.35">
      <c r="C106" s="890"/>
    </row>
    <row r="107" spans="3:5" x14ac:dyDescent="0.35">
      <c r="C107" s="890"/>
    </row>
    <row r="108" spans="3:5" x14ac:dyDescent="0.35">
      <c r="C108" s="890"/>
    </row>
    <row r="109" spans="3:5" x14ac:dyDescent="0.35">
      <c r="C109" s="890"/>
    </row>
    <row r="110" spans="3:5" x14ac:dyDescent="0.35">
      <c r="C110" s="890"/>
    </row>
    <row r="111" spans="3:5" x14ac:dyDescent="0.35">
      <c r="C111" s="890"/>
    </row>
    <row r="112" spans="3:5" x14ac:dyDescent="0.35">
      <c r="C112" s="890"/>
    </row>
    <row r="113" spans="3:3" x14ac:dyDescent="0.35">
      <c r="C113" s="890"/>
    </row>
    <row r="114" spans="3:3" x14ac:dyDescent="0.35">
      <c r="C114" s="890"/>
    </row>
    <row r="115" spans="3:3" x14ac:dyDescent="0.35">
      <c r="C115" s="890"/>
    </row>
    <row r="116" spans="3:3" x14ac:dyDescent="0.35">
      <c r="C116" s="890"/>
    </row>
    <row r="117" spans="3:3" x14ac:dyDescent="0.35">
      <c r="C117" s="890"/>
    </row>
    <row r="118" spans="3:3" x14ac:dyDescent="0.35">
      <c r="C118" s="890"/>
    </row>
    <row r="119" spans="3:3" x14ac:dyDescent="0.35">
      <c r="C119" s="890"/>
    </row>
    <row r="120" spans="3:3" x14ac:dyDescent="0.35">
      <c r="C120" s="890"/>
    </row>
    <row r="121" spans="3:3" x14ac:dyDescent="0.35">
      <c r="C121" s="890"/>
    </row>
    <row r="122" spans="3:3" x14ac:dyDescent="0.35">
      <c r="C122" s="890"/>
    </row>
    <row r="123" spans="3:3" x14ac:dyDescent="0.35">
      <c r="C123" s="890"/>
    </row>
    <row r="124" spans="3:3" x14ac:dyDescent="0.35">
      <c r="C124" s="890"/>
    </row>
    <row r="125" spans="3:3" x14ac:dyDescent="0.35">
      <c r="C125" s="890"/>
    </row>
    <row r="126" spans="3:3" x14ac:dyDescent="0.35">
      <c r="C126" s="890"/>
    </row>
    <row r="127" spans="3:3" x14ac:dyDescent="0.35">
      <c r="C127" s="890"/>
    </row>
    <row r="128" spans="3:3" x14ac:dyDescent="0.35">
      <c r="C128" s="890"/>
    </row>
    <row r="129" spans="3:3" x14ac:dyDescent="0.35">
      <c r="C129" s="890"/>
    </row>
    <row r="130" spans="3:3" x14ac:dyDescent="0.35">
      <c r="C130" s="890"/>
    </row>
    <row r="131" spans="3:3" x14ac:dyDescent="0.35">
      <c r="C131" s="890"/>
    </row>
    <row r="132" spans="3:3" x14ac:dyDescent="0.35">
      <c r="C132" s="890"/>
    </row>
    <row r="133" spans="3:3" x14ac:dyDescent="0.35">
      <c r="C133" s="890"/>
    </row>
    <row r="134" spans="3:3" x14ac:dyDescent="0.35">
      <c r="C134" s="890"/>
    </row>
    <row r="135" spans="3:3" x14ac:dyDescent="0.35">
      <c r="C135" s="890"/>
    </row>
    <row r="136" spans="3:3" x14ac:dyDescent="0.35">
      <c r="C136" s="890"/>
    </row>
    <row r="137" spans="3:3" x14ac:dyDescent="0.35">
      <c r="C137" s="890"/>
    </row>
    <row r="138" spans="3:3" x14ac:dyDescent="0.35">
      <c r="C138" s="890"/>
    </row>
    <row r="139" spans="3:3" x14ac:dyDescent="0.35">
      <c r="C139" s="890"/>
    </row>
    <row r="140" spans="3:3" x14ac:dyDescent="0.35">
      <c r="C140" s="890"/>
    </row>
    <row r="141" spans="3:3" x14ac:dyDescent="0.35">
      <c r="C141" s="890"/>
    </row>
    <row r="142" spans="3:3" x14ac:dyDescent="0.35">
      <c r="C142" s="890"/>
    </row>
    <row r="143" spans="3:3" x14ac:dyDescent="0.35">
      <c r="C143" s="890"/>
    </row>
    <row r="144" spans="3:3" x14ac:dyDescent="0.35">
      <c r="C144" s="890"/>
    </row>
    <row r="145" spans="3:3" x14ac:dyDescent="0.35">
      <c r="C145" s="890"/>
    </row>
    <row r="146" spans="3:3" x14ac:dyDescent="0.35">
      <c r="C146" s="890"/>
    </row>
    <row r="147" spans="3:3" x14ac:dyDescent="0.35">
      <c r="C147" s="890"/>
    </row>
    <row r="148" spans="3:3" x14ac:dyDescent="0.35">
      <c r="C148" s="890"/>
    </row>
    <row r="149" spans="3:3" x14ac:dyDescent="0.35">
      <c r="C149" s="890"/>
    </row>
    <row r="150" spans="3:3" x14ac:dyDescent="0.35">
      <c r="C150" s="890"/>
    </row>
    <row r="151" spans="3:3" x14ac:dyDescent="0.35">
      <c r="C151" s="890"/>
    </row>
    <row r="152" spans="3:3" x14ac:dyDescent="0.35">
      <c r="C152" s="890"/>
    </row>
    <row r="153" spans="3:3" x14ac:dyDescent="0.35">
      <c r="C153" s="890"/>
    </row>
    <row r="154" spans="3:3" x14ac:dyDescent="0.35">
      <c r="C154" s="890"/>
    </row>
    <row r="155" spans="3:3" x14ac:dyDescent="0.35">
      <c r="C155" s="890"/>
    </row>
    <row r="156" spans="3:3" x14ac:dyDescent="0.35">
      <c r="C156" s="890"/>
    </row>
    <row r="157" spans="3:3" x14ac:dyDescent="0.35">
      <c r="C157" s="890"/>
    </row>
    <row r="158" spans="3:3" x14ac:dyDescent="0.35">
      <c r="C158" s="890"/>
    </row>
    <row r="159" spans="3:3" x14ac:dyDescent="0.35">
      <c r="C159" s="890"/>
    </row>
    <row r="160" spans="3:3" x14ac:dyDescent="0.35">
      <c r="C160" s="890"/>
    </row>
    <row r="161" spans="3:3" x14ac:dyDescent="0.35">
      <c r="C161" s="890"/>
    </row>
    <row r="162" spans="3:3" x14ac:dyDescent="0.35">
      <c r="C162" s="890"/>
    </row>
    <row r="163" spans="3:3" x14ac:dyDescent="0.35">
      <c r="C163" s="890"/>
    </row>
    <row r="164" spans="3:3" x14ac:dyDescent="0.35">
      <c r="C164" s="890"/>
    </row>
    <row r="165" spans="3:3" x14ac:dyDescent="0.35">
      <c r="C165" s="890"/>
    </row>
    <row r="166" spans="3:3" x14ac:dyDescent="0.35">
      <c r="C166" s="890"/>
    </row>
    <row r="167" spans="3:3" x14ac:dyDescent="0.35">
      <c r="C167" s="890"/>
    </row>
    <row r="168" spans="3:3" x14ac:dyDescent="0.35">
      <c r="C168" s="890"/>
    </row>
    <row r="169" spans="3:3" x14ac:dyDescent="0.35">
      <c r="C169" s="890"/>
    </row>
    <row r="170" spans="3:3" x14ac:dyDescent="0.35">
      <c r="C170" s="890"/>
    </row>
  </sheetData>
  <phoneticPr fontId="51" type="noConversion"/>
  <pageMargins left="0.75" right="0.75" top="0.69" bottom="0.77" header="0.5" footer="0.5"/>
  <pageSetup paperSize="9" fitToHeight="2"/>
  <headerFooter alignWithMargins="0">
    <oddHeader>&amp;A</oddHeader>
    <oddFooter>&amp;F</oddFooter>
  </headerFooter>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2060"/>
    <pageSetUpPr fitToPage="1"/>
  </sheetPr>
  <dimension ref="A1:AF60"/>
  <sheetViews>
    <sheetView showGridLines="0" zoomScale="145" zoomScaleNormal="145" workbookViewId="0">
      <pane xSplit="2" ySplit="2" topLeftCell="P27" activePane="bottomRight" state="frozen"/>
      <selection pane="topRight"/>
      <selection pane="bottomLeft"/>
      <selection pane="bottomRight" activeCell="T35" sqref="T35"/>
    </sheetView>
  </sheetViews>
  <sheetFormatPr defaultColWidth="9" defaultRowHeight="12" outlineLevelCol="1" x14ac:dyDescent="0.35"/>
  <cols>
    <col min="1" max="1" width="31.0625" style="331" hidden="1" customWidth="1" outlineLevel="1"/>
    <col min="2" max="2" width="25" style="1647" customWidth="1" collapsed="1"/>
    <col min="3" max="12" width="8.0625" style="625" hidden="1" customWidth="1" outlineLevel="1"/>
    <col min="13" max="13" width="8.0625" style="625" customWidth="1" collapsed="1"/>
    <col min="14" max="22" width="8.0625" style="625" customWidth="1"/>
    <col min="23" max="32" width="8.0625" style="625" customWidth="1" outlineLevel="1"/>
    <col min="33" max="16384" width="9" style="625"/>
  </cols>
  <sheetData>
    <row r="1" spans="1:32" x14ac:dyDescent="0.35">
      <c r="A1" s="720" t="s">
        <v>2081</v>
      </c>
      <c r="B1" s="1640" t="s">
        <v>2935</v>
      </c>
      <c r="C1" s="812"/>
      <c r="D1" s="812">
        <f>D11/(D3+C6)</f>
        <v>0.43103454460386781</v>
      </c>
      <c r="E1" s="812">
        <f t="shared" ref="E1:S1" si="0">E11/(D6+E3)</f>
        <v>0.33703100690855681</v>
      </c>
      <c r="F1" s="812">
        <f t="shared" si="0"/>
        <v>0.27152957437472575</v>
      </c>
      <c r="G1" s="812">
        <f t="shared" si="0"/>
        <v>0.19213046826863833</v>
      </c>
      <c r="H1" s="812">
        <f t="shared" si="0"/>
        <v>0.27451692938209332</v>
      </c>
      <c r="I1" s="812">
        <f t="shared" si="0"/>
        <v>0.27980961392884179</v>
      </c>
      <c r="J1" s="812">
        <f t="shared" si="0"/>
        <v>0.24272230222552379</v>
      </c>
      <c r="K1" s="812">
        <f t="shared" si="0"/>
        <v>0.35072852225791645</v>
      </c>
      <c r="L1" s="812">
        <f t="shared" si="0"/>
        <v>0.38771143674052894</v>
      </c>
      <c r="M1" s="812">
        <f t="shared" si="0"/>
        <v>0.43603664765683114</v>
      </c>
      <c r="N1" s="812">
        <f t="shared" si="0"/>
        <v>0.33105265711135612</v>
      </c>
      <c r="O1" s="812">
        <f t="shared" si="0"/>
        <v>0.29978355501813786</v>
      </c>
      <c r="P1" s="812">
        <f t="shared" si="0"/>
        <v>0.29489498898678412</v>
      </c>
      <c r="Q1" s="812">
        <f t="shared" si="0"/>
        <v>0.28259214177598385</v>
      </c>
      <c r="R1" s="812">
        <f t="shared" si="0"/>
        <v>0.26776311061201574</v>
      </c>
      <c r="S1" s="812">
        <f t="shared" si="0"/>
        <v>0.35232116145645959</v>
      </c>
      <c r="T1" s="812">
        <f>T11/(S6+T3)</f>
        <v>0.23008004508741284</v>
      </c>
      <c r="U1" s="812">
        <f>U11/(T6+U3)</f>
        <v>0.20809924634568827</v>
      </c>
      <c r="V1" s="812">
        <f>V11/(U6+V3)</f>
        <v>0.2049490382483799</v>
      </c>
      <c r="W1" s="813">
        <f>V1</f>
        <v>0.2049490382483799</v>
      </c>
      <c r="X1" s="813">
        <f>W1</f>
        <v>0.2049490382483799</v>
      </c>
      <c r="Y1" s="813">
        <f t="shared" ref="Y1:AF1" si="1">X1</f>
        <v>0.2049490382483799</v>
      </c>
      <c r="Z1" s="813">
        <f t="shared" si="1"/>
        <v>0.2049490382483799</v>
      </c>
      <c r="AA1" s="813">
        <f t="shared" si="1"/>
        <v>0.2049490382483799</v>
      </c>
      <c r="AB1" s="813">
        <f t="shared" si="1"/>
        <v>0.2049490382483799</v>
      </c>
      <c r="AC1" s="813">
        <f t="shared" si="1"/>
        <v>0.2049490382483799</v>
      </c>
      <c r="AD1" s="813">
        <f t="shared" si="1"/>
        <v>0.2049490382483799</v>
      </c>
      <c r="AE1" s="813">
        <f t="shared" si="1"/>
        <v>0.2049490382483799</v>
      </c>
      <c r="AF1" s="813">
        <f t="shared" si="1"/>
        <v>0.2049490382483799</v>
      </c>
    </row>
    <row r="2" spans="1:32" s="322" customFormat="1" ht="11.65" x14ac:dyDescent="0.4">
      <c r="A2" s="318" t="s">
        <v>759</v>
      </c>
      <c r="B2" s="1641" t="s">
        <v>2958</v>
      </c>
      <c r="C2" s="515" t="s">
        <v>323</v>
      </c>
      <c r="D2" s="515" t="s">
        <v>198</v>
      </c>
      <c r="E2" s="515" t="s">
        <v>331</v>
      </c>
      <c r="F2" s="515" t="s">
        <v>56</v>
      </c>
      <c r="G2" s="515" t="s">
        <v>721</v>
      </c>
      <c r="H2" s="515" t="s">
        <v>747</v>
      </c>
      <c r="I2" s="516" t="s">
        <v>1748</v>
      </c>
      <c r="J2" s="516" t="s">
        <v>2042</v>
      </c>
      <c r="K2" s="516" t="s">
        <v>1510</v>
      </c>
      <c r="L2" s="516" t="s">
        <v>1587</v>
      </c>
      <c r="M2" s="516" t="s">
        <v>1739</v>
      </c>
      <c r="N2" s="516" t="s">
        <v>1810</v>
      </c>
      <c r="O2" s="516" t="s">
        <v>1818</v>
      </c>
      <c r="P2" s="516" t="str">
        <f>PL!Q3</f>
        <v>2019A</v>
      </c>
      <c r="Q2" s="516" t="str">
        <f>PL!R3</f>
        <v>2020A</v>
      </c>
      <c r="R2" s="516" t="str">
        <f>PL!S3</f>
        <v>2021A</v>
      </c>
      <c r="S2" s="516" t="str">
        <f>PL!T3</f>
        <v>2022A</v>
      </c>
      <c r="T2" s="516" t="str">
        <f>PL!U3</f>
        <v>2023A</v>
      </c>
      <c r="U2" s="516" t="str">
        <f>PL!V3</f>
        <v>2024A</v>
      </c>
      <c r="V2" s="516" t="str">
        <f>PL!W3</f>
        <v>2025A</v>
      </c>
      <c r="W2" s="516" t="str">
        <f>PL!X3</f>
        <v>2026E</v>
      </c>
      <c r="X2" s="516" t="str">
        <f>PL!Y3</f>
        <v>2027E</v>
      </c>
      <c r="Y2" s="516" t="str">
        <f>PL!Z3</f>
        <v>2028E</v>
      </c>
      <c r="Z2" s="516" t="str">
        <f>PL!AA3</f>
        <v>2029E</v>
      </c>
      <c r="AA2" s="516" t="str">
        <f>PL!AB3</f>
        <v>2030E</v>
      </c>
      <c r="AB2" s="516" t="str">
        <f>PL!AC3</f>
        <v>2031E</v>
      </c>
      <c r="AC2" s="516" t="str">
        <f>PL!AD3</f>
        <v>2032E</v>
      </c>
      <c r="AD2" s="516" t="str">
        <f>PL!AE3</f>
        <v>2033E</v>
      </c>
      <c r="AE2" s="516" t="str">
        <f>PL!AF3</f>
        <v>2034E</v>
      </c>
      <c r="AF2" s="516" t="str">
        <f>PL!AG3</f>
        <v>2035E</v>
      </c>
    </row>
    <row r="3" spans="1:32" x14ac:dyDescent="0.35">
      <c r="A3" s="858" t="s">
        <v>1474</v>
      </c>
      <c r="B3" s="1642" t="s">
        <v>2957</v>
      </c>
      <c r="C3" s="860">
        <v>4536.9800000000005</v>
      </c>
      <c r="D3" s="860">
        <v>5070</v>
      </c>
      <c r="E3" s="860">
        <v>9480</v>
      </c>
      <c r="F3" s="860">
        <v>10850</v>
      </c>
      <c r="G3" s="860">
        <v>16510</v>
      </c>
      <c r="H3" s="860">
        <v>5740</v>
      </c>
      <c r="I3" s="860">
        <v>17600</v>
      </c>
      <c r="J3" s="860">
        <v>17891.718000000001</v>
      </c>
      <c r="K3" s="860">
        <v>9140</v>
      </c>
      <c r="L3" s="860">
        <v>13660</v>
      </c>
      <c r="M3" s="860">
        <v>16340</v>
      </c>
      <c r="N3" s="860">
        <v>19450</v>
      </c>
      <c r="O3" s="860">
        <v>26320</v>
      </c>
      <c r="P3" s="860">
        <v>38130</v>
      </c>
      <c r="Q3" s="860">
        <v>27100</v>
      </c>
      <c r="R3" s="860">
        <v>36050</v>
      </c>
      <c r="S3" s="860">
        <v>44896</v>
      </c>
      <c r="T3" s="860">
        <v>70921</v>
      </c>
      <c r="U3" s="860">
        <v>90048</v>
      </c>
      <c r="V3" s="860">
        <f>44949</f>
        <v>44949</v>
      </c>
      <c r="W3" s="859">
        <f t="shared" ref="W3:AB3" si="2">V3*(1+W4)</f>
        <v>49893.390000000007</v>
      </c>
      <c r="X3" s="859">
        <f t="shared" si="2"/>
        <v>53385.92730000001</v>
      </c>
      <c r="Y3" s="859">
        <f t="shared" si="2"/>
        <v>56589.082938000014</v>
      </c>
      <c r="Z3" s="859">
        <f t="shared" si="2"/>
        <v>59418.537084900017</v>
      </c>
      <c r="AA3" s="859">
        <f t="shared" si="2"/>
        <v>62389.463939145018</v>
      </c>
      <c r="AB3" s="859">
        <f t="shared" si="2"/>
        <v>65508.937136102271</v>
      </c>
      <c r="AC3" s="859">
        <f t="shared" ref="AC3" si="3">AB3*(1+AC4)</f>
        <v>68784.383992907387</v>
      </c>
      <c r="AD3" s="859">
        <f t="shared" ref="AD3" si="4">AC3*(1+AD4)</f>
        <v>72223.603192552764</v>
      </c>
      <c r="AE3" s="859">
        <f t="shared" ref="AE3:AF3" si="5">AD3*(1+AE4)</f>
        <v>75834.783352180399</v>
      </c>
      <c r="AF3" s="859">
        <f t="shared" si="5"/>
        <v>79626.522519789418</v>
      </c>
    </row>
    <row r="4" spans="1:32" x14ac:dyDescent="0.35">
      <c r="A4" s="625" t="s">
        <v>577</v>
      </c>
      <c r="B4" s="1643" t="s">
        <v>577</v>
      </c>
      <c r="C4" s="820"/>
      <c r="D4" s="820">
        <f t="shared" ref="D4:U4" si="6">D3/C3-1</f>
        <v>0.11748343611829881</v>
      </c>
      <c r="E4" s="820">
        <f t="shared" si="6"/>
        <v>0.86982248520710059</v>
      </c>
      <c r="F4" s="820">
        <f t="shared" si="6"/>
        <v>0.14451476793248941</v>
      </c>
      <c r="G4" s="820">
        <f t="shared" si="6"/>
        <v>0.5216589861751153</v>
      </c>
      <c r="H4" s="820">
        <f t="shared" si="6"/>
        <v>-0.65233192004845542</v>
      </c>
      <c r="I4" s="820">
        <f t="shared" si="6"/>
        <v>2.0662020905923346</v>
      </c>
      <c r="J4" s="820">
        <f t="shared" si="6"/>
        <v>1.6574886363636354E-2</v>
      </c>
      <c r="K4" s="820">
        <f t="shared" si="6"/>
        <v>-0.48914911357310686</v>
      </c>
      <c r="L4" s="820">
        <f t="shared" si="6"/>
        <v>0.49452954048140052</v>
      </c>
      <c r="M4" s="820">
        <f t="shared" si="6"/>
        <v>0.19619326500732059</v>
      </c>
      <c r="N4" s="820">
        <f t="shared" si="6"/>
        <v>0.19033047735618114</v>
      </c>
      <c r="O4" s="820">
        <f t="shared" si="6"/>
        <v>0.35321336760925459</v>
      </c>
      <c r="P4" s="820">
        <f t="shared" si="6"/>
        <v>0.44870820668693012</v>
      </c>
      <c r="Q4" s="820">
        <f t="shared" si="6"/>
        <v>-0.28927353789666932</v>
      </c>
      <c r="R4" s="820">
        <f t="shared" si="6"/>
        <v>0.33025830258302591</v>
      </c>
      <c r="S4" s="820">
        <f t="shared" si="6"/>
        <v>0.24538141470180297</v>
      </c>
      <c r="T4" s="820">
        <f t="shared" si="6"/>
        <v>0.57967302209550953</v>
      </c>
      <c r="U4" s="820">
        <f t="shared" si="6"/>
        <v>0.26969444875283766</v>
      </c>
      <c r="V4" s="820">
        <f>V3/U3-1</f>
        <v>-0.5008328891257996</v>
      </c>
      <c r="W4" s="821">
        <v>0.11</v>
      </c>
      <c r="X4" s="821">
        <v>7.0000000000000007E-2</v>
      </c>
      <c r="Y4" s="821">
        <v>0.06</v>
      </c>
      <c r="Z4" s="821">
        <v>0.05</v>
      </c>
      <c r="AA4" s="821">
        <f t="shared" ref="AA4:AB4" si="7">Z4</f>
        <v>0.05</v>
      </c>
      <c r="AB4" s="821">
        <f t="shared" si="7"/>
        <v>0.05</v>
      </c>
      <c r="AC4" s="821">
        <f t="shared" ref="AC4" si="8">AB4</f>
        <v>0.05</v>
      </c>
      <c r="AD4" s="821">
        <f t="shared" ref="AD4" si="9">AC4</f>
        <v>0.05</v>
      </c>
      <c r="AE4" s="821">
        <f t="shared" ref="AE4:AF4" si="10">AD4</f>
        <v>0.05</v>
      </c>
      <c r="AF4" s="821">
        <f t="shared" si="10"/>
        <v>0.05</v>
      </c>
    </row>
    <row r="5" spans="1:32" x14ac:dyDescent="0.35">
      <c r="A5" s="720"/>
      <c r="B5" s="1643"/>
      <c r="C5" s="820"/>
      <c r="D5" s="841"/>
      <c r="E5" s="841"/>
      <c r="F5" s="841"/>
      <c r="G5" s="841"/>
      <c r="H5" s="841"/>
      <c r="I5" s="841"/>
      <c r="J5" s="841"/>
      <c r="K5" s="841"/>
      <c r="L5" s="841"/>
      <c r="M5" s="841"/>
      <c r="N5" s="841"/>
      <c r="O5" s="841"/>
      <c r="P5" s="841"/>
      <c r="Q5" s="841"/>
      <c r="R5" s="841"/>
      <c r="S5" s="841"/>
      <c r="T5" s="841"/>
      <c r="U5" s="841"/>
      <c r="V5" s="841"/>
      <c r="W5" s="841"/>
      <c r="X5" s="841"/>
      <c r="Y5" s="841"/>
      <c r="Z5" s="841"/>
      <c r="AA5" s="841"/>
      <c r="AB5" s="841"/>
      <c r="AC5" s="841"/>
      <c r="AD5" s="841"/>
      <c r="AE5" s="841"/>
      <c r="AF5" s="841"/>
    </row>
    <row r="6" spans="1:32" x14ac:dyDescent="0.35">
      <c r="A6" s="720" t="s">
        <v>2087</v>
      </c>
      <c r="B6" s="1644" t="s">
        <v>2959</v>
      </c>
      <c r="C6" s="842">
        <v>7754</v>
      </c>
      <c r="D6" s="842">
        <v>8903</v>
      </c>
      <c r="E6" s="842">
        <v>11940</v>
      </c>
      <c r="F6" s="842">
        <v>15950</v>
      </c>
      <c r="G6" s="842">
        <v>25980</v>
      </c>
      <c r="H6" s="842">
        <v>22030</v>
      </c>
      <c r="I6" s="842">
        <v>27980</v>
      </c>
      <c r="J6" s="842">
        <v>34440</v>
      </c>
      <c r="K6" s="842">
        <v>28310</v>
      </c>
      <c r="L6" s="842">
        <v>23990</v>
      </c>
      <c r="M6" s="842">
        <v>25900</v>
      </c>
      <c r="N6" s="842">
        <v>23300</v>
      </c>
      <c r="O6" s="842">
        <v>34510</v>
      </c>
      <c r="P6" s="842">
        <v>52180</v>
      </c>
      <c r="Q6" s="842">
        <v>53000</v>
      </c>
      <c r="R6" s="842">
        <v>60730</v>
      </c>
      <c r="S6" s="842">
        <v>63041</v>
      </c>
      <c r="T6" s="842">
        <v>107390</v>
      </c>
      <c r="U6" s="842">
        <v>149020</v>
      </c>
      <c r="V6" s="842">
        <f>127899</f>
        <v>127899</v>
      </c>
      <c r="W6" s="841">
        <f>V6+W3-W11</f>
        <v>141354.01066161913</v>
      </c>
      <c r="X6" s="841">
        <f t="shared" ref="X6:AB6" si="11">W6+X3-X11</f>
        <v>154828.17496783612</v>
      </c>
      <c r="Y6" s="841">
        <f t="shared" si="11"/>
        <v>168087.49422892532</v>
      </c>
      <c r="Z6" s="841">
        <f t="shared" si="11"/>
        <v>180878.88900035105</v>
      </c>
      <c r="AA6" s="841">
        <f t="shared" si="11"/>
        <v>193410.7379682789</v>
      </c>
      <c r="AB6" s="841">
        <f t="shared" si="11"/>
        <v>205854.33670815526</v>
      </c>
      <c r="AC6" s="841">
        <f t="shared" ref="AC6" si="12">AB6+AC3-AC11</f>
        <v>218351.77902761442</v>
      </c>
      <c r="AD6" s="841">
        <f t="shared" ref="AD6" si="13">AC6+AD3-AD11</f>
        <v>231022.23709548853</v>
      </c>
      <c r="AE6" s="841">
        <f t="shared" ref="AE6:AF6" si="14">AD6+AE3-AE11</f>
        <v>243966.96922715573</v>
      </c>
      <c r="AF6" s="841">
        <f t="shared" si="14"/>
        <v>257273.31682997366</v>
      </c>
    </row>
    <row r="7" spans="1:32" x14ac:dyDescent="0.35">
      <c r="A7" s="625" t="s">
        <v>577</v>
      </c>
      <c r="B7" s="1643" t="s">
        <v>577</v>
      </c>
      <c r="C7" s="820"/>
      <c r="D7" s="820">
        <f t="shared" ref="D7:AB7" si="15">D6/C6-1</f>
        <v>0.14818158369873613</v>
      </c>
      <c r="E7" s="820">
        <f t="shared" si="15"/>
        <v>0.3411209704593956</v>
      </c>
      <c r="F7" s="820">
        <f t="shared" si="15"/>
        <v>0.33584589614740379</v>
      </c>
      <c r="G7" s="820">
        <f t="shared" si="15"/>
        <v>0.62884012539184964</v>
      </c>
      <c r="H7" s="820">
        <f t="shared" si="15"/>
        <v>-0.15204003079291761</v>
      </c>
      <c r="I7" s="820">
        <f t="shared" si="15"/>
        <v>0.27008624602814346</v>
      </c>
      <c r="J7" s="820">
        <f t="shared" si="15"/>
        <v>0.23087919942816293</v>
      </c>
      <c r="K7" s="820">
        <f t="shared" si="15"/>
        <v>-0.17799070847851339</v>
      </c>
      <c r="L7" s="820">
        <f t="shared" si="15"/>
        <v>-0.15259625574002122</v>
      </c>
      <c r="M7" s="820">
        <f t="shared" si="15"/>
        <v>7.9616506877865811E-2</v>
      </c>
      <c r="N7" s="820">
        <f t="shared" si="15"/>
        <v>-0.10038610038610041</v>
      </c>
      <c r="O7" s="820">
        <f t="shared" si="15"/>
        <v>0.48111587982832615</v>
      </c>
      <c r="P7" s="820">
        <f t="shared" si="15"/>
        <v>0.51202549985511436</v>
      </c>
      <c r="Q7" s="820">
        <f t="shared" si="15"/>
        <v>1.5714833269451889E-2</v>
      </c>
      <c r="R7" s="820">
        <f t="shared" si="15"/>
        <v>0.14584905660377356</v>
      </c>
      <c r="S7" s="820">
        <f t="shared" si="15"/>
        <v>3.8053680223941955E-2</v>
      </c>
      <c r="T7" s="820">
        <f t="shared" si="15"/>
        <v>0.70349455116511472</v>
      </c>
      <c r="U7" s="820">
        <f>U6/T6-1</f>
        <v>0.38765248160908827</v>
      </c>
      <c r="V7" s="820">
        <f>V6/U6-1</f>
        <v>-0.14173265333512275</v>
      </c>
      <c r="W7" s="820">
        <f t="shared" si="15"/>
        <v>0.10520028039014484</v>
      </c>
      <c r="X7" s="820">
        <f t="shared" si="15"/>
        <v>9.5322122401409359E-2</v>
      </c>
      <c r="Y7" s="820">
        <f t="shared" si="15"/>
        <v>8.563893014849322E-2</v>
      </c>
      <c r="Z7" s="820">
        <f t="shared" si="15"/>
        <v>7.6099621986181809E-2</v>
      </c>
      <c r="AA7" s="820">
        <f t="shared" si="15"/>
        <v>6.9283093439962196E-2</v>
      </c>
      <c r="AB7" s="820">
        <f t="shared" si="15"/>
        <v>6.4337682956967956E-2</v>
      </c>
      <c r="AC7" s="820">
        <f t="shared" ref="AC7" si="16">AC6/AB6-1</f>
        <v>6.0710124058144466E-2</v>
      </c>
      <c r="AD7" s="820">
        <f t="shared" ref="AD7" si="17">AD6/AC6-1</f>
        <v>5.8027729951637852E-2</v>
      </c>
      <c r="AE7" s="820">
        <f t="shared" ref="AE7:AF7" si="18">AE6/AD6-1</f>
        <v>5.6032407505069548E-2</v>
      </c>
      <c r="AF7" s="820">
        <f t="shared" si="18"/>
        <v>5.4541594892825396E-2</v>
      </c>
    </row>
    <row r="8" spans="1:32" x14ac:dyDescent="0.35">
      <c r="A8" s="720"/>
      <c r="B8" s="1643"/>
      <c r="C8" s="820"/>
      <c r="D8" s="820"/>
      <c r="E8" s="820"/>
      <c r="F8" s="820"/>
      <c r="G8" s="820"/>
      <c r="H8" s="820"/>
      <c r="I8" s="820"/>
      <c r="J8" s="820"/>
      <c r="K8" s="820"/>
      <c r="L8" s="820"/>
      <c r="M8" s="820"/>
      <c r="N8" s="820"/>
      <c r="O8" s="820"/>
      <c r="P8" s="820"/>
      <c r="Q8" s="820"/>
      <c r="R8" s="820"/>
      <c r="S8" s="820"/>
      <c r="T8" s="820"/>
      <c r="U8" s="820"/>
      <c r="V8" s="820"/>
      <c r="W8" s="820"/>
      <c r="X8" s="820"/>
      <c r="Y8" s="820"/>
      <c r="Z8" s="820"/>
      <c r="AA8" s="820"/>
      <c r="AB8" s="820"/>
      <c r="AC8" s="820"/>
      <c r="AD8" s="820"/>
      <c r="AE8" s="820"/>
      <c r="AF8" s="820"/>
    </row>
    <row r="9" spans="1:32" s="646" customFormat="1" x14ac:dyDescent="0.35">
      <c r="A9" s="720" t="s">
        <v>2089</v>
      </c>
      <c r="B9" s="1645" t="s">
        <v>2960</v>
      </c>
      <c r="C9" s="893">
        <f t="shared" ref="C9:AB9" si="19">C6/C11</f>
        <v>1.0387657630092217</v>
      </c>
      <c r="D9" s="893">
        <f t="shared" si="19"/>
        <v>1.6106485524334577</v>
      </c>
      <c r="E9" s="893">
        <f t="shared" si="19"/>
        <v>1.9271613703892787</v>
      </c>
      <c r="F9" s="893">
        <f t="shared" si="19"/>
        <v>2.5775032606628243</v>
      </c>
      <c r="G9" s="893">
        <f t="shared" si="19"/>
        <v>4.1657613858933331</v>
      </c>
      <c r="H9" s="893">
        <f t="shared" si="19"/>
        <v>2.529951443995913</v>
      </c>
      <c r="I9" s="893">
        <f t="shared" si="19"/>
        <v>2.5232542043339912</v>
      </c>
      <c r="J9" s="893">
        <f t="shared" si="19"/>
        <v>3.0932032247990833</v>
      </c>
      <c r="K9" s="893">
        <f t="shared" si="19"/>
        <v>1.8521730386282431</v>
      </c>
      <c r="L9" s="893">
        <f t="shared" si="19"/>
        <v>1.4742891409786072</v>
      </c>
      <c r="M9" s="893">
        <f t="shared" si="19"/>
        <v>1.4728161917431535</v>
      </c>
      <c r="N9" s="893">
        <f t="shared" si="19"/>
        <v>1.5519636736592066</v>
      </c>
      <c r="O9" s="893">
        <f t="shared" si="19"/>
        <v>2.3199594494482785</v>
      </c>
      <c r="P9" s="893">
        <f t="shared" si="19"/>
        <v>2.4359078018700377</v>
      </c>
      <c r="Q9" s="893">
        <f t="shared" si="19"/>
        <v>2.3656590223891776</v>
      </c>
      <c r="R9" s="893">
        <f t="shared" si="19"/>
        <v>2.5469394054471288</v>
      </c>
      <c r="S9" s="893">
        <f t="shared" si="19"/>
        <v>1.6940004877160713</v>
      </c>
      <c r="T9" s="893">
        <f t="shared" ref="T9" si="20">T6/T11</f>
        <v>3.4842015194155418</v>
      </c>
      <c r="U9" s="893">
        <f>U6/U11</f>
        <v>3.6269645317575891</v>
      </c>
      <c r="V9" s="893">
        <f t="shared" ref="V9" si="21">V6/V11</f>
        <v>3.2172805792458372</v>
      </c>
      <c r="W9" s="893">
        <f t="shared" si="19"/>
        <v>3.8792617352421503</v>
      </c>
      <c r="X9" s="893">
        <f t="shared" si="19"/>
        <v>3.8792617352421499</v>
      </c>
      <c r="Y9" s="893">
        <f t="shared" si="19"/>
        <v>3.8792617352421508</v>
      </c>
      <c r="Z9" s="893">
        <f t="shared" si="19"/>
        <v>3.8792617352421512</v>
      </c>
      <c r="AA9" s="893">
        <f t="shared" si="19"/>
        <v>3.8792617352421512</v>
      </c>
      <c r="AB9" s="893">
        <f t="shared" si="19"/>
        <v>3.8792617352421508</v>
      </c>
      <c r="AC9" s="893">
        <f t="shared" ref="AC9:AE9" si="22">AC6/AC11</f>
        <v>3.8792617352421503</v>
      </c>
      <c r="AD9" s="893">
        <f t="shared" si="22"/>
        <v>3.8792617352421499</v>
      </c>
      <c r="AE9" s="893">
        <f t="shared" si="22"/>
        <v>3.8792617352421508</v>
      </c>
      <c r="AF9" s="893">
        <f t="shared" ref="AF9" si="23">AF6/AF11</f>
        <v>3.8792617352421508</v>
      </c>
    </row>
    <row r="10" spans="1:32" x14ac:dyDescent="0.35">
      <c r="A10" s="720"/>
      <c r="B10" s="1643"/>
      <c r="C10" s="820"/>
      <c r="D10" s="820"/>
      <c r="E10" s="820"/>
      <c r="F10" s="820"/>
      <c r="G10" s="820"/>
      <c r="H10" s="820"/>
      <c r="I10" s="820"/>
      <c r="J10" s="820"/>
      <c r="K10" s="820"/>
      <c r="L10" s="820"/>
      <c r="M10" s="820"/>
      <c r="N10" s="820"/>
      <c r="O10" s="820"/>
      <c r="P10" s="820"/>
      <c r="Q10" s="820"/>
      <c r="R10" s="820"/>
      <c r="S10" s="820"/>
      <c r="T10" s="820"/>
      <c r="U10" s="820"/>
      <c r="V10" s="820"/>
      <c r="W10" s="820"/>
      <c r="X10" s="820"/>
      <c r="Y10" s="820"/>
      <c r="Z10" s="820"/>
      <c r="AA10" s="820"/>
      <c r="AB10" s="820"/>
      <c r="AC10" s="820"/>
      <c r="AD10" s="820"/>
      <c r="AE10" s="820"/>
      <c r="AF10" s="820"/>
    </row>
    <row r="11" spans="1:32" x14ac:dyDescent="0.35">
      <c r="A11" s="858" t="s">
        <v>262</v>
      </c>
      <c r="B11" s="1642" t="s">
        <v>2961</v>
      </c>
      <c r="C11" s="860">
        <v>7464.6279999999997</v>
      </c>
      <c r="D11" s="860">
        <v>5527.5870000000004</v>
      </c>
      <c r="E11" s="860">
        <v>6195.6409999999996</v>
      </c>
      <c r="F11" s="860">
        <v>6188.1589999999997</v>
      </c>
      <c r="G11" s="860">
        <v>6236.5550000000003</v>
      </c>
      <c r="H11" s="860">
        <v>8707.6769999999997</v>
      </c>
      <c r="I11" s="860">
        <f>11088855/1000</f>
        <v>11088.855</v>
      </c>
      <c r="J11" s="860">
        <f>11134089/1000</f>
        <v>11134.089</v>
      </c>
      <c r="K11" s="860">
        <f>15284749/1000</f>
        <v>15284.749</v>
      </c>
      <c r="L11" s="860">
        <f>16272249/1000</f>
        <v>16272.249</v>
      </c>
      <c r="M11" s="860">
        <f>17585358/1000</f>
        <v>17585.358</v>
      </c>
      <c r="N11" s="860">
        <f>15013238/1000</f>
        <v>15013.237999999999</v>
      </c>
      <c r="O11" s="860">
        <f>14875260/1000</f>
        <v>14875.26</v>
      </c>
      <c r="P11" s="860">
        <v>21421.171999999999</v>
      </c>
      <c r="Q11" s="860">
        <v>22403.904999999999</v>
      </c>
      <c r="R11" s="860">
        <v>23844.305</v>
      </c>
      <c r="S11" s="860">
        <v>37214.275000000001</v>
      </c>
      <c r="T11" s="860">
        <v>30821.983</v>
      </c>
      <c r="U11" s="860">
        <v>41086.699000000001</v>
      </c>
      <c r="V11" s="860">
        <f>39753.76</f>
        <v>39753.760000000002</v>
      </c>
      <c r="W11" s="859">
        <f>+(V6+W3)*W1</f>
        <v>36438.379338380881</v>
      </c>
      <c r="X11" s="859">
        <f t="shared" ref="X11:AB11" si="24">+(W6+X3)*X1</f>
        <v>39911.762993783013</v>
      </c>
      <c r="Y11" s="859">
        <f t="shared" si="24"/>
        <v>43329.763676910807</v>
      </c>
      <c r="Z11" s="859">
        <f t="shared" si="24"/>
        <v>46627.142313474302</v>
      </c>
      <c r="AA11" s="859">
        <f t="shared" si="24"/>
        <v>49857.614971217154</v>
      </c>
      <c r="AB11" s="859">
        <f t="shared" si="24"/>
        <v>53065.33839622591</v>
      </c>
      <c r="AC11" s="859">
        <f t="shared" ref="AC11" si="25">+(AB6+AC3)*AC1</f>
        <v>56286.941673448215</v>
      </c>
      <c r="AD11" s="859">
        <f t="shared" ref="AD11" si="26">+(AC6+AD3)*AD1</f>
        <v>59553.14512467866</v>
      </c>
      <c r="AE11" s="859">
        <f t="shared" ref="AE11:AF11" si="27">+(AD6+AE3)*AE1</f>
        <v>62890.051220513189</v>
      </c>
      <c r="AF11" s="859">
        <f t="shared" si="27"/>
        <v>66320.17491697146</v>
      </c>
    </row>
    <row r="12" spans="1:32" x14ac:dyDescent="0.35">
      <c r="A12" s="625" t="s">
        <v>577</v>
      </c>
      <c r="B12" s="1643" t="s">
        <v>577</v>
      </c>
      <c r="C12" s="820"/>
      <c r="D12" s="820">
        <f t="shared" ref="D12:AB12" si="28">D11/C11-1</f>
        <v>-0.25949598560035403</v>
      </c>
      <c r="E12" s="820">
        <f t="shared" si="28"/>
        <v>0.12085816107462422</v>
      </c>
      <c r="F12" s="820">
        <f t="shared" si="28"/>
        <v>-1.2076232305906487E-3</v>
      </c>
      <c r="G12" s="820">
        <f t="shared" si="28"/>
        <v>7.8207428089680509E-3</v>
      </c>
      <c r="H12" s="820">
        <f t="shared" si="28"/>
        <v>0.3962318940504812</v>
      </c>
      <c r="I12" s="820">
        <f t="shared" si="28"/>
        <v>0.27345731818026775</v>
      </c>
      <c r="J12" s="820">
        <f t="shared" si="28"/>
        <v>4.079230903461184E-3</v>
      </c>
      <c r="K12" s="820">
        <f t="shared" si="28"/>
        <v>0.37278846971674118</v>
      </c>
      <c r="L12" s="820">
        <f t="shared" si="28"/>
        <v>6.4606883632829071E-2</v>
      </c>
      <c r="M12" s="820">
        <f t="shared" si="28"/>
        <v>8.0696220909598937E-2</v>
      </c>
      <c r="N12" s="820">
        <f t="shared" si="28"/>
        <v>-0.14626486421260232</v>
      </c>
      <c r="O12" s="820">
        <f t="shared" si="28"/>
        <v>-9.1904224791480305E-3</v>
      </c>
      <c r="P12" s="820">
        <f t="shared" si="28"/>
        <v>0.44005361923085706</v>
      </c>
      <c r="Q12" s="820">
        <f t="shared" si="28"/>
        <v>4.5876714868822388E-2</v>
      </c>
      <c r="R12" s="820">
        <f t="shared" si="28"/>
        <v>6.429236331791266E-2</v>
      </c>
      <c r="S12" s="820">
        <f t="shared" si="28"/>
        <v>0.56071963514977696</v>
      </c>
      <c r="T12" s="820">
        <f t="shared" si="28"/>
        <v>-0.1717698920642684</v>
      </c>
      <c r="U12" s="820">
        <f t="shared" si="28"/>
        <v>0.33303230359967428</v>
      </c>
      <c r="V12" s="820">
        <f t="shared" si="28"/>
        <v>-3.2442104925489379E-2</v>
      </c>
      <c r="W12" s="820">
        <f>W11/V11-1</f>
        <v>-8.3397914099675674E-2</v>
      </c>
      <c r="X12" s="820">
        <f t="shared" si="28"/>
        <v>9.5322122401409581E-2</v>
      </c>
      <c r="Y12" s="820">
        <f t="shared" si="28"/>
        <v>8.5638930148492998E-2</v>
      </c>
      <c r="Z12" s="820">
        <f t="shared" si="28"/>
        <v>7.6099621986181587E-2</v>
      </c>
      <c r="AA12" s="820">
        <f t="shared" si="28"/>
        <v>6.9283093439962196E-2</v>
      </c>
      <c r="AB12" s="820">
        <f t="shared" si="28"/>
        <v>6.4337682956968179E-2</v>
      </c>
      <c r="AC12" s="820">
        <f t="shared" ref="AC12" si="29">AC11/AB11-1</f>
        <v>6.0710124058144688E-2</v>
      </c>
      <c r="AD12" s="820">
        <f t="shared" ref="AD12" si="30">AD11/AC11-1</f>
        <v>5.8027729951637852E-2</v>
      </c>
      <c r="AE12" s="820">
        <f t="shared" ref="AE12:AF12" si="31">AE11/AD11-1</f>
        <v>5.6032407505069326E-2</v>
      </c>
      <c r="AF12" s="820">
        <f t="shared" si="31"/>
        <v>5.4541594892825396E-2</v>
      </c>
    </row>
    <row r="13" spans="1:32" s="674" customFormat="1" x14ac:dyDescent="0.35">
      <c r="A13" s="331"/>
      <c r="B13" s="1646" t="s">
        <v>2962</v>
      </c>
      <c r="C13" s="866"/>
      <c r="D13" s="866">
        <f t="shared" ref="D13:U13" si="32">C6+D3-D6</f>
        <v>3921</v>
      </c>
      <c r="E13" s="866">
        <f t="shared" si="32"/>
        <v>6443</v>
      </c>
      <c r="F13" s="866">
        <f t="shared" si="32"/>
        <v>6840</v>
      </c>
      <c r="G13" s="866">
        <f t="shared" si="32"/>
        <v>6480</v>
      </c>
      <c r="H13" s="866">
        <f t="shared" si="32"/>
        <v>9690</v>
      </c>
      <c r="I13" s="866">
        <f t="shared" si="32"/>
        <v>11650</v>
      </c>
      <c r="J13" s="866">
        <f t="shared" si="32"/>
        <v>11431.718000000001</v>
      </c>
      <c r="K13" s="866">
        <f t="shared" si="32"/>
        <v>15270</v>
      </c>
      <c r="L13" s="866">
        <f t="shared" si="32"/>
        <v>17980</v>
      </c>
      <c r="M13" s="866">
        <f t="shared" si="32"/>
        <v>14430</v>
      </c>
      <c r="N13" s="866">
        <f t="shared" si="32"/>
        <v>22050</v>
      </c>
      <c r="O13" s="866">
        <f t="shared" si="32"/>
        <v>15110</v>
      </c>
      <c r="P13" s="866">
        <f t="shared" si="32"/>
        <v>20460</v>
      </c>
      <c r="Q13" s="866">
        <f t="shared" si="32"/>
        <v>26280</v>
      </c>
      <c r="R13" s="866">
        <f t="shared" si="32"/>
        <v>28320</v>
      </c>
      <c r="S13" s="866">
        <f t="shared" si="32"/>
        <v>42585</v>
      </c>
      <c r="T13" s="866">
        <f t="shared" si="32"/>
        <v>26572</v>
      </c>
      <c r="U13" s="866">
        <f t="shared" si="32"/>
        <v>48418</v>
      </c>
      <c r="V13" s="866">
        <f>U6+V3-V6</f>
        <v>66070</v>
      </c>
      <c r="W13" s="866"/>
      <c r="X13" s="866"/>
      <c r="Y13" s="866"/>
      <c r="Z13" s="866"/>
      <c r="AA13" s="866"/>
      <c r="AB13" s="866"/>
      <c r="AC13" s="866"/>
      <c r="AD13" s="866"/>
      <c r="AE13" s="866"/>
      <c r="AF13" s="866"/>
    </row>
    <row r="14" spans="1:32" s="674" customFormat="1" x14ac:dyDescent="0.35">
      <c r="A14" s="331"/>
      <c r="B14" s="1646" t="s">
        <v>2963</v>
      </c>
      <c r="C14" s="866"/>
      <c r="D14" s="866"/>
      <c r="E14" s="866">
        <f t="shared" ref="E14:S14" si="33">E11-E13</f>
        <v>-247.35900000000038</v>
      </c>
      <c r="F14" s="866">
        <f t="shared" si="33"/>
        <v>-651.84100000000035</v>
      </c>
      <c r="G14" s="866">
        <f t="shared" si="33"/>
        <v>-243.44499999999971</v>
      </c>
      <c r="H14" s="866">
        <f t="shared" si="33"/>
        <v>-982.32300000000032</v>
      </c>
      <c r="I14" s="866">
        <f t="shared" si="33"/>
        <v>-561.14500000000044</v>
      </c>
      <c r="J14" s="866">
        <f t="shared" si="33"/>
        <v>-297.62900000000081</v>
      </c>
      <c r="K14" s="866">
        <f t="shared" si="33"/>
        <v>14.748999999999796</v>
      </c>
      <c r="L14" s="866">
        <f t="shared" si="33"/>
        <v>-1707.7510000000002</v>
      </c>
      <c r="M14" s="866">
        <f t="shared" si="33"/>
        <v>3155.3580000000002</v>
      </c>
      <c r="N14" s="866">
        <f t="shared" si="33"/>
        <v>-7036.7620000000006</v>
      </c>
      <c r="O14" s="866">
        <f t="shared" si="33"/>
        <v>-234.73999999999978</v>
      </c>
      <c r="P14" s="866">
        <f t="shared" si="33"/>
        <v>961.17199999999866</v>
      </c>
      <c r="Q14" s="866">
        <f t="shared" si="33"/>
        <v>-3876.0950000000012</v>
      </c>
      <c r="R14" s="866">
        <f t="shared" si="33"/>
        <v>-4475.6949999999997</v>
      </c>
      <c r="S14" s="866">
        <f t="shared" si="33"/>
        <v>-5370.7249999999985</v>
      </c>
      <c r="T14" s="866">
        <f t="shared" ref="T14:U14" si="34">T11-T13</f>
        <v>4249.9830000000002</v>
      </c>
      <c r="U14" s="866">
        <f t="shared" si="34"/>
        <v>-7331.3009999999995</v>
      </c>
      <c r="V14" s="866">
        <f>V11-V13</f>
        <v>-26316.239999999998</v>
      </c>
      <c r="W14" s="866"/>
      <c r="X14" s="866"/>
      <c r="Y14" s="866"/>
      <c r="Z14" s="866"/>
      <c r="AA14" s="866"/>
      <c r="AB14" s="866"/>
      <c r="AC14" s="866"/>
      <c r="AD14" s="866"/>
      <c r="AE14" s="866"/>
      <c r="AF14" s="866"/>
    </row>
    <row r="15" spans="1:32" x14ac:dyDescent="0.35">
      <c r="A15" s="625" t="s">
        <v>2044</v>
      </c>
      <c r="B15" s="1643" t="s">
        <v>2964</v>
      </c>
      <c r="C15" s="820">
        <f>C11/(PL!D4-PL!D16)</f>
        <v>0.72399590390907442</v>
      </c>
      <c r="D15" s="820">
        <f>D11/(PL!E4-PL!E16)</f>
        <v>0.5401681369627892</v>
      </c>
      <c r="E15" s="820">
        <f>E11/(PL!F4-PL!F16)</f>
        <v>0.55339355930831802</v>
      </c>
      <c r="F15" s="820">
        <f>F11/(PL!G4-PL!G16)</f>
        <v>0.63755281208376746</v>
      </c>
      <c r="G15" s="820">
        <f>G11/(PL!H4-PL!H16)</f>
        <v>0.5204558239840853</v>
      </c>
      <c r="H15" s="820">
        <f>H11/(PL!I4-PL!I16)</f>
        <v>0.53162657452441064</v>
      </c>
      <c r="I15" s="820">
        <f>I11/(PL!J4-PL!J16)</f>
        <v>0.50609406562832893</v>
      </c>
      <c r="J15" s="820">
        <f>J11/(PL!K4-PL!K16)</f>
        <v>0.40805702784103864</v>
      </c>
      <c r="K15" s="820">
        <f>K11/(PL!L4-PL!L16)</f>
        <v>0.44381351976614114</v>
      </c>
      <c r="L15" s="820">
        <f>L11/(PL!M4-PL!M16)</f>
        <v>0.42819593958992974</v>
      </c>
      <c r="M15" s="820">
        <f>M11/(PL!N4-PL!N16)</f>
        <v>0.38057360721552003</v>
      </c>
      <c r="N15" s="820">
        <f>N11/(PL!O4-PL!O16)</f>
        <v>0.29935159394968835</v>
      </c>
      <c r="O15" s="820">
        <f>O11/(PL!P4-PL!P16)</f>
        <v>0.26741413558592708</v>
      </c>
      <c r="P15" s="820">
        <f>P11/(PL!Q4-PL!Q16)</f>
        <v>0.34735339464558251</v>
      </c>
      <c r="Q15" s="820">
        <f>Q11/(PL!R4-PL!R16)</f>
        <v>0.35870922028943142</v>
      </c>
      <c r="R15" s="820">
        <f>R11/(PL!S4-PL!S16)</f>
        <v>0.30842612925217811</v>
      </c>
      <c r="S15" s="820">
        <f>S11/(PL!T4-PL!T16)</f>
        <v>0.36493432990833613</v>
      </c>
      <c r="T15" s="820">
        <f>T11/(PL!U4-PL!U16)</f>
        <v>0.27100056855461779</v>
      </c>
      <c r="U15" s="820">
        <f>U11/(PL!V4-PL!V16)</f>
        <v>0.35694432465225495</v>
      </c>
      <c r="V15" s="820">
        <f>V11/(PL!W4-PL!W16)</f>
        <v>0.39576260471784053</v>
      </c>
      <c r="W15" s="820">
        <f>W11/(PL!X4-PL!X16)</f>
        <v>0.35185609820262215</v>
      </c>
      <c r="X15" s="820">
        <f>X11/(PL!Y4-PL!Y16)</f>
        <v>0.34950583539244973</v>
      </c>
      <c r="Y15" s="820">
        <f>Y11/(PL!Z4-PL!Z16)</f>
        <v>0.3525993935401891</v>
      </c>
      <c r="Z15" s="820">
        <f>Z11/(PL!AA4-PL!AA16)</f>
        <v>0.34579823304280333</v>
      </c>
      <c r="AA15" s="820">
        <f>AA11/(PL!AB4-PL!AB16)</f>
        <v>0.34125201637004271</v>
      </c>
      <c r="AB15" s="820">
        <f>AB11/(PL!AC4-PL!AC16)</f>
        <v>0.33841307438917095</v>
      </c>
      <c r="AC15" s="820">
        <f>AC11/(PL!AD4-PL!AD16)</f>
        <v>0.3369262735920126</v>
      </c>
      <c r="AD15" s="820">
        <f>AD11/(PL!AE4-PL!AE16)</f>
        <v>0.33654980169116921</v>
      </c>
      <c r="AE15" s="820">
        <f>AE11/(PL!AF4-PL!AF16)</f>
        <v>0.33711236011088891</v>
      </c>
      <c r="AF15" s="820">
        <f>AF11/(PL!AG4-PL!AG16)</f>
        <v>0.33848857990764214</v>
      </c>
    </row>
    <row r="16" spans="1:32" x14ac:dyDescent="0.35">
      <c r="A16" s="625"/>
      <c r="B16" s="1643"/>
      <c r="C16" s="820"/>
      <c r="D16" s="820"/>
      <c r="E16" s="820"/>
      <c r="F16" s="820"/>
      <c r="G16" s="820"/>
      <c r="H16" s="820"/>
      <c r="I16" s="820"/>
      <c r="J16" s="820"/>
      <c r="K16" s="820"/>
      <c r="L16" s="820"/>
      <c r="M16" s="820"/>
      <c r="N16" s="820"/>
      <c r="O16" s="820"/>
      <c r="P16" s="820"/>
      <c r="Q16" s="820"/>
      <c r="R16" s="820"/>
      <c r="S16" s="820"/>
      <c r="T16" s="820"/>
      <c r="U16" s="820"/>
      <c r="V16" s="820"/>
      <c r="W16" s="820"/>
      <c r="X16" s="820"/>
      <c r="Y16" s="820"/>
      <c r="Z16" s="820"/>
      <c r="AA16" s="820"/>
      <c r="AB16" s="820"/>
      <c r="AC16" s="820"/>
      <c r="AD16" s="820"/>
      <c r="AE16" s="820"/>
      <c r="AF16" s="820"/>
    </row>
    <row r="17" spans="1:32" s="646" customFormat="1" x14ac:dyDescent="0.35">
      <c r="A17" s="720" t="s">
        <v>2094</v>
      </c>
      <c r="B17" s="1644" t="s">
        <v>2965</v>
      </c>
      <c r="C17" s="869">
        <f t="shared" ref="C17:AB17" si="35">C11-C20</f>
        <v>7116.2519999999995</v>
      </c>
      <c r="D17" s="869">
        <f t="shared" si="35"/>
        <v>5348.1900000000005</v>
      </c>
      <c r="E17" s="869">
        <f t="shared" si="35"/>
        <v>5967.6409999999996</v>
      </c>
      <c r="F17" s="869">
        <f t="shared" si="35"/>
        <v>5874.3279999999995</v>
      </c>
      <c r="G17" s="869">
        <f t="shared" si="35"/>
        <v>5841.3710000000001</v>
      </c>
      <c r="H17" s="869">
        <f t="shared" si="35"/>
        <v>8070.2879999999996</v>
      </c>
      <c r="I17" s="869">
        <f t="shared" si="35"/>
        <v>10305.803</v>
      </c>
      <c r="J17" s="869">
        <f t="shared" si="35"/>
        <v>10325.168</v>
      </c>
      <c r="K17" s="869">
        <f t="shared" si="35"/>
        <v>14273.919</v>
      </c>
      <c r="L17" s="869">
        <f t="shared" si="35"/>
        <v>15231.348</v>
      </c>
      <c r="M17" s="869">
        <f t="shared" si="35"/>
        <v>16691.221000000001</v>
      </c>
      <c r="N17" s="869">
        <f t="shared" si="35"/>
        <v>14066.984999999999</v>
      </c>
      <c r="O17" s="869">
        <f t="shared" si="35"/>
        <v>13669.011</v>
      </c>
      <c r="P17" s="869">
        <f t="shared" si="35"/>
        <v>20114.081999999999</v>
      </c>
      <c r="Q17" s="869">
        <f t="shared" si="35"/>
        <v>21232.406999999999</v>
      </c>
      <c r="R17" s="869">
        <f t="shared" si="35"/>
        <v>22815.300999999999</v>
      </c>
      <c r="S17" s="869">
        <f t="shared" si="35"/>
        <v>35513.498</v>
      </c>
      <c r="T17" s="869">
        <f t="shared" ref="T17" si="36">T11-T20</f>
        <v>29278.483</v>
      </c>
      <c r="U17" s="869">
        <f t="shared" si="35"/>
        <v>39570.21</v>
      </c>
      <c r="V17" s="869">
        <f>V11-V20</f>
        <v>38289.53</v>
      </c>
      <c r="W17" s="869">
        <f t="shared" si="35"/>
        <v>34980.844164845643</v>
      </c>
      <c r="X17" s="869">
        <f t="shared" si="35"/>
        <v>38315.292474031696</v>
      </c>
      <c r="Y17" s="869">
        <f t="shared" si="35"/>
        <v>41596.573129834374</v>
      </c>
      <c r="Z17" s="869">
        <f t="shared" si="35"/>
        <v>44762.056620935327</v>
      </c>
      <c r="AA17" s="869">
        <f t="shared" si="35"/>
        <v>47863.310372368469</v>
      </c>
      <c r="AB17" s="869">
        <f t="shared" si="35"/>
        <v>50942.724860376875</v>
      </c>
      <c r="AC17" s="869">
        <f t="shared" ref="AC17:AE17" si="37">AC11-AC20</f>
        <v>54035.464006510287</v>
      </c>
      <c r="AD17" s="869">
        <f t="shared" si="37"/>
        <v>57171.019319691513</v>
      </c>
      <c r="AE17" s="869">
        <f t="shared" si="37"/>
        <v>60374.449171692664</v>
      </c>
      <c r="AF17" s="869">
        <f t="shared" ref="AF17" si="38">AF11-AF20</f>
        <v>63667.3679202926</v>
      </c>
    </row>
    <row r="18" spans="1:32" x14ac:dyDescent="0.35">
      <c r="A18" s="331" t="s">
        <v>2096</v>
      </c>
      <c r="B18" s="1647" t="s">
        <v>2966</v>
      </c>
      <c r="C18" s="820">
        <f t="shared" ref="C18:AB18" si="39">C17/C11</f>
        <v>0.95332975735696401</v>
      </c>
      <c r="D18" s="820">
        <f t="shared" si="39"/>
        <v>0.96754515125677809</v>
      </c>
      <c r="E18" s="820">
        <f t="shared" si="39"/>
        <v>0.96319993363075751</v>
      </c>
      <c r="F18" s="820">
        <f t="shared" si="39"/>
        <v>0.9492852397619389</v>
      </c>
      <c r="G18" s="820">
        <f t="shared" si="39"/>
        <v>0.93663424759342295</v>
      </c>
      <c r="H18" s="820">
        <f t="shared" si="39"/>
        <v>0.92680148792841077</v>
      </c>
      <c r="I18" s="820">
        <f t="shared" si="39"/>
        <v>0.92938387236554187</v>
      </c>
      <c r="J18" s="820">
        <f t="shared" si="39"/>
        <v>0.92734735639350463</v>
      </c>
      <c r="K18" s="820">
        <f t="shared" si="39"/>
        <v>0.93386675829612908</v>
      </c>
      <c r="L18" s="820">
        <f t="shared" si="39"/>
        <v>0.93603213667637464</v>
      </c>
      <c r="M18" s="820">
        <f t="shared" si="39"/>
        <v>0.94915446134221437</v>
      </c>
      <c r="N18" s="820">
        <f t="shared" si="39"/>
        <v>0.93697209089737998</v>
      </c>
      <c r="O18" s="820">
        <f t="shared" si="39"/>
        <v>0.91890904764017567</v>
      </c>
      <c r="P18" s="820">
        <f t="shared" si="39"/>
        <v>0.93898139653609991</v>
      </c>
      <c r="Q18" s="820">
        <f t="shared" si="39"/>
        <v>0.94771009786017213</v>
      </c>
      <c r="R18" s="820">
        <f t="shared" si="39"/>
        <v>0.95684487344042946</v>
      </c>
      <c r="S18" s="820">
        <f t="shared" si="39"/>
        <v>0.95429772580548722</v>
      </c>
      <c r="T18" s="820">
        <f t="shared" ref="T18" si="40">T17/T11</f>
        <v>0.94992210592031023</v>
      </c>
      <c r="U18" s="820">
        <f t="shared" si="39"/>
        <v>0.96309051257683176</v>
      </c>
      <c r="V18" s="820">
        <f t="shared" si="39"/>
        <v>0.96316750918655236</v>
      </c>
      <c r="W18" s="820">
        <f t="shared" si="39"/>
        <v>0.96</v>
      </c>
      <c r="X18" s="820">
        <f t="shared" si="39"/>
        <v>0.96000000000000008</v>
      </c>
      <c r="Y18" s="820">
        <f t="shared" si="39"/>
        <v>0.96</v>
      </c>
      <c r="Z18" s="820">
        <f t="shared" si="39"/>
        <v>0.96</v>
      </c>
      <c r="AA18" s="820">
        <f t="shared" si="39"/>
        <v>0.96000000000000008</v>
      </c>
      <c r="AB18" s="820">
        <f t="shared" si="39"/>
        <v>0.96</v>
      </c>
      <c r="AC18" s="820">
        <f t="shared" ref="AC18:AE18" si="41">AC17/AC11</f>
        <v>0.96</v>
      </c>
      <c r="AD18" s="820">
        <f t="shared" si="41"/>
        <v>0.96</v>
      </c>
      <c r="AE18" s="820">
        <f t="shared" si="41"/>
        <v>0.96000000000000008</v>
      </c>
      <c r="AF18" s="820">
        <f t="shared" ref="AF18" si="42">AF17/AF11</f>
        <v>0.96</v>
      </c>
    </row>
    <row r="19" spans="1:32" x14ac:dyDescent="0.35">
      <c r="A19" s="872"/>
      <c r="B19" s="1648"/>
      <c r="C19" s="873"/>
      <c r="D19" s="873"/>
      <c r="E19" s="873"/>
      <c r="F19" s="873"/>
      <c r="G19" s="873"/>
      <c r="H19" s="873"/>
      <c r="I19" s="873"/>
      <c r="J19" s="873"/>
      <c r="K19" s="873"/>
      <c r="L19" s="873"/>
      <c r="M19" s="873"/>
      <c r="N19" s="873"/>
      <c r="O19" s="873"/>
      <c r="P19" s="873"/>
      <c r="Q19" s="873"/>
      <c r="R19" s="873"/>
      <c r="S19" s="873"/>
      <c r="T19" s="873"/>
      <c r="U19" s="873"/>
      <c r="V19" s="873"/>
      <c r="W19" s="873"/>
      <c r="X19" s="873"/>
      <c r="Y19" s="873"/>
      <c r="Z19" s="873"/>
      <c r="AA19" s="873"/>
      <c r="AB19" s="873"/>
      <c r="AC19" s="873"/>
      <c r="AD19" s="873"/>
      <c r="AE19" s="873"/>
      <c r="AF19" s="873"/>
    </row>
    <row r="20" spans="1:32" x14ac:dyDescent="0.35">
      <c r="A20" s="858" t="s">
        <v>2109</v>
      </c>
      <c r="B20" s="1642" t="s">
        <v>134</v>
      </c>
      <c r="C20" s="860">
        <v>348.37599999999998</v>
      </c>
      <c r="D20" s="860">
        <v>179.39699999999999</v>
      </c>
      <c r="E20" s="860">
        <v>228</v>
      </c>
      <c r="F20" s="860">
        <v>313.83100000000002</v>
      </c>
      <c r="G20" s="860">
        <v>395.18400000000003</v>
      </c>
      <c r="H20" s="860">
        <v>637.38900000000001</v>
      </c>
      <c r="I20" s="860">
        <f>783052/1000</f>
        <v>783.05200000000002</v>
      </c>
      <c r="J20" s="860">
        <f>808921/1000</f>
        <v>808.92100000000005</v>
      </c>
      <c r="K20" s="860">
        <f>1010830/1000</f>
        <v>1010.83</v>
      </c>
      <c r="L20" s="860">
        <f>1040901/1000</f>
        <v>1040.9010000000001</v>
      </c>
      <c r="M20" s="860">
        <f>894137/1000</f>
        <v>894.13699999999994</v>
      </c>
      <c r="N20" s="860">
        <f>946253/1000</f>
        <v>946.25300000000004</v>
      </c>
      <c r="O20" s="860">
        <v>1206.249</v>
      </c>
      <c r="P20" s="860">
        <v>1307.0899999999999</v>
      </c>
      <c r="Q20" s="860">
        <v>1171.498</v>
      </c>
      <c r="R20" s="860">
        <v>1029.0039999999999</v>
      </c>
      <c r="S20" s="860">
        <v>1700.777</v>
      </c>
      <c r="T20" s="860">
        <v>1543.5</v>
      </c>
      <c r="U20" s="860">
        <v>1516.489</v>
      </c>
      <c r="V20" s="860">
        <f>1464.23</f>
        <v>1464.23</v>
      </c>
      <c r="W20" s="859">
        <f t="shared" ref="W20:AB20" si="43">W11*W22</f>
        <v>1457.5351735352353</v>
      </c>
      <c r="X20" s="859">
        <f t="shared" si="43"/>
        <v>1596.4705197513206</v>
      </c>
      <c r="Y20" s="859">
        <f t="shared" si="43"/>
        <v>1733.1905470764323</v>
      </c>
      <c r="Z20" s="859">
        <f t="shared" si="43"/>
        <v>1865.0856925389721</v>
      </c>
      <c r="AA20" s="859">
        <f t="shared" si="43"/>
        <v>1994.3045988486863</v>
      </c>
      <c r="AB20" s="859">
        <f t="shared" si="43"/>
        <v>2122.6135358490365</v>
      </c>
      <c r="AC20" s="859">
        <f t="shared" ref="AC20:AE20" si="44">AC11*AC22</f>
        <v>2251.4776669379285</v>
      </c>
      <c r="AD20" s="859">
        <f t="shared" si="44"/>
        <v>2382.1258049871462</v>
      </c>
      <c r="AE20" s="859">
        <f t="shared" si="44"/>
        <v>2515.6020488205277</v>
      </c>
      <c r="AF20" s="859">
        <f t="shared" ref="AF20" si="45">AF11*AF22</f>
        <v>2652.8069966788585</v>
      </c>
    </row>
    <row r="21" spans="1:32" x14ac:dyDescent="0.35">
      <c r="A21" s="625" t="s">
        <v>577</v>
      </c>
      <c r="B21" s="1643" t="s">
        <v>577</v>
      </c>
      <c r="C21" s="820"/>
      <c r="D21" s="820">
        <f t="shared" ref="D21:AB21" si="46">D20/C20-1</f>
        <v>-0.48504776448435027</v>
      </c>
      <c r="E21" s="820">
        <f t="shared" si="46"/>
        <v>0.27092426294754102</v>
      </c>
      <c r="F21" s="820">
        <f t="shared" si="46"/>
        <v>0.3764517543859649</v>
      </c>
      <c r="G21" s="820">
        <f t="shared" si="46"/>
        <v>0.25922550672177058</v>
      </c>
      <c r="H21" s="820">
        <f t="shared" si="46"/>
        <v>0.61289171626381633</v>
      </c>
      <c r="I21" s="820">
        <f t="shared" si="46"/>
        <v>0.2285307716323941</v>
      </c>
      <c r="J21" s="820">
        <f t="shared" si="46"/>
        <v>3.3036120206576314E-2</v>
      </c>
      <c r="K21" s="820">
        <f t="shared" si="46"/>
        <v>0.24960286604007065</v>
      </c>
      <c r="L21" s="820">
        <f t="shared" si="46"/>
        <v>2.9748820276406462E-2</v>
      </c>
      <c r="M21" s="820">
        <f t="shared" si="46"/>
        <v>-0.14099707849257526</v>
      </c>
      <c r="N21" s="820">
        <f t="shared" si="46"/>
        <v>5.8286369985807607E-2</v>
      </c>
      <c r="O21" s="820">
        <f t="shared" si="46"/>
        <v>0.27476372598026111</v>
      </c>
      <c r="P21" s="820">
        <f t="shared" si="46"/>
        <v>8.359882578140998E-2</v>
      </c>
      <c r="Q21" s="820">
        <f t="shared" si="46"/>
        <v>-0.10373577947960733</v>
      </c>
      <c r="R21" s="820">
        <f t="shared" si="46"/>
        <v>-0.12163401047206235</v>
      </c>
      <c r="S21" s="820">
        <f t="shared" si="46"/>
        <v>0.65283808420569822</v>
      </c>
      <c r="T21" s="820">
        <f t="shared" si="46"/>
        <v>-9.2473616470589604E-2</v>
      </c>
      <c r="U21" s="820">
        <f t="shared" si="46"/>
        <v>-1.7499838030450299E-2</v>
      </c>
      <c r="V21" s="820">
        <f t="shared" si="46"/>
        <v>-3.4460520320292454E-2</v>
      </c>
      <c r="W21" s="820">
        <f t="shared" si="46"/>
        <v>-4.5722505786417456E-3</v>
      </c>
      <c r="X21" s="820">
        <f t="shared" si="46"/>
        <v>9.5322122401409359E-2</v>
      </c>
      <c r="Y21" s="820">
        <f t="shared" si="46"/>
        <v>8.5638930148492998E-2</v>
      </c>
      <c r="Z21" s="820">
        <f t="shared" si="46"/>
        <v>7.6099621986181587E-2</v>
      </c>
      <c r="AA21" s="820">
        <f t="shared" si="46"/>
        <v>6.9283093439962196E-2</v>
      </c>
      <c r="AB21" s="820">
        <f t="shared" si="46"/>
        <v>6.4337682956968179E-2</v>
      </c>
      <c r="AC21" s="820">
        <f t="shared" ref="AC21" si="47">AC20/AB20-1</f>
        <v>6.0710124058144688E-2</v>
      </c>
      <c r="AD21" s="820">
        <f t="shared" ref="AD21" si="48">AD20/AC20-1</f>
        <v>5.8027729951637852E-2</v>
      </c>
      <c r="AE21" s="820">
        <f t="shared" ref="AE21:AF21" si="49">AE20/AD20-1</f>
        <v>5.6032407505069548E-2</v>
      </c>
      <c r="AF21" s="820">
        <f t="shared" si="49"/>
        <v>5.4541594892825396E-2</v>
      </c>
    </row>
    <row r="22" spans="1:32" x14ac:dyDescent="0.35">
      <c r="A22" s="625" t="s">
        <v>2097</v>
      </c>
      <c r="B22" s="1643" t="s">
        <v>2967</v>
      </c>
      <c r="C22" s="820">
        <f t="shared" ref="C22:S22" si="50">C20/C11</f>
        <v>4.6670242643035931E-2</v>
      </c>
      <c r="D22" s="820">
        <f t="shared" si="50"/>
        <v>3.2454848743221951E-2</v>
      </c>
      <c r="E22" s="820">
        <f t="shared" si="50"/>
        <v>3.6800066369242504E-2</v>
      </c>
      <c r="F22" s="820">
        <f t="shared" si="50"/>
        <v>5.0714760238061117E-2</v>
      </c>
      <c r="G22" s="820">
        <f t="shared" si="50"/>
        <v>6.3365752406577033E-2</v>
      </c>
      <c r="H22" s="820">
        <f t="shared" si="50"/>
        <v>7.3198512071589242E-2</v>
      </c>
      <c r="I22" s="820">
        <f t="shared" si="50"/>
        <v>7.0616127634458209E-2</v>
      </c>
      <c r="J22" s="820">
        <f t="shared" si="50"/>
        <v>7.2652643606495343E-2</v>
      </c>
      <c r="K22" s="820">
        <f t="shared" si="50"/>
        <v>6.6133241703870971E-2</v>
      </c>
      <c r="L22" s="820">
        <f t="shared" si="50"/>
        <v>6.3967863323625404E-2</v>
      </c>
      <c r="M22" s="820">
        <f t="shared" si="50"/>
        <v>5.0845538657785641E-2</v>
      </c>
      <c r="N22" s="820">
        <f t="shared" si="50"/>
        <v>6.3027909102619975E-2</v>
      </c>
      <c r="O22" s="820">
        <f t="shared" si="50"/>
        <v>8.1090952359824303E-2</v>
      </c>
      <c r="P22" s="820">
        <f t="shared" si="50"/>
        <v>6.101860346390011E-2</v>
      </c>
      <c r="Q22" s="820">
        <f t="shared" si="50"/>
        <v>5.2289902139827864E-2</v>
      </c>
      <c r="R22" s="820">
        <f t="shared" si="50"/>
        <v>4.315512655957051E-2</v>
      </c>
      <c r="S22" s="820">
        <f t="shared" si="50"/>
        <v>4.5702274194512726E-2</v>
      </c>
      <c r="T22" s="820">
        <f>T20/T11</f>
        <v>5.0077894079689808E-2</v>
      </c>
      <c r="U22" s="820">
        <f>U20/U11</f>
        <v>3.6909487423168262E-2</v>
      </c>
      <c r="V22" s="820">
        <f>V20/V11</f>
        <v>3.6832490813447583E-2</v>
      </c>
      <c r="W22" s="821">
        <v>0.04</v>
      </c>
      <c r="X22" s="821">
        <f t="shared" ref="X22:AB22" si="51">W22</f>
        <v>0.04</v>
      </c>
      <c r="Y22" s="821">
        <f t="shared" si="51"/>
        <v>0.04</v>
      </c>
      <c r="Z22" s="821">
        <f t="shared" si="51"/>
        <v>0.04</v>
      </c>
      <c r="AA22" s="821">
        <f t="shared" si="51"/>
        <v>0.04</v>
      </c>
      <c r="AB22" s="821">
        <f t="shared" si="51"/>
        <v>0.04</v>
      </c>
      <c r="AC22" s="821">
        <f t="shared" ref="AC22" si="52">AB22</f>
        <v>0.04</v>
      </c>
      <c r="AD22" s="821">
        <f t="shared" ref="AD22" si="53">AC22</f>
        <v>0.04</v>
      </c>
      <c r="AE22" s="821">
        <f t="shared" ref="AE22:AF22" si="54">AD22</f>
        <v>0.04</v>
      </c>
      <c r="AF22" s="821">
        <f t="shared" si="54"/>
        <v>0.04</v>
      </c>
    </row>
    <row r="23" spans="1:32" x14ac:dyDescent="0.35">
      <c r="A23" s="625" t="s">
        <v>2044</v>
      </c>
      <c r="B23" s="1643" t="s">
        <v>2968</v>
      </c>
      <c r="C23" s="820">
        <f>C20/(PL!D40-PL!D58)</f>
        <v>0.64351289146344615</v>
      </c>
      <c r="D23" s="820">
        <f>D20/(PL!E40-PL!E58)</f>
        <v>0.21596480942652799</v>
      </c>
      <c r="E23" s="820">
        <f>E20/(PL!F40-PL!F58)</f>
        <v>0.2507166868449614</v>
      </c>
      <c r="F23" s="820">
        <f>F20/(PL!G40-PL!G58)</f>
        <v>0.31607449677813115</v>
      </c>
      <c r="G23" s="820">
        <f>G20/(PL!H40-PL!H58)</f>
        <v>0.30032511205650492</v>
      </c>
      <c r="H23" s="820">
        <f>H20/(PL!I40-PL!I58)</f>
        <v>0.35446261339217805</v>
      </c>
      <c r="I23" s="820">
        <f>I20/(PL!J40-PL!J58)</f>
        <v>0.2880756024997268</v>
      </c>
      <c r="J23" s="820">
        <f>J20/(PL!K40-PL!K58)</f>
        <v>0.21594577603248316</v>
      </c>
      <c r="K23" s="820">
        <f>K20/(PL!L40-PL!L58)</f>
        <v>0.21316119552298873</v>
      </c>
      <c r="L23" s="820">
        <f>L20/(PL!M40-PL!M58)</f>
        <v>0.20357472890791631</v>
      </c>
      <c r="M23" s="820">
        <f>M20/(PL!N40-PL!N58)</f>
        <v>0.14944931185292418</v>
      </c>
      <c r="N23" s="820">
        <f>N20/(PL!O40-PL!O58)</f>
        <v>0.12426123075024001</v>
      </c>
      <c r="O23" s="820">
        <f>O20/(PL!P40-PL!P58)</f>
        <v>0.1387063712761836</v>
      </c>
      <c r="P23" s="820">
        <f>P20/(PL!Q40-PL!Q58)</f>
        <v>0.14152577232074265</v>
      </c>
      <c r="Q23" s="820">
        <f>Q20/(PL!R40-PL!R58)</f>
        <v>0.12618245766794817</v>
      </c>
      <c r="R23" s="820">
        <f>R20/(PL!S40-PL!S58)</f>
        <v>8.5873827052787469E-2</v>
      </c>
      <c r="S23" s="820">
        <f>S20/(PL!T40-PL!T58)</f>
        <v>0.12133212028107945</v>
      </c>
      <c r="T23" s="820">
        <f>T20/(PL!U40-PL!U58)</f>
        <v>9.4479310959049156E-2</v>
      </c>
      <c r="U23" s="820">
        <f>U20/(PL!V40-PL!V58)</f>
        <v>9.2867651399559034E-2</v>
      </c>
      <c r="V23" s="820">
        <f>V20/(PL!W40-PL!W58)</f>
        <v>9.1624897532648769E-2</v>
      </c>
      <c r="W23" s="820">
        <f>W20/(PL!X40-PL!X58)</f>
        <v>8.5375620951534573E-2</v>
      </c>
      <c r="X23" s="820">
        <f>X20/(PL!Y40-PL!Y58)</f>
        <v>8.6061796835165238E-2</v>
      </c>
      <c r="Y23" s="820">
        <f>Y20/(PL!Z40-PL!Z58)</f>
        <v>8.8718913451084319E-2</v>
      </c>
      <c r="Z23" s="820">
        <f>Z20/(PL!AA40-PL!AA58)</f>
        <v>8.6252129852494849E-2</v>
      </c>
      <c r="AA23" s="820">
        <f>AA20/(PL!AB40-PL!AB58)</f>
        <v>8.4628977306439312E-2</v>
      </c>
      <c r="AB23" s="820">
        <f>AB20/(PL!AC40-PL!AC58)</f>
        <v>8.3626195382570254E-2</v>
      </c>
      <c r="AC23" s="820">
        <f>AC20/(PL!AD40-PL!AD58)</f>
        <v>8.3104977867823615E-2</v>
      </c>
      <c r="AD23" s="820">
        <f>AD20/(PL!AE40-PL!AE58)</f>
        <v>8.2974583261376855E-2</v>
      </c>
      <c r="AE23" s="820">
        <f>AE20/(PL!AF40-PL!AF58)</f>
        <v>8.3173414679783383E-2</v>
      </c>
      <c r="AF23" s="820">
        <f>AF20/(PL!AG40-PL!AG58)</f>
        <v>8.3658496144474306E-2</v>
      </c>
    </row>
    <row r="24" spans="1:32" x14ac:dyDescent="0.35">
      <c r="A24" s="625"/>
      <c r="B24" s="1643"/>
      <c r="C24" s="820"/>
      <c r="D24" s="820"/>
      <c r="E24" s="820"/>
      <c r="F24" s="820"/>
      <c r="G24" s="820"/>
      <c r="H24" s="820"/>
      <c r="I24" s="820"/>
      <c r="J24" s="820"/>
      <c r="K24" s="820"/>
      <c r="L24" s="820"/>
    </row>
    <row r="25" spans="1:32" x14ac:dyDescent="0.35">
      <c r="A25" s="625" t="s">
        <v>2074</v>
      </c>
      <c r="B25" s="1643" t="s">
        <v>2969</v>
      </c>
      <c r="C25" s="894">
        <f t="shared" ref="C25:S25" si="55">+C28-C20</f>
        <v>133.27800000000002</v>
      </c>
      <c r="D25" s="894">
        <f t="shared" si="55"/>
        <v>-60.155999999999992</v>
      </c>
      <c r="E25" s="894">
        <f t="shared" si="55"/>
        <v>-97.146999999999991</v>
      </c>
      <c r="F25" s="894">
        <f t="shared" si="55"/>
        <v>-75.921000000000021</v>
      </c>
      <c r="G25" s="894">
        <f t="shared" si="55"/>
        <v>-102.66000000000003</v>
      </c>
      <c r="H25" s="894">
        <f t="shared" si="55"/>
        <v>-115.38700000000006</v>
      </c>
      <c r="I25" s="894">
        <f t="shared" si="55"/>
        <v>-128.32600000000002</v>
      </c>
      <c r="J25" s="894">
        <f t="shared" si="55"/>
        <v>-68.824000000000069</v>
      </c>
      <c r="K25" s="894">
        <f t="shared" si="55"/>
        <v>-111.83100000000002</v>
      </c>
      <c r="L25" s="894">
        <f t="shared" si="55"/>
        <v>-136.98200000000008</v>
      </c>
      <c r="M25" s="894">
        <f t="shared" si="55"/>
        <v>-80.045999999999935</v>
      </c>
      <c r="N25" s="894">
        <f t="shared" si="55"/>
        <v>-97.25100000000009</v>
      </c>
      <c r="O25" s="894">
        <f t="shared" si="55"/>
        <v>-35.352000000000089</v>
      </c>
      <c r="P25" s="894">
        <f t="shared" si="55"/>
        <v>45.712000000000216</v>
      </c>
      <c r="Q25" s="894">
        <f t="shared" si="55"/>
        <v>-181.47300000000007</v>
      </c>
      <c r="R25" s="894">
        <f t="shared" si="55"/>
        <v>-179.28499999999985</v>
      </c>
      <c r="S25" s="894">
        <f t="shared" si="55"/>
        <v>-429.73800000000006</v>
      </c>
      <c r="T25" s="894">
        <f t="shared" ref="T25:U25" si="56">+T28-T20</f>
        <v>-517.96100000000001</v>
      </c>
      <c r="U25" s="894">
        <f t="shared" si="56"/>
        <v>-300.08500000000004</v>
      </c>
      <c r="V25" s="894">
        <f>+V28-V20</f>
        <v>-222.5</v>
      </c>
      <c r="W25" s="894">
        <f>W11*W26</f>
        <v>-203.94396411282216</v>
      </c>
      <c r="X25" s="894">
        <f t="shared" ref="X25:AF25" si="57">X11*X26</f>
        <v>-223.38433562301327</v>
      </c>
      <c r="Y25" s="894">
        <f t="shared" si="57"/>
        <v>-242.51473113770004</v>
      </c>
      <c r="Z25" s="894">
        <f t="shared" si="57"/>
        <v>-260.97001050335945</v>
      </c>
      <c r="AA25" s="894">
        <f t="shared" si="57"/>
        <v>-279.05082012609159</v>
      </c>
      <c r="AB25" s="894">
        <f t="shared" si="57"/>
        <v>-297.00430332024604</v>
      </c>
      <c r="AC25" s="894">
        <f t="shared" si="57"/>
        <v>-315.03547142062104</v>
      </c>
      <c r="AD25" s="894">
        <f t="shared" si="57"/>
        <v>-333.31626468140377</v>
      </c>
      <c r="AE25" s="894">
        <f t="shared" si="57"/>
        <v>-351.99277745209969</v>
      </c>
      <c r="AF25" s="894">
        <f t="shared" si="57"/>
        <v>-371.19102492509256</v>
      </c>
    </row>
    <row r="26" spans="1:32" x14ac:dyDescent="0.35">
      <c r="A26" s="625" t="s">
        <v>2044</v>
      </c>
      <c r="B26" s="1643" t="s">
        <v>2970</v>
      </c>
      <c r="C26" s="820">
        <f t="shared" ref="C26:S26" si="58">C25/C11</f>
        <v>1.7854607088256778E-2</v>
      </c>
      <c r="D26" s="820">
        <f t="shared" si="58"/>
        <v>-1.0882868057979004E-2</v>
      </c>
      <c r="E26" s="820">
        <f t="shared" si="58"/>
        <v>-1.5679894945494745E-2</v>
      </c>
      <c r="F26" s="820">
        <f t="shared" si="58"/>
        <v>-1.2268753921804534E-2</v>
      </c>
      <c r="G26" s="820">
        <f t="shared" si="58"/>
        <v>-1.6461010926705533E-2</v>
      </c>
      <c r="H26" s="820">
        <f t="shared" si="58"/>
        <v>-1.3251180538736113E-2</v>
      </c>
      <c r="I26" s="820">
        <f t="shared" si="58"/>
        <v>-1.1572520336860752E-2</v>
      </c>
      <c r="J26" s="820">
        <f t="shared" si="58"/>
        <v>-6.1813768508586619E-3</v>
      </c>
      <c r="K26" s="820">
        <f t="shared" si="58"/>
        <v>-7.3165087630814229E-3</v>
      </c>
      <c r="L26" s="820">
        <f t="shared" si="58"/>
        <v>-8.4181356860996964E-3</v>
      </c>
      <c r="M26" s="820">
        <f t="shared" si="58"/>
        <v>-4.5518550148367712E-3</v>
      </c>
      <c r="N26" s="820">
        <f t="shared" si="58"/>
        <v>-6.4776832286279678E-3</v>
      </c>
      <c r="O26" s="820">
        <f t="shared" si="58"/>
        <v>-2.376563502083331E-3</v>
      </c>
      <c r="P26" s="820">
        <f t="shared" si="58"/>
        <v>2.1339635385029454E-3</v>
      </c>
      <c r="Q26" s="820">
        <f t="shared" si="58"/>
        <v>-8.1000611277364399E-3</v>
      </c>
      <c r="R26" s="820">
        <f t="shared" si="58"/>
        <v>-7.5189861897840956E-3</v>
      </c>
      <c r="S26" s="820">
        <f t="shared" si="58"/>
        <v>-1.1547665512763584E-2</v>
      </c>
      <c r="T26" s="820">
        <f t="shared" ref="T26:U26" si="59">T25/T11</f>
        <v>-1.6804921344613033E-2</v>
      </c>
      <c r="U26" s="820">
        <f t="shared" si="59"/>
        <v>-7.303701862249874E-3</v>
      </c>
      <c r="V26" s="820">
        <f>V25/V11</f>
        <v>-5.5969548540817267E-3</v>
      </c>
      <c r="W26" s="821">
        <f>V26</f>
        <v>-5.5969548540817267E-3</v>
      </c>
      <c r="X26" s="821">
        <f t="shared" ref="X26:AF26" si="60">W26</f>
        <v>-5.5969548540817267E-3</v>
      </c>
      <c r="Y26" s="821">
        <f t="shared" si="60"/>
        <v>-5.5969548540817267E-3</v>
      </c>
      <c r="Z26" s="821">
        <f t="shared" si="60"/>
        <v>-5.5969548540817267E-3</v>
      </c>
      <c r="AA26" s="821">
        <f t="shared" si="60"/>
        <v>-5.5969548540817267E-3</v>
      </c>
      <c r="AB26" s="821">
        <f t="shared" si="60"/>
        <v>-5.5969548540817267E-3</v>
      </c>
      <c r="AC26" s="821">
        <f t="shared" si="60"/>
        <v>-5.5969548540817267E-3</v>
      </c>
      <c r="AD26" s="821">
        <f t="shared" si="60"/>
        <v>-5.5969548540817267E-3</v>
      </c>
      <c r="AE26" s="821">
        <f t="shared" si="60"/>
        <v>-5.5969548540817267E-3</v>
      </c>
      <c r="AF26" s="821">
        <f t="shared" si="60"/>
        <v>-5.5969548540817267E-3</v>
      </c>
    </row>
    <row r="27" spans="1:32" x14ac:dyDescent="0.35">
      <c r="C27" s="875"/>
      <c r="D27" s="875"/>
      <c r="E27" s="875"/>
      <c r="F27" s="875"/>
      <c r="G27" s="875"/>
      <c r="H27" s="875"/>
      <c r="I27" s="875"/>
      <c r="J27" s="875"/>
      <c r="K27" s="875"/>
      <c r="L27" s="875"/>
      <c r="M27" s="875"/>
      <c r="N27" s="875"/>
      <c r="O27" s="875"/>
      <c r="P27" s="875"/>
      <c r="Q27" s="875"/>
      <c r="R27" s="875"/>
      <c r="S27" s="875"/>
      <c r="T27" s="875"/>
      <c r="U27" s="875"/>
      <c r="V27" s="875"/>
      <c r="W27" s="875"/>
      <c r="X27" s="875"/>
      <c r="Y27" s="875"/>
      <c r="Z27" s="875"/>
      <c r="AA27" s="875"/>
      <c r="AB27" s="875"/>
      <c r="AC27" s="875"/>
      <c r="AD27" s="875"/>
      <c r="AE27" s="875"/>
      <c r="AF27" s="875"/>
    </row>
    <row r="28" spans="1:32" x14ac:dyDescent="0.35">
      <c r="A28" s="858" t="s">
        <v>2351</v>
      </c>
      <c r="B28" s="1642" t="s">
        <v>488</v>
      </c>
      <c r="C28" s="819">
        <v>481.654</v>
      </c>
      <c r="D28" s="819">
        <v>119.241</v>
      </c>
      <c r="E28" s="819">
        <v>130.85300000000001</v>
      </c>
      <c r="F28" s="819">
        <v>237.91</v>
      </c>
      <c r="G28" s="819">
        <v>292.524</v>
      </c>
      <c r="H28" s="819">
        <v>522.00199999999995</v>
      </c>
      <c r="I28" s="819">
        <f>654726/1000</f>
        <v>654.726</v>
      </c>
      <c r="J28" s="819">
        <f>740097/1000</f>
        <v>740.09699999999998</v>
      </c>
      <c r="K28" s="819">
        <f>898999/1000</f>
        <v>898.99900000000002</v>
      </c>
      <c r="L28" s="819">
        <f>903919/1000</f>
        <v>903.91899999999998</v>
      </c>
      <c r="M28" s="819">
        <f>814091/1000</f>
        <v>814.09100000000001</v>
      </c>
      <c r="N28" s="819">
        <f>849002/1000</f>
        <v>849.00199999999995</v>
      </c>
      <c r="O28" s="819">
        <v>1170.8969999999999</v>
      </c>
      <c r="P28" s="860">
        <v>1352.8020000000001</v>
      </c>
      <c r="Q28" s="860">
        <v>990.02499999999998</v>
      </c>
      <c r="R28" s="860">
        <v>849.71900000000005</v>
      </c>
      <c r="S28" s="860">
        <v>1271.039</v>
      </c>
      <c r="T28" s="860">
        <v>1025.539</v>
      </c>
      <c r="U28" s="860">
        <v>1216.404</v>
      </c>
      <c r="V28" s="860">
        <f>1241.73</f>
        <v>1241.73</v>
      </c>
      <c r="W28" s="818">
        <f>W20+W25</f>
        <v>1253.5912094224132</v>
      </c>
      <c r="X28" s="818">
        <f t="shared" ref="X28:AF28" si="61">X20+X25</f>
        <v>1373.0861841283072</v>
      </c>
      <c r="Y28" s="818">
        <f t="shared" si="61"/>
        <v>1490.6758159387323</v>
      </c>
      <c r="Z28" s="818">
        <f t="shared" si="61"/>
        <v>1604.1156820356127</v>
      </c>
      <c r="AA28" s="818">
        <f t="shared" si="61"/>
        <v>1715.2537787225947</v>
      </c>
      <c r="AB28" s="818">
        <f t="shared" si="61"/>
        <v>1825.6092325287905</v>
      </c>
      <c r="AC28" s="818">
        <f t="shared" si="61"/>
        <v>1936.4421955173075</v>
      </c>
      <c r="AD28" s="818">
        <f t="shared" si="61"/>
        <v>2048.8095403057423</v>
      </c>
      <c r="AE28" s="818">
        <f t="shared" si="61"/>
        <v>2163.6092713684279</v>
      </c>
      <c r="AF28" s="818">
        <f t="shared" si="61"/>
        <v>2281.6159717537657</v>
      </c>
    </row>
    <row r="29" spans="1:32" x14ac:dyDescent="0.35">
      <c r="A29" s="625" t="s">
        <v>577</v>
      </c>
      <c r="B29" s="1643" t="s">
        <v>577</v>
      </c>
      <c r="C29" s="820"/>
      <c r="D29" s="820">
        <f t="shared" ref="D29:U29" si="62">D28/C28-1</f>
        <v>-0.75243432007208488</v>
      </c>
      <c r="E29" s="820">
        <f t="shared" si="62"/>
        <v>9.7382611685578047E-2</v>
      </c>
      <c r="F29" s="820">
        <f t="shared" si="62"/>
        <v>0.81814708107571077</v>
      </c>
      <c r="G29" s="820">
        <f t="shared" si="62"/>
        <v>0.22955739565381861</v>
      </c>
      <c r="H29" s="820">
        <f t="shared" si="62"/>
        <v>0.78447580369473946</v>
      </c>
      <c r="I29" s="820">
        <f t="shared" si="62"/>
        <v>0.25425956222389967</v>
      </c>
      <c r="J29" s="820">
        <f t="shared" si="62"/>
        <v>0.1303919502203974</v>
      </c>
      <c r="K29" s="820">
        <f t="shared" si="62"/>
        <v>0.21470428876214886</v>
      </c>
      <c r="L29" s="820">
        <f t="shared" si="62"/>
        <v>5.4727535848204667E-3</v>
      </c>
      <c r="M29" s="820">
        <f t="shared" si="62"/>
        <v>-9.9376160917073242E-2</v>
      </c>
      <c r="N29" s="820">
        <f t="shared" si="62"/>
        <v>4.2883412296659706E-2</v>
      </c>
      <c r="O29" s="820">
        <f t="shared" si="62"/>
        <v>0.37914516102435569</v>
      </c>
      <c r="P29" s="820">
        <f t="shared" si="62"/>
        <v>0.15535525328017763</v>
      </c>
      <c r="Q29" s="820">
        <f t="shared" si="62"/>
        <v>-0.26816710797293331</v>
      </c>
      <c r="R29" s="820">
        <f t="shared" si="62"/>
        <v>-0.14171965354410232</v>
      </c>
      <c r="S29" s="820">
        <f t="shared" si="62"/>
        <v>0.49583450528939554</v>
      </c>
      <c r="T29" s="820">
        <f t="shared" si="62"/>
        <v>-0.19314906938339427</v>
      </c>
      <c r="U29" s="820">
        <f t="shared" si="62"/>
        <v>0.18611188848010651</v>
      </c>
      <c r="V29" s="820">
        <f>V28/U28-1</f>
        <v>2.0820385332504632E-2</v>
      </c>
      <c r="W29" s="820">
        <f t="shared" ref="W29:AF29" si="63">W28/V28-1</f>
        <v>9.5521646593166309E-3</v>
      </c>
      <c r="X29" s="820">
        <f t="shared" si="63"/>
        <v>9.5322122401409359E-2</v>
      </c>
      <c r="Y29" s="820">
        <f t="shared" si="63"/>
        <v>8.563893014849322E-2</v>
      </c>
      <c r="Z29" s="820">
        <f t="shared" si="63"/>
        <v>7.6099621986181587E-2</v>
      </c>
      <c r="AA29" s="820">
        <f t="shared" si="63"/>
        <v>6.9283093439962196E-2</v>
      </c>
      <c r="AB29" s="820">
        <f t="shared" si="63"/>
        <v>6.4337682956968179E-2</v>
      </c>
      <c r="AC29" s="820">
        <f t="shared" si="63"/>
        <v>6.0710124058144688E-2</v>
      </c>
      <c r="AD29" s="820">
        <f t="shared" si="63"/>
        <v>5.8027729951637852E-2</v>
      </c>
      <c r="AE29" s="820">
        <f t="shared" si="63"/>
        <v>5.6032407505069548E-2</v>
      </c>
      <c r="AF29" s="820">
        <f t="shared" si="63"/>
        <v>5.4541594892825396E-2</v>
      </c>
    </row>
    <row r="30" spans="1:32" x14ac:dyDescent="0.35">
      <c r="A30" s="625" t="s">
        <v>2110</v>
      </c>
      <c r="B30" s="1643" t="s">
        <v>93</v>
      </c>
      <c r="C30" s="820">
        <f t="shared" ref="C30:S30" si="64">C28/C11</f>
        <v>6.4524849731292702E-2</v>
      </c>
      <c r="D30" s="820">
        <f t="shared" si="64"/>
        <v>2.1571980685242943E-2</v>
      </c>
      <c r="E30" s="820">
        <f t="shared" si="64"/>
        <v>2.1120171423747763E-2</v>
      </c>
      <c r="F30" s="820">
        <f t="shared" si="64"/>
        <v>3.8446006316256581E-2</v>
      </c>
      <c r="G30" s="820">
        <f t="shared" si="64"/>
        <v>4.6904741479871497E-2</v>
      </c>
      <c r="H30" s="820">
        <f t="shared" si="64"/>
        <v>5.9947331532853136E-2</v>
      </c>
      <c r="I30" s="820">
        <f t="shared" si="64"/>
        <v>5.9043607297597452E-2</v>
      </c>
      <c r="J30" s="820">
        <f t="shared" si="64"/>
        <v>6.6471266755636679E-2</v>
      </c>
      <c r="K30" s="820">
        <f t="shared" si="64"/>
        <v>5.8816732940789547E-2</v>
      </c>
      <c r="L30" s="820">
        <f t="shared" si="64"/>
        <v>5.5549727637525706E-2</v>
      </c>
      <c r="M30" s="820">
        <f t="shared" si="64"/>
        <v>4.629368364294887E-2</v>
      </c>
      <c r="N30" s="820">
        <f t="shared" si="64"/>
        <v>5.6550225873992006E-2</v>
      </c>
      <c r="O30" s="820">
        <f t="shared" si="64"/>
        <v>7.8714388857740972E-2</v>
      </c>
      <c r="P30" s="820">
        <f t="shared" si="64"/>
        <v>6.3152567002403057E-2</v>
      </c>
      <c r="Q30" s="820">
        <f t="shared" si="64"/>
        <v>4.4189841012091419E-2</v>
      </c>
      <c r="R30" s="820">
        <f t="shared" si="64"/>
        <v>3.5636140369786413E-2</v>
      </c>
      <c r="S30" s="820">
        <f t="shared" si="64"/>
        <v>3.4154608681749139E-2</v>
      </c>
      <c r="T30" s="820">
        <f t="shared" ref="T30:U30" si="65">T28/T11</f>
        <v>3.3272972735076782E-2</v>
      </c>
      <c r="U30" s="820">
        <f t="shared" si="65"/>
        <v>2.9605785560918387E-2</v>
      </c>
      <c r="V30" s="820">
        <f>V28/V11</f>
        <v>3.1235535959365856E-2</v>
      </c>
      <c r="W30" s="820">
        <f t="shared" ref="W30:AF30" si="66">W28/W11</f>
        <v>3.4403045145918278E-2</v>
      </c>
      <c r="X30" s="820">
        <f t="shared" si="66"/>
        <v>3.4403045145918271E-2</v>
      </c>
      <c r="Y30" s="820">
        <f t="shared" si="66"/>
        <v>3.4403045145918278E-2</v>
      </c>
      <c r="Z30" s="820">
        <f t="shared" si="66"/>
        <v>3.4403045145918278E-2</v>
      </c>
      <c r="AA30" s="820">
        <f t="shared" si="66"/>
        <v>3.4403045145918278E-2</v>
      </c>
      <c r="AB30" s="820">
        <f t="shared" si="66"/>
        <v>3.4403045145918278E-2</v>
      </c>
      <c r="AC30" s="820">
        <f t="shared" si="66"/>
        <v>3.4403045145918271E-2</v>
      </c>
      <c r="AD30" s="820">
        <f t="shared" si="66"/>
        <v>3.4403045145918271E-2</v>
      </c>
      <c r="AE30" s="820">
        <f t="shared" si="66"/>
        <v>3.4403045145918278E-2</v>
      </c>
      <c r="AF30" s="820">
        <f t="shared" si="66"/>
        <v>3.4403045145918271E-2</v>
      </c>
    </row>
    <row r="31" spans="1:32" x14ac:dyDescent="0.35">
      <c r="B31" s="1643"/>
      <c r="C31" s="882"/>
      <c r="D31" s="882"/>
      <c r="E31" s="883"/>
      <c r="F31" s="883"/>
      <c r="G31" s="883"/>
      <c r="H31" s="883"/>
      <c r="I31" s="883"/>
      <c r="J31" s="883"/>
      <c r="K31" s="883"/>
      <c r="L31" s="883"/>
      <c r="M31" s="883"/>
      <c r="N31" s="883"/>
      <c r="O31" s="883"/>
      <c r="P31" s="883"/>
      <c r="Q31" s="883"/>
      <c r="R31" s="883"/>
      <c r="S31" s="883"/>
      <c r="T31" s="883"/>
      <c r="U31" s="883"/>
      <c r="V31" s="883"/>
      <c r="W31" s="883"/>
      <c r="X31" s="883"/>
      <c r="Y31" s="883"/>
      <c r="Z31" s="883"/>
      <c r="AA31" s="883"/>
      <c r="AB31" s="883"/>
      <c r="AC31" s="883"/>
      <c r="AD31" s="883"/>
      <c r="AE31" s="883"/>
      <c r="AF31" s="883"/>
    </row>
    <row r="32" spans="1:32" x14ac:dyDescent="0.35">
      <c r="A32" s="625" t="s">
        <v>672</v>
      </c>
      <c r="B32" s="1647" t="s">
        <v>2971</v>
      </c>
      <c r="C32" s="885">
        <v>26.553999999999998</v>
      </c>
      <c r="D32" s="885">
        <v>17.994</v>
      </c>
      <c r="E32" s="867">
        <v>27.707999999999998</v>
      </c>
      <c r="F32" s="867">
        <v>10.054</v>
      </c>
      <c r="G32" s="867">
        <v>2.048</v>
      </c>
      <c r="H32" s="867">
        <v>4.1779999999999999</v>
      </c>
      <c r="I32" s="867">
        <v>16.236000000000001</v>
      </c>
      <c r="J32" s="867">
        <v>15.827</v>
      </c>
      <c r="K32" s="867">
        <v>4.8769999999999998</v>
      </c>
      <c r="L32" s="867">
        <f>7478/1000</f>
        <v>7.4779999999999998</v>
      </c>
      <c r="M32" s="867">
        <f>4525/1000</f>
        <v>4.5250000000000004</v>
      </c>
      <c r="N32" s="867">
        <v>17.759</v>
      </c>
      <c r="O32" s="867">
        <v>30.734000000000002</v>
      </c>
      <c r="P32" s="867">
        <v>43.244</v>
      </c>
      <c r="Q32" s="867">
        <v>58.167999999999999</v>
      </c>
      <c r="R32" s="867">
        <v>80.08</v>
      </c>
      <c r="S32" s="867">
        <v>191.74700000000001</v>
      </c>
      <c r="T32" s="867">
        <v>256.05200000000002</v>
      </c>
      <c r="U32" s="867">
        <v>322.36700000000002</v>
      </c>
      <c r="V32" s="895"/>
      <c r="W32" s="895"/>
      <c r="X32" s="895"/>
      <c r="Y32" s="895"/>
      <c r="Z32" s="895"/>
      <c r="AA32" s="895"/>
      <c r="AB32" s="895"/>
      <c r="AC32" s="895"/>
      <c r="AD32" s="895"/>
      <c r="AE32" s="895"/>
      <c r="AF32" s="895"/>
    </row>
    <row r="33" spans="1:32" x14ac:dyDescent="0.35">
      <c r="A33" s="625"/>
      <c r="C33" s="882"/>
      <c r="D33" s="882"/>
      <c r="E33" s="882"/>
      <c r="F33" s="882"/>
      <c r="G33" s="882"/>
      <c r="H33" s="882"/>
      <c r="I33" s="882"/>
      <c r="J33" s="882"/>
      <c r="K33" s="882"/>
      <c r="L33" s="882"/>
      <c r="M33" s="867"/>
      <c r="N33" s="882"/>
      <c r="O33" s="882"/>
      <c r="P33" s="882"/>
      <c r="Q33" s="882"/>
      <c r="R33" s="882"/>
      <c r="S33" s="882"/>
      <c r="T33" s="882"/>
      <c r="U33" s="882"/>
      <c r="V33" s="882"/>
      <c r="W33" s="882"/>
      <c r="X33" s="882"/>
      <c r="Y33" s="882"/>
      <c r="Z33" s="882"/>
      <c r="AA33" s="882"/>
      <c r="AB33" s="882"/>
      <c r="AC33" s="882"/>
      <c r="AD33" s="882"/>
      <c r="AE33" s="882"/>
      <c r="AF33" s="882"/>
    </row>
    <row r="34" spans="1:32" s="727" customFormat="1" x14ac:dyDescent="0.35">
      <c r="A34" s="810" t="s">
        <v>2104</v>
      </c>
      <c r="B34" s="1647" t="s">
        <v>2972</v>
      </c>
      <c r="E34" s="896"/>
      <c r="F34" s="896"/>
      <c r="G34" s="896"/>
      <c r="H34" s="896"/>
      <c r="I34" s="896"/>
      <c r="J34" s="896">
        <f>8981/1000</f>
        <v>8.9809999999999999</v>
      </c>
      <c r="K34" s="896">
        <f>4758/1000</f>
        <v>4.758</v>
      </c>
      <c r="L34" s="896">
        <v>-4.5999999999999999E-2</v>
      </c>
      <c r="M34" s="867">
        <f>18415/1000</f>
        <v>18.414999999999999</v>
      </c>
      <c r="N34" s="896">
        <v>-2.3860000000000001</v>
      </c>
      <c r="O34" s="896">
        <v>0.60699999999999998</v>
      </c>
      <c r="P34" s="896">
        <v>9.2129999999999992</v>
      </c>
      <c r="Q34" s="896">
        <v>5.1609999999999996</v>
      </c>
      <c r="R34" s="896">
        <v>1.7829999999999999</v>
      </c>
      <c r="S34" s="896">
        <v>4.8079999999999998</v>
      </c>
      <c r="T34" s="896">
        <v>3.2490000000000001</v>
      </c>
      <c r="U34" s="896">
        <v>6.5</v>
      </c>
      <c r="V34" s="896"/>
      <c r="W34" s="896"/>
      <c r="X34" s="896"/>
      <c r="Y34" s="896"/>
      <c r="Z34" s="896"/>
      <c r="AA34" s="896"/>
      <c r="AB34" s="896"/>
      <c r="AC34" s="896"/>
      <c r="AD34" s="896"/>
      <c r="AE34" s="896"/>
      <c r="AF34" s="896"/>
    </row>
    <row r="35" spans="1:32" x14ac:dyDescent="0.35">
      <c r="C35" s="743"/>
      <c r="D35" s="743"/>
      <c r="E35" s="883"/>
      <c r="F35" s="883"/>
      <c r="G35" s="883"/>
      <c r="H35" s="883"/>
      <c r="I35" s="883"/>
      <c r="J35" s="883"/>
      <c r="K35" s="883"/>
      <c r="L35" s="883"/>
      <c r="M35" s="883"/>
      <c r="N35" s="883"/>
      <c r="O35" s="883"/>
      <c r="P35" s="883"/>
      <c r="Q35" s="883"/>
      <c r="R35" s="883"/>
      <c r="S35" s="883"/>
      <c r="T35" s="883"/>
      <c r="U35" s="883"/>
      <c r="V35" s="883"/>
      <c r="W35" s="883"/>
      <c r="X35" s="883"/>
      <c r="Y35" s="883"/>
      <c r="Z35" s="883"/>
      <c r="AA35" s="883"/>
      <c r="AB35" s="883"/>
      <c r="AC35" s="883"/>
      <c r="AD35" s="883"/>
      <c r="AE35" s="883"/>
      <c r="AF35" s="883"/>
    </row>
    <row r="36" spans="1:32" x14ac:dyDescent="0.35">
      <c r="A36" s="331" t="s">
        <v>2106</v>
      </c>
      <c r="B36" s="1647" t="s">
        <v>487</v>
      </c>
      <c r="C36" s="885">
        <v>19.268000000000001</v>
      </c>
      <c r="D36" s="885">
        <v>28.141999999999999</v>
      </c>
      <c r="E36" s="867">
        <v>47.747999999999998</v>
      </c>
      <c r="F36" s="867">
        <v>33.692999999999998</v>
      </c>
      <c r="G36" s="867">
        <v>179.297</v>
      </c>
      <c r="H36" s="867">
        <v>138.68600000000001</v>
      </c>
      <c r="I36" s="867">
        <v>238.88200000000001</v>
      </c>
      <c r="J36" s="867">
        <v>225.631</v>
      </c>
      <c r="K36" s="867">
        <v>181.875</v>
      </c>
      <c r="L36" s="867">
        <f>119131/1000</f>
        <v>119.131</v>
      </c>
      <c r="M36" s="867">
        <f>62889/1000</f>
        <v>62.889000000000003</v>
      </c>
      <c r="N36" s="867">
        <v>740.15499999999997</v>
      </c>
      <c r="O36" s="867">
        <f>90107/1000</f>
        <v>90.106999999999999</v>
      </c>
      <c r="P36" s="867">
        <v>112.11499999999999</v>
      </c>
      <c r="Q36" s="867">
        <v>75.555000000000007</v>
      </c>
      <c r="R36" s="867">
        <v>123.93</v>
      </c>
      <c r="S36" s="875">
        <f t="shared" ref="S36:AB36" si="67">S11*S37</f>
        <v>193.41998438411187</v>
      </c>
      <c r="T36" s="875">
        <f t="shared" ref="T36" si="68">T11*T37</f>
        <v>160.19625454338049</v>
      </c>
      <c r="U36" s="875">
        <f t="shared" si="67"/>
        <v>213.54678222200229</v>
      </c>
      <c r="V36" s="875">
        <f t="shared" si="67"/>
        <v>206.61887510665545</v>
      </c>
      <c r="W36" s="875">
        <f t="shared" si="67"/>
        <v>182.09961604146284</v>
      </c>
      <c r="X36" s="875">
        <f t="shared" si="67"/>
        <v>191.47538533226023</v>
      </c>
      <c r="Y36" s="875">
        <f t="shared" si="67"/>
        <v>199.20717974650333</v>
      </c>
      <c r="Z36" s="875">
        <f t="shared" si="67"/>
        <v>205.04134235945071</v>
      </c>
      <c r="AA36" s="875">
        <f t="shared" si="67"/>
        <v>209.27571784695238</v>
      </c>
      <c r="AB36" s="875">
        <f t="shared" si="67"/>
        <v>212.12696495313637</v>
      </c>
      <c r="AC36" s="875">
        <f t="shared" ref="AC36:AE36" si="69">AC11*AC37</f>
        <v>213.74783097682933</v>
      </c>
      <c r="AD36" s="875">
        <f t="shared" si="69"/>
        <v>214.24050336556539</v>
      </c>
      <c r="AE36" s="875">
        <f t="shared" si="69"/>
        <v>213.66690431013328</v>
      </c>
      <c r="AF36" s="875">
        <f t="shared" ref="AF36" si="70">AF11*AF37</f>
        <v>212.05660306362637</v>
      </c>
    </row>
    <row r="37" spans="1:32" x14ac:dyDescent="0.35">
      <c r="B37" s="1647" t="s">
        <v>2973</v>
      </c>
      <c r="C37" s="820">
        <f>C36/C11</f>
        <v>2.5812404851253139E-3</v>
      </c>
      <c r="D37" s="820">
        <f>D36/D11</f>
        <v>5.0911907854186639E-3</v>
      </c>
      <c r="E37" s="820">
        <f>E36/E11</f>
        <v>7.7067086359587332E-3</v>
      </c>
      <c r="F37" s="820">
        <v>0.01</v>
      </c>
      <c r="G37" s="820">
        <f t="shared" ref="G37:Q37" si="71">G36/G11</f>
        <v>2.8749365635354775E-2</v>
      </c>
      <c r="H37" s="820">
        <f t="shared" si="71"/>
        <v>1.5926865454471958E-2</v>
      </c>
      <c r="I37" s="820">
        <f t="shared" si="71"/>
        <v>2.1542530766251341E-2</v>
      </c>
      <c r="J37" s="820">
        <f t="shared" si="71"/>
        <v>2.0264882021331067E-2</v>
      </c>
      <c r="K37" s="820">
        <f t="shared" si="71"/>
        <v>1.1899115909590665E-2</v>
      </c>
      <c r="L37" s="820">
        <f t="shared" si="71"/>
        <v>7.3211146166703815E-3</v>
      </c>
      <c r="M37" s="820">
        <f t="shared" si="71"/>
        <v>3.5762138024144859E-3</v>
      </c>
      <c r="N37" s="820">
        <f t="shared" si="71"/>
        <v>4.9300157634215885E-2</v>
      </c>
      <c r="O37" s="820">
        <f t="shared" si="71"/>
        <v>6.057507566254304E-3</v>
      </c>
      <c r="P37" s="820">
        <f t="shared" si="71"/>
        <v>5.2338406133894079E-3</v>
      </c>
      <c r="Q37" s="820">
        <f t="shared" si="71"/>
        <v>3.3724031591814019E-3</v>
      </c>
      <c r="R37" s="820">
        <f>R36/R11</f>
        <v>5.1974674875195567E-3</v>
      </c>
      <c r="S37" s="865">
        <f t="shared" ref="S37:V37" si="72">R37</f>
        <v>5.1974674875195567E-3</v>
      </c>
      <c r="T37" s="865">
        <f t="shared" si="72"/>
        <v>5.1974674875195567E-3</v>
      </c>
      <c r="U37" s="865">
        <f t="shared" si="72"/>
        <v>5.1974674875195567E-3</v>
      </c>
      <c r="V37" s="888">
        <f t="shared" si="72"/>
        <v>5.1974674875195567E-3</v>
      </c>
      <c r="W37" s="865">
        <f>V37-0.02%</f>
        <v>4.9974674875195571E-3</v>
      </c>
      <c r="X37" s="865">
        <f t="shared" ref="X37:AF37" si="73">W37-0.02%</f>
        <v>4.7974674875195574E-3</v>
      </c>
      <c r="Y37" s="865">
        <f t="shared" si="73"/>
        <v>4.5974674875195578E-3</v>
      </c>
      <c r="Z37" s="865">
        <f t="shared" si="73"/>
        <v>4.3974674875195581E-3</v>
      </c>
      <c r="AA37" s="865">
        <f t="shared" si="73"/>
        <v>4.1974674875195584E-3</v>
      </c>
      <c r="AB37" s="865">
        <f t="shared" si="73"/>
        <v>3.9974674875195588E-3</v>
      </c>
      <c r="AC37" s="865">
        <f t="shared" si="73"/>
        <v>3.7974674875195587E-3</v>
      </c>
      <c r="AD37" s="865">
        <f t="shared" si="73"/>
        <v>3.5974674875195586E-3</v>
      </c>
      <c r="AE37" s="865">
        <f t="shared" si="73"/>
        <v>3.3974674875195585E-3</v>
      </c>
      <c r="AF37" s="865">
        <f t="shared" si="73"/>
        <v>3.1974674875195584E-3</v>
      </c>
    </row>
    <row r="38" spans="1:32" x14ac:dyDescent="0.35">
      <c r="A38" s="625" t="s">
        <v>577</v>
      </c>
      <c r="C38" s="820"/>
      <c r="D38" s="820">
        <f t="shared" ref="D38:Q38" si="74">D36/C36-1</f>
        <v>0.46055636288146151</v>
      </c>
      <c r="E38" s="820">
        <f t="shared" si="74"/>
        <v>0.69668111719138648</v>
      </c>
      <c r="F38" s="820">
        <f t="shared" si="74"/>
        <v>-0.29435787886403619</v>
      </c>
      <c r="G38" s="820">
        <f t="shared" si="74"/>
        <v>4.3214911109132466</v>
      </c>
      <c r="H38" s="820">
        <f t="shared" si="74"/>
        <v>-0.22650127999910752</v>
      </c>
      <c r="I38" s="820">
        <f t="shared" si="74"/>
        <v>0.72246657917886448</v>
      </c>
      <c r="J38" s="820">
        <f t="shared" si="74"/>
        <v>-5.5470901951591212E-2</v>
      </c>
      <c r="K38" s="820">
        <f t="shared" si="74"/>
        <v>-0.19392725290407786</v>
      </c>
      <c r="L38" s="820">
        <f t="shared" si="74"/>
        <v>-0.34498419243986256</v>
      </c>
      <c r="M38" s="820">
        <f t="shared" si="74"/>
        <v>-0.47210213966138115</v>
      </c>
      <c r="N38" s="820">
        <f t="shared" si="74"/>
        <v>10.769228322918156</v>
      </c>
      <c r="O38" s="820">
        <f t="shared" si="74"/>
        <v>-0.87825928352845017</v>
      </c>
      <c r="P38" s="820">
        <f t="shared" si="74"/>
        <v>0.2442429555972343</v>
      </c>
      <c r="Q38" s="820">
        <f t="shared" si="74"/>
        <v>-0.32609374303170846</v>
      </c>
      <c r="R38" s="820">
        <f>R36/Q36-1</f>
        <v>0.64026206075044656</v>
      </c>
      <c r="S38" s="820">
        <f>S36/R36-1</f>
        <v>0.56071963514977696</v>
      </c>
      <c r="T38" s="820">
        <f t="shared" ref="T38:U38" si="75">T36/S36-1</f>
        <v>-0.1717698920642684</v>
      </c>
      <c r="U38" s="820">
        <f t="shared" si="75"/>
        <v>0.33303230359967428</v>
      </c>
      <c r="V38" s="843">
        <f>V36/U36-1</f>
        <v>-3.244210492548949E-2</v>
      </c>
      <c r="W38" s="820">
        <f t="shared" ref="W38:AB38" si="76">W36/V36-1</f>
        <v>-0.11866901827113285</v>
      </c>
      <c r="X38" s="820">
        <f t="shared" si="76"/>
        <v>5.1487034924129649E-2</v>
      </c>
      <c r="Y38" s="820">
        <f t="shared" si="76"/>
        <v>4.0380095858412179E-2</v>
      </c>
      <c r="Z38" s="820">
        <f t="shared" si="76"/>
        <v>2.9286909339168998E-2</v>
      </c>
      <c r="AA38" s="820">
        <f t="shared" si="76"/>
        <v>2.0651325429183576E-2</v>
      </c>
      <c r="AB38" s="820">
        <f t="shared" si="76"/>
        <v>1.3624357070747939E-2</v>
      </c>
      <c r="AC38" s="820">
        <f t="shared" ref="AC38" si="77">AC36/AB36-1</f>
        <v>7.6410183120805275E-3</v>
      </c>
      <c r="AD38" s="820">
        <f t="shared" ref="AD38" si="78">AD36/AC36-1</f>
        <v>2.3049234534195939E-3</v>
      </c>
      <c r="AE38" s="820">
        <f t="shared" ref="AE38:AF38" si="79">AE36/AD36-1</f>
        <v>-2.6773604730258027E-3</v>
      </c>
      <c r="AF38" s="820">
        <f t="shared" si="79"/>
        <v>-7.5365029118856786E-3</v>
      </c>
    </row>
    <row r="39" spans="1:32" x14ac:dyDescent="0.35">
      <c r="A39" s="625"/>
      <c r="C39" s="882"/>
      <c r="D39" s="882"/>
      <c r="E39" s="882"/>
      <c r="F39" s="882"/>
      <c r="G39" s="882"/>
      <c r="H39" s="882"/>
      <c r="I39" s="882"/>
      <c r="J39" s="882"/>
      <c r="K39" s="882"/>
      <c r="L39" s="882"/>
      <c r="M39" s="882"/>
      <c r="N39" s="882"/>
      <c r="O39" s="882"/>
      <c r="P39" s="882"/>
      <c r="Q39" s="882"/>
      <c r="R39" s="882"/>
      <c r="S39" s="882"/>
      <c r="T39" s="882"/>
      <c r="U39" s="882"/>
      <c r="V39" s="882"/>
      <c r="W39" s="882"/>
      <c r="X39" s="882"/>
      <c r="Y39" s="882"/>
      <c r="Z39" s="882"/>
      <c r="AA39" s="882"/>
      <c r="AB39" s="882"/>
      <c r="AC39" s="882"/>
      <c r="AD39" s="882"/>
      <c r="AE39" s="882"/>
      <c r="AF39" s="882"/>
    </row>
    <row r="40" spans="1:32" x14ac:dyDescent="0.35">
      <c r="C40" s="743"/>
      <c r="D40" s="743"/>
      <c r="E40" s="883"/>
      <c r="F40" s="883"/>
      <c r="G40" s="883"/>
      <c r="H40" s="883"/>
      <c r="I40" s="883"/>
      <c r="J40" s="883"/>
      <c r="K40" s="883"/>
      <c r="L40" s="883"/>
      <c r="M40" s="883"/>
      <c r="N40" s="883"/>
      <c r="O40" s="883"/>
      <c r="P40" s="883"/>
      <c r="Q40" s="883"/>
      <c r="R40" s="883"/>
      <c r="S40" s="883"/>
      <c r="T40" s="883"/>
      <c r="U40" s="883"/>
      <c r="V40" s="883"/>
      <c r="W40" s="883"/>
      <c r="X40" s="883"/>
      <c r="Y40" s="883"/>
      <c r="Z40" s="883"/>
      <c r="AA40" s="883"/>
      <c r="AB40" s="883"/>
      <c r="AC40" s="883"/>
      <c r="AD40" s="883"/>
      <c r="AE40" s="883"/>
      <c r="AF40" s="883"/>
    </row>
    <row r="41" spans="1:32" x14ac:dyDescent="0.35">
      <c r="B41" s="1644"/>
      <c r="C41" s="889"/>
      <c r="D41" s="889"/>
      <c r="E41" s="889"/>
      <c r="F41" s="889"/>
      <c r="G41" s="889"/>
      <c r="H41" s="889"/>
      <c r="I41" s="889"/>
      <c r="J41" s="889"/>
      <c r="K41" s="889"/>
      <c r="L41" s="889"/>
      <c r="M41" s="889"/>
      <c r="N41" s="889"/>
      <c r="O41" s="889"/>
      <c r="P41" s="889"/>
      <c r="Q41" s="889"/>
      <c r="R41" s="889"/>
      <c r="S41" s="889"/>
      <c r="T41" s="889"/>
      <c r="U41" s="889"/>
      <c r="V41" s="889"/>
      <c r="W41" s="889"/>
      <c r="X41" s="889"/>
      <c r="Y41" s="889"/>
      <c r="Z41" s="889"/>
      <c r="AA41" s="889"/>
      <c r="AB41" s="889"/>
      <c r="AC41" s="889"/>
      <c r="AD41" s="889"/>
      <c r="AE41" s="889"/>
      <c r="AF41" s="889"/>
    </row>
    <row r="42" spans="1:32" x14ac:dyDescent="0.35">
      <c r="A42" s="625"/>
      <c r="C42" s="820"/>
      <c r="D42" s="820"/>
      <c r="E42" s="820"/>
      <c r="F42" s="820"/>
      <c r="G42" s="820"/>
      <c r="H42" s="820"/>
      <c r="I42" s="820"/>
      <c r="J42" s="820"/>
      <c r="K42" s="820"/>
      <c r="L42" s="820"/>
    </row>
    <row r="43" spans="1:32" x14ac:dyDescent="0.35">
      <c r="C43" s="820"/>
      <c r="D43" s="820"/>
      <c r="E43" s="820"/>
      <c r="F43" s="820"/>
      <c r="G43" s="820"/>
      <c r="H43" s="820"/>
      <c r="I43" s="820"/>
      <c r="J43" s="820"/>
      <c r="K43" s="820"/>
      <c r="L43" s="820"/>
    </row>
    <row r="44" spans="1:32" x14ac:dyDescent="0.35">
      <c r="B44" s="1644"/>
      <c r="C44" s="891"/>
      <c r="D44" s="891"/>
      <c r="E44" s="891"/>
      <c r="F44" s="891"/>
      <c r="G44" s="891"/>
      <c r="H44" s="891"/>
      <c r="I44" s="891"/>
      <c r="J44" s="891"/>
      <c r="K44" s="891"/>
      <c r="L44" s="891"/>
    </row>
    <row r="45" spans="1:32" x14ac:dyDescent="0.35">
      <c r="E45" s="892"/>
      <c r="F45" s="892"/>
      <c r="G45" s="892"/>
      <c r="H45" s="892"/>
      <c r="I45" s="892"/>
      <c r="J45" s="892"/>
      <c r="K45" s="892"/>
      <c r="L45" s="892"/>
    </row>
    <row r="48" spans="1:32" x14ac:dyDescent="0.35">
      <c r="C48" s="890"/>
      <c r="D48" s="890"/>
    </row>
    <row r="50" spans="4:4" x14ac:dyDescent="0.35">
      <c r="D50" s="646"/>
    </row>
    <row r="60" spans="4:4" x14ac:dyDescent="0.35">
      <c r="D60" s="646"/>
    </row>
  </sheetData>
  <phoneticPr fontId="51" type="noConversion"/>
  <pageMargins left="0.75" right="0.37" top="0.81" bottom="0.88" header="0.5" footer="0.5"/>
  <pageSetup paperSize="9"/>
  <headerFooter alignWithMargins="0">
    <oddHeader>&amp;A</oddHeader>
    <oddFooter>&amp;F</oddFooter>
  </headerFooter>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2060"/>
    <pageSetUpPr fitToPage="1"/>
  </sheetPr>
  <dimension ref="A1:AG131"/>
  <sheetViews>
    <sheetView showGridLines="0" zoomScale="130" zoomScaleNormal="130" workbookViewId="0">
      <pane xSplit="2" ySplit="2" topLeftCell="P22" activePane="bottomRight" state="frozen"/>
      <selection pane="topRight"/>
      <selection pane="bottomLeft"/>
      <selection pane="bottomRight" activeCell="A30" sqref="A30:XFD30"/>
    </sheetView>
  </sheetViews>
  <sheetFormatPr defaultColWidth="9" defaultRowHeight="12" outlineLevelCol="1" x14ac:dyDescent="0.35"/>
  <cols>
    <col min="1" max="1" width="31.0625" style="331" hidden="1" customWidth="1" outlineLevel="1"/>
    <col min="2" max="2" width="25" style="1647" customWidth="1" collapsed="1"/>
    <col min="3" max="13" width="8.0625" style="625" hidden="1" customWidth="1" outlineLevel="1"/>
    <col min="14" max="14" width="8.0625" style="625" customWidth="1" collapsed="1"/>
    <col min="15" max="23" width="8.0625" style="625" customWidth="1"/>
    <col min="24" max="33" width="8.0625" style="625" customWidth="1" outlineLevel="1"/>
    <col min="34" max="16384" width="9" style="625"/>
  </cols>
  <sheetData>
    <row r="1" spans="1:33" x14ac:dyDescent="0.35">
      <c r="A1" s="811" t="s">
        <v>2081</v>
      </c>
      <c r="B1" s="1640" t="s">
        <v>2935</v>
      </c>
      <c r="D1" s="812"/>
      <c r="E1" s="812">
        <f>E11/(E3+D6)</f>
        <v>0.12495330340971729</v>
      </c>
      <c r="F1" s="812">
        <f t="shared" ref="F1:W1" si="0">F11/(E6+F3)</f>
        <v>0.16725875251509054</v>
      </c>
      <c r="G1" s="812">
        <f t="shared" si="0"/>
        <v>7.924705882352942E-2</v>
      </c>
      <c r="H1" s="812">
        <f t="shared" si="0"/>
        <v>4.5596703296703296E-2</v>
      </c>
      <c r="I1" s="812">
        <f t="shared" si="0"/>
        <v>4.5778907721280605E-2</v>
      </c>
      <c r="J1" s="812">
        <f t="shared" si="0"/>
        <v>0.15991971580817052</v>
      </c>
      <c r="K1" s="812">
        <f t="shared" si="0"/>
        <v>0.17547134664656774</v>
      </c>
      <c r="L1" s="812">
        <f t="shared" si="0"/>
        <v>0.16311634128705713</v>
      </c>
      <c r="M1" s="812">
        <f t="shared" si="0"/>
        <v>0.32602619631901841</v>
      </c>
      <c r="N1" s="812">
        <f t="shared" si="0"/>
        <v>0.5151287825059101</v>
      </c>
      <c r="O1" s="812">
        <f t="shared" si="0"/>
        <v>0.73390200364298719</v>
      </c>
      <c r="P1" s="812">
        <f t="shared" si="0"/>
        <v>0.77963485016648171</v>
      </c>
      <c r="Q1" s="812">
        <f t="shared" si="0"/>
        <v>0.26383631253513212</v>
      </c>
      <c r="R1" s="812">
        <f t="shared" si="0"/>
        <v>0.19669965050240279</v>
      </c>
      <c r="S1" s="812">
        <f t="shared" si="0"/>
        <v>0.25982380216383305</v>
      </c>
      <c r="T1" s="812">
        <f t="shared" si="0"/>
        <v>0.27664873376197352</v>
      </c>
      <c r="U1" s="812">
        <f t="shared" si="0"/>
        <v>0.31862154965829415</v>
      </c>
      <c r="V1" s="812">
        <f t="shared" si="0"/>
        <v>0.28533636511287963</v>
      </c>
      <c r="W1" s="812">
        <f t="shared" si="0"/>
        <v>0.10389917821660739</v>
      </c>
      <c r="X1" s="813">
        <v>0.12</v>
      </c>
      <c r="Y1" s="813">
        <v>0.11</v>
      </c>
      <c r="Z1" s="813">
        <f t="shared" ref="Z1:AC1" si="1">Y1</f>
        <v>0.11</v>
      </c>
      <c r="AA1" s="813">
        <f t="shared" si="1"/>
        <v>0.11</v>
      </c>
      <c r="AB1" s="813">
        <f t="shared" si="1"/>
        <v>0.11</v>
      </c>
      <c r="AC1" s="813">
        <f t="shared" si="1"/>
        <v>0.11</v>
      </c>
      <c r="AD1" s="813">
        <f t="shared" ref="AD1" si="2">AC1</f>
        <v>0.11</v>
      </c>
      <c r="AE1" s="813">
        <f t="shared" ref="AE1" si="3">AD1</f>
        <v>0.11</v>
      </c>
      <c r="AF1" s="813">
        <f t="shared" ref="AF1:AG1" si="4">AE1</f>
        <v>0.11</v>
      </c>
      <c r="AG1" s="813">
        <f t="shared" si="4"/>
        <v>0.11</v>
      </c>
    </row>
    <row r="2" spans="1:33" s="322" customFormat="1" ht="11.65" x14ac:dyDescent="0.4">
      <c r="A2" s="318" t="s">
        <v>759</v>
      </c>
      <c r="B2" s="1641" t="s">
        <v>2958</v>
      </c>
      <c r="C2" s="515" t="s">
        <v>328</v>
      </c>
      <c r="D2" s="515" t="s">
        <v>323</v>
      </c>
      <c r="E2" s="515" t="s">
        <v>198</v>
      </c>
      <c r="F2" s="515" t="s">
        <v>331</v>
      </c>
      <c r="G2" s="515" t="s">
        <v>56</v>
      </c>
      <c r="H2" s="515" t="s">
        <v>721</v>
      </c>
      <c r="I2" s="515" t="s">
        <v>747</v>
      </c>
      <c r="J2" s="516" t="s">
        <v>1748</v>
      </c>
      <c r="K2" s="516" t="s">
        <v>2042</v>
      </c>
      <c r="L2" s="516" t="s">
        <v>1510</v>
      </c>
      <c r="M2" s="516" t="s">
        <v>1587</v>
      </c>
      <c r="N2" s="516" t="s">
        <v>1739</v>
      </c>
      <c r="O2" s="516" t="s">
        <v>1810</v>
      </c>
      <c r="P2" s="516" t="s">
        <v>1818</v>
      </c>
      <c r="Q2" s="516" t="str">
        <f>PL!Q3</f>
        <v>2019A</v>
      </c>
      <c r="R2" s="516" t="str">
        <f>PL!R3</f>
        <v>2020A</v>
      </c>
      <c r="S2" s="516" t="str">
        <f>PL!S3</f>
        <v>2021A</v>
      </c>
      <c r="T2" s="516" t="str">
        <f>PL!T3</f>
        <v>2022A</v>
      </c>
      <c r="U2" s="516" t="str">
        <f>PL!U3</f>
        <v>2023A</v>
      </c>
      <c r="V2" s="516" t="str">
        <f>PL!V3</f>
        <v>2024A</v>
      </c>
      <c r="W2" s="516" t="str">
        <f>PL!W3</f>
        <v>2025A</v>
      </c>
      <c r="X2" s="516" t="str">
        <f>PL!X3</f>
        <v>2026E</v>
      </c>
      <c r="Y2" s="516" t="str">
        <f>PL!Y3</f>
        <v>2027E</v>
      </c>
      <c r="Z2" s="516" t="str">
        <f>PL!Z3</f>
        <v>2028E</v>
      </c>
      <c r="AA2" s="516" t="str">
        <f>PL!AA3</f>
        <v>2029E</v>
      </c>
      <c r="AB2" s="516" t="str">
        <f>PL!AB3</f>
        <v>2030E</v>
      </c>
      <c r="AC2" s="516" t="str">
        <f>PL!AC3</f>
        <v>2031E</v>
      </c>
      <c r="AD2" s="516" t="str">
        <f>PL!AD3</f>
        <v>2032E</v>
      </c>
      <c r="AE2" s="516" t="str">
        <f>PL!AE3</f>
        <v>2033E</v>
      </c>
      <c r="AF2" s="516" t="str">
        <f>PL!AF3</f>
        <v>2034E</v>
      </c>
      <c r="AG2" s="516" t="str">
        <f>PL!AG3</f>
        <v>2035E</v>
      </c>
    </row>
    <row r="3" spans="1:33" x14ac:dyDescent="0.35">
      <c r="A3" s="720" t="s">
        <v>1474</v>
      </c>
      <c r="B3" s="1644" t="s">
        <v>2957</v>
      </c>
      <c r="C3" s="841"/>
      <c r="D3" s="842">
        <v>7989.0300000000007</v>
      </c>
      <c r="E3" s="842">
        <v>4343</v>
      </c>
      <c r="F3" s="842">
        <v>1614</v>
      </c>
      <c r="G3" s="842">
        <v>40</v>
      </c>
      <c r="H3" s="842">
        <v>650</v>
      </c>
      <c r="I3" s="842">
        <v>4760</v>
      </c>
      <c r="J3" s="842">
        <v>880</v>
      </c>
      <c r="K3" s="842">
        <v>2777.0859999999998</v>
      </c>
      <c r="L3" s="842">
        <f>10.48*1000</f>
        <v>10480</v>
      </c>
      <c r="M3" s="842">
        <v>5500</v>
      </c>
      <c r="N3" s="842">
        <v>5750</v>
      </c>
      <c r="O3" s="842">
        <v>4410</v>
      </c>
      <c r="P3" s="842">
        <v>7100</v>
      </c>
      <c r="Q3" s="842">
        <v>12010</v>
      </c>
      <c r="R3" s="842">
        <v>13280</v>
      </c>
      <c r="S3" s="842">
        <v>14640</v>
      </c>
      <c r="T3" s="842">
        <v>13775</v>
      </c>
      <c r="U3" s="842">
        <v>9541</v>
      </c>
      <c r="V3" s="842">
        <v>10003</v>
      </c>
      <c r="W3" s="842">
        <f>11814</f>
        <v>11814</v>
      </c>
      <c r="X3" s="841">
        <f t="shared" ref="X3:AC3" si="5">+W3*(1+X4)</f>
        <v>12995.400000000001</v>
      </c>
      <c r="Y3" s="841">
        <f t="shared" si="5"/>
        <v>14035.032000000003</v>
      </c>
      <c r="Z3" s="841">
        <f t="shared" si="5"/>
        <v>14877.133920000004</v>
      </c>
      <c r="AA3" s="841">
        <f t="shared" si="5"/>
        <v>15769.761955200005</v>
      </c>
      <c r="AB3" s="841">
        <f t="shared" si="5"/>
        <v>16715.947672512008</v>
      </c>
      <c r="AC3" s="841">
        <f t="shared" si="5"/>
        <v>17718.904532862729</v>
      </c>
      <c r="AD3" s="841">
        <f t="shared" ref="AD3" si="6">+AC3*(1+AD4)</f>
        <v>18782.038804834494</v>
      </c>
      <c r="AE3" s="841">
        <f t="shared" ref="AE3" si="7">+AD3*(1+AE4)</f>
        <v>19908.961133124565</v>
      </c>
      <c r="AF3" s="841">
        <f t="shared" ref="AF3:AG3" si="8">+AE3*(1+AF4)</f>
        <v>21103.49880111204</v>
      </c>
      <c r="AG3" s="841">
        <f t="shared" si="8"/>
        <v>22369.708729178765</v>
      </c>
    </row>
    <row r="4" spans="1:33" x14ac:dyDescent="0.35">
      <c r="A4" s="625" t="s">
        <v>577</v>
      </c>
      <c r="B4" s="1643" t="s">
        <v>577</v>
      </c>
      <c r="C4" s="820"/>
      <c r="D4" s="820"/>
      <c r="E4" s="820">
        <f>E3/D3-1</f>
        <v>-0.45637956047229766</v>
      </c>
      <c r="F4" s="820">
        <f>F3/E3-1</f>
        <v>-0.62836748791158192</v>
      </c>
      <c r="G4" s="820">
        <v>-0.9</v>
      </c>
      <c r="H4" s="820">
        <v>0.1</v>
      </c>
      <c r="I4" s="820">
        <f t="shared" ref="I4:V4" si="9">I3/H3-1</f>
        <v>6.3230769230769228</v>
      </c>
      <c r="J4" s="820">
        <f t="shared" si="9"/>
        <v>-0.81512605042016806</v>
      </c>
      <c r="K4" s="820">
        <f t="shared" si="9"/>
        <v>2.1557795454545454</v>
      </c>
      <c r="L4" s="820">
        <f t="shared" si="9"/>
        <v>2.7737398121628214</v>
      </c>
      <c r="M4" s="820">
        <f t="shared" si="9"/>
        <v>-0.47519083969465647</v>
      </c>
      <c r="N4" s="820">
        <f t="shared" si="9"/>
        <v>4.5454545454545414E-2</v>
      </c>
      <c r="O4" s="820">
        <f t="shared" si="9"/>
        <v>-0.23304347826086957</v>
      </c>
      <c r="P4" s="820">
        <f t="shared" si="9"/>
        <v>0.60997732426303863</v>
      </c>
      <c r="Q4" s="820">
        <f t="shared" si="9"/>
        <v>0.69154929577464785</v>
      </c>
      <c r="R4" s="820">
        <f t="shared" si="9"/>
        <v>0.10574521232306422</v>
      </c>
      <c r="S4" s="820">
        <f t="shared" si="9"/>
        <v>0.10240963855421681</v>
      </c>
      <c r="T4" s="820">
        <f t="shared" si="9"/>
        <v>-5.9084699453551881E-2</v>
      </c>
      <c r="U4" s="820">
        <f t="shared" si="9"/>
        <v>-0.30736842105263162</v>
      </c>
      <c r="V4" s="820">
        <f t="shared" si="9"/>
        <v>4.8422597212032237E-2</v>
      </c>
      <c r="W4" s="820">
        <f>W3/V3-1</f>
        <v>0.18104568629411166</v>
      </c>
      <c r="X4" s="821">
        <v>0.1</v>
      </c>
      <c r="Y4" s="821">
        <v>0.08</v>
      </c>
      <c r="Z4" s="821">
        <v>0.06</v>
      </c>
      <c r="AA4" s="821">
        <f t="shared" ref="AA4:AC4" si="10">Z4</f>
        <v>0.06</v>
      </c>
      <c r="AB4" s="821">
        <f t="shared" si="10"/>
        <v>0.06</v>
      </c>
      <c r="AC4" s="821">
        <f t="shared" si="10"/>
        <v>0.06</v>
      </c>
      <c r="AD4" s="821">
        <f t="shared" ref="AD4" si="11">AC4</f>
        <v>0.06</v>
      </c>
      <c r="AE4" s="821">
        <f t="shared" ref="AE4" si="12">AD4</f>
        <v>0.06</v>
      </c>
      <c r="AF4" s="821">
        <f t="shared" ref="AF4:AG4" si="13">AE4</f>
        <v>0.06</v>
      </c>
      <c r="AG4" s="821">
        <f t="shared" si="13"/>
        <v>0.06</v>
      </c>
    </row>
    <row r="5" spans="1:33" x14ac:dyDescent="0.35">
      <c r="A5" s="720"/>
      <c r="B5" s="1643"/>
      <c r="C5" s="820"/>
      <c r="D5" s="820"/>
      <c r="E5" s="841"/>
      <c r="F5" s="841"/>
      <c r="G5" s="841"/>
      <c r="H5" s="841"/>
      <c r="I5" s="841"/>
      <c r="J5" s="841"/>
      <c r="K5" s="841"/>
      <c r="L5" s="841"/>
      <c r="M5" s="841"/>
      <c r="N5" s="841"/>
      <c r="O5" s="841"/>
      <c r="P5" s="841"/>
      <c r="Q5" s="841"/>
      <c r="R5" s="841"/>
      <c r="S5" s="841"/>
      <c r="T5" s="841"/>
      <c r="U5" s="841"/>
      <c r="V5" s="841"/>
      <c r="W5" s="841"/>
      <c r="X5" s="841"/>
      <c r="Y5" s="841"/>
      <c r="Z5" s="841"/>
      <c r="AA5" s="841"/>
      <c r="AB5" s="841"/>
      <c r="AC5" s="841"/>
      <c r="AD5" s="841"/>
      <c r="AE5" s="841"/>
      <c r="AF5" s="841"/>
      <c r="AG5" s="841"/>
    </row>
    <row r="6" spans="1:33" x14ac:dyDescent="0.35">
      <c r="A6" s="720" t="s">
        <v>2087</v>
      </c>
      <c r="B6" s="1644" t="s">
        <v>2959</v>
      </c>
      <c r="C6" s="841"/>
      <c r="D6" s="854">
        <v>8356</v>
      </c>
      <c r="E6" s="854">
        <v>10811</v>
      </c>
      <c r="F6" s="854">
        <v>5060</v>
      </c>
      <c r="G6" s="854">
        <v>1170</v>
      </c>
      <c r="H6" s="854">
        <v>550</v>
      </c>
      <c r="I6" s="854">
        <v>4750</v>
      </c>
      <c r="J6" s="854">
        <v>1990</v>
      </c>
      <c r="K6" s="854">
        <v>3350</v>
      </c>
      <c r="L6" s="854">
        <f>10.8*1000</f>
        <v>10800</v>
      </c>
      <c r="M6" s="854">
        <v>11170</v>
      </c>
      <c r="N6" s="854">
        <v>6570</v>
      </c>
      <c r="O6" s="854">
        <v>1910</v>
      </c>
      <c r="P6" s="854">
        <v>5780</v>
      </c>
      <c r="Q6" s="854">
        <v>9610</v>
      </c>
      <c r="R6" s="854">
        <v>17710</v>
      </c>
      <c r="S6" s="854">
        <v>24330</v>
      </c>
      <c r="T6" s="854">
        <v>24260</v>
      </c>
      <c r="U6" s="854">
        <v>20782</v>
      </c>
      <c r="V6" s="854">
        <v>20798</v>
      </c>
      <c r="W6" s="854">
        <f>22962</f>
        <v>22962</v>
      </c>
      <c r="X6" s="894">
        <f t="shared" ref="X6:AC6" si="14">W6+X3-X11</f>
        <v>31642.512000000002</v>
      </c>
      <c r="Y6" s="894">
        <f t="shared" si="14"/>
        <v>40653.014160000006</v>
      </c>
      <c r="Z6" s="894">
        <f t="shared" si="14"/>
        <v>49421.831791200013</v>
      </c>
      <c r="AA6" s="894">
        <f t="shared" si="14"/>
        <v>58020.518434296013</v>
      </c>
      <c r="AB6" s="894">
        <f t="shared" si="14"/>
        <v>66515.454835059136</v>
      </c>
      <c r="AC6" s="894">
        <f t="shared" si="14"/>
        <v>74968.579837450452</v>
      </c>
      <c r="AD6" s="894">
        <f t="shared" ref="AD6" si="15">AC6+AD3-AD11</f>
        <v>83438.050591633597</v>
      </c>
      <c r="AE6" s="894">
        <f t="shared" ref="AE6" si="16">AD6+AE3-AE11</f>
        <v>91978.84043503477</v>
      </c>
      <c r="AF6" s="894">
        <f t="shared" ref="AF6:AG6" si="17">AE6+AF3-AF11</f>
        <v>100643.28192017066</v>
      </c>
      <c r="AG6" s="894">
        <f t="shared" si="17"/>
        <v>109481.56167792098</v>
      </c>
    </row>
    <row r="7" spans="1:33" x14ac:dyDescent="0.35">
      <c r="A7" s="625" t="s">
        <v>577</v>
      </c>
      <c r="B7" s="1643" t="s">
        <v>577</v>
      </c>
      <c r="C7" s="820"/>
      <c r="D7" s="820"/>
      <c r="E7" s="820">
        <f t="shared" ref="E7:AC7" si="18">E6/D6-1</f>
        <v>0.29380086165629482</v>
      </c>
      <c r="F7" s="820">
        <f t="shared" si="18"/>
        <v>-0.53195819073166217</v>
      </c>
      <c r="G7" s="820">
        <f t="shared" si="18"/>
        <v>-0.76877470355731226</v>
      </c>
      <c r="H7" s="820">
        <f t="shared" si="18"/>
        <v>-0.52991452991452992</v>
      </c>
      <c r="I7" s="820">
        <f t="shared" si="18"/>
        <v>7.6363636363636367</v>
      </c>
      <c r="J7" s="820">
        <f t="shared" si="18"/>
        <v>-0.58105263157894738</v>
      </c>
      <c r="K7" s="820">
        <f t="shared" si="18"/>
        <v>0.68341708542713575</v>
      </c>
      <c r="L7" s="820">
        <f t="shared" si="18"/>
        <v>2.2238805970149254</v>
      </c>
      <c r="M7" s="820">
        <f t="shared" si="18"/>
        <v>3.4259259259259212E-2</v>
      </c>
      <c r="N7" s="820">
        <f t="shared" si="18"/>
        <v>-0.41181736794986568</v>
      </c>
      <c r="O7" s="820">
        <f t="shared" si="18"/>
        <v>-0.70928462709284634</v>
      </c>
      <c r="P7" s="820">
        <f t="shared" si="18"/>
        <v>2.0261780104712042</v>
      </c>
      <c r="Q7" s="820">
        <f t="shared" si="18"/>
        <v>0.66262975778546718</v>
      </c>
      <c r="R7" s="820">
        <f t="shared" si="18"/>
        <v>0.84287200832466191</v>
      </c>
      <c r="S7" s="820">
        <f t="shared" si="18"/>
        <v>0.37380011293054771</v>
      </c>
      <c r="T7" s="820">
        <f t="shared" si="18"/>
        <v>-2.8771064529387047E-3</v>
      </c>
      <c r="U7" s="820">
        <f t="shared" si="18"/>
        <v>-0.14336356141797202</v>
      </c>
      <c r="V7" s="820">
        <f t="shared" si="18"/>
        <v>7.6989702627283663E-4</v>
      </c>
      <c r="W7" s="820">
        <f>W6/V6-1</f>
        <v>0.10404846619867292</v>
      </c>
      <c r="X7" s="820">
        <f t="shared" si="18"/>
        <v>0.37803814998693497</v>
      </c>
      <c r="Y7" s="820">
        <f t="shared" si="18"/>
        <v>0.28475938193529027</v>
      </c>
      <c r="Z7" s="820">
        <f t="shared" si="18"/>
        <v>0.21569907699065438</v>
      </c>
      <c r="AA7" s="820">
        <f t="shared" si="18"/>
        <v>0.17398559161918947</v>
      </c>
      <c r="AB7" s="820">
        <f t="shared" si="18"/>
        <v>0.14641262487826645</v>
      </c>
      <c r="AC7" s="820">
        <f t="shared" si="18"/>
        <v>0.12708512665744887</v>
      </c>
      <c r="AD7" s="820">
        <f t="shared" ref="AD7" si="19">AD6/AC6-1</f>
        <v>0.11297360537637169</v>
      </c>
      <c r="AE7" s="820">
        <f t="shared" ref="AE7" si="20">AE6/AD6-1</f>
        <v>0.10236085074904144</v>
      </c>
      <c r="AF7" s="820">
        <f t="shared" ref="AF7:AG7" si="21">AF6/AE6-1</f>
        <v>9.4200377436326033E-2</v>
      </c>
      <c r="AG7" s="820">
        <f t="shared" si="21"/>
        <v>8.7817881026184708E-2</v>
      </c>
    </row>
    <row r="8" spans="1:33" x14ac:dyDescent="0.35">
      <c r="A8" s="720"/>
      <c r="B8" s="1644"/>
      <c r="C8" s="897"/>
      <c r="D8" s="897"/>
      <c r="E8" s="853"/>
      <c r="F8" s="853"/>
      <c r="G8" s="636"/>
      <c r="H8" s="636"/>
      <c r="I8" s="636"/>
      <c r="J8" s="636"/>
      <c r="K8" s="636"/>
      <c r="L8" s="636"/>
      <c r="M8" s="636"/>
      <c r="N8" s="636"/>
      <c r="O8" s="636"/>
      <c r="P8" s="648"/>
      <c r="Q8" s="648"/>
      <c r="R8" s="648"/>
      <c r="S8" s="648"/>
      <c r="T8" s="636"/>
      <c r="U8" s="636"/>
      <c r="V8" s="636"/>
      <c r="W8" s="636"/>
      <c r="X8" s="636"/>
      <c r="Y8" s="636"/>
      <c r="Z8" s="636"/>
      <c r="AA8" s="636"/>
      <c r="AB8" s="636"/>
      <c r="AC8" s="636"/>
      <c r="AD8" s="636"/>
      <c r="AE8" s="636"/>
      <c r="AF8" s="636"/>
      <c r="AG8" s="636"/>
    </row>
    <row r="9" spans="1:33" x14ac:dyDescent="0.35">
      <c r="A9" s="720" t="s">
        <v>2089</v>
      </c>
      <c r="B9" s="1644" t="s">
        <v>2960</v>
      </c>
      <c r="C9" s="897"/>
      <c r="D9" s="898">
        <f t="shared" ref="D9:AC9" si="22">D6/D11</f>
        <v>5.385408610466615</v>
      </c>
      <c r="E9" s="898">
        <f t="shared" si="22"/>
        <v>6.8131602198663712</v>
      </c>
      <c r="F9" s="898">
        <f t="shared" si="22"/>
        <v>2.4348110615487517</v>
      </c>
      <c r="G9" s="898">
        <f t="shared" si="22"/>
        <v>2.8948931116389547</v>
      </c>
      <c r="H9" s="898">
        <f t="shared" si="22"/>
        <v>6.6276239365676135</v>
      </c>
      <c r="I9" s="898">
        <f t="shared" si="22"/>
        <v>19.540409566984522</v>
      </c>
      <c r="J9" s="898">
        <f t="shared" si="22"/>
        <v>2.2102564786060501</v>
      </c>
      <c r="K9" s="898">
        <f t="shared" si="22"/>
        <v>4.0048440681086497</v>
      </c>
      <c r="L9" s="898">
        <f t="shared" si="22"/>
        <v>4.7874483742401592</v>
      </c>
      <c r="M9" s="898">
        <f t="shared" si="22"/>
        <v>2.1019049430895596</v>
      </c>
      <c r="N9" s="898">
        <f t="shared" si="22"/>
        <v>0.75378795657951914</v>
      </c>
      <c r="O9" s="898">
        <f t="shared" si="22"/>
        <v>0.2370243442616034</v>
      </c>
      <c r="P9" s="898">
        <f t="shared" si="22"/>
        <v>0.82283319405908739</v>
      </c>
      <c r="Q9" s="898">
        <f t="shared" si="22"/>
        <v>2.0474479551939129</v>
      </c>
      <c r="R9" s="898">
        <f t="shared" si="22"/>
        <v>3.9334096620621417</v>
      </c>
      <c r="S9" s="898">
        <f t="shared" si="22"/>
        <v>2.8946022152689377</v>
      </c>
      <c r="T9" s="898">
        <f t="shared" si="22"/>
        <v>2.3013365965641213</v>
      </c>
      <c r="U9" s="898">
        <f t="shared" ref="U9" si="23">U6/U11</f>
        <v>1.9296682265019345</v>
      </c>
      <c r="V9" s="898">
        <f t="shared" si="22"/>
        <v>2.3676924618172879</v>
      </c>
      <c r="W9" s="898">
        <f t="shared" si="22"/>
        <v>6.7767297453635384</v>
      </c>
      <c r="X9" s="898">
        <f t="shared" si="22"/>
        <v>7.3333333333333339</v>
      </c>
      <c r="Y9" s="898">
        <f t="shared" si="22"/>
        <v>8.0909090909090899</v>
      </c>
      <c r="Z9" s="898">
        <f t="shared" si="22"/>
        <v>8.0909090909090917</v>
      </c>
      <c r="AA9" s="898">
        <f t="shared" si="22"/>
        <v>8.0909090909090917</v>
      </c>
      <c r="AB9" s="898">
        <f t="shared" si="22"/>
        <v>8.0909090909090899</v>
      </c>
      <c r="AC9" s="898">
        <f t="shared" si="22"/>
        <v>8.0909090909090899</v>
      </c>
      <c r="AD9" s="898">
        <f t="shared" ref="AD9:AF9" si="24">AD6/AD11</f>
        <v>8.0909090909090899</v>
      </c>
      <c r="AE9" s="898">
        <f t="shared" si="24"/>
        <v>8.0909090909090917</v>
      </c>
      <c r="AF9" s="898">
        <f t="shared" si="24"/>
        <v>8.0909090909090899</v>
      </c>
      <c r="AG9" s="898">
        <f t="shared" ref="AG9" si="25">AG6/AG11</f>
        <v>8.0909090909090899</v>
      </c>
    </row>
    <row r="10" spans="1:33" x14ac:dyDescent="0.35">
      <c r="A10" s="720"/>
      <c r="B10" s="1644"/>
      <c r="C10" s="897"/>
      <c r="D10" s="897"/>
      <c r="E10" s="853"/>
      <c r="F10" s="853"/>
      <c r="G10" s="636"/>
      <c r="H10" s="636"/>
      <c r="I10" s="636"/>
      <c r="J10" s="636"/>
      <c r="K10" s="636"/>
      <c r="L10" s="636"/>
      <c r="M10" s="636"/>
      <c r="N10" s="636"/>
      <c r="O10" s="636"/>
      <c r="P10" s="648"/>
      <c r="Q10" s="648"/>
      <c r="R10" s="648"/>
      <c r="S10" s="648"/>
      <c r="T10" s="636"/>
      <c r="U10" s="636"/>
      <c r="V10" s="636"/>
      <c r="W10" s="636"/>
      <c r="X10" s="636"/>
      <c r="Y10" s="636"/>
      <c r="Z10" s="636"/>
      <c r="AA10" s="636"/>
      <c r="AB10" s="636"/>
      <c r="AC10" s="636"/>
      <c r="AD10" s="636"/>
      <c r="AE10" s="636"/>
      <c r="AF10" s="636"/>
      <c r="AG10" s="636"/>
    </row>
    <row r="11" spans="1:33" x14ac:dyDescent="0.35">
      <c r="A11" s="858" t="s">
        <v>262</v>
      </c>
      <c r="B11" s="1642" t="s">
        <v>2961</v>
      </c>
      <c r="C11" s="859"/>
      <c r="D11" s="860">
        <v>1551.6</v>
      </c>
      <c r="E11" s="860">
        <v>1586.7819999999999</v>
      </c>
      <c r="F11" s="860">
        <v>2078.19</v>
      </c>
      <c r="G11" s="860">
        <v>404.16</v>
      </c>
      <c r="H11" s="860">
        <v>82.986000000000004</v>
      </c>
      <c r="I11" s="860">
        <v>243.08600000000001</v>
      </c>
      <c r="J11" s="860">
        <v>900.34799999999996</v>
      </c>
      <c r="K11" s="860">
        <v>836.48699999999997</v>
      </c>
      <c r="L11" s="860">
        <v>2255.8989999999999</v>
      </c>
      <c r="M11" s="860">
        <f>5314227/1000</f>
        <v>5314.2269999999999</v>
      </c>
      <c r="N11" s="860">
        <f>8715979/1000</f>
        <v>8715.9789999999994</v>
      </c>
      <c r="O11" s="860">
        <f>8058244/1000</f>
        <v>8058.2439999999997</v>
      </c>
      <c r="P11" s="860">
        <v>7024.51</v>
      </c>
      <c r="Q11" s="860">
        <v>4693.6480000000001</v>
      </c>
      <c r="R11" s="860">
        <v>4502.4549999999999</v>
      </c>
      <c r="S11" s="860">
        <v>8405.2999999999993</v>
      </c>
      <c r="T11" s="860">
        <v>10541.7</v>
      </c>
      <c r="U11" s="860">
        <v>10769.727000000001</v>
      </c>
      <c r="V11" s="860">
        <v>8784.08</v>
      </c>
      <c r="W11" s="860">
        <f>3388.36</f>
        <v>3388.36</v>
      </c>
      <c r="X11" s="859">
        <f>+(W6+X3)*X1</f>
        <v>4314.8879999999999</v>
      </c>
      <c r="Y11" s="859">
        <f t="shared" ref="Y11:AC11" si="26">+(X6+Y3)*Y1</f>
        <v>5024.5298400000011</v>
      </c>
      <c r="Z11" s="859">
        <f t="shared" si="26"/>
        <v>6108.3162888000015</v>
      </c>
      <c r="AA11" s="859">
        <f t="shared" si="26"/>
        <v>7171.0753121040016</v>
      </c>
      <c r="AB11" s="859">
        <f t="shared" si="26"/>
        <v>8221.0112717488828</v>
      </c>
      <c r="AC11" s="859">
        <f t="shared" si="26"/>
        <v>9265.7795304714055</v>
      </c>
      <c r="AD11" s="859">
        <f t="shared" ref="AD11" si="27">+(AC6+AD3)*AD1</f>
        <v>10312.568050651344</v>
      </c>
      <c r="AE11" s="859">
        <f t="shared" ref="AE11" si="28">+(AD6+AE3)*AE1</f>
        <v>11368.171289723397</v>
      </c>
      <c r="AF11" s="859">
        <f t="shared" ref="AF11:AG11" si="29">+(AE6+AF3)*AF1</f>
        <v>12439.05731597615</v>
      </c>
      <c r="AG11" s="859">
        <f t="shared" si="29"/>
        <v>13531.428971428437</v>
      </c>
    </row>
    <row r="12" spans="1:33" x14ac:dyDescent="0.35">
      <c r="A12" s="625" t="s">
        <v>577</v>
      </c>
      <c r="B12" s="1643" t="s">
        <v>577</v>
      </c>
      <c r="C12" s="820"/>
      <c r="D12" s="820"/>
      <c r="E12" s="820">
        <f t="shared" ref="E12:AC12" si="30">E11/D11-1</f>
        <v>2.2674658417117799E-2</v>
      </c>
      <c r="F12" s="820">
        <f t="shared" si="30"/>
        <v>0.30968841340524422</v>
      </c>
      <c r="G12" s="820">
        <f t="shared" si="30"/>
        <v>-0.80552307536846968</v>
      </c>
      <c r="H12" s="820">
        <f t="shared" si="30"/>
        <v>-0.79467042755344419</v>
      </c>
      <c r="I12" s="820">
        <f t="shared" si="30"/>
        <v>1.9292410768081365</v>
      </c>
      <c r="J12" s="820">
        <f t="shared" si="30"/>
        <v>2.7038249837506063</v>
      </c>
      <c r="K12" s="820">
        <f t="shared" si="30"/>
        <v>-7.0929240693598516E-2</v>
      </c>
      <c r="L12" s="820">
        <f t="shared" si="30"/>
        <v>1.6968727547469356</v>
      </c>
      <c r="M12" s="820">
        <f t="shared" si="30"/>
        <v>1.3557025381012182</v>
      </c>
      <c r="N12" s="820">
        <f t="shared" si="30"/>
        <v>0.6401216959681999</v>
      </c>
      <c r="O12" s="820">
        <f t="shared" si="30"/>
        <v>-7.54631235343729E-2</v>
      </c>
      <c r="P12" s="820">
        <f t="shared" si="30"/>
        <v>-0.1282827871680231</v>
      </c>
      <c r="Q12" s="820">
        <f t="shared" si="30"/>
        <v>-0.33181844712300212</v>
      </c>
      <c r="R12" s="820">
        <f t="shared" si="30"/>
        <v>-4.0734413829072835E-2</v>
      </c>
      <c r="S12" s="820">
        <f t="shared" si="30"/>
        <v>0.86682598715589587</v>
      </c>
      <c r="T12" s="820">
        <f t="shared" si="30"/>
        <v>0.25417296229759812</v>
      </c>
      <c r="U12" s="820">
        <f t="shared" si="30"/>
        <v>2.1630951364580708E-2</v>
      </c>
      <c r="V12" s="820">
        <f t="shared" si="30"/>
        <v>-0.18437301149787744</v>
      </c>
      <c r="W12" s="820">
        <f>W11/V11-1</f>
        <v>-0.61426125445123447</v>
      </c>
      <c r="X12" s="820">
        <f t="shared" si="30"/>
        <v>0.2734443801721187</v>
      </c>
      <c r="Y12" s="820">
        <f t="shared" si="30"/>
        <v>0.16446355965670523</v>
      </c>
      <c r="Z12" s="820">
        <f t="shared" si="30"/>
        <v>0.21569907699065438</v>
      </c>
      <c r="AA12" s="820">
        <f t="shared" si="30"/>
        <v>0.17398559161918947</v>
      </c>
      <c r="AB12" s="820">
        <f t="shared" si="30"/>
        <v>0.14641262487826645</v>
      </c>
      <c r="AC12" s="820">
        <f t="shared" si="30"/>
        <v>0.12708512665744909</v>
      </c>
      <c r="AD12" s="820">
        <f t="shared" ref="AD12" si="31">AD11/AC11-1</f>
        <v>0.11297360537637169</v>
      </c>
      <c r="AE12" s="820">
        <f t="shared" ref="AE12" si="32">AE11/AD11-1</f>
        <v>0.10236085074904122</v>
      </c>
      <c r="AF12" s="820">
        <f t="shared" ref="AF12:AG12" si="33">AF11/AE11-1</f>
        <v>9.4200377436326255E-2</v>
      </c>
      <c r="AG12" s="820">
        <f t="shared" si="33"/>
        <v>8.7817881026184708E-2</v>
      </c>
    </row>
    <row r="13" spans="1:33" x14ac:dyDescent="0.35">
      <c r="A13" s="625" t="s">
        <v>2044</v>
      </c>
      <c r="B13" s="1643" t="s">
        <v>2964</v>
      </c>
      <c r="C13" s="820"/>
      <c r="D13" s="820">
        <f>D11/(PL!D4-PL!D16)</f>
        <v>0.15049002368307166</v>
      </c>
      <c r="E13" s="820">
        <f>E11/(PL!E4-PL!E16)</f>
        <v>0.15506387809112521</v>
      </c>
      <c r="F13" s="820">
        <f>F11/(PL!F4-PL!F16)</f>
        <v>0.18562356356976678</v>
      </c>
      <c r="G13" s="820">
        <f>G11/(PL!G4-PL!G16)</f>
        <v>4.163974205119414E-2</v>
      </c>
      <c r="H13" s="820">
        <f>H11/(PL!H4-PL!H16)</f>
        <v>6.9253854105581214E-3</v>
      </c>
      <c r="I13" s="820">
        <f>I11/(PL!I4-PL!I16)</f>
        <v>1.4841039406358425E-2</v>
      </c>
      <c r="J13" s="820">
        <f>J11/(PL!J4-PL!J16)</f>
        <v>4.1091779070096479E-2</v>
      </c>
      <c r="K13" s="820">
        <f>K11/(PL!K4-PL!K16)</f>
        <v>3.0656697557174806E-2</v>
      </c>
      <c r="L13" s="820">
        <f>L11/(PL!L4-PL!L16)</f>
        <v>6.5503102172428093E-2</v>
      </c>
      <c r="M13" s="820">
        <f>M11/(PL!M4-PL!M16)</f>
        <v>0.13984117520935019</v>
      </c>
      <c r="N13" s="820">
        <f>N11/(PL!N4-PL!N16)</f>
        <v>0.18862690019985495</v>
      </c>
      <c r="O13" s="820">
        <f>O11/(PL!O4-PL!O16)</f>
        <v>0.16067474490416475</v>
      </c>
      <c r="P13" s="820">
        <f>P11/(PL!P4-PL!P16)</f>
        <v>0.1262803654903982</v>
      </c>
      <c r="Q13" s="820">
        <f>Q11/(PL!Q4-PL!Q16)</f>
        <v>7.6109494199077865E-2</v>
      </c>
      <c r="R13" s="820">
        <f>R11/(PL!R4-PL!R16)</f>
        <v>7.2088866759533743E-2</v>
      </c>
      <c r="S13" s="820">
        <f>S11/(PL!S4-PL!S16)</f>
        <v>0.10872257103754261</v>
      </c>
      <c r="T13" s="820">
        <f>T11/(PL!T4-PL!T16)</f>
        <v>0.10337506845410013</v>
      </c>
      <c r="U13" s="820">
        <f>U11/(PL!U4-PL!U16)</f>
        <v>9.4692224707865771E-2</v>
      </c>
      <c r="V13" s="820">
        <f>V11/(PL!V4-PL!V16)</f>
        <v>7.631247044916846E-2</v>
      </c>
      <c r="W13" s="820">
        <f>W11/(PL!W4-PL!W16)</f>
        <v>3.3732310587017228E-2</v>
      </c>
      <c r="X13" s="820">
        <f>X11/(PL!X4-PL!X16)</f>
        <v>4.1665400147535135E-2</v>
      </c>
      <c r="Y13" s="820">
        <f>Y11/(PL!Y4-PL!Y16)</f>
        <v>4.3999622353365783E-2</v>
      </c>
      <c r="Z13" s="820">
        <f>Z11/(PL!Z4-PL!Z16)</f>
        <v>4.9706908974678568E-2</v>
      </c>
      <c r="AA13" s="820">
        <f>AA11/(PL!AA4-PL!AA16)</f>
        <v>5.3182439431331753E-2</v>
      </c>
      <c r="AB13" s="820">
        <f>AB11/(PL!AB4-PL!AB16)</f>
        <v>5.6268970641791358E-2</v>
      </c>
      <c r="AC13" s="820">
        <f>AC11/(PL!AC4-PL!AC16)</f>
        <v>5.9090567068579937E-2</v>
      </c>
      <c r="AD13" s="820">
        <f>AD11/(PL!AD4-PL!AD16)</f>
        <v>6.1729684029165087E-2</v>
      </c>
      <c r="AE13" s="820">
        <f>AE11/(PL!AE4-PL!AE16)</f>
        <v>6.4244395239541882E-2</v>
      </c>
      <c r="AF13" s="820">
        <f>AF11/(PL!AF4-PL!AF16)</f>
        <v>6.6677636414065572E-2</v>
      </c>
      <c r="AG13" s="820">
        <f>AG11/(PL!AG4-PL!AG16)</f>
        <v>6.9062456219304194E-2</v>
      </c>
    </row>
    <row r="14" spans="1:33" x14ac:dyDescent="0.35">
      <c r="A14" s="625"/>
      <c r="B14" s="1643"/>
      <c r="C14" s="820"/>
      <c r="D14" s="820"/>
      <c r="E14" s="820"/>
      <c r="F14" s="820"/>
      <c r="G14" s="820"/>
      <c r="H14" s="820"/>
      <c r="I14" s="820"/>
      <c r="J14" s="820"/>
      <c r="K14" s="820"/>
      <c r="L14" s="820"/>
      <c r="M14" s="820"/>
      <c r="N14" s="820"/>
      <c r="O14" s="820"/>
      <c r="P14" s="820"/>
      <c r="Q14" s="820"/>
      <c r="R14" s="820"/>
      <c r="S14" s="820"/>
      <c r="T14" s="820"/>
      <c r="U14" s="820"/>
      <c r="V14" s="820"/>
      <c r="W14" s="820"/>
      <c r="X14" s="820"/>
      <c r="Y14" s="820"/>
      <c r="Z14" s="820"/>
      <c r="AA14" s="820"/>
      <c r="AB14" s="820"/>
      <c r="AC14" s="820"/>
      <c r="AD14" s="820"/>
      <c r="AE14" s="820"/>
      <c r="AF14" s="820"/>
      <c r="AG14" s="820"/>
    </row>
    <row r="15" spans="1:33" s="646" customFormat="1" x14ac:dyDescent="0.35">
      <c r="A15" s="720" t="s">
        <v>2094</v>
      </c>
      <c r="B15" s="1644" t="s">
        <v>2965</v>
      </c>
      <c r="C15" s="869"/>
      <c r="D15" s="869">
        <f t="shared" ref="D15:AC15" si="34">D11-D18</f>
        <v>1442.4279999999999</v>
      </c>
      <c r="E15" s="869">
        <f t="shared" si="34"/>
        <v>1312.712</v>
      </c>
      <c r="F15" s="869">
        <f t="shared" si="34"/>
        <v>1796.19</v>
      </c>
      <c r="G15" s="869">
        <f t="shared" si="34"/>
        <v>314.19300000000004</v>
      </c>
      <c r="H15" s="869">
        <f t="shared" si="34"/>
        <v>57.195000000000007</v>
      </c>
      <c r="I15" s="869">
        <f t="shared" si="34"/>
        <v>171.89800000000002</v>
      </c>
      <c r="J15" s="869">
        <f t="shared" si="34"/>
        <v>834.32999999999993</v>
      </c>
      <c r="K15" s="869">
        <f t="shared" si="34"/>
        <v>712.76599999999996</v>
      </c>
      <c r="L15" s="869">
        <f t="shared" si="34"/>
        <v>2159.5650000000001</v>
      </c>
      <c r="M15" s="869">
        <f t="shared" si="34"/>
        <v>5045.6219999999994</v>
      </c>
      <c r="N15" s="869">
        <f t="shared" si="34"/>
        <v>7794.5589999999993</v>
      </c>
      <c r="O15" s="869">
        <f t="shared" si="34"/>
        <v>7192.107</v>
      </c>
      <c r="P15" s="869">
        <f t="shared" si="34"/>
        <v>6271.9400000000005</v>
      </c>
      <c r="Q15" s="869">
        <f t="shared" si="34"/>
        <v>4206.482</v>
      </c>
      <c r="R15" s="869">
        <f t="shared" si="34"/>
        <v>3965.8249999999998</v>
      </c>
      <c r="S15" s="869">
        <f t="shared" si="34"/>
        <v>7551.9439999999995</v>
      </c>
      <c r="T15" s="869">
        <f t="shared" si="34"/>
        <v>9971.7130000000016</v>
      </c>
      <c r="U15" s="869">
        <f t="shared" ref="U15" si="35">U11-U18</f>
        <v>9804.8350000000009</v>
      </c>
      <c r="V15" s="869">
        <f t="shared" si="34"/>
        <v>7589.0940000000001</v>
      </c>
      <c r="W15" s="869">
        <f t="shared" si="34"/>
        <v>2618.0810000000001</v>
      </c>
      <c r="X15" s="869">
        <f t="shared" si="34"/>
        <v>3333.9805362854004</v>
      </c>
      <c r="Y15" s="869">
        <f t="shared" si="34"/>
        <v>3882.298843109068</v>
      </c>
      <c r="Z15" s="869">
        <f t="shared" si="34"/>
        <v>4719.7071201695799</v>
      </c>
      <c r="AA15" s="869">
        <f t="shared" si="34"/>
        <v>5540.8681557415848</v>
      </c>
      <c r="AB15" s="869">
        <f t="shared" si="34"/>
        <v>6352.1212065281097</v>
      </c>
      <c r="AC15" s="869">
        <f t="shared" si="34"/>
        <v>7159.381334603202</v>
      </c>
      <c r="AD15" s="869">
        <f t="shared" ref="AD15:AF15" si="36">AD11-AD18</f>
        <v>7968.2024562376255</v>
      </c>
      <c r="AE15" s="869">
        <f t="shared" si="36"/>
        <v>8783.8344385987093</v>
      </c>
      <c r="AF15" s="869">
        <f t="shared" si="36"/>
        <v>9611.2749580529089</v>
      </c>
      <c r="AG15" s="869">
        <f t="shared" ref="AG15" si="37">AG11-AG18</f>
        <v>10455.316758829149</v>
      </c>
    </row>
    <row r="16" spans="1:33" x14ac:dyDescent="0.35">
      <c r="A16" s="331" t="s">
        <v>2096</v>
      </c>
      <c r="B16" s="1647" t="s">
        <v>2966</v>
      </c>
      <c r="C16" s="873"/>
      <c r="D16" s="820">
        <f t="shared" ref="D16:AC16" si="38">D15/D11</f>
        <v>0.9296390822376901</v>
      </c>
      <c r="E16" s="820">
        <f t="shared" si="38"/>
        <v>0.82727936162623472</v>
      </c>
      <c r="F16" s="820">
        <f t="shared" si="38"/>
        <v>0.8643049961745557</v>
      </c>
      <c r="G16" s="820">
        <f t="shared" si="38"/>
        <v>0.77739756532066517</v>
      </c>
      <c r="H16" s="820">
        <f t="shared" si="38"/>
        <v>0.68921263827633583</v>
      </c>
      <c r="I16" s="820">
        <f t="shared" si="38"/>
        <v>0.70714891026221183</v>
      </c>
      <c r="J16" s="820">
        <f t="shared" si="38"/>
        <v>0.92667501899265614</v>
      </c>
      <c r="K16" s="820">
        <f t="shared" si="38"/>
        <v>0.85209453344762076</v>
      </c>
      <c r="L16" s="820">
        <f t="shared" si="38"/>
        <v>0.95729684706629159</v>
      </c>
      <c r="M16" s="820">
        <f t="shared" si="38"/>
        <v>0.94945548995178408</v>
      </c>
      <c r="N16" s="820">
        <f t="shared" si="38"/>
        <v>0.89428382055532718</v>
      </c>
      <c r="O16" s="820">
        <f t="shared" si="38"/>
        <v>0.89251541651009825</v>
      </c>
      <c r="P16" s="820">
        <f t="shared" si="38"/>
        <v>0.89286512511192961</v>
      </c>
      <c r="Q16" s="820">
        <f t="shared" si="38"/>
        <v>0.89620738495941743</v>
      </c>
      <c r="R16" s="820">
        <f t="shared" si="38"/>
        <v>0.88081391152160315</v>
      </c>
      <c r="S16" s="820">
        <f t="shared" si="38"/>
        <v>0.8984740580348114</v>
      </c>
      <c r="T16" s="820">
        <f t="shared" si="38"/>
        <v>0.94593025792803831</v>
      </c>
      <c r="U16" s="820">
        <f t="shared" ref="U16" si="39">U15/U11</f>
        <v>0.91040701403108926</v>
      </c>
      <c r="V16" s="820">
        <f t="shared" si="38"/>
        <v>0.86396002768645097</v>
      </c>
      <c r="W16" s="820">
        <f t="shared" si="38"/>
        <v>0.77266907884640357</v>
      </c>
      <c r="X16" s="820">
        <f t="shared" si="38"/>
        <v>0.77266907884640357</v>
      </c>
      <c r="Y16" s="820">
        <f t="shared" si="38"/>
        <v>0.77266907884640346</v>
      </c>
      <c r="Z16" s="820">
        <f t="shared" si="38"/>
        <v>0.77266907884640357</v>
      </c>
      <c r="AA16" s="820">
        <f t="shared" si="38"/>
        <v>0.77266907884640357</v>
      </c>
      <c r="AB16" s="820">
        <f t="shared" si="38"/>
        <v>0.77266907884640357</v>
      </c>
      <c r="AC16" s="820">
        <f t="shared" si="38"/>
        <v>0.77266907884640346</v>
      </c>
      <c r="AD16" s="820">
        <f t="shared" ref="AD16:AF16" si="40">AD15/AD11</f>
        <v>0.77266907884640357</v>
      </c>
      <c r="AE16" s="820">
        <f t="shared" si="40"/>
        <v>0.77266907884640357</v>
      </c>
      <c r="AF16" s="820">
        <f t="shared" si="40"/>
        <v>0.77266907884640357</v>
      </c>
      <c r="AG16" s="820">
        <f t="shared" ref="AG16" si="41">AG15/AG11</f>
        <v>0.77266907884640357</v>
      </c>
    </row>
    <row r="17" spans="1:33" x14ac:dyDescent="0.35">
      <c r="A17" s="872"/>
      <c r="B17" s="1648"/>
      <c r="C17" s="873"/>
      <c r="D17" s="873"/>
      <c r="E17" s="873"/>
      <c r="F17" s="873"/>
      <c r="G17" s="873"/>
      <c r="H17" s="873"/>
      <c r="I17" s="873"/>
      <c r="J17" s="873"/>
      <c r="K17" s="873"/>
      <c r="L17" s="873"/>
      <c r="M17" s="873"/>
      <c r="N17" s="873"/>
      <c r="O17" s="873"/>
      <c r="P17" s="873"/>
      <c r="Q17" s="873"/>
      <c r="R17" s="873"/>
      <c r="S17" s="873"/>
      <c r="T17" s="873"/>
      <c r="U17" s="873"/>
      <c r="V17" s="873"/>
      <c r="W17" s="873"/>
      <c r="X17" s="873"/>
      <c r="Y17" s="873"/>
      <c r="Z17" s="873"/>
      <c r="AA17" s="873"/>
      <c r="AB17" s="873"/>
      <c r="AC17" s="873"/>
      <c r="AD17" s="873"/>
      <c r="AE17" s="873"/>
      <c r="AF17" s="873"/>
      <c r="AG17" s="873"/>
    </row>
    <row r="18" spans="1:33" x14ac:dyDescent="0.35">
      <c r="A18" s="858" t="s">
        <v>2109</v>
      </c>
      <c r="B18" s="1642" t="s">
        <v>134</v>
      </c>
      <c r="C18" s="859"/>
      <c r="D18" s="860">
        <v>109.172</v>
      </c>
      <c r="E18" s="860">
        <v>274.07</v>
      </c>
      <c r="F18" s="860">
        <v>282</v>
      </c>
      <c r="G18" s="860">
        <v>89.966999999999999</v>
      </c>
      <c r="H18" s="860">
        <v>25.791</v>
      </c>
      <c r="I18" s="860">
        <v>71.188000000000002</v>
      </c>
      <c r="J18" s="860">
        <f>66018/1000</f>
        <v>66.018000000000001</v>
      </c>
      <c r="K18" s="860">
        <f>123721/1000</f>
        <v>123.721</v>
      </c>
      <c r="L18" s="860">
        <v>96.334000000000003</v>
      </c>
      <c r="M18" s="860">
        <f>268605/1000</f>
        <v>268.60500000000002</v>
      </c>
      <c r="N18" s="860">
        <f>921420/1000</f>
        <v>921.42</v>
      </c>
      <c r="O18" s="860">
        <f>866137/1000</f>
        <v>866.13699999999994</v>
      </c>
      <c r="P18" s="860">
        <v>752.57</v>
      </c>
      <c r="Q18" s="860">
        <v>487.166</v>
      </c>
      <c r="R18" s="860">
        <v>536.63</v>
      </c>
      <c r="S18" s="860">
        <v>853.35599999999999</v>
      </c>
      <c r="T18" s="860">
        <v>569.98699999999997</v>
      </c>
      <c r="U18" s="860">
        <v>964.89200000000005</v>
      </c>
      <c r="V18" s="860">
        <v>1194.9860000000001</v>
      </c>
      <c r="W18" s="860">
        <f>770.279</f>
        <v>770.279</v>
      </c>
      <c r="X18" s="859">
        <f t="shared" ref="X18:AC18" si="42">X11*X20</f>
        <v>980.90746371459943</v>
      </c>
      <c r="Y18" s="859">
        <f t="shared" si="42"/>
        <v>1142.2309968909328</v>
      </c>
      <c r="Z18" s="859">
        <f t="shared" si="42"/>
        <v>1388.6091686304219</v>
      </c>
      <c r="AA18" s="859">
        <f t="shared" si="42"/>
        <v>1630.2071563624168</v>
      </c>
      <c r="AB18" s="859">
        <f t="shared" si="42"/>
        <v>1868.8900652207728</v>
      </c>
      <c r="AC18" s="859">
        <f t="shared" si="42"/>
        <v>2106.3981958682029</v>
      </c>
      <c r="AD18" s="859">
        <f t="shared" ref="AD18:AF18" si="43">AD11*AD20</f>
        <v>2344.3655944137181</v>
      </c>
      <c r="AE18" s="859">
        <f t="shared" si="43"/>
        <v>2584.3368511246881</v>
      </c>
      <c r="AF18" s="859">
        <f t="shared" si="43"/>
        <v>2827.7823579232409</v>
      </c>
      <c r="AG18" s="859">
        <f t="shared" ref="AG18" si="44">AG11*AG20</f>
        <v>3076.1122125992883</v>
      </c>
    </row>
    <row r="19" spans="1:33" x14ac:dyDescent="0.35">
      <c r="A19" s="625" t="s">
        <v>577</v>
      </c>
      <c r="B19" s="1643" t="s">
        <v>577</v>
      </c>
      <c r="C19" s="820"/>
      <c r="D19" s="820"/>
      <c r="E19" s="820">
        <f t="shared" ref="E19:AC19" si="45">E18/D18-1</f>
        <v>1.5104422379364673</v>
      </c>
      <c r="F19" s="820">
        <f t="shared" si="45"/>
        <v>2.8934213886963267E-2</v>
      </c>
      <c r="G19" s="820">
        <f t="shared" si="45"/>
        <v>-0.68096808510638296</v>
      </c>
      <c r="H19" s="820">
        <f t="shared" si="45"/>
        <v>-0.71332822034746068</v>
      </c>
      <c r="I19" s="820">
        <f t="shared" si="45"/>
        <v>1.7601876623628399</v>
      </c>
      <c r="J19" s="820">
        <f t="shared" si="45"/>
        <v>-7.2624599651626709E-2</v>
      </c>
      <c r="K19" s="820">
        <f t="shared" si="45"/>
        <v>0.87404950165106499</v>
      </c>
      <c r="L19" s="820">
        <f t="shared" si="45"/>
        <v>-0.2213609653979518</v>
      </c>
      <c r="M19" s="820">
        <f t="shared" si="45"/>
        <v>1.7882679012601992</v>
      </c>
      <c r="N19" s="820">
        <f t="shared" si="45"/>
        <v>2.4303903501424022</v>
      </c>
      <c r="O19" s="820">
        <f t="shared" si="45"/>
        <v>-5.9997612380890408E-2</v>
      </c>
      <c r="P19" s="820">
        <f t="shared" si="45"/>
        <v>-0.13111898002279077</v>
      </c>
      <c r="Q19" s="820">
        <f t="shared" si="45"/>
        <v>-0.35266353960428931</v>
      </c>
      <c r="R19" s="820">
        <f t="shared" si="45"/>
        <v>0.10153417931464848</v>
      </c>
      <c r="S19" s="820">
        <f t="shared" si="45"/>
        <v>0.59021299591897591</v>
      </c>
      <c r="T19" s="820">
        <f t="shared" si="45"/>
        <v>-0.33206422641898581</v>
      </c>
      <c r="U19" s="820">
        <f t="shared" si="45"/>
        <v>0.69283159089593283</v>
      </c>
      <c r="V19" s="820">
        <f t="shared" si="45"/>
        <v>0.23846606666860137</v>
      </c>
      <c r="W19" s="820">
        <f t="shared" si="45"/>
        <v>-0.35540751105033874</v>
      </c>
      <c r="X19" s="820">
        <f t="shared" si="45"/>
        <v>0.2734443801721187</v>
      </c>
      <c r="Y19" s="820">
        <f t="shared" si="45"/>
        <v>0.16446355965670523</v>
      </c>
      <c r="Z19" s="820">
        <f t="shared" si="45"/>
        <v>0.21569907699065416</v>
      </c>
      <c r="AA19" s="820">
        <f t="shared" si="45"/>
        <v>0.17398559161918947</v>
      </c>
      <c r="AB19" s="820">
        <f t="shared" si="45"/>
        <v>0.14641262487826645</v>
      </c>
      <c r="AC19" s="820">
        <f t="shared" si="45"/>
        <v>0.12708512665744909</v>
      </c>
      <c r="AD19" s="820">
        <f t="shared" ref="AD19" si="46">AD18/AC18-1</f>
        <v>0.11297360537637147</v>
      </c>
      <c r="AE19" s="820">
        <f t="shared" ref="AE19" si="47">AE18/AD18-1</f>
        <v>0.10236085074904122</v>
      </c>
      <c r="AF19" s="820">
        <f t="shared" ref="AF19:AG19" si="48">AF18/AE18-1</f>
        <v>9.4200377436326255E-2</v>
      </c>
      <c r="AG19" s="820">
        <f t="shared" si="48"/>
        <v>8.7817881026184708E-2</v>
      </c>
    </row>
    <row r="20" spans="1:33" x14ac:dyDescent="0.35">
      <c r="A20" s="625" t="s">
        <v>2097</v>
      </c>
      <c r="B20" s="1643" t="s">
        <v>2967</v>
      </c>
      <c r="C20" s="820"/>
      <c r="D20" s="820">
        <f t="shared" ref="D20:T20" si="49">D18/D11</f>
        <v>7.0360917762309877E-2</v>
      </c>
      <c r="E20" s="820">
        <f t="shared" si="49"/>
        <v>0.17272063837376528</v>
      </c>
      <c r="F20" s="820">
        <f t="shared" si="49"/>
        <v>0.13569500382544425</v>
      </c>
      <c r="G20" s="820">
        <f t="shared" si="49"/>
        <v>0.22260243467933491</v>
      </c>
      <c r="H20" s="820">
        <f t="shared" si="49"/>
        <v>0.31078736172366422</v>
      </c>
      <c r="I20" s="820">
        <f t="shared" si="49"/>
        <v>0.29285108973778828</v>
      </c>
      <c r="J20" s="820">
        <f t="shared" si="49"/>
        <v>7.3324981007343831E-2</v>
      </c>
      <c r="K20" s="820">
        <f t="shared" si="49"/>
        <v>0.14790546655237918</v>
      </c>
      <c r="L20" s="820">
        <f t="shared" si="49"/>
        <v>4.2703152933708473E-2</v>
      </c>
      <c r="M20" s="820">
        <f t="shared" si="49"/>
        <v>5.0544510048215863E-2</v>
      </c>
      <c r="N20" s="820">
        <f t="shared" si="49"/>
        <v>0.10571617944467283</v>
      </c>
      <c r="O20" s="820">
        <f t="shared" si="49"/>
        <v>0.10748458348990177</v>
      </c>
      <c r="P20" s="820">
        <f t="shared" si="49"/>
        <v>0.10713487488807048</v>
      </c>
      <c r="Q20" s="820">
        <f t="shared" si="49"/>
        <v>0.1037926150405825</v>
      </c>
      <c r="R20" s="820">
        <f t="shared" si="49"/>
        <v>0.11918608847839679</v>
      </c>
      <c r="S20" s="820">
        <f t="shared" si="49"/>
        <v>0.10152594196518865</v>
      </c>
      <c r="T20" s="820">
        <f t="shared" si="49"/>
        <v>5.4069742071961822E-2</v>
      </c>
      <c r="U20" s="820">
        <f t="shared" ref="U20" si="50">U18/U11</f>
        <v>8.9592985968910813E-2</v>
      </c>
      <c r="V20" s="820">
        <f t="shared" ref="V20:W20" si="51">V18/V11</f>
        <v>0.13603997231354906</v>
      </c>
      <c r="W20" s="820">
        <f t="shared" si="51"/>
        <v>0.22733092115359643</v>
      </c>
      <c r="X20" s="821">
        <f t="shared" ref="X20:AC20" si="52">W20</f>
        <v>0.22733092115359643</v>
      </c>
      <c r="Y20" s="821">
        <f t="shared" si="52"/>
        <v>0.22733092115359643</v>
      </c>
      <c r="Z20" s="821">
        <f t="shared" si="52"/>
        <v>0.22733092115359643</v>
      </c>
      <c r="AA20" s="821">
        <f t="shared" si="52"/>
        <v>0.22733092115359643</v>
      </c>
      <c r="AB20" s="821">
        <f t="shared" si="52"/>
        <v>0.22733092115359643</v>
      </c>
      <c r="AC20" s="821">
        <f t="shared" si="52"/>
        <v>0.22733092115359643</v>
      </c>
      <c r="AD20" s="821">
        <f t="shared" ref="AD20" si="53">AC20</f>
        <v>0.22733092115359643</v>
      </c>
      <c r="AE20" s="821">
        <f t="shared" ref="AE20" si="54">AD20</f>
        <v>0.22733092115359643</v>
      </c>
      <c r="AF20" s="821">
        <f t="shared" ref="AF20:AG20" si="55">AE20</f>
        <v>0.22733092115359643</v>
      </c>
      <c r="AG20" s="821">
        <f t="shared" si="55"/>
        <v>0.22733092115359643</v>
      </c>
    </row>
    <row r="21" spans="1:33" x14ac:dyDescent="0.35">
      <c r="A21" s="625" t="s">
        <v>2044</v>
      </c>
      <c r="B21" s="1643" t="s">
        <v>2968</v>
      </c>
      <c r="C21" s="820"/>
      <c r="D21" s="820">
        <f>D18/(PL!D40-PL!D58)</f>
        <v>0.20166024464040963</v>
      </c>
      <c r="E21" s="820">
        <f>E18/(PL!E40-PL!E58)</f>
        <v>0.32993570304703268</v>
      </c>
      <c r="F21" s="820">
        <f>F18/(PL!F40-PL!F58)</f>
        <v>0.31009695478192595</v>
      </c>
      <c r="G21" s="820">
        <f>G18/(PL!G40-PL!G58)</f>
        <v>9.0610150850738536E-2</v>
      </c>
      <c r="H21" s="820">
        <f>H18/(PL!H40-PL!H58)</f>
        <v>1.9600198806250552E-2</v>
      </c>
      <c r="I21" s="820">
        <f>I18/(PL!I40-PL!I58)</f>
        <v>3.9588829619215851E-2</v>
      </c>
      <c r="J21" s="820">
        <f>J18/(PL!J40-PL!J58)</f>
        <v>2.4287244175133917E-2</v>
      </c>
      <c r="K21" s="820">
        <f>K18/(PL!K40-PL!K58)</f>
        <v>3.3027980923371808E-2</v>
      </c>
      <c r="L21" s="820">
        <f>L18/(PL!L40-PL!L58)</f>
        <v>2.031466281126559E-2</v>
      </c>
      <c r="M21" s="820">
        <f>M18/(PL!M40-PL!M58)</f>
        <v>5.2532555985930325E-2</v>
      </c>
      <c r="N21" s="820">
        <f>N18/(PL!N40-PL!N58)</f>
        <v>0.1540094917529656</v>
      </c>
      <c r="O21" s="820">
        <f>O18/(PL!O40-PL!O58)</f>
        <v>0.11374045801526718</v>
      </c>
      <c r="P21" s="820">
        <f>P18/(PL!P40-PL!P58)</f>
        <v>8.6537898751681858E-2</v>
      </c>
      <c r="Q21" s="820">
        <f>Q18/(PL!Q40-PL!Q58)</f>
        <v>5.2748123234365583E-2</v>
      </c>
      <c r="R21" s="820">
        <f>R18/(PL!R40-PL!R58)</f>
        <v>5.7800604233512159E-2</v>
      </c>
      <c r="S21" s="820">
        <f>S18/(PL!S40-PL!S58)</f>
        <v>7.1215413699517699E-2</v>
      </c>
      <c r="T21" s="820">
        <f>T18/(PL!T40-PL!T58)</f>
        <v>4.0662433254125399E-2</v>
      </c>
      <c r="U21" s="820">
        <f>U18/(PL!U40-PL!U58)</f>
        <v>5.9062087016455364E-2</v>
      </c>
      <c r="V21" s="820">
        <f>V18/(PL!V40-PL!V58)</f>
        <v>7.3179260301494742E-2</v>
      </c>
      <c r="W21" s="820">
        <f>W18/(PL!W40-PL!W58)</f>
        <v>4.8200579448960314E-2</v>
      </c>
      <c r="X21" s="820">
        <f>X18/(PL!X40-PL!X58)</f>
        <v>5.7456989945227063E-2</v>
      </c>
      <c r="Y21" s="820">
        <f>Y18/(PL!Y40-PL!Y58)</f>
        <v>6.1574862032884967E-2</v>
      </c>
      <c r="Z21" s="820">
        <f>Z18/(PL!Z40-PL!Z58)</f>
        <v>7.1080411127854889E-2</v>
      </c>
      <c r="AA21" s="820">
        <f>AA18/(PL!AA40-PL!AA58)</f>
        <v>7.5390015536296567E-2</v>
      </c>
      <c r="AB21" s="820">
        <f>AB18/(PL!AB40-PL!AB58)</f>
        <v>7.9306969962916335E-2</v>
      </c>
      <c r="AC21" s="820">
        <f>AC18/(PL!AC40-PL!AC58)</f>
        <v>8.2987347487496615E-2</v>
      </c>
      <c r="AD21" s="820">
        <f>AD18/(PL!AD40-PL!AD58)</f>
        <v>8.6533592448559016E-2</v>
      </c>
      <c r="AE21" s="820">
        <f>AE18/(PL!AE40-PL!AE58)</f>
        <v>9.0018030441615146E-2</v>
      </c>
      <c r="AF21" s="820">
        <f>AF18/(PL!AF40-PL!AF58)</f>
        <v>9.3495040199223944E-2</v>
      </c>
      <c r="AG21" s="820">
        <f>AG18/(PL!AG40-PL!AG58)</f>
        <v>9.7007781568687237E-2</v>
      </c>
    </row>
    <row r="22" spans="1:33" x14ac:dyDescent="0.35">
      <c r="A22" s="625"/>
      <c r="B22" s="1643"/>
      <c r="C22" s="820"/>
      <c r="D22" s="820"/>
      <c r="E22" s="820"/>
      <c r="F22" s="820"/>
      <c r="G22" s="820"/>
      <c r="H22" s="820"/>
      <c r="I22" s="820"/>
      <c r="J22" s="820"/>
      <c r="K22" s="820"/>
      <c r="L22" s="820"/>
      <c r="M22" s="820"/>
    </row>
    <row r="23" spans="1:33" x14ac:dyDescent="0.35">
      <c r="A23" s="625" t="s">
        <v>2074</v>
      </c>
      <c r="B23" s="1643" t="s">
        <v>2969</v>
      </c>
      <c r="C23" s="820"/>
      <c r="D23" s="894">
        <f t="shared" ref="D23:T23" si="56">+D26-D18</f>
        <v>-28.314999999999998</v>
      </c>
      <c r="E23" s="894">
        <f t="shared" si="56"/>
        <v>-24.837999999999994</v>
      </c>
      <c r="F23" s="894">
        <f t="shared" si="56"/>
        <v>-20.182999999999993</v>
      </c>
      <c r="G23" s="894">
        <f t="shared" si="56"/>
        <v>-11.614000000000004</v>
      </c>
      <c r="H23" s="894">
        <f t="shared" si="56"/>
        <v>17.13</v>
      </c>
      <c r="I23" s="894">
        <f t="shared" si="56"/>
        <v>153.29199999999997</v>
      </c>
      <c r="J23" s="894">
        <f t="shared" si="56"/>
        <v>112.31200000000001</v>
      </c>
      <c r="K23" s="894">
        <f t="shared" si="56"/>
        <v>120.381</v>
      </c>
      <c r="L23" s="894">
        <f t="shared" si="56"/>
        <v>231.94799999999998</v>
      </c>
      <c r="M23" s="894">
        <f t="shared" si="56"/>
        <v>463.226</v>
      </c>
      <c r="N23" s="894">
        <f t="shared" si="56"/>
        <v>8.5769999999999982</v>
      </c>
      <c r="O23" s="894">
        <f t="shared" si="56"/>
        <v>24.724000000000046</v>
      </c>
      <c r="P23" s="894">
        <f t="shared" si="56"/>
        <v>-16.383000000000038</v>
      </c>
      <c r="Q23" s="894">
        <f t="shared" si="56"/>
        <v>-14.341999999999985</v>
      </c>
      <c r="R23" s="894">
        <f t="shared" si="56"/>
        <v>-27.028999999999996</v>
      </c>
      <c r="S23" s="894">
        <f t="shared" si="56"/>
        <v>-20.975999999999999</v>
      </c>
      <c r="T23" s="894">
        <f t="shared" si="56"/>
        <v>-25.976999999999975</v>
      </c>
      <c r="U23" s="894">
        <f t="shared" ref="U23:V23" si="57">+U26-U18</f>
        <v>-4.6460000000000719</v>
      </c>
      <c r="V23" s="894">
        <f t="shared" si="57"/>
        <v>-94.232000000000198</v>
      </c>
      <c r="W23" s="894">
        <f>+W26-W18</f>
        <v>-22.691000000000031</v>
      </c>
      <c r="X23" s="894">
        <f>X11*X24</f>
        <v>-28.895726430485581</v>
      </c>
      <c r="Y23" s="894">
        <f t="shared" ref="Y23:AG23" si="58">Y11*Y24</f>
        <v>-33.648020458109578</v>
      </c>
      <c r="Z23" s="894">
        <f t="shared" si="58"/>
        <v>-40.905867413486469</v>
      </c>
      <c r="AA23" s="894">
        <f t="shared" si="58"/>
        <v>-48.022898956118041</v>
      </c>
      <c r="AB23" s="894">
        <f t="shared" si="58"/>
        <v>-55.054057646547044</v>
      </c>
      <c r="AC23" s="894">
        <f t="shared" si="58"/>
        <v>-62.050609535564973</v>
      </c>
      <c r="AD23" s="894">
        <f t="shared" si="58"/>
        <v>-69.06069061059921</v>
      </c>
      <c r="AE23" s="894">
        <f t="shared" si="58"/>
        <v>-76.129801654816475</v>
      </c>
      <c r="AF23" s="894">
        <f t="shared" si="58"/>
        <v>-83.301257704852844</v>
      </c>
      <c r="AG23" s="894">
        <f t="shared" si="58"/>
        <v>-90.616597643309177</v>
      </c>
    </row>
    <row r="24" spans="1:33" x14ac:dyDescent="0.35">
      <c r="A24" s="625" t="s">
        <v>2044</v>
      </c>
      <c r="B24" s="1643" t="s">
        <v>2970</v>
      </c>
      <c r="C24" s="820"/>
      <c r="D24" s="820">
        <f t="shared" ref="D24:T24" si="59">D23/D11</f>
        <v>-1.8248904356792987E-2</v>
      </c>
      <c r="E24" s="820">
        <f t="shared" si="59"/>
        <v>-1.5653063873928487E-2</v>
      </c>
      <c r="F24" s="820">
        <f t="shared" si="59"/>
        <v>-9.7118165326558169E-3</v>
      </c>
      <c r="G24" s="820">
        <f t="shared" si="59"/>
        <v>-2.873614410134601E-2</v>
      </c>
      <c r="H24" s="820">
        <f t="shared" si="59"/>
        <v>0.20642036006073311</v>
      </c>
      <c r="I24" s="820">
        <f t="shared" si="59"/>
        <v>0.63060809754572444</v>
      </c>
      <c r="J24" s="820">
        <f t="shared" si="59"/>
        <v>0.12474287719859434</v>
      </c>
      <c r="K24" s="820">
        <f t="shared" si="59"/>
        <v>0.1439125772426828</v>
      </c>
      <c r="L24" s="820">
        <f t="shared" si="59"/>
        <v>0.10281843291743115</v>
      </c>
      <c r="M24" s="820">
        <f t="shared" si="59"/>
        <v>8.7167145852068417E-2</v>
      </c>
      <c r="N24" s="820">
        <f t="shared" si="59"/>
        <v>9.8405468852093367E-4</v>
      </c>
      <c r="O24" s="820">
        <f t="shared" si="59"/>
        <v>3.0681622447769077E-3</v>
      </c>
      <c r="P24" s="820">
        <f t="shared" si="59"/>
        <v>-2.3322623215000105E-3</v>
      </c>
      <c r="Q24" s="820">
        <f t="shared" si="59"/>
        <v>-3.0556189982717035E-3</v>
      </c>
      <c r="R24" s="820">
        <f t="shared" si="59"/>
        <v>-6.003169382037132E-3</v>
      </c>
      <c r="S24" s="820">
        <f t="shared" si="59"/>
        <v>-2.4955682723995574E-3</v>
      </c>
      <c r="T24" s="820">
        <f t="shared" si="59"/>
        <v>-2.4642135518939045E-3</v>
      </c>
      <c r="U24" s="820">
        <f t="shared" ref="U24:V24" si="60">U23/U11</f>
        <v>-4.3139440767626437E-4</v>
      </c>
      <c r="V24" s="820">
        <f t="shared" si="60"/>
        <v>-1.0727589001921681E-2</v>
      </c>
      <c r="W24" s="820">
        <f>W23/W11</f>
        <v>-6.6967500501717734E-3</v>
      </c>
      <c r="X24" s="821">
        <f>W24</f>
        <v>-6.6967500501717734E-3</v>
      </c>
      <c r="Y24" s="821">
        <f t="shared" ref="Y24:AG24" si="61">X24</f>
        <v>-6.6967500501717734E-3</v>
      </c>
      <c r="Z24" s="821">
        <f t="shared" si="61"/>
        <v>-6.6967500501717734E-3</v>
      </c>
      <c r="AA24" s="821">
        <f t="shared" si="61"/>
        <v>-6.6967500501717734E-3</v>
      </c>
      <c r="AB24" s="821">
        <f t="shared" si="61"/>
        <v>-6.6967500501717734E-3</v>
      </c>
      <c r="AC24" s="821">
        <f t="shared" si="61"/>
        <v>-6.6967500501717734E-3</v>
      </c>
      <c r="AD24" s="821">
        <f t="shared" si="61"/>
        <v>-6.6967500501717734E-3</v>
      </c>
      <c r="AE24" s="821">
        <f t="shared" si="61"/>
        <v>-6.6967500501717734E-3</v>
      </c>
      <c r="AF24" s="821">
        <f t="shared" si="61"/>
        <v>-6.6967500501717734E-3</v>
      </c>
      <c r="AG24" s="821">
        <f t="shared" si="61"/>
        <v>-6.6967500501717734E-3</v>
      </c>
    </row>
    <row r="25" spans="1:33" x14ac:dyDescent="0.35">
      <c r="C25" s="875"/>
      <c r="D25" s="875"/>
      <c r="E25" s="875"/>
      <c r="F25" s="875"/>
      <c r="G25" s="875"/>
      <c r="H25" s="875"/>
      <c r="I25" s="875"/>
      <c r="J25" s="875"/>
      <c r="K25" s="875"/>
      <c r="L25" s="875"/>
      <c r="M25" s="875"/>
      <c r="N25" s="875"/>
      <c r="O25" s="875"/>
      <c r="P25" s="875"/>
      <c r="Q25" s="875"/>
      <c r="R25" s="875"/>
      <c r="S25" s="875"/>
      <c r="T25" s="875"/>
      <c r="U25" s="875"/>
      <c r="V25" s="875"/>
      <c r="W25" s="875"/>
      <c r="X25" s="875"/>
      <c r="Y25" s="875"/>
      <c r="Z25" s="875"/>
      <c r="AA25" s="875"/>
      <c r="AB25" s="875"/>
      <c r="AC25" s="875"/>
      <c r="AD25" s="875"/>
      <c r="AE25" s="875"/>
      <c r="AF25" s="875"/>
      <c r="AG25" s="875"/>
    </row>
    <row r="26" spans="1:33" x14ac:dyDescent="0.35">
      <c r="A26" s="858" t="s">
        <v>855</v>
      </c>
      <c r="B26" s="1642" t="s">
        <v>488</v>
      </c>
      <c r="C26" s="859"/>
      <c r="D26" s="860">
        <v>80.856999999999999</v>
      </c>
      <c r="E26" s="860">
        <v>249.232</v>
      </c>
      <c r="F26" s="860">
        <v>261.81700000000001</v>
      </c>
      <c r="G26" s="860">
        <v>78.352999999999994</v>
      </c>
      <c r="H26" s="860">
        <v>42.920999999999999</v>
      </c>
      <c r="I26" s="860">
        <v>224.48</v>
      </c>
      <c r="J26" s="860">
        <f>178330/1000</f>
        <v>178.33</v>
      </c>
      <c r="K26" s="860">
        <f>244102/1000</f>
        <v>244.102</v>
      </c>
      <c r="L26" s="860">
        <v>328.28199999999998</v>
      </c>
      <c r="M26" s="860">
        <f>731831/1000</f>
        <v>731.83100000000002</v>
      </c>
      <c r="N26" s="860">
        <f>929997/1000</f>
        <v>929.99699999999996</v>
      </c>
      <c r="O26" s="860">
        <f>890861/1000</f>
        <v>890.86099999999999</v>
      </c>
      <c r="P26" s="860">
        <v>736.18700000000001</v>
      </c>
      <c r="Q26" s="860">
        <v>472.82400000000001</v>
      </c>
      <c r="R26" s="860">
        <v>509.601</v>
      </c>
      <c r="S26" s="860">
        <v>832.38</v>
      </c>
      <c r="T26" s="860">
        <v>544.01</v>
      </c>
      <c r="U26" s="860">
        <v>960.24599999999998</v>
      </c>
      <c r="V26" s="860">
        <v>1100.7539999999999</v>
      </c>
      <c r="W26" s="860">
        <f>747.588</f>
        <v>747.58799999999997</v>
      </c>
      <c r="X26" s="818">
        <f>X18+X23</f>
        <v>952.01173728411391</v>
      </c>
      <c r="Y26" s="818">
        <f t="shared" ref="Y26:AG26" si="62">Y18+Y23</f>
        <v>1108.5829764328232</v>
      </c>
      <c r="Z26" s="818">
        <f t="shared" si="62"/>
        <v>1347.7033012169354</v>
      </c>
      <c r="AA26" s="818">
        <f t="shared" si="62"/>
        <v>1582.1842574062987</v>
      </c>
      <c r="AB26" s="818">
        <f t="shared" si="62"/>
        <v>1813.8360075742257</v>
      </c>
      <c r="AC26" s="818">
        <f t="shared" si="62"/>
        <v>2044.347586332638</v>
      </c>
      <c r="AD26" s="818">
        <f t="shared" si="62"/>
        <v>2275.304903803119</v>
      </c>
      <c r="AE26" s="818">
        <f t="shared" si="62"/>
        <v>2508.2070494698714</v>
      </c>
      <c r="AF26" s="818">
        <f t="shared" si="62"/>
        <v>2744.4811002183878</v>
      </c>
      <c r="AG26" s="818">
        <f t="shared" si="62"/>
        <v>2985.4956149559794</v>
      </c>
    </row>
    <row r="27" spans="1:33" s="623" customFormat="1" x14ac:dyDescent="0.35">
      <c r="A27" s="623" t="s">
        <v>577</v>
      </c>
      <c r="B27" s="1657" t="s">
        <v>577</v>
      </c>
      <c r="C27" s="843"/>
      <c r="D27" s="843"/>
      <c r="E27" s="843">
        <f t="shared" ref="E27:AG27" si="63">E26/D26-1</f>
        <v>2.0823800042049543</v>
      </c>
      <c r="F27" s="843">
        <f t="shared" si="63"/>
        <v>5.0495121011748134E-2</v>
      </c>
      <c r="G27" s="843">
        <f t="shared" si="63"/>
        <v>-0.70073371858970201</v>
      </c>
      <c r="H27" s="843">
        <f t="shared" si="63"/>
        <v>-0.4522098707133102</v>
      </c>
      <c r="I27" s="843">
        <f t="shared" si="63"/>
        <v>4.2300738566203027</v>
      </c>
      <c r="J27" s="843">
        <f t="shared" si="63"/>
        <v>-0.2055862437633641</v>
      </c>
      <c r="K27" s="843">
        <f t="shared" si="63"/>
        <v>0.36882184713732968</v>
      </c>
      <c r="L27" s="843">
        <f t="shared" si="63"/>
        <v>0.34485583895256888</v>
      </c>
      <c r="M27" s="843">
        <f t="shared" si="63"/>
        <v>1.2292754400180335</v>
      </c>
      <c r="N27" s="843">
        <f t="shared" si="63"/>
        <v>0.27078109563546771</v>
      </c>
      <c r="O27" s="843">
        <f t="shared" si="63"/>
        <v>-4.2081856178030619E-2</v>
      </c>
      <c r="P27" s="843">
        <f t="shared" si="63"/>
        <v>-0.17362304557052111</v>
      </c>
      <c r="Q27" s="843">
        <f t="shared" si="63"/>
        <v>-0.35773927004959338</v>
      </c>
      <c r="R27" s="843">
        <f t="shared" si="63"/>
        <v>7.7781584691132499E-2</v>
      </c>
      <c r="S27" s="843">
        <f t="shared" si="63"/>
        <v>0.63339553886275723</v>
      </c>
      <c r="T27" s="843">
        <f t="shared" si="63"/>
        <v>-0.34644032773492872</v>
      </c>
      <c r="U27" s="843">
        <f t="shared" si="63"/>
        <v>0.76512564107277448</v>
      </c>
      <c r="V27" s="843">
        <f t="shared" si="63"/>
        <v>0.14632500421766914</v>
      </c>
      <c r="W27" s="843">
        <f t="shared" si="63"/>
        <v>-0.32084007870968445</v>
      </c>
      <c r="X27" s="820">
        <f t="shared" si="63"/>
        <v>0.2734443801721187</v>
      </c>
      <c r="Y27" s="820">
        <f t="shared" si="63"/>
        <v>0.16446355965670501</v>
      </c>
      <c r="Z27" s="820">
        <f t="shared" si="63"/>
        <v>0.21569907699065416</v>
      </c>
      <c r="AA27" s="820">
        <f t="shared" si="63"/>
        <v>0.17398559161918947</v>
      </c>
      <c r="AB27" s="820">
        <f t="shared" si="63"/>
        <v>0.14641262487826645</v>
      </c>
      <c r="AC27" s="820">
        <f t="shared" si="63"/>
        <v>0.12708512665744909</v>
      </c>
      <c r="AD27" s="820">
        <f t="shared" si="63"/>
        <v>0.11297360537637147</v>
      </c>
      <c r="AE27" s="820">
        <f t="shared" si="63"/>
        <v>0.102360850749041</v>
      </c>
      <c r="AF27" s="820">
        <f t="shared" si="63"/>
        <v>9.4200377436326255E-2</v>
      </c>
      <c r="AG27" s="820">
        <f t="shared" si="63"/>
        <v>8.781788102618493E-2</v>
      </c>
    </row>
    <row r="28" spans="1:33" s="623" customFormat="1" x14ac:dyDescent="0.35">
      <c r="A28" s="623" t="s">
        <v>2111</v>
      </c>
      <c r="B28" s="1657" t="s">
        <v>93</v>
      </c>
      <c r="C28" s="843"/>
      <c r="D28" s="843">
        <f t="shared" ref="D28:T28" si="64">D26/D11</f>
        <v>5.211201340551689E-2</v>
      </c>
      <c r="E28" s="843">
        <f t="shared" si="64"/>
        <v>0.15706757449983677</v>
      </c>
      <c r="F28" s="843">
        <f t="shared" si="64"/>
        <v>0.12598318729278843</v>
      </c>
      <c r="G28" s="843">
        <f t="shared" si="64"/>
        <v>0.19386629057798888</v>
      </c>
      <c r="H28" s="843">
        <f t="shared" si="64"/>
        <v>0.51720772178439733</v>
      </c>
      <c r="I28" s="843">
        <f t="shared" si="64"/>
        <v>0.92345918728351273</v>
      </c>
      <c r="J28" s="843">
        <f t="shared" si="64"/>
        <v>0.19806785820593817</v>
      </c>
      <c r="K28" s="843">
        <f t="shared" si="64"/>
        <v>0.29181804379506199</v>
      </c>
      <c r="L28" s="843">
        <f t="shared" si="64"/>
        <v>0.14552158585113961</v>
      </c>
      <c r="M28" s="843">
        <f t="shared" si="64"/>
        <v>0.13771165590028428</v>
      </c>
      <c r="N28" s="843">
        <f t="shared" si="64"/>
        <v>0.10670023413319377</v>
      </c>
      <c r="O28" s="843">
        <f t="shared" si="64"/>
        <v>0.11055274573467867</v>
      </c>
      <c r="P28" s="843">
        <f t="shared" si="64"/>
        <v>0.10480261256657047</v>
      </c>
      <c r="Q28" s="843">
        <f t="shared" si="64"/>
        <v>0.1007369960423108</v>
      </c>
      <c r="R28" s="843">
        <f t="shared" si="64"/>
        <v>0.11318291909635965</v>
      </c>
      <c r="S28" s="843">
        <f t="shared" si="64"/>
        <v>9.9030373692789081E-2</v>
      </c>
      <c r="T28" s="843">
        <f t="shared" si="64"/>
        <v>5.1605528520067917E-2</v>
      </c>
      <c r="U28" s="843">
        <f t="shared" ref="U28:W28" si="65">U26/U11</f>
        <v>8.9161591561234557E-2</v>
      </c>
      <c r="V28" s="843">
        <f t="shared" si="65"/>
        <v>0.12531238331162739</v>
      </c>
      <c r="W28" s="843">
        <f t="shared" si="65"/>
        <v>0.22063417110342465</v>
      </c>
      <c r="X28" s="820">
        <f>X26/X11</f>
        <v>0.22063417110342468</v>
      </c>
      <c r="Y28" s="820">
        <f t="shared" ref="Y28:AG28" si="66">Y26/Y11</f>
        <v>0.22063417110342468</v>
      </c>
      <c r="Z28" s="820">
        <f t="shared" si="66"/>
        <v>0.22063417110342465</v>
      </c>
      <c r="AA28" s="820">
        <f t="shared" si="66"/>
        <v>0.22063417110342465</v>
      </c>
      <c r="AB28" s="820">
        <f t="shared" si="66"/>
        <v>0.22063417110342465</v>
      </c>
      <c r="AC28" s="820">
        <f t="shared" si="66"/>
        <v>0.22063417110342468</v>
      </c>
      <c r="AD28" s="820">
        <f t="shared" si="66"/>
        <v>0.22063417110342465</v>
      </c>
      <c r="AE28" s="820">
        <f t="shared" si="66"/>
        <v>0.22063417110342462</v>
      </c>
      <c r="AF28" s="820">
        <f t="shared" si="66"/>
        <v>0.22063417110342465</v>
      </c>
      <c r="AG28" s="820">
        <f t="shared" si="66"/>
        <v>0.22063417110342468</v>
      </c>
    </row>
    <row r="29" spans="1:33" x14ac:dyDescent="0.35">
      <c r="B29" s="1643"/>
      <c r="C29" s="882"/>
      <c r="D29" s="882"/>
      <c r="E29" s="882"/>
      <c r="F29" s="883"/>
      <c r="G29" s="883"/>
      <c r="H29" s="883"/>
      <c r="I29" s="883"/>
      <c r="J29" s="883"/>
      <c r="K29" s="883"/>
      <c r="L29" s="883"/>
      <c r="M29" s="883"/>
      <c r="N29" s="883"/>
      <c r="O29" s="883"/>
      <c r="P29" s="883"/>
      <c r="Q29" s="883"/>
      <c r="R29" s="883"/>
      <c r="S29" s="883"/>
      <c r="T29" s="883"/>
      <c r="U29" s="883"/>
      <c r="V29" s="883"/>
      <c r="W29" s="883"/>
      <c r="X29" s="883"/>
      <c r="Y29" s="883"/>
      <c r="Z29" s="883"/>
      <c r="AA29" s="883"/>
      <c r="AB29" s="883"/>
      <c r="AC29" s="883"/>
      <c r="AD29" s="883"/>
      <c r="AE29" s="883"/>
      <c r="AF29" s="883"/>
      <c r="AG29" s="883"/>
    </row>
    <row r="30" spans="1:33" x14ac:dyDescent="0.35">
      <c r="A30" s="625" t="s">
        <v>672</v>
      </c>
      <c r="B30" s="1647" t="s">
        <v>2971</v>
      </c>
      <c r="C30" s="743"/>
      <c r="D30" s="885">
        <v>2.1789999999999998</v>
      </c>
      <c r="E30" s="885">
        <v>7.3140000000000001</v>
      </c>
      <c r="F30" s="885">
        <v>2.0329999999999999</v>
      </c>
      <c r="G30" s="867">
        <v>3.1909999999999998</v>
      </c>
      <c r="H30" s="867">
        <v>1.8740000000000001</v>
      </c>
      <c r="I30" s="867">
        <v>2.77</v>
      </c>
      <c r="J30" s="867">
        <v>6.3209999999999997</v>
      </c>
      <c r="K30" s="867">
        <f>6779/1000</f>
        <v>6.7789999999999999</v>
      </c>
      <c r="L30" s="867">
        <f>6975/1000</f>
        <v>6.9749999999999996</v>
      </c>
      <c r="M30" s="867">
        <f>2951/1000</f>
        <v>2.9510000000000001</v>
      </c>
      <c r="N30" s="867">
        <f>3442/1000</f>
        <v>3.4420000000000002</v>
      </c>
      <c r="O30" s="867">
        <v>1.478</v>
      </c>
      <c r="P30" s="867">
        <v>1.5029999999999999</v>
      </c>
      <c r="Q30" s="867">
        <v>0.81299999999999994</v>
      </c>
      <c r="R30" s="867">
        <v>7.4870000000000001</v>
      </c>
      <c r="S30" s="867">
        <v>9.1359999999999992</v>
      </c>
      <c r="T30" s="867">
        <v>16.332999999999998</v>
      </c>
      <c r="U30" s="867">
        <v>18.22</v>
      </c>
      <c r="V30" s="867">
        <v>62.494</v>
      </c>
      <c r="W30" s="895">
        <f t="shared" ref="W30:AC30" si="67">V30*0.93+W34/15</f>
        <v>58.991533788205068</v>
      </c>
      <c r="X30" s="895">
        <f t="shared" si="67"/>
        <v>55.915182985491072</v>
      </c>
      <c r="Y30" s="895">
        <f t="shared" si="67"/>
        <v>53.160372438549139</v>
      </c>
      <c r="Z30" s="895">
        <f t="shared" si="67"/>
        <v>50.76700405563102</v>
      </c>
      <c r="AA30" s="895">
        <f t="shared" si="67"/>
        <v>48.676585227416993</v>
      </c>
      <c r="AB30" s="895">
        <f t="shared" si="67"/>
        <v>46.837123648290202</v>
      </c>
      <c r="AC30" s="895">
        <f t="shared" si="67"/>
        <v>45.202137344785982</v>
      </c>
      <c r="AD30" s="895">
        <f t="shared" ref="AD30" si="68">AC30*0.93+AD34/15</f>
        <v>43.729783988417623</v>
      </c>
      <c r="AE30" s="895">
        <f t="shared" ref="AE30" si="69">AD30*0.93+AE34/15</f>
        <v>42.382093454037772</v>
      </c>
      <c r="AF30" s="895">
        <f t="shared" ref="AF30:AG30" si="70">AE30*0.93+AF34/15</f>
        <v>41.124289553496475</v>
      </c>
      <c r="AG30" s="895">
        <f t="shared" si="70"/>
        <v>39.924188594589793</v>
      </c>
    </row>
    <row r="31" spans="1:33" x14ac:dyDescent="0.35">
      <c r="C31" s="743"/>
      <c r="D31" s="743"/>
      <c r="E31" s="743"/>
      <c r="F31" s="883"/>
      <c r="G31" s="883"/>
      <c r="H31" s="883"/>
      <c r="I31" s="883"/>
      <c r="J31" s="883"/>
      <c r="K31" s="883"/>
      <c r="L31" s="883"/>
      <c r="M31" s="883"/>
      <c r="N31" s="883"/>
      <c r="O31" s="883"/>
      <c r="P31" s="883"/>
      <c r="Q31" s="883"/>
      <c r="R31" s="883"/>
      <c r="S31" s="883"/>
      <c r="T31" s="867"/>
      <c r="U31" s="867"/>
      <c r="V31" s="867"/>
      <c r="W31" s="883"/>
      <c r="X31" s="883"/>
      <c r="Y31" s="883"/>
      <c r="Z31" s="883"/>
      <c r="AA31" s="883"/>
      <c r="AB31" s="883"/>
      <c r="AC31" s="883"/>
      <c r="AD31" s="883"/>
      <c r="AE31" s="883"/>
      <c r="AF31" s="883"/>
      <c r="AG31" s="883"/>
    </row>
    <row r="32" spans="1:33" s="886" customFormat="1" x14ac:dyDescent="0.35">
      <c r="A32" s="810" t="s">
        <v>2104</v>
      </c>
      <c r="B32" s="1647" t="s">
        <v>2972</v>
      </c>
      <c r="C32" s="885"/>
      <c r="D32" s="885"/>
      <c r="E32" s="885"/>
      <c r="F32" s="887"/>
      <c r="G32" s="887"/>
      <c r="H32" s="887"/>
      <c r="I32" s="887"/>
      <c r="J32" s="887"/>
      <c r="K32" s="887">
        <f>55309/1000</f>
        <v>55.308999999999997</v>
      </c>
      <c r="L32" s="887">
        <v>0</v>
      </c>
      <c r="M32" s="887">
        <f>12/1000</f>
        <v>1.2E-2</v>
      </c>
      <c r="N32" s="887">
        <v>0</v>
      </c>
      <c r="O32" s="887">
        <v>0</v>
      </c>
      <c r="P32" s="887">
        <v>0</v>
      </c>
      <c r="Q32" s="887">
        <v>0</v>
      </c>
      <c r="R32" s="887">
        <v>0</v>
      </c>
      <c r="S32" s="887">
        <v>0</v>
      </c>
      <c r="T32" s="867"/>
      <c r="U32" s="867"/>
      <c r="V32" s="867"/>
      <c r="W32" s="887"/>
      <c r="X32" s="887"/>
      <c r="Y32" s="887"/>
      <c r="Z32" s="887"/>
      <c r="AA32" s="887"/>
      <c r="AB32" s="887"/>
      <c r="AC32" s="887"/>
      <c r="AD32" s="887"/>
      <c r="AE32" s="887"/>
      <c r="AF32" s="887"/>
      <c r="AG32" s="887"/>
    </row>
    <row r="33" spans="1:33" x14ac:dyDescent="0.35">
      <c r="C33" s="743"/>
      <c r="D33" s="743"/>
      <c r="E33" s="743"/>
      <c r="F33" s="883"/>
      <c r="G33" s="883"/>
      <c r="H33" s="883"/>
      <c r="I33" s="883"/>
      <c r="J33" s="883"/>
      <c r="K33" s="883"/>
      <c r="L33" s="883"/>
      <c r="M33" s="883"/>
      <c r="N33" s="883"/>
      <c r="O33" s="883"/>
      <c r="P33" s="883"/>
      <c r="Q33" s="883"/>
      <c r="R33" s="883"/>
      <c r="S33" s="883"/>
      <c r="T33" s="883"/>
      <c r="U33" s="883"/>
      <c r="V33" s="883"/>
      <c r="W33" s="883"/>
      <c r="X33" s="883"/>
      <c r="Y33" s="883"/>
      <c r="Z33" s="883"/>
      <c r="AA33" s="883"/>
      <c r="AB33" s="883"/>
      <c r="AC33" s="883"/>
      <c r="AD33" s="883"/>
      <c r="AE33" s="883"/>
      <c r="AF33" s="883"/>
      <c r="AG33" s="883"/>
    </row>
    <row r="34" spans="1:33" x14ac:dyDescent="0.35">
      <c r="A34" s="331" t="s">
        <v>2106</v>
      </c>
      <c r="B34" s="1647" t="s">
        <v>487</v>
      </c>
      <c r="C34" s="743"/>
      <c r="D34" s="885">
        <v>2.6019999999999999</v>
      </c>
      <c r="E34" s="885">
        <v>2.375</v>
      </c>
      <c r="F34" s="885">
        <v>0.94699999999999995</v>
      </c>
      <c r="G34" s="885">
        <v>0</v>
      </c>
      <c r="H34" s="885">
        <v>2.899</v>
      </c>
      <c r="I34" s="885">
        <v>88.296000000000006</v>
      </c>
      <c r="J34" s="885">
        <v>5.3019999999999996</v>
      </c>
      <c r="K34" s="885">
        <v>6.36</v>
      </c>
      <c r="L34" s="867">
        <v>10.959</v>
      </c>
      <c r="M34" s="867">
        <f>5268/1000</f>
        <v>5.2679999999999998</v>
      </c>
      <c r="N34" s="867">
        <f>9022/1000</f>
        <v>9.0220000000000002</v>
      </c>
      <c r="O34" s="867">
        <v>2.9079999999999999</v>
      </c>
      <c r="P34" s="867">
        <f>16639/1000</f>
        <v>16.638999999999999</v>
      </c>
      <c r="Q34" s="867">
        <v>7.94</v>
      </c>
      <c r="R34" s="867">
        <v>10.551</v>
      </c>
      <c r="S34" s="867">
        <v>32.451000000000001</v>
      </c>
      <c r="T34" s="875">
        <f t="shared" ref="T34:AC34" si="71">T11*T35</f>
        <v>40.699166799519361</v>
      </c>
      <c r="U34" s="875">
        <f t="shared" ref="U34" si="72">U11*U35</f>
        <v>41.579528497138718</v>
      </c>
      <c r="V34" s="875">
        <f t="shared" si="71"/>
        <v>33.913385611459439</v>
      </c>
      <c r="W34" s="875">
        <f t="shared" si="71"/>
        <v>13.081706823075919</v>
      </c>
      <c r="X34" s="875">
        <f t="shared" si="71"/>
        <v>15.795848436905288</v>
      </c>
      <c r="Y34" s="875">
        <f t="shared" si="71"/>
        <v>17.388783930636531</v>
      </c>
      <c r="Z34" s="875">
        <f t="shared" si="71"/>
        <v>19.917865316704756</v>
      </c>
      <c r="AA34" s="875">
        <f t="shared" si="71"/>
        <v>21.949071835202165</v>
      </c>
      <c r="AB34" s="875">
        <f t="shared" si="71"/>
        <v>23.518490801885967</v>
      </c>
      <c r="AC34" s="875">
        <f t="shared" si="71"/>
        <v>24.654185278141412</v>
      </c>
      <c r="AD34" s="875">
        <f t="shared" ref="AD34:AF34" si="73">AD11*AD35</f>
        <v>25.37694386649984</v>
      </c>
      <c r="AE34" s="875">
        <f t="shared" si="73"/>
        <v>25.70091517214075</v>
      </c>
      <c r="AF34" s="875">
        <f t="shared" si="73"/>
        <v>25.634139618620182</v>
      </c>
      <c r="AG34" s="875">
        <f t="shared" ref="AG34" si="74">AG11*AG35</f>
        <v>25.17898964757109</v>
      </c>
    </row>
    <row r="35" spans="1:33" s="623" customFormat="1" x14ac:dyDescent="0.35">
      <c r="A35" s="877" t="s">
        <v>2112</v>
      </c>
      <c r="B35" s="1665" t="s">
        <v>2973</v>
      </c>
      <c r="C35" s="843"/>
      <c r="D35" s="843">
        <f t="shared" ref="D35:S35" si="75">D34/D11</f>
        <v>1.676978602732663E-3</v>
      </c>
      <c r="E35" s="843">
        <f t="shared" si="75"/>
        <v>1.4967399428528936E-3</v>
      </c>
      <c r="F35" s="843">
        <f t="shared" si="75"/>
        <v>4.5568499511594221E-4</v>
      </c>
      <c r="G35" s="843">
        <f t="shared" si="75"/>
        <v>0</v>
      </c>
      <c r="H35" s="843">
        <f t="shared" si="75"/>
        <v>3.4933603258380928E-2</v>
      </c>
      <c r="I35" s="843">
        <f t="shared" si="75"/>
        <v>0.36322947434241382</v>
      </c>
      <c r="J35" s="843">
        <f t="shared" si="75"/>
        <v>5.8888340952609431E-3</v>
      </c>
      <c r="K35" s="843">
        <f t="shared" si="75"/>
        <v>7.603226350200303E-3</v>
      </c>
      <c r="L35" s="843">
        <f t="shared" si="75"/>
        <v>4.8579302530831394E-3</v>
      </c>
      <c r="M35" s="843">
        <f t="shared" si="75"/>
        <v>9.9130127486085932E-4</v>
      </c>
      <c r="N35" s="843">
        <f t="shared" si="75"/>
        <v>1.0351103415921494E-3</v>
      </c>
      <c r="O35" s="843">
        <f t="shared" si="75"/>
        <v>3.6087266655117416E-4</v>
      </c>
      <c r="P35" s="843">
        <f t="shared" si="75"/>
        <v>2.3687061446278812E-3</v>
      </c>
      <c r="Q35" s="843">
        <f t="shared" si="75"/>
        <v>1.691647946330871E-3</v>
      </c>
      <c r="R35" s="843">
        <f t="shared" si="75"/>
        <v>2.3433882182054013E-3</v>
      </c>
      <c r="S35" s="843">
        <f t="shared" si="75"/>
        <v>3.8607783184419361E-3</v>
      </c>
      <c r="T35" s="888">
        <f t="shared" ref="T35:W35" si="76">S35</f>
        <v>3.8607783184419361E-3</v>
      </c>
      <c r="U35" s="888">
        <f t="shared" si="76"/>
        <v>3.8607783184419361E-3</v>
      </c>
      <c r="V35" s="888">
        <f t="shared" si="76"/>
        <v>3.8607783184419361E-3</v>
      </c>
      <c r="W35" s="888">
        <f t="shared" si="76"/>
        <v>3.8607783184419361E-3</v>
      </c>
      <c r="X35" s="888">
        <f>W35-0.02%</f>
        <v>3.660778318441936E-3</v>
      </c>
      <c r="Y35" s="888">
        <f t="shared" ref="Y35:AG35" si="77">X35-0.02%</f>
        <v>3.4607783184419359E-3</v>
      </c>
      <c r="Z35" s="888">
        <f t="shared" si="77"/>
        <v>3.2607783184419358E-3</v>
      </c>
      <c r="AA35" s="888">
        <f t="shared" si="77"/>
        <v>3.0607783184419357E-3</v>
      </c>
      <c r="AB35" s="888">
        <f t="shared" si="77"/>
        <v>2.8607783184419356E-3</v>
      </c>
      <c r="AC35" s="888">
        <f t="shared" si="77"/>
        <v>2.6607783184419355E-3</v>
      </c>
      <c r="AD35" s="888">
        <f t="shared" si="77"/>
        <v>2.4607783184419354E-3</v>
      </c>
      <c r="AE35" s="888">
        <f t="shared" si="77"/>
        <v>2.2607783184419353E-3</v>
      </c>
      <c r="AF35" s="888">
        <f t="shared" si="77"/>
        <v>2.0607783184419352E-3</v>
      </c>
      <c r="AG35" s="888">
        <f t="shared" si="77"/>
        <v>1.8607783184419351E-3</v>
      </c>
    </row>
    <row r="36" spans="1:33" s="623" customFormat="1" x14ac:dyDescent="0.35">
      <c r="A36" s="623" t="s">
        <v>577</v>
      </c>
      <c r="B36" s="1657" t="s">
        <v>577</v>
      </c>
      <c r="C36" s="843"/>
      <c r="D36" s="843"/>
      <c r="E36" s="843">
        <f>E34/D34-1</f>
        <v>-8.7240584166026092E-2</v>
      </c>
      <c r="F36" s="843">
        <f>F34/E34-1</f>
        <v>-0.60126315789473694</v>
      </c>
      <c r="G36" s="843">
        <f>G34/F34-1</f>
        <v>-1</v>
      </c>
      <c r="H36" s="843" t="s">
        <v>6</v>
      </c>
      <c r="I36" s="843">
        <f t="shared" ref="I36:AC36" si="78">I34/H34-1</f>
        <v>29.457399103139014</v>
      </c>
      <c r="J36" s="843">
        <f t="shared" si="78"/>
        <v>-0.93995197970462985</v>
      </c>
      <c r="K36" s="843">
        <f t="shared" si="78"/>
        <v>0.19954734062617896</v>
      </c>
      <c r="L36" s="843">
        <f t="shared" si="78"/>
        <v>0.72311320754716957</v>
      </c>
      <c r="M36" s="843">
        <f t="shared" si="78"/>
        <v>-0.51929920613194636</v>
      </c>
      <c r="N36" s="843">
        <f t="shared" si="78"/>
        <v>0.71260440394836766</v>
      </c>
      <c r="O36" s="843">
        <f t="shared" si="78"/>
        <v>-0.67767679006872095</v>
      </c>
      <c r="P36" s="843">
        <f t="shared" si="78"/>
        <v>4.7218019257221453</v>
      </c>
      <c r="Q36" s="843">
        <f t="shared" si="78"/>
        <v>-0.52280786104934185</v>
      </c>
      <c r="R36" s="843">
        <f t="shared" si="78"/>
        <v>0.32884130982367754</v>
      </c>
      <c r="S36" s="843">
        <f t="shared" si="78"/>
        <v>2.075632641455786</v>
      </c>
      <c r="T36" s="843">
        <f t="shared" si="78"/>
        <v>0.25417296229759834</v>
      </c>
      <c r="U36" s="843">
        <f t="shared" si="78"/>
        <v>2.1630951364580708E-2</v>
      </c>
      <c r="V36" s="843">
        <f t="shared" si="78"/>
        <v>-0.18437301149787744</v>
      </c>
      <c r="W36" s="843">
        <f t="shared" si="78"/>
        <v>-0.61426125445123447</v>
      </c>
      <c r="X36" s="843">
        <f t="shared" si="78"/>
        <v>0.20747610770802982</v>
      </c>
      <c r="Y36" s="843">
        <f t="shared" si="78"/>
        <v>0.10084519993301044</v>
      </c>
      <c r="Z36" s="843">
        <f t="shared" si="78"/>
        <v>0.14544325791594592</v>
      </c>
      <c r="AA36" s="843">
        <f t="shared" si="78"/>
        <v>0.10197912709018442</v>
      </c>
      <c r="AB36" s="843">
        <f t="shared" si="78"/>
        <v>7.1502748656858905E-2</v>
      </c>
      <c r="AC36" s="843">
        <f t="shared" si="78"/>
        <v>4.8289428340545282E-2</v>
      </c>
      <c r="AD36" s="843">
        <f t="shared" ref="AD36" si="79">AD34/AC34-1</f>
        <v>2.9315857741980755E-2</v>
      </c>
      <c r="AE36" s="843">
        <f t="shared" ref="AE36" si="80">AE34/AD34-1</f>
        <v>1.2766364119541906E-2</v>
      </c>
      <c r="AF36" s="843">
        <f t="shared" ref="AF36:AG36" si="81">AF34/AE34-1</f>
        <v>-2.5981780443736779E-3</v>
      </c>
      <c r="AG36" s="843">
        <f t="shared" si="81"/>
        <v>-1.7755617228458864E-2</v>
      </c>
    </row>
    <row r="37" spans="1:33" x14ac:dyDescent="0.35">
      <c r="A37" s="625"/>
      <c r="C37" s="882"/>
      <c r="D37" s="882"/>
      <c r="E37" s="882"/>
      <c r="F37" s="882"/>
      <c r="G37" s="882"/>
      <c r="H37" s="882"/>
      <c r="I37" s="882"/>
      <c r="J37" s="882"/>
      <c r="K37" s="882"/>
      <c r="L37" s="882"/>
      <c r="M37" s="882"/>
      <c r="N37" s="882"/>
      <c r="O37" s="882"/>
      <c r="P37" s="882"/>
      <c r="Q37" s="882"/>
      <c r="R37" s="882"/>
      <c r="S37" s="882"/>
      <c r="T37" s="882"/>
      <c r="U37" s="882"/>
      <c r="V37" s="882"/>
      <c r="W37" s="882"/>
      <c r="X37" s="882"/>
    </row>
    <row r="38" spans="1:33" x14ac:dyDescent="0.35">
      <c r="C38" s="743"/>
      <c r="D38" s="743"/>
      <c r="E38" s="743"/>
      <c r="F38" s="883"/>
      <c r="G38" s="883"/>
      <c r="H38" s="883"/>
      <c r="I38" s="883"/>
      <c r="J38" s="883"/>
      <c r="K38" s="883"/>
      <c r="L38" s="883"/>
      <c r="M38" s="883"/>
      <c r="N38" s="883"/>
      <c r="O38" s="883"/>
      <c r="P38" s="883"/>
      <c r="Q38" s="883"/>
      <c r="R38" s="883"/>
      <c r="S38" s="883"/>
      <c r="T38" s="883"/>
      <c r="U38" s="883"/>
      <c r="V38" s="883"/>
      <c r="W38" s="883"/>
      <c r="X38" s="883"/>
    </row>
    <row r="39" spans="1:33" x14ac:dyDescent="0.35">
      <c r="B39" s="1644"/>
      <c r="C39" s="889"/>
      <c r="D39" s="889"/>
      <c r="E39" s="889"/>
      <c r="F39" s="889"/>
      <c r="G39" s="889"/>
      <c r="H39" s="889"/>
      <c r="I39" s="889"/>
      <c r="J39" s="889"/>
      <c r="K39" s="889"/>
      <c r="L39" s="889"/>
      <c r="M39" s="889"/>
      <c r="N39" s="889"/>
      <c r="O39" s="889"/>
      <c r="P39" s="889"/>
      <c r="Q39" s="889"/>
      <c r="R39" s="889"/>
      <c r="S39" s="889"/>
      <c r="T39" s="889"/>
      <c r="U39" s="889"/>
      <c r="V39" s="889"/>
      <c r="W39" s="889"/>
      <c r="X39" s="889"/>
    </row>
    <row r="40" spans="1:33" x14ac:dyDescent="0.35">
      <c r="A40" s="625"/>
      <c r="C40" s="890"/>
      <c r="D40" s="820"/>
      <c r="E40" s="820"/>
      <c r="F40" s="820"/>
      <c r="G40" s="820"/>
      <c r="H40" s="820"/>
      <c r="I40" s="820"/>
      <c r="J40" s="820"/>
      <c r="K40" s="820"/>
      <c r="L40" s="820"/>
      <c r="M40" s="820"/>
    </row>
    <row r="41" spans="1:33" x14ac:dyDescent="0.35">
      <c r="C41" s="820"/>
      <c r="D41" s="820"/>
      <c r="E41" s="820"/>
      <c r="F41" s="820"/>
      <c r="G41" s="820"/>
      <c r="H41" s="820"/>
      <c r="I41" s="820"/>
      <c r="J41" s="820"/>
      <c r="K41" s="820"/>
      <c r="L41" s="820"/>
      <c r="M41" s="820"/>
    </row>
    <row r="42" spans="1:33" x14ac:dyDescent="0.35">
      <c r="B42" s="1644"/>
      <c r="C42" s="891"/>
      <c r="D42" s="891"/>
      <c r="E42" s="891"/>
      <c r="F42" s="891"/>
      <c r="G42" s="891"/>
      <c r="H42" s="891"/>
      <c r="I42" s="891"/>
      <c r="J42" s="891"/>
      <c r="K42" s="891"/>
      <c r="L42" s="891"/>
      <c r="M42" s="891"/>
    </row>
    <row r="43" spans="1:33" x14ac:dyDescent="0.35">
      <c r="C43" s="890"/>
      <c r="F43" s="892"/>
      <c r="G43" s="892"/>
      <c r="H43" s="892"/>
      <c r="I43" s="892"/>
      <c r="J43" s="892"/>
      <c r="K43" s="892"/>
      <c r="L43" s="892"/>
      <c r="M43" s="892"/>
    </row>
    <row r="44" spans="1:33" x14ac:dyDescent="0.35">
      <c r="C44" s="890"/>
    </row>
    <row r="45" spans="1:33" x14ac:dyDescent="0.35">
      <c r="C45" s="890"/>
    </row>
    <row r="46" spans="1:33" x14ac:dyDescent="0.35">
      <c r="C46" s="890"/>
      <c r="D46" s="890"/>
      <c r="E46" s="890"/>
    </row>
    <row r="47" spans="1:33" x14ac:dyDescent="0.35">
      <c r="C47" s="890"/>
    </row>
    <row r="48" spans="1:33" x14ac:dyDescent="0.35">
      <c r="C48" s="890"/>
      <c r="E48" s="646"/>
    </row>
    <row r="49" spans="3:5" x14ac:dyDescent="0.35">
      <c r="C49" s="890"/>
    </row>
    <row r="50" spans="3:5" x14ac:dyDescent="0.35">
      <c r="C50" s="890"/>
    </row>
    <row r="51" spans="3:5" x14ac:dyDescent="0.35">
      <c r="C51" s="890"/>
    </row>
    <row r="52" spans="3:5" x14ac:dyDescent="0.35">
      <c r="C52" s="890"/>
    </row>
    <row r="53" spans="3:5" x14ac:dyDescent="0.35">
      <c r="C53" s="890"/>
    </row>
    <row r="54" spans="3:5" x14ac:dyDescent="0.35">
      <c r="C54" s="890"/>
    </row>
    <row r="55" spans="3:5" x14ac:dyDescent="0.35">
      <c r="C55" s="890"/>
    </row>
    <row r="56" spans="3:5" x14ac:dyDescent="0.35">
      <c r="C56" s="890"/>
    </row>
    <row r="57" spans="3:5" x14ac:dyDescent="0.35">
      <c r="C57" s="890"/>
    </row>
    <row r="58" spans="3:5" x14ac:dyDescent="0.35">
      <c r="C58" s="890"/>
      <c r="E58" s="646"/>
    </row>
    <row r="59" spans="3:5" x14ac:dyDescent="0.35">
      <c r="C59" s="890"/>
    </row>
    <row r="60" spans="3:5" x14ac:dyDescent="0.35">
      <c r="C60" s="890"/>
    </row>
    <row r="61" spans="3:5" x14ac:dyDescent="0.35">
      <c r="C61" s="890"/>
    </row>
    <row r="62" spans="3:5" x14ac:dyDescent="0.35">
      <c r="C62" s="890"/>
    </row>
    <row r="63" spans="3:5" x14ac:dyDescent="0.35">
      <c r="C63" s="890"/>
    </row>
    <row r="64" spans="3:5" x14ac:dyDescent="0.35">
      <c r="C64" s="890"/>
    </row>
    <row r="65" spans="3:3" x14ac:dyDescent="0.35">
      <c r="C65" s="890"/>
    </row>
    <row r="66" spans="3:3" x14ac:dyDescent="0.35">
      <c r="C66" s="890"/>
    </row>
    <row r="67" spans="3:3" x14ac:dyDescent="0.35">
      <c r="C67" s="890"/>
    </row>
    <row r="68" spans="3:3" x14ac:dyDescent="0.35">
      <c r="C68" s="890"/>
    </row>
    <row r="69" spans="3:3" x14ac:dyDescent="0.35">
      <c r="C69" s="890"/>
    </row>
    <row r="70" spans="3:3" x14ac:dyDescent="0.35">
      <c r="C70" s="890"/>
    </row>
    <row r="71" spans="3:3" x14ac:dyDescent="0.35">
      <c r="C71" s="890"/>
    </row>
    <row r="72" spans="3:3" x14ac:dyDescent="0.35">
      <c r="C72" s="890"/>
    </row>
    <row r="73" spans="3:3" x14ac:dyDescent="0.35">
      <c r="C73" s="890"/>
    </row>
    <row r="74" spans="3:3" x14ac:dyDescent="0.35">
      <c r="C74" s="890"/>
    </row>
    <row r="75" spans="3:3" x14ac:dyDescent="0.35">
      <c r="C75" s="890"/>
    </row>
    <row r="76" spans="3:3" x14ac:dyDescent="0.35">
      <c r="C76" s="890"/>
    </row>
    <row r="77" spans="3:3" x14ac:dyDescent="0.35">
      <c r="C77" s="890"/>
    </row>
    <row r="78" spans="3:3" x14ac:dyDescent="0.35">
      <c r="C78" s="890"/>
    </row>
    <row r="79" spans="3:3" x14ac:dyDescent="0.35">
      <c r="C79" s="890"/>
    </row>
    <row r="80" spans="3:3" x14ac:dyDescent="0.35">
      <c r="C80" s="890"/>
    </row>
    <row r="81" spans="3:3" x14ac:dyDescent="0.35">
      <c r="C81" s="890"/>
    </row>
    <row r="82" spans="3:3" x14ac:dyDescent="0.35">
      <c r="C82" s="890"/>
    </row>
    <row r="83" spans="3:3" x14ac:dyDescent="0.35">
      <c r="C83" s="890"/>
    </row>
    <row r="84" spans="3:3" x14ac:dyDescent="0.35">
      <c r="C84" s="890"/>
    </row>
    <row r="85" spans="3:3" x14ac:dyDescent="0.35">
      <c r="C85" s="890"/>
    </row>
    <row r="86" spans="3:3" x14ac:dyDescent="0.35">
      <c r="C86" s="890"/>
    </row>
    <row r="87" spans="3:3" x14ac:dyDescent="0.35">
      <c r="C87" s="890"/>
    </row>
    <row r="88" spans="3:3" x14ac:dyDescent="0.35">
      <c r="C88" s="890"/>
    </row>
    <row r="89" spans="3:3" x14ac:dyDescent="0.35">
      <c r="C89" s="890"/>
    </row>
    <row r="90" spans="3:3" x14ac:dyDescent="0.35">
      <c r="C90" s="890"/>
    </row>
    <row r="91" spans="3:3" x14ac:dyDescent="0.35">
      <c r="C91" s="890"/>
    </row>
    <row r="92" spans="3:3" x14ac:dyDescent="0.35">
      <c r="C92" s="890"/>
    </row>
    <row r="93" spans="3:3" x14ac:dyDescent="0.35">
      <c r="C93" s="890"/>
    </row>
    <row r="94" spans="3:3" x14ac:dyDescent="0.35">
      <c r="C94" s="890"/>
    </row>
    <row r="95" spans="3:3" x14ac:dyDescent="0.35">
      <c r="C95" s="890"/>
    </row>
    <row r="96" spans="3:3" x14ac:dyDescent="0.35">
      <c r="C96" s="890"/>
    </row>
    <row r="97" spans="3:3" x14ac:dyDescent="0.35">
      <c r="C97" s="890"/>
    </row>
    <row r="98" spans="3:3" x14ac:dyDescent="0.35">
      <c r="C98" s="890"/>
    </row>
    <row r="99" spans="3:3" x14ac:dyDescent="0.35">
      <c r="C99" s="890"/>
    </row>
    <row r="100" spans="3:3" x14ac:dyDescent="0.35">
      <c r="C100" s="890"/>
    </row>
    <row r="101" spans="3:3" x14ac:dyDescent="0.35">
      <c r="C101" s="890"/>
    </row>
    <row r="102" spans="3:3" x14ac:dyDescent="0.35">
      <c r="C102" s="890"/>
    </row>
    <row r="103" spans="3:3" x14ac:dyDescent="0.35">
      <c r="C103" s="890"/>
    </row>
    <row r="104" spans="3:3" x14ac:dyDescent="0.35">
      <c r="C104" s="890"/>
    </row>
    <row r="105" spans="3:3" x14ac:dyDescent="0.35">
      <c r="C105" s="890"/>
    </row>
    <row r="106" spans="3:3" x14ac:dyDescent="0.35">
      <c r="C106" s="890"/>
    </row>
    <row r="107" spans="3:3" x14ac:dyDescent="0.35">
      <c r="C107" s="890"/>
    </row>
    <row r="108" spans="3:3" x14ac:dyDescent="0.35">
      <c r="C108" s="890"/>
    </row>
    <row r="109" spans="3:3" x14ac:dyDescent="0.35">
      <c r="C109" s="890"/>
    </row>
    <row r="110" spans="3:3" x14ac:dyDescent="0.35">
      <c r="C110" s="890"/>
    </row>
    <row r="111" spans="3:3" x14ac:dyDescent="0.35">
      <c r="C111" s="890"/>
    </row>
    <row r="112" spans="3:3" x14ac:dyDescent="0.35">
      <c r="C112" s="890"/>
    </row>
    <row r="113" spans="3:3" x14ac:dyDescent="0.35">
      <c r="C113" s="890"/>
    </row>
    <row r="114" spans="3:3" x14ac:dyDescent="0.35">
      <c r="C114" s="890"/>
    </row>
    <row r="115" spans="3:3" x14ac:dyDescent="0.35">
      <c r="C115" s="890"/>
    </row>
    <row r="116" spans="3:3" x14ac:dyDescent="0.35">
      <c r="C116" s="890"/>
    </row>
    <row r="117" spans="3:3" x14ac:dyDescent="0.35">
      <c r="C117" s="890"/>
    </row>
    <row r="118" spans="3:3" x14ac:dyDescent="0.35">
      <c r="C118" s="890"/>
    </row>
    <row r="119" spans="3:3" x14ac:dyDescent="0.35">
      <c r="C119" s="890"/>
    </row>
    <row r="120" spans="3:3" x14ac:dyDescent="0.35">
      <c r="C120" s="890"/>
    </row>
    <row r="121" spans="3:3" x14ac:dyDescent="0.35">
      <c r="C121" s="890"/>
    </row>
    <row r="122" spans="3:3" x14ac:dyDescent="0.35">
      <c r="C122" s="890"/>
    </row>
    <row r="123" spans="3:3" x14ac:dyDescent="0.35">
      <c r="C123" s="890"/>
    </row>
    <row r="124" spans="3:3" x14ac:dyDescent="0.35">
      <c r="C124" s="890"/>
    </row>
    <row r="125" spans="3:3" x14ac:dyDescent="0.35">
      <c r="C125" s="890"/>
    </row>
    <row r="126" spans="3:3" x14ac:dyDescent="0.35">
      <c r="C126" s="890"/>
    </row>
    <row r="127" spans="3:3" x14ac:dyDescent="0.35">
      <c r="C127" s="890"/>
    </row>
    <row r="128" spans="3:3" x14ac:dyDescent="0.35">
      <c r="C128" s="890"/>
    </row>
    <row r="129" spans="3:3" x14ac:dyDescent="0.35">
      <c r="C129" s="890"/>
    </row>
    <row r="130" spans="3:3" x14ac:dyDescent="0.35">
      <c r="C130" s="890"/>
    </row>
    <row r="131" spans="3:3" x14ac:dyDescent="0.35">
      <c r="C131" s="890"/>
    </row>
  </sheetData>
  <phoneticPr fontId="51" type="noConversion"/>
  <pageMargins left="0.75" right="0.75" top="0.81" bottom="0.88" header="0.5" footer="0.5"/>
  <pageSetup paperSize="9"/>
  <headerFooter alignWithMargins="0">
    <oddHeader>&amp;A</oddHeader>
    <oddFooter>&amp;F</oddFooter>
  </headerFooter>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2060"/>
  </sheetPr>
  <dimension ref="A1:Z43"/>
  <sheetViews>
    <sheetView showGridLines="0" zoomScale="145" zoomScaleNormal="145" workbookViewId="0">
      <pane xSplit="2" ySplit="2" topLeftCell="G23" activePane="bottomRight" state="frozen"/>
      <selection pane="topRight"/>
      <selection pane="bottomLeft"/>
      <selection pane="bottomRight" activeCell="M31" sqref="M31"/>
    </sheetView>
  </sheetViews>
  <sheetFormatPr defaultColWidth="9" defaultRowHeight="12" outlineLevelCol="1" x14ac:dyDescent="0.35"/>
  <cols>
    <col min="1" max="1" width="31.0625" style="331" hidden="1" customWidth="1" outlineLevel="1"/>
    <col min="2" max="2" width="25" style="1647" customWidth="1" collapsed="1"/>
    <col min="3" max="6" width="8.0625" style="625" hidden="1" customWidth="1" outlineLevel="1"/>
    <col min="7" max="7" width="8.0625" style="625" customWidth="1" collapsed="1"/>
    <col min="8" max="16" width="8.0625" style="625" customWidth="1"/>
    <col min="17" max="26" width="8.0625" style="625" customWidth="1" outlineLevel="1"/>
    <col min="27" max="16384" width="9" style="625"/>
  </cols>
  <sheetData>
    <row r="1" spans="1:26" x14ac:dyDescent="0.35">
      <c r="A1" s="811" t="s">
        <v>2081</v>
      </c>
      <c r="B1" s="1640" t="s">
        <v>2935</v>
      </c>
      <c r="C1" s="812">
        <f>C11/(C3)</f>
        <v>0.3858717948717949</v>
      </c>
      <c r="D1" s="812">
        <f t="shared" ref="D1:P1" si="0">D11/(C6+D3)</f>
        <v>0.3682563223694329</v>
      </c>
      <c r="E1" s="812">
        <f t="shared" si="0"/>
        <v>0.32214871794871797</v>
      </c>
      <c r="F1" s="812">
        <f t="shared" si="0"/>
        <v>0.33923574144486696</v>
      </c>
      <c r="G1" s="812">
        <f t="shared" si="0"/>
        <v>0.24105477239353892</v>
      </c>
      <c r="H1" s="812">
        <f t="shared" si="0"/>
        <v>0.26752865707434054</v>
      </c>
      <c r="I1" s="812">
        <f t="shared" si="0"/>
        <v>0.30240983446932812</v>
      </c>
      <c r="J1" s="812">
        <f t="shared" si="0"/>
        <v>0.30724125636672328</v>
      </c>
      <c r="K1" s="812">
        <f t="shared" si="0"/>
        <v>0.24679822667694679</v>
      </c>
      <c r="L1" s="812">
        <f t="shared" si="0"/>
        <v>0.26510146284376829</v>
      </c>
      <c r="M1" s="812">
        <f t="shared" si="0"/>
        <v>0.26635643469971404</v>
      </c>
      <c r="N1" s="812">
        <f t="shared" si="0"/>
        <v>0.23919518952778671</v>
      </c>
      <c r="O1" s="812">
        <f t="shared" si="0"/>
        <v>0.17670332734142852</v>
      </c>
      <c r="P1" s="812">
        <f t="shared" si="0"/>
        <v>0.14786557638611886</v>
      </c>
      <c r="Q1" s="899">
        <f t="shared" ref="Q1:V1" si="1">P1</f>
        <v>0.14786557638611886</v>
      </c>
      <c r="R1" s="899">
        <f t="shared" si="1"/>
        <v>0.14786557638611886</v>
      </c>
      <c r="S1" s="899">
        <f t="shared" si="1"/>
        <v>0.14786557638611886</v>
      </c>
      <c r="T1" s="899">
        <f t="shared" si="1"/>
        <v>0.14786557638611886</v>
      </c>
      <c r="U1" s="899">
        <f t="shared" si="1"/>
        <v>0.14786557638611886</v>
      </c>
      <c r="V1" s="899">
        <f t="shared" si="1"/>
        <v>0.14786557638611886</v>
      </c>
      <c r="W1" s="899">
        <f t="shared" ref="W1" si="2">V1</f>
        <v>0.14786557638611886</v>
      </c>
      <c r="X1" s="899">
        <f t="shared" ref="X1" si="3">W1</f>
        <v>0.14786557638611886</v>
      </c>
      <c r="Y1" s="899">
        <f t="shared" ref="Y1:Z1" si="4">X1</f>
        <v>0.14786557638611886</v>
      </c>
      <c r="Z1" s="899">
        <f t="shared" si="4"/>
        <v>0.14786557638611886</v>
      </c>
    </row>
    <row r="2" spans="1:26" s="317" customFormat="1" ht="11.65" x14ac:dyDescent="0.4">
      <c r="A2" s="318" t="s">
        <v>759</v>
      </c>
      <c r="B2" s="1641" t="s">
        <v>2958</v>
      </c>
      <c r="C2" s="515" t="s">
        <v>1748</v>
      </c>
      <c r="D2" s="515" t="s">
        <v>2042</v>
      </c>
      <c r="E2" s="515" t="s">
        <v>1510</v>
      </c>
      <c r="F2" s="515" t="s">
        <v>1587</v>
      </c>
      <c r="G2" s="516" t="s">
        <v>1739</v>
      </c>
      <c r="H2" s="516" t="s">
        <v>1810</v>
      </c>
      <c r="I2" s="516" t="s">
        <v>1818</v>
      </c>
      <c r="J2" s="516" t="str">
        <f>PL!Q3</f>
        <v>2019A</v>
      </c>
      <c r="K2" s="516" t="str">
        <f>PL!R3</f>
        <v>2020A</v>
      </c>
      <c r="L2" s="516" t="str">
        <f>PL!S3</f>
        <v>2021A</v>
      </c>
      <c r="M2" s="516" t="str">
        <f>PL!T3</f>
        <v>2022A</v>
      </c>
      <c r="N2" s="516" t="str">
        <f>PL!U3</f>
        <v>2023A</v>
      </c>
      <c r="O2" s="516" t="str">
        <f>PL!V3</f>
        <v>2024A</v>
      </c>
      <c r="P2" s="516" t="str">
        <f>PL!W3</f>
        <v>2025A</v>
      </c>
      <c r="Q2" s="516" t="str">
        <f>PL!X3</f>
        <v>2026E</v>
      </c>
      <c r="R2" s="516" t="str">
        <f>PL!Y3</f>
        <v>2027E</v>
      </c>
      <c r="S2" s="516" t="str">
        <f>PL!Z3</f>
        <v>2028E</v>
      </c>
      <c r="T2" s="516" t="str">
        <f>PL!AA3</f>
        <v>2029E</v>
      </c>
      <c r="U2" s="516" t="str">
        <f>PL!AB3</f>
        <v>2030E</v>
      </c>
      <c r="V2" s="516" t="str">
        <f>PL!AC3</f>
        <v>2031E</v>
      </c>
      <c r="W2" s="516" t="str">
        <f>PL!AD3</f>
        <v>2032E</v>
      </c>
      <c r="X2" s="516" t="str">
        <f>PL!AE3</f>
        <v>2033E</v>
      </c>
      <c r="Y2" s="516" t="str">
        <f>PL!AF3</f>
        <v>2034E</v>
      </c>
      <c r="Z2" s="516" t="str">
        <f>PL!AG3</f>
        <v>2035E</v>
      </c>
    </row>
    <row r="3" spans="1:26" x14ac:dyDescent="0.35">
      <c r="A3" s="858" t="s">
        <v>1474</v>
      </c>
      <c r="B3" s="1642" t="s">
        <v>2957</v>
      </c>
      <c r="C3" s="860">
        <v>2730</v>
      </c>
      <c r="D3" s="860">
        <v>1821.04</v>
      </c>
      <c r="E3" s="860">
        <f>1.96*1000</f>
        <v>1960</v>
      </c>
      <c r="F3" s="860">
        <v>2680</v>
      </c>
      <c r="G3" s="860">
        <v>3140</v>
      </c>
      <c r="H3" s="860">
        <v>4180</v>
      </c>
      <c r="I3" s="860">
        <v>4790</v>
      </c>
      <c r="J3" s="860">
        <v>5050</v>
      </c>
      <c r="K3" s="860">
        <v>5120</v>
      </c>
      <c r="L3" s="860">
        <v>8210</v>
      </c>
      <c r="M3" s="860">
        <v>10130</v>
      </c>
      <c r="N3" s="860">
        <v>11501</v>
      </c>
      <c r="O3" s="860">
        <v>11020</v>
      </c>
      <c r="P3" s="860">
        <f>6540</f>
        <v>6540</v>
      </c>
      <c r="Q3" s="859">
        <f t="shared" ref="Q3:V3" si="5">P3*(1+Q4)</f>
        <v>5886</v>
      </c>
      <c r="R3" s="859">
        <f t="shared" si="5"/>
        <v>5650.5599999999995</v>
      </c>
      <c r="S3" s="859">
        <f t="shared" si="5"/>
        <v>5707.0655999999999</v>
      </c>
      <c r="T3" s="859">
        <f t="shared" si="5"/>
        <v>5878.2775680000004</v>
      </c>
      <c r="U3" s="859">
        <f t="shared" si="5"/>
        <v>6172.191446400001</v>
      </c>
      <c r="V3" s="859">
        <f t="shared" si="5"/>
        <v>6480.8010187200016</v>
      </c>
      <c r="W3" s="859">
        <f t="shared" ref="W3" si="6">V3*(1+W4)</f>
        <v>6804.8410696560022</v>
      </c>
      <c r="X3" s="859">
        <f t="shared" ref="X3" si="7">W3*(1+X4)</f>
        <v>7145.0831231388029</v>
      </c>
      <c r="Y3" s="859">
        <f t="shared" ref="Y3:Z3" si="8">X3*(1+Y4)</f>
        <v>7502.3372792957434</v>
      </c>
      <c r="Z3" s="859">
        <f t="shared" si="8"/>
        <v>7877.4541432605311</v>
      </c>
    </row>
    <row r="4" spans="1:26" x14ac:dyDescent="0.35">
      <c r="A4" s="625" t="s">
        <v>577</v>
      </c>
      <c r="B4" s="1643" t="s">
        <v>577</v>
      </c>
      <c r="C4" s="820"/>
      <c r="D4" s="820">
        <f t="shared" ref="D4:O4" si="9">D3/C3-1</f>
        <v>-0.332952380952381</v>
      </c>
      <c r="E4" s="820">
        <f t="shared" si="9"/>
        <v>7.6308043755216826E-2</v>
      </c>
      <c r="F4" s="820">
        <f t="shared" si="9"/>
        <v>0.36734693877551017</v>
      </c>
      <c r="G4" s="820">
        <f t="shared" si="9"/>
        <v>0.17164179104477606</v>
      </c>
      <c r="H4" s="820">
        <f t="shared" si="9"/>
        <v>0.33121019108280247</v>
      </c>
      <c r="I4" s="820">
        <f t="shared" si="9"/>
        <v>0.14593301435406691</v>
      </c>
      <c r="J4" s="820">
        <f t="shared" si="9"/>
        <v>5.4279749478079342E-2</v>
      </c>
      <c r="K4" s="820">
        <f t="shared" si="9"/>
        <v>1.3861386138613874E-2</v>
      </c>
      <c r="L4" s="820">
        <f t="shared" si="9"/>
        <v>0.603515625</v>
      </c>
      <c r="M4" s="820">
        <f t="shared" si="9"/>
        <v>0.23386114494518884</v>
      </c>
      <c r="N4" s="820">
        <f t="shared" si="9"/>
        <v>0.13534057255676202</v>
      </c>
      <c r="O4" s="820">
        <f t="shared" si="9"/>
        <v>-4.182245022171982E-2</v>
      </c>
      <c r="P4" s="820">
        <f>P3/O3-1</f>
        <v>-0.40653357531760437</v>
      </c>
      <c r="Q4" s="821">
        <v>-0.1</v>
      </c>
      <c r="R4" s="821">
        <v>-0.04</v>
      </c>
      <c r="S4" s="821">
        <v>0.01</v>
      </c>
      <c r="T4" s="821">
        <v>0.03</v>
      </c>
      <c r="U4" s="821">
        <v>0.05</v>
      </c>
      <c r="V4" s="821">
        <f t="shared" ref="V4" si="10">U4</f>
        <v>0.05</v>
      </c>
      <c r="W4" s="821">
        <f t="shared" ref="W4" si="11">V4</f>
        <v>0.05</v>
      </c>
      <c r="X4" s="821">
        <f t="shared" ref="X4" si="12">W4</f>
        <v>0.05</v>
      </c>
      <c r="Y4" s="821">
        <f t="shared" ref="Y4:Z4" si="13">X4</f>
        <v>0.05</v>
      </c>
      <c r="Z4" s="821">
        <f t="shared" si="13"/>
        <v>0.05</v>
      </c>
    </row>
    <row r="5" spans="1:26" x14ac:dyDescent="0.35">
      <c r="A5" s="720"/>
      <c r="B5" s="1643"/>
      <c r="C5" s="841"/>
      <c r="D5" s="841"/>
      <c r="E5" s="841"/>
      <c r="F5" s="841"/>
      <c r="G5" s="841"/>
      <c r="H5" s="841"/>
      <c r="I5" s="841"/>
      <c r="J5" s="841"/>
      <c r="K5" s="841"/>
      <c r="L5" s="841"/>
      <c r="M5" s="841"/>
      <c r="N5" s="841"/>
      <c r="O5" s="841"/>
      <c r="P5" s="841"/>
      <c r="Q5" s="841"/>
      <c r="R5" s="841"/>
      <c r="S5" s="841"/>
      <c r="T5" s="841"/>
      <c r="U5" s="841"/>
      <c r="V5" s="841"/>
      <c r="W5" s="841"/>
      <c r="X5" s="841"/>
      <c r="Y5" s="841"/>
      <c r="Z5" s="841"/>
    </row>
    <row r="6" spans="1:26" x14ac:dyDescent="0.35">
      <c r="A6" s="720" t="s">
        <v>2087</v>
      </c>
      <c r="B6" s="1644" t="s">
        <v>2959</v>
      </c>
      <c r="C6" s="854">
        <v>1820</v>
      </c>
      <c r="D6" s="854">
        <v>2330</v>
      </c>
      <c r="E6" s="854">
        <v>2580</v>
      </c>
      <c r="F6" s="854">
        <v>3670</v>
      </c>
      <c r="G6" s="854">
        <v>4160</v>
      </c>
      <c r="H6" s="854">
        <v>5480</v>
      </c>
      <c r="I6" s="854">
        <v>6730</v>
      </c>
      <c r="J6" s="854">
        <v>7850</v>
      </c>
      <c r="K6" s="854">
        <v>8880</v>
      </c>
      <c r="L6" s="854">
        <v>10850</v>
      </c>
      <c r="M6" s="854">
        <v>13403</v>
      </c>
      <c r="N6" s="854">
        <v>16239</v>
      </c>
      <c r="O6" s="854">
        <v>18530</v>
      </c>
      <c r="P6" s="854">
        <f>17350</f>
        <v>17350</v>
      </c>
      <c r="Q6" s="894">
        <f t="shared" ref="Q6:V6" si="14">P6+Q3-Q11</f>
        <v>19800.19546709214</v>
      </c>
      <c r="R6" s="894">
        <f t="shared" si="14"/>
        <v>21687.464840488392</v>
      </c>
      <c r="S6" s="894">
        <f t="shared" si="14"/>
        <v>23343.8224070785</v>
      </c>
      <c r="T6" s="894">
        <f t="shared" si="14"/>
        <v>24901.15731905073</v>
      </c>
      <c r="U6" s="894">
        <f t="shared" si="14"/>
        <v>26478.670140000464</v>
      </c>
      <c r="V6" s="894">
        <f t="shared" si="14"/>
        <v>28085.899958454604</v>
      </c>
      <c r="W6" s="894">
        <f t="shared" ref="W6" si="15">V6+W3-W11</f>
        <v>29731.601495450224</v>
      </c>
      <c r="X6" s="894">
        <f t="shared" ref="X6" si="16">W6+X3-X11</f>
        <v>31423.892392252234</v>
      </c>
      <c r="Y6" s="894">
        <f t="shared" ref="Y6:Z6" si="17">X6+Y3-Y11</f>
        <v>33170.380284626095</v>
      </c>
      <c r="Z6" s="894">
        <f t="shared" si="17"/>
        <v>34978.272730805198</v>
      </c>
    </row>
    <row r="7" spans="1:26" x14ac:dyDescent="0.35">
      <c r="A7" s="625" t="s">
        <v>577</v>
      </c>
      <c r="B7" s="1643" t="s">
        <v>577</v>
      </c>
      <c r="C7" s="820"/>
      <c r="D7" s="820">
        <f t="shared" ref="D7:V7" si="18">D6/C6-1</f>
        <v>0.28021978021978011</v>
      </c>
      <c r="E7" s="820">
        <f t="shared" si="18"/>
        <v>0.10729613733905574</v>
      </c>
      <c r="F7" s="820">
        <f t="shared" si="18"/>
        <v>0.42248062015503884</v>
      </c>
      <c r="G7" s="820">
        <f t="shared" si="18"/>
        <v>0.13351498637602188</v>
      </c>
      <c r="H7" s="820">
        <f t="shared" si="18"/>
        <v>0.31730769230769229</v>
      </c>
      <c r="I7" s="820">
        <f t="shared" si="18"/>
        <v>0.22810218978102181</v>
      </c>
      <c r="J7" s="820">
        <f t="shared" si="18"/>
        <v>0.16641901931649339</v>
      </c>
      <c r="K7" s="820">
        <f t="shared" si="18"/>
        <v>0.13121019108280252</v>
      </c>
      <c r="L7" s="820">
        <f t="shared" si="18"/>
        <v>0.22184684684684686</v>
      </c>
      <c r="M7" s="820">
        <f t="shared" si="18"/>
        <v>0.23529953917050683</v>
      </c>
      <c r="N7" s="820">
        <f t="shared" si="18"/>
        <v>0.21159441915988952</v>
      </c>
      <c r="O7" s="820">
        <f t="shared" si="18"/>
        <v>0.14108011577067558</v>
      </c>
      <c r="P7" s="820">
        <f t="shared" si="18"/>
        <v>-6.368051807879116E-2</v>
      </c>
      <c r="Q7" s="820">
        <f t="shared" si="18"/>
        <v>0.14122164075459032</v>
      </c>
      <c r="R7" s="820">
        <f t="shared" si="18"/>
        <v>9.5315694056298028E-2</v>
      </c>
      <c r="S7" s="820">
        <f t="shared" si="18"/>
        <v>7.6373959739999275E-2</v>
      </c>
      <c r="T7" s="820">
        <f t="shared" si="18"/>
        <v>6.6712935217499103E-2</v>
      </c>
      <c r="U7" s="820">
        <f t="shared" si="18"/>
        <v>6.335098408228812E-2</v>
      </c>
      <c r="V7" s="820">
        <f t="shared" si="18"/>
        <v>6.0699038507457059E-2</v>
      </c>
      <c r="W7" s="820">
        <f t="shared" ref="W7" si="19">W6/V6-1</f>
        <v>5.8595292991500569E-2</v>
      </c>
      <c r="X7" s="820">
        <f t="shared" ref="X7" si="20">X6/W6-1</f>
        <v>5.6918928402191149E-2</v>
      </c>
      <c r="Y7" s="820">
        <f t="shared" ref="Y7:Z7" si="21">Y6/X6-1</f>
        <v>5.5578343719267176E-2</v>
      </c>
      <c r="Z7" s="820">
        <f t="shared" si="21"/>
        <v>5.4503217348310873E-2</v>
      </c>
    </row>
    <row r="8" spans="1:26" x14ac:dyDescent="0.35">
      <c r="C8" s="883"/>
      <c r="D8" s="883"/>
      <c r="E8" s="883"/>
      <c r="F8" s="883"/>
      <c r="G8" s="883"/>
      <c r="H8" s="883"/>
      <c r="I8" s="883"/>
      <c r="J8" s="883"/>
      <c r="K8" s="883"/>
      <c r="L8" s="883"/>
      <c r="M8" s="883"/>
      <c r="N8" s="883"/>
      <c r="O8" s="883"/>
      <c r="P8" s="883"/>
      <c r="Q8" s="883"/>
      <c r="R8" s="883"/>
      <c r="S8" s="883"/>
      <c r="T8" s="883"/>
      <c r="U8" s="883"/>
      <c r="V8" s="883"/>
      <c r="W8" s="883"/>
      <c r="X8" s="883"/>
      <c r="Y8" s="883"/>
      <c r="Z8" s="883"/>
    </row>
    <row r="9" spans="1:26" x14ac:dyDescent="0.35">
      <c r="A9" s="720" t="s">
        <v>2089</v>
      </c>
      <c r="B9" s="1644" t="s">
        <v>2960</v>
      </c>
      <c r="C9" s="900">
        <f t="shared" ref="C9:V9" si="22">C6/C11</f>
        <v>1.7276895474782377</v>
      </c>
      <c r="D9" s="900">
        <f t="shared" si="22"/>
        <v>1.737721839210761</v>
      </c>
      <c r="E9" s="900">
        <f t="shared" si="22"/>
        <v>1.866835308946772</v>
      </c>
      <c r="F9" s="900">
        <f t="shared" si="22"/>
        <v>2.0567367937322767</v>
      </c>
      <c r="G9" s="900">
        <f t="shared" si="22"/>
        <v>2.5341393033431752</v>
      </c>
      <c r="H9" s="900">
        <f t="shared" si="22"/>
        <v>2.4560895558377172</v>
      </c>
      <c r="I9" s="900">
        <f t="shared" si="22"/>
        <v>2.1669490998789667</v>
      </c>
      <c r="J9" s="900">
        <f t="shared" si="22"/>
        <v>2.1689264946666511</v>
      </c>
      <c r="K9" s="900">
        <f t="shared" si="22"/>
        <v>2.7741564830443743</v>
      </c>
      <c r="L9" s="900">
        <f t="shared" si="22"/>
        <v>2.3948347497806024</v>
      </c>
      <c r="M9" s="900">
        <f t="shared" si="22"/>
        <v>2.3984647535019588</v>
      </c>
      <c r="N9" s="900">
        <f t="shared" ref="N9" si="23">N6/N11</f>
        <v>2.7260745785109979</v>
      </c>
      <c r="O9" s="900">
        <f t="shared" si="22"/>
        <v>3.8469874745575652</v>
      </c>
      <c r="P9" s="900">
        <f t="shared" si="22"/>
        <v>4.6803471279933317</v>
      </c>
      <c r="Q9" s="900">
        <f t="shared" si="22"/>
        <v>5.7628992794693268</v>
      </c>
      <c r="R9" s="900">
        <f t="shared" si="22"/>
        <v>5.7628992794693268</v>
      </c>
      <c r="S9" s="900">
        <f t="shared" si="22"/>
        <v>5.7628992794693277</v>
      </c>
      <c r="T9" s="900">
        <f t="shared" si="22"/>
        <v>5.7628992794693268</v>
      </c>
      <c r="U9" s="900">
        <f t="shared" si="22"/>
        <v>5.7628992794693277</v>
      </c>
      <c r="V9" s="900">
        <f t="shared" si="22"/>
        <v>5.7628992794693277</v>
      </c>
      <c r="W9" s="900">
        <f t="shared" ref="W9:Y9" si="24">W6/W11</f>
        <v>5.7628992794693277</v>
      </c>
      <c r="X9" s="900">
        <f t="shared" si="24"/>
        <v>5.7628992794693268</v>
      </c>
      <c r="Y9" s="900">
        <f t="shared" si="24"/>
        <v>5.7628992794693277</v>
      </c>
      <c r="Z9" s="900">
        <f t="shared" ref="Z9" si="25">Z6/Z11</f>
        <v>5.7628992794693268</v>
      </c>
    </row>
    <row r="10" spans="1:26" x14ac:dyDescent="0.35">
      <c r="C10" s="883"/>
      <c r="D10" s="883"/>
      <c r="E10" s="883"/>
      <c r="F10" s="883"/>
      <c r="G10" s="883"/>
      <c r="H10" s="883"/>
      <c r="I10" s="883"/>
      <c r="J10" s="883"/>
      <c r="K10" s="883"/>
      <c r="L10" s="883"/>
      <c r="M10" s="883"/>
      <c r="N10" s="883"/>
      <c r="O10" s="883"/>
      <c r="P10" s="883"/>
      <c r="Q10" s="883"/>
      <c r="R10" s="883"/>
      <c r="S10" s="883"/>
      <c r="T10" s="883"/>
      <c r="U10" s="883"/>
      <c r="V10" s="883"/>
      <c r="W10" s="883"/>
      <c r="X10" s="883"/>
      <c r="Y10" s="883"/>
      <c r="Z10" s="883"/>
    </row>
    <row r="11" spans="1:26" x14ac:dyDescent="0.35">
      <c r="A11" s="858" t="s">
        <v>262</v>
      </c>
      <c r="B11" s="1642" t="s">
        <v>2961</v>
      </c>
      <c r="C11" s="819">
        <v>1053.43</v>
      </c>
      <c r="D11" s="819">
        <f>1340836/1000</f>
        <v>1340.836</v>
      </c>
      <c r="E11" s="819">
        <v>1382.018</v>
      </c>
      <c r="F11" s="819">
        <f>1784380/1000</f>
        <v>1784.38</v>
      </c>
      <c r="G11" s="819">
        <f>1641583/1000</f>
        <v>1641.5830000000001</v>
      </c>
      <c r="H11" s="819">
        <f>2231189/1000</f>
        <v>2231.1889999999999</v>
      </c>
      <c r="I11" s="819">
        <v>3105.7489999999998</v>
      </c>
      <c r="J11" s="860">
        <v>3619.3020000000001</v>
      </c>
      <c r="K11" s="860">
        <v>3200.973</v>
      </c>
      <c r="L11" s="860">
        <v>4530.5839999999998</v>
      </c>
      <c r="M11" s="860">
        <v>5588.1580000000004</v>
      </c>
      <c r="N11" s="860">
        <v>5956.9170000000004</v>
      </c>
      <c r="O11" s="860">
        <v>4816.7560000000003</v>
      </c>
      <c r="P11" s="860">
        <f>3706.99</f>
        <v>3706.99</v>
      </c>
      <c r="Q11" s="818">
        <f t="shared" ref="Q11:V11" si="26">(P6+Q3)*Q1</f>
        <v>3435.8045329078577</v>
      </c>
      <c r="R11" s="818">
        <f t="shared" si="26"/>
        <v>3763.2906266037448</v>
      </c>
      <c r="S11" s="818">
        <f t="shared" si="26"/>
        <v>4050.7080334098951</v>
      </c>
      <c r="T11" s="818">
        <f t="shared" si="26"/>
        <v>4320.9426560277725</v>
      </c>
      <c r="U11" s="818">
        <f t="shared" si="26"/>
        <v>4594.6786254502667</v>
      </c>
      <c r="V11" s="818">
        <f t="shared" si="26"/>
        <v>4873.571200265862</v>
      </c>
      <c r="W11" s="818">
        <f t="shared" ref="W11" si="27">(V6+W3)*W1</f>
        <v>5159.1395326603797</v>
      </c>
      <c r="X11" s="818">
        <f t="shared" ref="X11" si="28">(W6+X3)*X1</f>
        <v>5452.79222633679</v>
      </c>
      <c r="Y11" s="818">
        <f t="shared" ref="Y11:Z11" si="29">(X6+Y3)*Y1</f>
        <v>5755.8493869218837</v>
      </c>
      <c r="Z11" s="818">
        <f t="shared" si="29"/>
        <v>6069.5616970814299</v>
      </c>
    </row>
    <row r="12" spans="1:26" x14ac:dyDescent="0.35">
      <c r="A12" s="625" t="s">
        <v>577</v>
      </c>
      <c r="B12" s="1643" t="s">
        <v>577</v>
      </c>
      <c r="C12" s="820"/>
      <c r="D12" s="820">
        <f t="shared" ref="D12:V12" si="30">D11/C11-1</f>
        <v>0.2728287593860057</v>
      </c>
      <c r="E12" s="820">
        <f t="shared" si="30"/>
        <v>3.0713674155526949E-2</v>
      </c>
      <c r="F12" s="820">
        <f t="shared" si="30"/>
        <v>0.29114092580559747</v>
      </c>
      <c r="G12" s="820">
        <f t="shared" si="30"/>
        <v>-8.0026115513511686E-2</v>
      </c>
      <c r="H12" s="820">
        <f t="shared" si="30"/>
        <v>0.35916916780936425</v>
      </c>
      <c r="I12" s="820">
        <f t="shared" si="30"/>
        <v>0.39197037991850991</v>
      </c>
      <c r="J12" s="820">
        <f t="shared" si="30"/>
        <v>0.16535560343092781</v>
      </c>
      <c r="K12" s="820">
        <f t="shared" si="30"/>
        <v>-0.11558278364170771</v>
      </c>
      <c r="L12" s="820">
        <f t="shared" si="30"/>
        <v>0.41537713688931466</v>
      </c>
      <c r="M12" s="820">
        <f t="shared" si="30"/>
        <v>0.23342995075248596</v>
      </c>
      <c r="N12" s="820">
        <f t="shared" si="30"/>
        <v>6.5989365368695818E-2</v>
      </c>
      <c r="O12" s="820">
        <f t="shared" si="30"/>
        <v>-0.19140118957507712</v>
      </c>
      <c r="P12" s="820">
        <f t="shared" si="30"/>
        <v>-0.23039697256825975</v>
      </c>
      <c r="Q12" s="820">
        <f t="shared" si="30"/>
        <v>-7.3155165536497813E-2</v>
      </c>
      <c r="R12" s="820">
        <f t="shared" si="30"/>
        <v>9.5315694056298028E-2</v>
      </c>
      <c r="S12" s="820">
        <f t="shared" si="30"/>
        <v>7.6373959739999053E-2</v>
      </c>
      <c r="T12" s="820">
        <f t="shared" si="30"/>
        <v>6.6712935217499103E-2</v>
      </c>
      <c r="U12" s="820">
        <f t="shared" si="30"/>
        <v>6.3350984082287898E-2</v>
      </c>
      <c r="V12" s="820">
        <f t="shared" si="30"/>
        <v>6.0699038507457059E-2</v>
      </c>
      <c r="W12" s="820">
        <f t="shared" ref="W12" si="31">W11/V11-1</f>
        <v>5.8595292991500569E-2</v>
      </c>
      <c r="X12" s="820">
        <f t="shared" ref="X12" si="32">X11/W11-1</f>
        <v>5.6918928402191149E-2</v>
      </c>
      <c r="Y12" s="820">
        <f t="shared" ref="Y12:Z12" si="33">Y11/X11-1</f>
        <v>5.5578343719267176E-2</v>
      </c>
      <c r="Z12" s="820">
        <f t="shared" si="33"/>
        <v>5.4503217348311095E-2</v>
      </c>
    </row>
    <row r="13" spans="1:26" x14ac:dyDescent="0.35">
      <c r="A13" s="625" t="s">
        <v>2044</v>
      </c>
      <c r="B13" s="1643" t="s">
        <v>2964</v>
      </c>
      <c r="C13" s="820">
        <f>C11/(PL!J4-PL!J16)</f>
        <v>4.8078423926983499E-2</v>
      </c>
      <c r="D13" s="820">
        <f>D11/(PL!K4-PL!K16)</f>
        <v>4.9140756193188945E-2</v>
      </c>
      <c r="E13" s="820">
        <f>E11/(PL!L4-PL!L16)</f>
        <v>4.0128776269742011E-2</v>
      </c>
      <c r="F13" s="820">
        <f>F11/(PL!M4-PL!M16)</f>
        <v>4.6955050324357678E-2</v>
      </c>
      <c r="G13" s="820">
        <f>G11/(PL!N4-PL!N16)</f>
        <v>3.5526326154615394E-2</v>
      </c>
      <c r="H13" s="820">
        <f>H11/(PL!O4-PL!O16)</f>
        <v>4.4488070032128395E-2</v>
      </c>
      <c r="I13" s="820">
        <f>I11/(PL!P4-PL!P16)</f>
        <v>5.5832381026069959E-2</v>
      </c>
      <c r="J13" s="820">
        <f>J11/(PL!Q4-PL!Q16)</f>
        <v>5.8688517880699814E-2</v>
      </c>
      <c r="K13" s="820">
        <f>K11/(PL!R4-PL!R16)</f>
        <v>5.125082118485693E-2</v>
      </c>
      <c r="L13" s="820">
        <f>L11/(PL!S4-PL!S16)</f>
        <v>5.8603112414970793E-2</v>
      </c>
      <c r="M13" s="820">
        <f>M11/(PL!T4-PL!T16)</f>
        <v>5.4799151539346336E-2</v>
      </c>
      <c r="N13" s="820">
        <f>N11/(PL!U4-PL!U16)</f>
        <v>5.2375860885805703E-2</v>
      </c>
      <c r="O13" s="820">
        <f>O11/(PL!V4-PL!V16)</f>
        <v>4.1845992968057542E-2</v>
      </c>
      <c r="P13" s="820">
        <f>P11/(PL!W4-PL!W16)</f>
        <v>3.6904383838484392E-2</v>
      </c>
      <c r="Q13" s="820">
        <f>Q11/(PL!X4-PL!X16)</f>
        <v>3.3176798723934649E-2</v>
      </c>
      <c r="R13" s="820">
        <f>R11/(PL!Y4-PL!Y16)</f>
        <v>3.2954997114023707E-2</v>
      </c>
      <c r="S13" s="820">
        <f>S11/(PL!Z4-PL!Z16)</f>
        <v>3.2962958363647599E-2</v>
      </c>
      <c r="T13" s="820">
        <f>T11/(PL!AA4-PL!AA16)</f>
        <v>3.2045162139432572E-2</v>
      </c>
      <c r="U13" s="820">
        <f>U11/(PL!AB4-PL!AB16)</f>
        <v>3.1448422601289994E-2</v>
      </c>
      <c r="V13" s="820">
        <f>V11/(PL!AC4-PL!AC16)</f>
        <v>3.1080178945090676E-2</v>
      </c>
      <c r="W13" s="820">
        <f>W11/(PL!AD4-PL!AD16)</f>
        <v>3.0881934708143322E-2</v>
      </c>
      <c r="X13" s="820">
        <f>X11/(PL!AE4-PL!AE16)</f>
        <v>3.0815100337602833E-2</v>
      </c>
      <c r="Y13" s="820">
        <f>Y11/(PL!AF4-PL!AF16)</f>
        <v>3.0853337429547982E-2</v>
      </c>
      <c r="Z13" s="820">
        <f>Z11/(PL!AG4-PL!AG16)</f>
        <v>3.0978164971352733E-2</v>
      </c>
    </row>
    <row r="14" spans="1:26" x14ac:dyDescent="0.35">
      <c r="A14" s="625"/>
      <c r="B14" s="1643"/>
      <c r="C14" s="820"/>
      <c r="D14" s="820"/>
      <c r="E14" s="820"/>
      <c r="F14" s="820"/>
      <c r="G14" s="820"/>
      <c r="H14" s="820"/>
      <c r="I14" s="820"/>
      <c r="J14" s="820"/>
      <c r="K14" s="820"/>
      <c r="L14" s="820"/>
      <c r="M14" s="820"/>
      <c r="N14" s="820"/>
      <c r="O14" s="820"/>
      <c r="P14" s="820"/>
      <c r="Q14" s="820"/>
      <c r="R14" s="820"/>
      <c r="S14" s="820"/>
      <c r="T14" s="820"/>
      <c r="U14" s="820"/>
      <c r="V14" s="820"/>
      <c r="W14" s="820"/>
      <c r="X14" s="820"/>
      <c r="Y14" s="820"/>
      <c r="Z14" s="820"/>
    </row>
    <row r="15" spans="1:26" s="646" customFormat="1" x14ac:dyDescent="0.35">
      <c r="A15" s="720" t="s">
        <v>2094</v>
      </c>
      <c r="B15" s="1644" t="s">
        <v>2965</v>
      </c>
      <c r="C15" s="869">
        <f t="shared" ref="C15:V15" si="34">C11-C18</f>
        <v>940.96300000000008</v>
      </c>
      <c r="D15" s="869">
        <f t="shared" si="34"/>
        <v>1331.0060000000001</v>
      </c>
      <c r="E15" s="869">
        <f t="shared" si="34"/>
        <v>1293.6290000000001</v>
      </c>
      <c r="F15" s="869">
        <f t="shared" si="34"/>
        <v>1600.3130000000001</v>
      </c>
      <c r="G15" s="869">
        <f t="shared" si="34"/>
        <v>1483.1410000000001</v>
      </c>
      <c r="H15" s="869">
        <f t="shared" si="34"/>
        <v>1794.6889999999999</v>
      </c>
      <c r="I15" s="869">
        <f t="shared" si="34"/>
        <v>2752.2059999999997</v>
      </c>
      <c r="J15" s="869">
        <f t="shared" si="34"/>
        <v>3010.0929999999998</v>
      </c>
      <c r="K15" s="869">
        <f t="shared" si="34"/>
        <v>2712.2950000000001</v>
      </c>
      <c r="L15" s="869">
        <f t="shared" si="34"/>
        <v>3862.9799999999996</v>
      </c>
      <c r="M15" s="869">
        <f t="shared" si="34"/>
        <v>4855.2360000000008</v>
      </c>
      <c r="N15" s="869">
        <f t="shared" ref="N15" si="35">N11-N18</f>
        <v>4981.1990000000005</v>
      </c>
      <c r="O15" s="869">
        <f t="shared" si="34"/>
        <v>3849.2620000000002</v>
      </c>
      <c r="P15" s="869">
        <f t="shared" si="34"/>
        <v>3291.1119999999996</v>
      </c>
      <c r="Q15" s="869">
        <f t="shared" si="34"/>
        <v>3050.3501568408456</v>
      </c>
      <c r="R15" s="869">
        <f t="shared" si="34"/>
        <v>3341.0963991548679</v>
      </c>
      <c r="S15" s="869">
        <f t="shared" si="34"/>
        <v>3596.2691610313777</v>
      </c>
      <c r="T15" s="869">
        <f t="shared" si="34"/>
        <v>3836.1868325959535</v>
      </c>
      <c r="U15" s="869">
        <f t="shared" si="34"/>
        <v>4079.2130435644222</v>
      </c>
      <c r="V15" s="869">
        <f t="shared" si="34"/>
        <v>4326.8173531758603</v>
      </c>
      <c r="W15" s="869">
        <f t="shared" ref="W15:Y15" si="36">W11-W18</f>
        <v>4580.3484837059086</v>
      </c>
      <c r="X15" s="869">
        <f t="shared" si="36"/>
        <v>4841.057011107051</v>
      </c>
      <c r="Y15" s="869">
        <f t="shared" si="36"/>
        <v>5110.1149416349263</v>
      </c>
      <c r="Z15" s="869">
        <f t="shared" ref="Z15" si="37">Z11-Z18</f>
        <v>5388.632646973706</v>
      </c>
    </row>
    <row r="16" spans="1:26" s="870" customFormat="1" x14ac:dyDescent="0.35">
      <c r="A16" s="871" t="s">
        <v>2096</v>
      </c>
      <c r="B16" s="1664" t="s">
        <v>2966</v>
      </c>
      <c r="C16" s="820">
        <f t="shared" ref="C16:V16" si="38">C15/C11</f>
        <v>0.89323732948558521</v>
      </c>
      <c r="D16" s="820">
        <f t="shared" si="38"/>
        <v>0.9926687529272783</v>
      </c>
      <c r="E16" s="820">
        <f t="shared" si="38"/>
        <v>0.93604352475872243</v>
      </c>
      <c r="F16" s="820">
        <f t="shared" si="38"/>
        <v>0.89684540288503567</v>
      </c>
      <c r="G16" s="820">
        <f t="shared" si="38"/>
        <v>0.90348218762012034</v>
      </c>
      <c r="H16" s="820">
        <f t="shared" si="38"/>
        <v>0.80436439943007965</v>
      </c>
      <c r="I16" s="820">
        <f t="shared" si="38"/>
        <v>0.88616497984866127</v>
      </c>
      <c r="J16" s="820">
        <f t="shared" si="38"/>
        <v>0.83167776549179917</v>
      </c>
      <c r="K16" s="820">
        <f t="shared" si="38"/>
        <v>0.84733454483995962</v>
      </c>
      <c r="L16" s="820">
        <f t="shared" si="38"/>
        <v>0.85264504531866081</v>
      </c>
      <c r="M16" s="820">
        <f t="shared" si="38"/>
        <v>0.86884372274370203</v>
      </c>
      <c r="N16" s="820">
        <f t="shared" ref="N16" si="39">N15/N11</f>
        <v>0.83620419757401354</v>
      </c>
      <c r="O16" s="820">
        <f t="shared" si="38"/>
        <v>0.7991399190658609</v>
      </c>
      <c r="P16" s="820">
        <f t="shared" si="38"/>
        <v>0.88781248398296186</v>
      </c>
      <c r="Q16" s="820">
        <f t="shared" si="38"/>
        <v>0.88781248398296198</v>
      </c>
      <c r="R16" s="820">
        <f t="shared" si="38"/>
        <v>0.88781248398296186</v>
      </c>
      <c r="S16" s="820">
        <f t="shared" si="38"/>
        <v>0.88781248398296198</v>
      </c>
      <c r="T16" s="820">
        <f t="shared" si="38"/>
        <v>0.88781248398296186</v>
      </c>
      <c r="U16" s="820">
        <f t="shared" si="38"/>
        <v>0.88781248398296186</v>
      </c>
      <c r="V16" s="820">
        <f t="shared" si="38"/>
        <v>0.88781248398296198</v>
      </c>
      <c r="W16" s="820">
        <f t="shared" ref="W16:Y16" si="40">W15/W11</f>
        <v>0.88781248398296186</v>
      </c>
      <c r="X16" s="820">
        <f t="shared" si="40"/>
        <v>0.88781248398296198</v>
      </c>
      <c r="Y16" s="820">
        <f t="shared" si="40"/>
        <v>0.88781248398296198</v>
      </c>
      <c r="Z16" s="820">
        <f t="shared" ref="Z16" si="41">Z15/Z11</f>
        <v>0.88781248398296186</v>
      </c>
    </row>
    <row r="17" spans="1:26" x14ac:dyDescent="0.35">
      <c r="A17" s="872"/>
      <c r="B17" s="1648"/>
      <c r="C17" s="873"/>
      <c r="D17" s="873"/>
      <c r="E17" s="873"/>
      <c r="F17" s="873"/>
      <c r="G17" s="873"/>
      <c r="H17" s="873"/>
      <c r="I17" s="873"/>
      <c r="J17" s="873"/>
      <c r="K17" s="873"/>
      <c r="L17" s="873"/>
      <c r="M17" s="873"/>
      <c r="N17" s="873"/>
      <c r="O17" s="873"/>
      <c r="P17" s="873"/>
      <c r="Q17" s="873"/>
      <c r="R17" s="873"/>
      <c r="S17" s="873"/>
      <c r="T17" s="873"/>
      <c r="U17" s="873"/>
      <c r="V17" s="873"/>
      <c r="W17" s="873"/>
      <c r="X17" s="873"/>
      <c r="Y17" s="873"/>
      <c r="Z17" s="873"/>
    </row>
    <row r="18" spans="1:26" x14ac:dyDescent="0.35">
      <c r="A18" s="858" t="s">
        <v>20</v>
      </c>
      <c r="B18" s="1642" t="s">
        <v>134</v>
      </c>
      <c r="C18" s="860">
        <v>112.467</v>
      </c>
      <c r="D18" s="860">
        <f>9830/1000</f>
        <v>9.83</v>
      </c>
      <c r="E18" s="860">
        <v>88.388999999999996</v>
      </c>
      <c r="F18" s="860">
        <f>184067/1000</f>
        <v>184.06700000000001</v>
      </c>
      <c r="G18" s="860">
        <f>158442/1000</f>
        <v>158.44200000000001</v>
      </c>
      <c r="H18" s="860">
        <f>436500/1000</f>
        <v>436.5</v>
      </c>
      <c r="I18" s="860">
        <v>353.54300000000001</v>
      </c>
      <c r="J18" s="860">
        <v>609.20900000000006</v>
      </c>
      <c r="K18" s="860">
        <v>488.678</v>
      </c>
      <c r="L18" s="860">
        <v>667.60400000000004</v>
      </c>
      <c r="M18" s="860">
        <v>732.92200000000003</v>
      </c>
      <c r="N18" s="860">
        <v>975.71799999999996</v>
      </c>
      <c r="O18" s="860">
        <v>967.49400000000003</v>
      </c>
      <c r="P18" s="860">
        <f>415.878</f>
        <v>415.87799999999999</v>
      </c>
      <c r="Q18" s="859">
        <f t="shared" ref="Q18:V18" si="42">Q20*Q11</f>
        <v>385.45437606701233</v>
      </c>
      <c r="R18" s="859">
        <f t="shared" si="42"/>
        <v>422.19422744887692</v>
      </c>
      <c r="S18" s="859">
        <f t="shared" si="42"/>
        <v>454.43887237851743</v>
      </c>
      <c r="T18" s="859">
        <f t="shared" si="42"/>
        <v>484.75582343181878</v>
      </c>
      <c r="U18" s="859">
        <f t="shared" si="42"/>
        <v>515.46558188584436</v>
      </c>
      <c r="V18" s="859">
        <f t="shared" si="42"/>
        <v>546.75384709000184</v>
      </c>
      <c r="W18" s="859">
        <f t="shared" ref="W18:Y18" si="43">W20*W11</f>
        <v>578.79104895447074</v>
      </c>
      <c r="X18" s="859">
        <f t="shared" si="43"/>
        <v>611.73521522973931</v>
      </c>
      <c r="Y18" s="859">
        <f t="shared" si="43"/>
        <v>645.73444528695768</v>
      </c>
      <c r="Z18" s="859">
        <f t="shared" ref="Z18" si="44">Z20*Z11</f>
        <v>680.9290501077237</v>
      </c>
    </row>
    <row r="19" spans="1:26" x14ac:dyDescent="0.35">
      <c r="A19" s="625" t="s">
        <v>577</v>
      </c>
      <c r="B19" s="1643" t="s">
        <v>577</v>
      </c>
      <c r="C19" s="820"/>
      <c r="D19" s="820">
        <f t="shared" ref="D19:V19" si="45">D18/C18-1</f>
        <v>-0.91259658388682907</v>
      </c>
      <c r="E19" s="820">
        <f t="shared" si="45"/>
        <v>7.9917599186164789</v>
      </c>
      <c r="F19" s="820">
        <f t="shared" si="45"/>
        <v>1.082465012614692</v>
      </c>
      <c r="G19" s="820">
        <f t="shared" si="45"/>
        <v>-0.13921561170660679</v>
      </c>
      <c r="H19" s="820">
        <f t="shared" si="45"/>
        <v>1.7549513386602036</v>
      </c>
      <c r="I19" s="820">
        <f t="shared" si="45"/>
        <v>-0.19005040091638026</v>
      </c>
      <c r="J19" s="820">
        <f t="shared" si="45"/>
        <v>0.72315390207131824</v>
      </c>
      <c r="K19" s="820">
        <f t="shared" si="45"/>
        <v>-0.19784835746024776</v>
      </c>
      <c r="L19" s="820">
        <f t="shared" si="45"/>
        <v>0.36614294075035114</v>
      </c>
      <c r="M19" s="820">
        <f t="shared" si="45"/>
        <v>9.7839437750522729E-2</v>
      </c>
      <c r="N19" s="820">
        <f t="shared" si="45"/>
        <v>0.33127126761101455</v>
      </c>
      <c r="O19" s="820">
        <f t="shared" si="45"/>
        <v>-8.428664839636002E-3</v>
      </c>
      <c r="P19" s="820">
        <f t="shared" si="45"/>
        <v>-0.57014927224354883</v>
      </c>
      <c r="Q19" s="820">
        <f t="shared" si="45"/>
        <v>-7.3155165536497813E-2</v>
      </c>
      <c r="R19" s="820">
        <f t="shared" si="45"/>
        <v>9.5315694056298028E-2</v>
      </c>
      <c r="S19" s="820">
        <f t="shared" si="45"/>
        <v>7.6373959739999053E-2</v>
      </c>
      <c r="T19" s="820">
        <f t="shared" si="45"/>
        <v>6.6712935217499103E-2</v>
      </c>
      <c r="U19" s="820">
        <f t="shared" si="45"/>
        <v>6.335098408228812E-2</v>
      </c>
      <c r="V19" s="820">
        <f t="shared" si="45"/>
        <v>6.0699038507456837E-2</v>
      </c>
      <c r="W19" s="820">
        <f t="shared" ref="W19" si="46">W18/V18-1</f>
        <v>5.8595292991500791E-2</v>
      </c>
      <c r="X19" s="820">
        <f t="shared" ref="X19" si="47">X18/W18-1</f>
        <v>5.6918928402191149E-2</v>
      </c>
      <c r="Y19" s="820">
        <f t="shared" ref="Y19:Z19" si="48">Y18/X18-1</f>
        <v>5.5578343719267176E-2</v>
      </c>
      <c r="Z19" s="820">
        <f t="shared" si="48"/>
        <v>5.4503217348310873E-2</v>
      </c>
    </row>
    <row r="20" spans="1:26" x14ac:dyDescent="0.35">
      <c r="A20" s="625" t="s">
        <v>2097</v>
      </c>
      <c r="B20" s="1643" t="s">
        <v>2967</v>
      </c>
      <c r="C20" s="820">
        <f t="shared" ref="C20:M20" si="49">C18/C11</f>
        <v>0.10676267051441481</v>
      </c>
      <c r="D20" s="820">
        <f t="shared" si="49"/>
        <v>7.3312470727217947E-3</v>
      </c>
      <c r="E20" s="820">
        <f t="shared" si="49"/>
        <v>6.3956475241277608E-2</v>
      </c>
      <c r="F20" s="820">
        <f t="shared" si="49"/>
        <v>0.1031545971149643</v>
      </c>
      <c r="G20" s="820">
        <f t="shared" si="49"/>
        <v>9.6517812379879664E-2</v>
      </c>
      <c r="H20" s="820">
        <f t="shared" si="49"/>
        <v>0.19563560056992035</v>
      </c>
      <c r="I20" s="820">
        <f t="shared" si="49"/>
        <v>0.1138350201513387</v>
      </c>
      <c r="J20" s="820">
        <f t="shared" si="49"/>
        <v>0.16832223450820077</v>
      </c>
      <c r="K20" s="820">
        <f t="shared" si="49"/>
        <v>0.1526654551600404</v>
      </c>
      <c r="L20" s="820">
        <f t="shared" si="49"/>
        <v>0.14735495468133911</v>
      </c>
      <c r="M20" s="820">
        <f t="shared" si="49"/>
        <v>0.13115627725629805</v>
      </c>
      <c r="N20" s="820">
        <f t="shared" ref="N20" si="50">N18/N11</f>
        <v>0.16379580242598646</v>
      </c>
      <c r="O20" s="820">
        <f t="shared" ref="O20:P20" si="51">O18/O11</f>
        <v>0.20086008093413907</v>
      </c>
      <c r="P20" s="820">
        <f t="shared" si="51"/>
        <v>0.11218751601703808</v>
      </c>
      <c r="Q20" s="821">
        <f t="shared" ref="Q20:V20" si="52">P20</f>
        <v>0.11218751601703808</v>
      </c>
      <c r="R20" s="821">
        <f t="shared" si="52"/>
        <v>0.11218751601703808</v>
      </c>
      <c r="S20" s="821">
        <f t="shared" si="52"/>
        <v>0.11218751601703808</v>
      </c>
      <c r="T20" s="821">
        <f t="shared" si="52"/>
        <v>0.11218751601703808</v>
      </c>
      <c r="U20" s="821">
        <f t="shared" si="52"/>
        <v>0.11218751601703808</v>
      </c>
      <c r="V20" s="821">
        <f t="shared" si="52"/>
        <v>0.11218751601703808</v>
      </c>
      <c r="W20" s="821">
        <f t="shared" ref="W20" si="53">V20</f>
        <v>0.11218751601703808</v>
      </c>
      <c r="X20" s="821">
        <f t="shared" ref="X20" si="54">W20</f>
        <v>0.11218751601703808</v>
      </c>
      <c r="Y20" s="821">
        <f t="shared" ref="Y20:Z20" si="55">X20</f>
        <v>0.11218751601703808</v>
      </c>
      <c r="Z20" s="821">
        <f t="shared" si="55"/>
        <v>0.11218751601703808</v>
      </c>
    </row>
    <row r="21" spans="1:26" x14ac:dyDescent="0.35">
      <c r="A21" s="625" t="s">
        <v>2044</v>
      </c>
      <c r="B21" s="1643" t="s">
        <v>2968</v>
      </c>
      <c r="C21" s="820">
        <f>C18/(PL!J40-PL!J58)</f>
        <v>4.1375283871743856E-2</v>
      </c>
      <c r="D21" s="820">
        <f>D18/(PL!K40-PL!K58)</f>
        <v>2.6241709368397029E-3</v>
      </c>
      <c r="E21" s="820">
        <f>E18/(PL!L40-PL!L58)</f>
        <v>1.8639241921076195E-2</v>
      </c>
      <c r="F21" s="820">
        <f>F18/(PL!M40-PL!M58)</f>
        <v>3.5998994741952818E-2</v>
      </c>
      <c r="G21" s="820">
        <f>G18/(PL!N40-PL!N58)</f>
        <v>2.6482572434203055E-2</v>
      </c>
      <c r="H21" s="820">
        <f>H18/(PL!O40-PL!O58)</f>
        <v>5.7320851001243601E-2</v>
      </c>
      <c r="I21" s="820">
        <f>I18/(PL!P40-PL!P58)</f>
        <v>4.0653850589800096E-2</v>
      </c>
      <c r="J21" s="820">
        <f>J18/(PL!Q40-PL!Q58)</f>
        <v>6.596238532139892E-2</v>
      </c>
      <c r="K21" s="820">
        <f>K18/(PL!R40-PL!R58)</f>
        <v>5.2635677609571316E-2</v>
      </c>
      <c r="L21" s="820">
        <f>L18/(PL!S40-PL!S58)</f>
        <v>5.5713787736247029E-2</v>
      </c>
      <c r="M21" s="820">
        <f>M18/(PL!T40-PL!T58)</f>
        <v>5.2286090569574561E-2</v>
      </c>
      <c r="N21" s="820">
        <f>N18/(PL!U40-PL!U58)</f>
        <v>5.9724758231513776E-2</v>
      </c>
      <c r="O21" s="820">
        <f>O18/(PL!V40-PL!V58)</f>
        <v>5.9247970491816931E-2</v>
      </c>
      <c r="P21" s="820">
        <f>P18/(PL!W40-PL!W58)</f>
        <v>2.6023766167940082E-2</v>
      </c>
      <c r="Q21" s="820">
        <f>Q18/(PL!X40-PL!X58)</f>
        <v>2.2578121820133183E-2</v>
      </c>
      <c r="R21" s="820">
        <f>R18/(PL!Y40-PL!Y58)</f>
        <v>2.2759451789529192E-2</v>
      </c>
      <c r="S21" s="820">
        <f>S18/(PL!Z40-PL!Z58)</f>
        <v>2.3261910270261865E-2</v>
      </c>
      <c r="T21" s="820">
        <f>T18/(PL!AA40-PL!AA58)</f>
        <v>2.2417855864025203E-2</v>
      </c>
      <c r="U21" s="820">
        <f>U18/(PL!AB40-PL!AB58)</f>
        <v>2.1873952984339223E-2</v>
      </c>
      <c r="V21" s="820">
        <f>V18/(PL!AC40-PL!AC58)</f>
        <v>2.1540870851288269E-2</v>
      </c>
      <c r="W21" s="820">
        <f>W18/(PL!AD40-PL!AD58)</f>
        <v>2.1363932682873822E-2</v>
      </c>
      <c r="X21" s="820">
        <f>X18/(PL!AE40-PL!AE58)</f>
        <v>2.1308057888349094E-2</v>
      </c>
      <c r="Y21" s="820">
        <f>Y18/(PL!AF40-PL!AF58)</f>
        <v>2.1349934428640527E-2</v>
      </c>
      <c r="Z21" s="820">
        <f>Z18/(PL!AG40-PL!AG58)</f>
        <v>2.1473669356426854E-2</v>
      </c>
    </row>
    <row r="22" spans="1:26" x14ac:dyDescent="0.35">
      <c r="A22" s="625"/>
      <c r="B22" s="1643"/>
      <c r="C22" s="820"/>
      <c r="D22" s="820"/>
      <c r="E22" s="820"/>
      <c r="F22" s="820"/>
      <c r="G22" s="820"/>
    </row>
    <row r="23" spans="1:26" x14ac:dyDescent="0.35">
      <c r="A23" s="625" t="s">
        <v>600</v>
      </c>
      <c r="B23" s="1643" t="s">
        <v>2969</v>
      </c>
      <c r="C23" s="894">
        <f t="shared" ref="C23:P23" si="56">+C26-C18</f>
        <v>-106.331</v>
      </c>
      <c r="D23" s="894">
        <f t="shared" si="56"/>
        <v>-166.50900000000001</v>
      </c>
      <c r="E23" s="894">
        <f t="shared" si="56"/>
        <v>-203.387</v>
      </c>
      <c r="F23" s="894">
        <f t="shared" si="56"/>
        <v>-165.06400000000002</v>
      </c>
      <c r="G23" s="894">
        <f t="shared" si="56"/>
        <v>-152.346</v>
      </c>
      <c r="H23" s="894">
        <f t="shared" si="56"/>
        <v>-184.03399999999999</v>
      </c>
      <c r="I23" s="894">
        <f t="shared" si="56"/>
        <v>-185.87900000000002</v>
      </c>
      <c r="J23" s="894">
        <f t="shared" si="56"/>
        <v>-224.90100000000007</v>
      </c>
      <c r="K23" s="894">
        <f t="shared" si="56"/>
        <v>-172.56599999999997</v>
      </c>
      <c r="L23" s="894">
        <f t="shared" si="56"/>
        <v>-260.74400000000003</v>
      </c>
      <c r="M23" s="894">
        <f t="shared" si="56"/>
        <v>-261.23200000000003</v>
      </c>
      <c r="N23" s="894">
        <f t="shared" ref="N23" si="57">+N26-N18</f>
        <v>-163.15999999999997</v>
      </c>
      <c r="O23" s="894">
        <f t="shared" si="56"/>
        <v>-180.88700000000006</v>
      </c>
      <c r="P23" s="894">
        <f t="shared" si="56"/>
        <v>-120.678</v>
      </c>
      <c r="Q23" s="894">
        <f>Q11*Q24</f>
        <v>111.84978093338651</v>
      </c>
      <c r="R23" s="894">
        <f t="shared" ref="R23:Z23" si="58">R11*R24</f>
        <v>122.51082043309714</v>
      </c>
      <c r="S23" s="894">
        <f t="shared" si="58"/>
        <v>131.86745690056875</v>
      </c>
      <c r="T23" s="894">
        <f t="shared" si="58"/>
        <v>140.66472201007275</v>
      </c>
      <c r="U23" s="894">
        <f t="shared" si="58"/>
        <v>149.57597057507232</v>
      </c>
      <c r="V23" s="894">
        <f t="shared" si="58"/>
        <v>158.65508817279888</v>
      </c>
      <c r="W23" s="894">
        <f t="shared" si="58"/>
        <v>167.95152954887641</v>
      </c>
      <c r="X23" s="894">
        <f t="shared" si="58"/>
        <v>177.5111506343074</v>
      </c>
      <c r="Y23" s="894">
        <f t="shared" si="58"/>
        <v>187.37692637826353</v>
      </c>
      <c r="Z23" s="894">
        <f t="shared" si="58"/>
        <v>197.5895717227165</v>
      </c>
    </row>
    <row r="24" spans="1:26" x14ac:dyDescent="0.35">
      <c r="A24" s="625" t="s">
        <v>2044</v>
      </c>
      <c r="B24" s="1643" t="s">
        <v>2970</v>
      </c>
      <c r="C24" s="820">
        <f t="shared" ref="C24:O24" si="59">-C23/C11</f>
        <v>0.10093788861148818</v>
      </c>
      <c r="D24" s="820">
        <f t="shared" si="59"/>
        <v>0.12418297241422517</v>
      </c>
      <c r="E24" s="820">
        <f t="shared" si="59"/>
        <v>0.14716667944990586</v>
      </c>
      <c r="F24" s="820">
        <f t="shared" si="59"/>
        <v>9.2504959705892245E-2</v>
      </c>
      <c r="G24" s="820">
        <f t="shared" si="59"/>
        <v>9.2804323631519081E-2</v>
      </c>
      <c r="H24" s="820">
        <f t="shared" si="59"/>
        <v>8.2482479072817236E-2</v>
      </c>
      <c r="I24" s="820">
        <f t="shared" si="59"/>
        <v>5.984997499797956E-2</v>
      </c>
      <c r="J24" s="820">
        <f t="shared" si="59"/>
        <v>6.2139329627646449E-2</v>
      </c>
      <c r="K24" s="820">
        <f t="shared" si="59"/>
        <v>5.3910482843810295E-2</v>
      </c>
      <c r="L24" s="820">
        <f t="shared" si="59"/>
        <v>5.7551962396017828E-2</v>
      </c>
      <c r="M24" s="820">
        <f t="shared" si="59"/>
        <v>4.6747425538075336E-2</v>
      </c>
      <c r="N24" s="820">
        <f t="shared" ref="N24" si="60">-N23/N11</f>
        <v>2.739000728061176E-2</v>
      </c>
      <c r="O24" s="820">
        <f t="shared" si="59"/>
        <v>3.7553697966016972E-2</v>
      </c>
      <c r="P24" s="820">
        <f>-P23/P11</f>
        <v>3.2554174680805723E-2</v>
      </c>
      <c r="Q24" s="821">
        <f>P24</f>
        <v>3.2554174680805723E-2</v>
      </c>
      <c r="R24" s="821">
        <f t="shared" ref="R24:Z24" si="61">Q24</f>
        <v>3.2554174680805723E-2</v>
      </c>
      <c r="S24" s="821">
        <f t="shared" si="61"/>
        <v>3.2554174680805723E-2</v>
      </c>
      <c r="T24" s="821">
        <f t="shared" si="61"/>
        <v>3.2554174680805723E-2</v>
      </c>
      <c r="U24" s="821">
        <f t="shared" si="61"/>
        <v>3.2554174680805723E-2</v>
      </c>
      <c r="V24" s="821">
        <f t="shared" si="61"/>
        <v>3.2554174680805723E-2</v>
      </c>
      <c r="W24" s="821">
        <f t="shared" si="61"/>
        <v>3.2554174680805723E-2</v>
      </c>
      <c r="X24" s="821">
        <f t="shared" si="61"/>
        <v>3.2554174680805723E-2</v>
      </c>
      <c r="Y24" s="821">
        <f t="shared" si="61"/>
        <v>3.2554174680805723E-2</v>
      </c>
      <c r="Z24" s="821">
        <f t="shared" si="61"/>
        <v>3.2554174680805723E-2</v>
      </c>
    </row>
    <row r="25" spans="1:26" x14ac:dyDescent="0.35">
      <c r="C25" s="875"/>
      <c r="D25" s="875"/>
      <c r="E25" s="875"/>
      <c r="F25" s="875"/>
      <c r="G25" s="875"/>
      <c r="H25" s="875"/>
      <c r="I25" s="875"/>
      <c r="J25" s="875"/>
      <c r="K25" s="875"/>
      <c r="L25" s="875"/>
      <c r="M25" s="875"/>
      <c r="N25" s="875"/>
      <c r="O25" s="875"/>
      <c r="P25" s="875"/>
      <c r="Q25" s="875"/>
      <c r="R25" s="875"/>
      <c r="S25" s="875"/>
      <c r="T25" s="875"/>
      <c r="U25" s="875"/>
      <c r="V25" s="875"/>
      <c r="W25" s="875"/>
      <c r="X25" s="875"/>
      <c r="Y25" s="875"/>
      <c r="Z25" s="875"/>
    </row>
    <row r="26" spans="1:26" x14ac:dyDescent="0.35">
      <c r="A26" s="858" t="s">
        <v>2100</v>
      </c>
      <c r="B26" s="1642" t="s">
        <v>488</v>
      </c>
      <c r="C26" s="860">
        <v>6.1360000000000001</v>
      </c>
      <c r="D26" s="860">
        <f>-156679/1000</f>
        <v>-156.679</v>
      </c>
      <c r="E26" s="859">
        <v>-114.998</v>
      </c>
      <c r="F26" s="860">
        <f>19003/1000</f>
        <v>19.003</v>
      </c>
      <c r="G26" s="819">
        <f>6096/1000</f>
        <v>6.0960000000000001</v>
      </c>
      <c r="H26" s="819">
        <f>252466/1000</f>
        <v>252.46600000000001</v>
      </c>
      <c r="I26" s="819">
        <v>167.66399999999999</v>
      </c>
      <c r="J26" s="860">
        <v>384.30799999999999</v>
      </c>
      <c r="K26" s="860">
        <v>316.11200000000002</v>
      </c>
      <c r="L26" s="860">
        <v>406.86</v>
      </c>
      <c r="M26" s="860">
        <v>471.69</v>
      </c>
      <c r="N26" s="860">
        <v>812.55799999999999</v>
      </c>
      <c r="O26" s="860">
        <v>786.60699999999997</v>
      </c>
      <c r="P26" s="860">
        <f>295.2</f>
        <v>295.2</v>
      </c>
      <c r="Q26" s="818">
        <f>Q18-Q23</f>
        <v>273.60459513362582</v>
      </c>
      <c r="R26" s="818">
        <f t="shared" ref="R26:Z26" si="62">R18-R23</f>
        <v>299.68340701577978</v>
      </c>
      <c r="S26" s="818">
        <f t="shared" si="62"/>
        <v>322.57141547794868</v>
      </c>
      <c r="T26" s="818">
        <f t="shared" si="62"/>
        <v>344.09110142174603</v>
      </c>
      <c r="U26" s="818">
        <f t="shared" si="62"/>
        <v>365.88961131077201</v>
      </c>
      <c r="V26" s="818">
        <f t="shared" si="62"/>
        <v>388.09875891720299</v>
      </c>
      <c r="W26" s="818">
        <f t="shared" si="62"/>
        <v>410.83951940559433</v>
      </c>
      <c r="X26" s="818">
        <f t="shared" si="62"/>
        <v>434.22406459543191</v>
      </c>
      <c r="Y26" s="818">
        <f t="shared" si="62"/>
        <v>458.35751890869415</v>
      </c>
      <c r="Z26" s="818">
        <f t="shared" si="62"/>
        <v>483.33947838500717</v>
      </c>
    </row>
    <row r="27" spans="1:26" s="623" customFormat="1" x14ac:dyDescent="0.35">
      <c r="A27" s="623" t="s">
        <v>577</v>
      </c>
      <c r="B27" s="1657" t="s">
        <v>577</v>
      </c>
      <c r="C27" s="843"/>
      <c r="D27" s="843">
        <f t="shared" ref="D27:O27" si="63">D26/C26-1</f>
        <v>-26.534387222946545</v>
      </c>
      <c r="E27" s="843">
        <f t="shared" si="63"/>
        <v>-0.26602799354093398</v>
      </c>
      <c r="F27" s="843">
        <f t="shared" si="63"/>
        <v>-1.1652463521104715</v>
      </c>
      <c r="G27" s="843">
        <f t="shared" si="63"/>
        <v>-0.67920854601904956</v>
      </c>
      <c r="H27" s="843">
        <f t="shared" si="63"/>
        <v>40.415026246719158</v>
      </c>
      <c r="I27" s="843">
        <f t="shared" si="63"/>
        <v>-0.33589473434046568</v>
      </c>
      <c r="J27" s="843">
        <f t="shared" si="63"/>
        <v>1.2921318828132455</v>
      </c>
      <c r="K27" s="843">
        <f t="shared" si="63"/>
        <v>-0.17745141917420393</v>
      </c>
      <c r="L27" s="843">
        <f t="shared" si="63"/>
        <v>0.2870754669231157</v>
      </c>
      <c r="M27" s="843">
        <f t="shared" si="63"/>
        <v>0.15934227989971972</v>
      </c>
      <c r="N27" s="843">
        <f t="shared" si="63"/>
        <v>0.72265258962454149</v>
      </c>
      <c r="O27" s="843">
        <f t="shared" si="63"/>
        <v>-3.1937412467786919E-2</v>
      </c>
      <c r="P27" s="843">
        <f>P26/O26-1</f>
        <v>-0.62471729847306223</v>
      </c>
      <c r="Q27" s="820">
        <f t="shared" ref="Q27:Z27" si="64">Q26/P26-1</f>
        <v>-7.3155165536497813E-2</v>
      </c>
      <c r="R27" s="820">
        <f t="shared" si="64"/>
        <v>9.5315694056298028E-2</v>
      </c>
      <c r="S27" s="820">
        <f t="shared" si="64"/>
        <v>7.6373959739999053E-2</v>
      </c>
      <c r="T27" s="820">
        <f t="shared" si="64"/>
        <v>6.6712935217499103E-2</v>
      </c>
      <c r="U27" s="820">
        <f t="shared" si="64"/>
        <v>6.3350984082287898E-2</v>
      </c>
      <c r="V27" s="820">
        <f t="shared" si="64"/>
        <v>6.0699038507456837E-2</v>
      </c>
      <c r="W27" s="820">
        <f t="shared" si="64"/>
        <v>5.8595292991500791E-2</v>
      </c>
      <c r="X27" s="820">
        <f t="shared" si="64"/>
        <v>5.6918928402190927E-2</v>
      </c>
      <c r="Y27" s="820">
        <f t="shared" si="64"/>
        <v>5.5578343719267176E-2</v>
      </c>
      <c r="Z27" s="820">
        <f t="shared" si="64"/>
        <v>5.4503217348310873E-2</v>
      </c>
    </row>
    <row r="28" spans="1:26" s="623" customFormat="1" x14ac:dyDescent="0.35">
      <c r="A28" s="623" t="s">
        <v>1738</v>
      </c>
      <c r="B28" s="1657" t="s">
        <v>93</v>
      </c>
      <c r="C28" s="843">
        <f t="shared" ref="C28:M28" si="65">C26/C11</f>
        <v>5.8247819029266295E-3</v>
      </c>
      <c r="D28" s="843">
        <f t="shared" si="65"/>
        <v>-0.11685172534150336</v>
      </c>
      <c r="E28" s="843">
        <f t="shared" si="65"/>
        <v>-8.321020420862825E-2</v>
      </c>
      <c r="F28" s="843">
        <f t="shared" si="65"/>
        <v>1.0649637409072057E-2</v>
      </c>
      <c r="G28" s="843">
        <f t="shared" si="65"/>
        <v>3.7134887483605762E-3</v>
      </c>
      <c r="H28" s="843">
        <f t="shared" si="65"/>
        <v>0.11315312149710313</v>
      </c>
      <c r="I28" s="843">
        <f t="shared" si="65"/>
        <v>5.398504515335914E-2</v>
      </c>
      <c r="J28" s="843">
        <f t="shared" si="65"/>
        <v>0.1061829048805543</v>
      </c>
      <c r="K28" s="843">
        <f t="shared" si="65"/>
        <v>9.8754972316230108E-2</v>
      </c>
      <c r="L28" s="843">
        <f t="shared" si="65"/>
        <v>8.9802992285321279E-2</v>
      </c>
      <c r="M28" s="843">
        <f t="shared" si="65"/>
        <v>8.440885171822271E-2</v>
      </c>
      <c r="N28" s="843">
        <f t="shared" ref="N28:P28" si="66">N26/N11</f>
        <v>0.13640579514537468</v>
      </c>
      <c r="O28" s="843">
        <f t="shared" si="66"/>
        <v>0.16330638296812211</v>
      </c>
      <c r="P28" s="843">
        <f t="shared" si="66"/>
        <v>7.9633341336232358E-2</v>
      </c>
      <c r="Q28" s="820">
        <f>Q26/Q11</f>
        <v>7.9633341336232358E-2</v>
      </c>
      <c r="R28" s="820">
        <f t="shared" ref="R28:Z28" si="67">R26/R11</f>
        <v>7.9633341336232358E-2</v>
      </c>
      <c r="S28" s="820">
        <f t="shared" si="67"/>
        <v>7.9633341336232358E-2</v>
      </c>
      <c r="T28" s="820">
        <f t="shared" si="67"/>
        <v>7.9633341336232358E-2</v>
      </c>
      <c r="U28" s="820">
        <f t="shared" si="67"/>
        <v>7.9633341336232358E-2</v>
      </c>
      <c r="V28" s="820">
        <f t="shared" si="67"/>
        <v>7.9633341336232358E-2</v>
      </c>
      <c r="W28" s="820">
        <f t="shared" si="67"/>
        <v>7.9633341336232358E-2</v>
      </c>
      <c r="X28" s="820">
        <f t="shared" si="67"/>
        <v>7.9633341336232344E-2</v>
      </c>
      <c r="Y28" s="820">
        <f t="shared" si="67"/>
        <v>7.9633341336232358E-2</v>
      </c>
      <c r="Z28" s="820">
        <f t="shared" si="67"/>
        <v>7.9633341336232344E-2</v>
      </c>
    </row>
    <row r="29" spans="1:26" x14ac:dyDescent="0.35">
      <c r="B29" s="1643"/>
      <c r="C29" s="883"/>
      <c r="D29" s="883"/>
      <c r="E29" s="883"/>
      <c r="F29" s="883"/>
      <c r="G29" s="883"/>
      <c r="H29" s="883"/>
      <c r="I29" s="883"/>
      <c r="J29" s="883"/>
      <c r="K29" s="883"/>
      <c r="L29" s="883"/>
      <c r="M29" s="883"/>
      <c r="N29" s="883"/>
      <c r="O29" s="883"/>
      <c r="P29" s="883"/>
      <c r="Q29" s="883"/>
    </row>
    <row r="30" spans="1:26" x14ac:dyDescent="0.35">
      <c r="A30" s="810" t="s">
        <v>2104</v>
      </c>
      <c r="B30" s="1647" t="s">
        <v>2972</v>
      </c>
      <c r="C30" s="867">
        <v>0.32300000000000001</v>
      </c>
      <c r="D30" s="867"/>
      <c r="E30" s="867">
        <f>35853/1000</f>
        <v>35.853000000000002</v>
      </c>
      <c r="F30" s="867">
        <f>24279/1000</f>
        <v>24.279</v>
      </c>
      <c r="G30" s="867">
        <f>18277/1000</f>
        <v>18.277000000000001</v>
      </c>
      <c r="H30" s="867">
        <v>6.7000000000000004E-2</v>
      </c>
      <c r="I30" s="875">
        <v>-3.9E-2</v>
      </c>
      <c r="J30" s="875">
        <v>-0.42299999999999999</v>
      </c>
      <c r="K30" s="867">
        <v>6.0000000000000001E-3</v>
      </c>
      <c r="L30" s="867">
        <v>0.27400000000000002</v>
      </c>
      <c r="M30" s="867">
        <v>8.1000000000000003E-2</v>
      </c>
      <c r="N30" s="867">
        <v>8.6999999999999994E-2</v>
      </c>
      <c r="O30" s="867">
        <v>10.938000000000001</v>
      </c>
      <c r="P30" s="875"/>
      <c r="Q30" s="875"/>
    </row>
    <row r="31" spans="1:26" x14ac:dyDescent="0.35">
      <c r="C31" s="883"/>
      <c r="D31" s="883"/>
      <c r="E31" s="883"/>
      <c r="F31" s="883"/>
      <c r="G31" s="883"/>
      <c r="H31" s="883"/>
      <c r="I31" s="883"/>
      <c r="J31" s="883"/>
      <c r="K31" s="883"/>
      <c r="L31" s="883"/>
      <c r="M31" s="883"/>
      <c r="N31" s="883"/>
      <c r="O31" s="883"/>
      <c r="P31" s="883"/>
      <c r="Q31" s="883"/>
    </row>
    <row r="32" spans="1:26" s="886" customFormat="1" x14ac:dyDescent="0.35">
      <c r="A32" s="810" t="s">
        <v>378</v>
      </c>
      <c r="B32" s="1647" t="s">
        <v>2982</v>
      </c>
      <c r="C32" s="885"/>
      <c r="D32" s="885"/>
      <c r="E32" s="885"/>
      <c r="F32" s="887"/>
      <c r="G32" s="887"/>
      <c r="H32" s="887"/>
      <c r="I32" s="887"/>
      <c r="J32" s="887"/>
      <c r="K32" s="887"/>
      <c r="L32" s="887"/>
      <c r="M32" s="887"/>
      <c r="N32" s="887"/>
      <c r="O32" s="887"/>
      <c r="P32" s="887"/>
      <c r="Q32" s="887"/>
      <c r="R32" s="887"/>
      <c r="S32" s="887"/>
      <c r="T32" s="887"/>
      <c r="U32" s="887"/>
      <c r="V32" s="887"/>
      <c r="W32" s="887"/>
      <c r="X32" s="887"/>
      <c r="Y32" s="887"/>
      <c r="Z32" s="887"/>
    </row>
    <row r="33" spans="1:17" x14ac:dyDescent="0.35">
      <c r="C33" s="883"/>
      <c r="D33" s="883"/>
      <c r="E33" s="883"/>
      <c r="F33" s="883"/>
      <c r="G33" s="883"/>
      <c r="H33" s="883"/>
      <c r="I33" s="883"/>
      <c r="J33" s="883"/>
      <c r="K33" s="883"/>
      <c r="L33" s="883"/>
      <c r="M33" s="883"/>
      <c r="N33" s="883"/>
      <c r="O33" s="883"/>
      <c r="P33" s="883"/>
      <c r="Q33" s="883"/>
    </row>
    <row r="34" spans="1:17" x14ac:dyDescent="0.35">
      <c r="A34" s="331" t="s">
        <v>2106</v>
      </c>
      <c r="B34" s="1647" t="s">
        <v>487</v>
      </c>
      <c r="C34" s="867">
        <v>99.713999999999999</v>
      </c>
      <c r="D34" s="867">
        <v>15.048</v>
      </c>
      <c r="E34" s="867">
        <v>10.996</v>
      </c>
      <c r="F34" s="875"/>
      <c r="G34" s="875"/>
      <c r="H34" s="875"/>
      <c r="I34" s="875"/>
      <c r="J34" s="875"/>
      <c r="K34" s="875"/>
      <c r="L34" s="875"/>
      <c r="M34" s="875"/>
      <c r="N34" s="875"/>
      <c r="O34" s="875"/>
      <c r="P34" s="875"/>
      <c r="Q34" s="875"/>
    </row>
    <row r="35" spans="1:17" x14ac:dyDescent="0.35">
      <c r="A35" s="331" t="s">
        <v>2113</v>
      </c>
      <c r="B35" s="1647" t="s">
        <v>2973</v>
      </c>
      <c r="C35" s="820">
        <f>C34/C11</f>
        <v>9.4656503042442303E-2</v>
      </c>
      <c r="D35" s="820">
        <f>D34/D11</f>
        <v>1.1222849028516538E-2</v>
      </c>
      <c r="E35" s="820">
        <f>E34/E11</f>
        <v>7.956481029914227E-3</v>
      </c>
      <c r="F35" s="865"/>
      <c r="G35" s="865"/>
      <c r="H35" s="865"/>
      <c r="I35" s="865"/>
      <c r="J35" s="865"/>
      <c r="K35" s="865"/>
      <c r="L35" s="865"/>
      <c r="M35" s="865"/>
      <c r="N35" s="865"/>
      <c r="O35" s="865"/>
      <c r="P35" s="865"/>
      <c r="Q35" s="865"/>
    </row>
    <row r="36" spans="1:17" x14ac:dyDescent="0.35">
      <c r="A36" s="625"/>
      <c r="B36" s="1643"/>
      <c r="C36" s="820"/>
      <c r="D36" s="820"/>
      <c r="E36" s="820"/>
      <c r="F36" s="820"/>
      <c r="G36" s="820"/>
      <c r="H36" s="820"/>
      <c r="I36" s="820"/>
      <c r="J36" s="820"/>
      <c r="K36" s="820"/>
      <c r="L36" s="820"/>
      <c r="M36" s="820"/>
      <c r="N36" s="820"/>
      <c r="O36" s="820"/>
      <c r="P36" s="820"/>
      <c r="Q36" s="820"/>
    </row>
    <row r="37" spans="1:17" x14ac:dyDescent="0.35">
      <c r="A37" s="625"/>
      <c r="C37" s="882"/>
      <c r="D37" s="882"/>
      <c r="E37" s="882"/>
      <c r="F37" s="882"/>
      <c r="G37" s="882"/>
      <c r="H37" s="882"/>
      <c r="I37" s="882"/>
      <c r="J37" s="882"/>
      <c r="K37" s="882"/>
      <c r="L37" s="882"/>
      <c r="M37" s="882"/>
      <c r="N37" s="882"/>
      <c r="O37" s="882"/>
      <c r="P37" s="882"/>
      <c r="Q37" s="882"/>
    </row>
    <row r="38" spans="1:17" x14ac:dyDescent="0.35">
      <c r="C38" s="883"/>
      <c r="D38" s="883"/>
      <c r="E38" s="883"/>
      <c r="F38" s="883"/>
      <c r="G38" s="883"/>
      <c r="H38" s="883"/>
      <c r="I38" s="883"/>
      <c r="J38" s="883"/>
      <c r="K38" s="883"/>
      <c r="L38" s="883"/>
      <c r="M38" s="883"/>
      <c r="N38" s="883"/>
      <c r="O38" s="883"/>
      <c r="P38" s="883"/>
      <c r="Q38" s="883"/>
    </row>
    <row r="39" spans="1:17" x14ac:dyDescent="0.35">
      <c r="C39" s="743"/>
      <c r="D39" s="743"/>
      <c r="E39" s="743"/>
      <c r="F39" s="743"/>
      <c r="G39" s="743"/>
      <c r="H39" s="743"/>
      <c r="I39" s="743"/>
      <c r="J39" s="743"/>
      <c r="K39" s="743"/>
      <c r="L39" s="743"/>
      <c r="M39" s="743"/>
      <c r="N39" s="743"/>
      <c r="O39" s="743"/>
      <c r="P39" s="743"/>
      <c r="Q39" s="743"/>
    </row>
    <row r="40" spans="1:17" x14ac:dyDescent="0.35">
      <c r="A40" s="625"/>
      <c r="C40" s="820"/>
      <c r="D40" s="820"/>
      <c r="E40" s="820"/>
      <c r="F40" s="820"/>
    </row>
    <row r="41" spans="1:17" x14ac:dyDescent="0.35">
      <c r="C41" s="820"/>
      <c r="D41" s="820"/>
      <c r="E41" s="820"/>
      <c r="F41" s="820"/>
    </row>
    <row r="42" spans="1:17" x14ac:dyDescent="0.35">
      <c r="C42" s="873"/>
      <c r="D42" s="873"/>
      <c r="E42" s="873"/>
      <c r="F42" s="873"/>
    </row>
    <row r="43" spans="1:17" x14ac:dyDescent="0.35">
      <c r="C43" s="892"/>
      <c r="D43" s="892"/>
      <c r="E43" s="892"/>
      <c r="F43" s="892"/>
    </row>
  </sheetData>
  <phoneticPr fontId="5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25"/>
  <sheetViews>
    <sheetView showGridLines="0" zoomScaleNormal="100" workbookViewId="0">
      <selection activeCell="S31" sqref="S31"/>
    </sheetView>
  </sheetViews>
  <sheetFormatPr defaultColWidth="9" defaultRowHeight="10.15" outlineLevelRow="1" outlineLevelCol="1" x14ac:dyDescent="0.4"/>
  <cols>
    <col min="1" max="1" width="21" style="901" customWidth="1"/>
    <col min="2" max="2" width="18.5625" style="901" hidden="1" customWidth="1" outlineLevel="1"/>
    <col min="3" max="3" width="1.5625" style="901" customWidth="1" collapsed="1"/>
    <col min="4" max="5" width="8.0625" style="902" hidden="1" customWidth="1" outlineLevel="1"/>
    <col min="6" max="10" width="9.5625" style="902" hidden="1" customWidth="1" outlineLevel="1"/>
    <col min="11" max="11" width="9.5625" style="902" customWidth="1" collapsed="1"/>
    <col min="12" max="17" width="9.5625" style="902" customWidth="1"/>
    <col min="18" max="16384" width="9" style="903"/>
  </cols>
  <sheetData>
    <row r="1" spans="1:17" s="904" customFormat="1" x14ac:dyDescent="0.4">
      <c r="A1" s="905" t="s">
        <v>2780</v>
      </c>
      <c r="B1" s="906"/>
      <c r="C1" s="906"/>
      <c r="D1" s="907"/>
      <c r="E1" s="907"/>
      <c r="F1" s="907"/>
      <c r="G1" s="907"/>
      <c r="H1" s="907"/>
      <c r="I1" s="907"/>
      <c r="J1" s="907"/>
      <c r="K1" s="907"/>
      <c r="L1" s="907"/>
      <c r="M1" s="907"/>
      <c r="N1" s="907"/>
      <c r="O1" s="907"/>
      <c r="P1" s="907"/>
      <c r="Q1" s="907"/>
    </row>
    <row r="3" spans="1:17" s="904" customFormat="1" ht="20.25" x14ac:dyDescent="0.4">
      <c r="A3" s="908" t="s">
        <v>2750</v>
      </c>
      <c r="B3" s="908" t="s">
        <v>2115</v>
      </c>
      <c r="C3" s="908"/>
      <c r="D3" s="909" t="s">
        <v>1739</v>
      </c>
      <c r="E3" s="909" t="s">
        <v>337</v>
      </c>
      <c r="F3" s="909" t="s">
        <v>2490</v>
      </c>
      <c r="G3" s="909" t="s">
        <v>2491</v>
      </c>
      <c r="H3" s="909" t="s">
        <v>2492</v>
      </c>
      <c r="I3" s="909" t="s">
        <v>2493</v>
      </c>
      <c r="J3" s="909" t="s">
        <v>2595</v>
      </c>
      <c r="K3" s="909" t="s">
        <v>2834</v>
      </c>
      <c r="L3" s="909" t="s">
        <v>2803</v>
      </c>
      <c r="M3" s="909" t="s">
        <v>2867</v>
      </c>
      <c r="N3" s="910" t="s">
        <v>2868</v>
      </c>
      <c r="O3" s="910" t="s">
        <v>2599</v>
      </c>
      <c r="P3" s="909" t="s">
        <v>2835</v>
      </c>
      <c r="Q3" s="910" t="s">
        <v>2869</v>
      </c>
    </row>
    <row r="4" spans="1:17" x14ac:dyDescent="0.4">
      <c r="A4" s="901" t="s">
        <v>2781</v>
      </c>
      <c r="B4" s="901" t="s">
        <v>262</v>
      </c>
      <c r="D4" s="911">
        <f>PL!N4</f>
        <v>46207.508000000002</v>
      </c>
      <c r="E4" s="911">
        <v>52197.572</v>
      </c>
      <c r="F4" s="911">
        <f>PL!O4</f>
        <v>50152.523999999998</v>
      </c>
      <c r="G4" s="911">
        <f>PL!P4</f>
        <v>55626.304000000004</v>
      </c>
      <c r="H4" s="911">
        <v>63117</v>
      </c>
      <c r="I4" s="912">
        <f>PL!Q4</f>
        <v>61669.678</v>
      </c>
      <c r="J4" s="912">
        <f>PL!R4</f>
        <v>62458.008999999998</v>
      </c>
      <c r="K4" s="912">
        <f>PL!T4</f>
        <v>101975.265</v>
      </c>
      <c r="L4" s="912">
        <v>118896.48479999999</v>
      </c>
      <c r="M4" s="913">
        <f>PL!U4</f>
        <v>113734.01300000001</v>
      </c>
      <c r="N4" s="914">
        <f t="shared" ref="N4:N9" si="0">M4/K4-1</f>
        <v>0.11530980576515293</v>
      </c>
      <c r="O4" s="915">
        <f t="shared" ref="O4:O9" si="1">M4/L4-1</f>
        <v>-4.3419885866970431E-2</v>
      </c>
      <c r="P4" s="911">
        <f>PL!V4</f>
        <v>105322.671</v>
      </c>
      <c r="Q4" s="915">
        <f t="shared" ref="Q4:Q9" si="2">P4/M4-1</f>
        <v>-7.395625792259708E-2</v>
      </c>
    </row>
    <row r="5" spans="1:17" x14ac:dyDescent="0.4">
      <c r="A5" s="901" t="s">
        <v>2753</v>
      </c>
      <c r="B5" s="901" t="s">
        <v>20</v>
      </c>
      <c r="D5" s="911">
        <f>PL!N40</f>
        <v>5982.8780000000042</v>
      </c>
      <c r="E5" s="911">
        <v>7467.6562599221215</v>
      </c>
      <c r="F5" s="911">
        <f>PL!O40</f>
        <v>7615.0299999999988</v>
      </c>
      <c r="G5" s="911">
        <f>PL!P40</f>
        <v>8696.4210000000021</v>
      </c>
      <c r="H5" s="911">
        <f>H4-53484</f>
        <v>9633</v>
      </c>
      <c r="I5" s="912">
        <f>PL!Q40</f>
        <v>9235.7030000000013</v>
      </c>
      <c r="J5" s="912">
        <f>PL!R40</f>
        <v>9284.1589999999997</v>
      </c>
      <c r="K5" s="912">
        <f>PL!T40</f>
        <v>14018.532999999996</v>
      </c>
      <c r="L5" s="912">
        <v>16535.709500199999</v>
      </c>
      <c r="M5" s="913">
        <f>PL!U40</f>
        <v>16338.910000000003</v>
      </c>
      <c r="N5" s="914">
        <f t="shared" si="0"/>
        <v>0.16552209849632682</v>
      </c>
      <c r="O5" s="915">
        <f t="shared" si="1"/>
        <v>-1.1901485097909781E-2</v>
      </c>
      <c r="P5" s="911">
        <f>PL!V40</f>
        <v>16329.572</v>
      </c>
      <c r="Q5" s="915">
        <f t="shared" si="2"/>
        <v>-5.7151915274666898E-4</v>
      </c>
    </row>
    <row r="6" spans="1:17" x14ac:dyDescent="0.4">
      <c r="A6" s="901" t="s">
        <v>2618</v>
      </c>
      <c r="B6" s="901" t="s">
        <v>2495</v>
      </c>
      <c r="D6" s="911">
        <f>PL!N103</f>
        <v>6011.7200000000048</v>
      </c>
      <c r="E6" s="911">
        <v>6805.0442588700789</v>
      </c>
      <c r="F6" s="911">
        <f>PL!O103</f>
        <v>6789.9659999999994</v>
      </c>
      <c r="G6" s="911">
        <f>PL!P103</f>
        <v>6205.5050000000028</v>
      </c>
      <c r="H6" s="911">
        <v>7615</v>
      </c>
      <c r="I6" s="912">
        <f>PL!Q103</f>
        <v>7284.4710000000014</v>
      </c>
      <c r="J6" s="912">
        <f>PL!R103</f>
        <v>8244.4759999999987</v>
      </c>
      <c r="K6" s="912">
        <f>PL!T103</f>
        <v>10778.684999999994</v>
      </c>
      <c r="L6" s="912">
        <v>12673.535940159267</v>
      </c>
      <c r="M6" s="913">
        <f>PL!U103</f>
        <v>12103.547000000004</v>
      </c>
      <c r="N6" s="914">
        <f t="shared" si="0"/>
        <v>0.12291499380490389</v>
      </c>
      <c r="O6" s="915">
        <f t="shared" si="1"/>
        <v>-4.4974736557388817E-2</v>
      </c>
      <c r="P6" s="911">
        <f>PL!V103</f>
        <v>11839.239</v>
      </c>
      <c r="Q6" s="915">
        <f t="shared" si="2"/>
        <v>-2.1837234985744636E-2</v>
      </c>
    </row>
    <row r="7" spans="1:17" x14ac:dyDescent="0.4">
      <c r="A7" s="901" t="s">
        <v>2617</v>
      </c>
      <c r="B7" s="901" t="s">
        <v>839</v>
      </c>
      <c r="D7" s="911">
        <f>PL!N112</f>
        <v>5130.0660000000053</v>
      </c>
      <c r="E7" s="911">
        <v>5696.3228703584036</v>
      </c>
      <c r="F7" s="911">
        <f>PL!O112</f>
        <v>5490.0909999999994</v>
      </c>
      <c r="G7" s="911">
        <f>PL!P112</f>
        <v>4500.1480000000029</v>
      </c>
      <c r="H7" s="911">
        <v>5497</v>
      </c>
      <c r="I7" s="912">
        <f>PL!Q112</f>
        <v>5413.2080000000014</v>
      </c>
      <c r="J7" s="912">
        <f>PL!R112</f>
        <v>6015.3679999999986</v>
      </c>
      <c r="K7" s="912">
        <f>PL!T112</f>
        <v>7956.8759999999957</v>
      </c>
      <c r="L7" s="912">
        <v>9407.6685924036519</v>
      </c>
      <c r="M7" s="913">
        <f>PL!U112</f>
        <v>9164.0450000000037</v>
      </c>
      <c r="N7" s="914">
        <f t="shared" si="0"/>
        <v>0.15171393898811658</v>
      </c>
      <c r="O7" s="915">
        <f t="shared" si="1"/>
        <v>-2.5896277064900608E-2</v>
      </c>
      <c r="P7" s="911">
        <f>PL!V112</f>
        <v>8565.3309999999983</v>
      </c>
      <c r="Q7" s="915">
        <f t="shared" si="2"/>
        <v>-6.5332939766228226E-2</v>
      </c>
    </row>
    <row r="8" spans="1:17" hidden="1" outlineLevel="1" x14ac:dyDescent="0.4">
      <c r="A8" s="901" t="s">
        <v>2782</v>
      </c>
      <c r="B8" s="901" t="s">
        <v>1741</v>
      </c>
      <c r="D8" s="911">
        <f>PL!N118</f>
        <v>4153.5460000000003</v>
      </c>
      <c r="E8" s="911">
        <v>5396.3228703584036</v>
      </c>
      <c r="F8" s="911">
        <f>PL!O118</f>
        <v>5072.5209999999997</v>
      </c>
      <c r="G8" s="911">
        <f>PL!P118</f>
        <v>5323.9759999999997</v>
      </c>
      <c r="H8" s="911">
        <f>H7</f>
        <v>5497</v>
      </c>
      <c r="I8" s="912">
        <f>PL!Q118</f>
        <v>5413.2080000000014</v>
      </c>
      <c r="J8" s="912">
        <f>PL!R118</f>
        <v>5593.6783368006209</v>
      </c>
      <c r="K8" s="912">
        <f>PL!S118</f>
        <v>6800.8790000000008</v>
      </c>
      <c r="L8" s="912">
        <v>6800.8790000000008</v>
      </c>
      <c r="M8" s="913">
        <f>PL!S118</f>
        <v>6800.8790000000008</v>
      </c>
      <c r="N8" s="914">
        <f t="shared" si="0"/>
        <v>0</v>
      </c>
      <c r="O8" s="915">
        <f t="shared" si="1"/>
        <v>0</v>
      </c>
      <c r="P8" s="911">
        <f>PL!S118</f>
        <v>6800.8790000000008</v>
      </c>
      <c r="Q8" s="915">
        <f t="shared" si="2"/>
        <v>0</v>
      </c>
    </row>
    <row r="9" spans="1:17" s="904" customFormat="1" collapsed="1" x14ac:dyDescent="0.4">
      <c r="A9" s="906" t="s">
        <v>2783</v>
      </c>
      <c r="B9" s="906" t="s">
        <v>2496</v>
      </c>
      <c r="C9" s="906"/>
      <c r="D9" s="916">
        <f>D7/BS!$W$89</f>
        <v>0.9711956724531966</v>
      </c>
      <c r="E9" s="916">
        <f>E7/BS!$W$89</f>
        <v>1.0783962858544602</v>
      </c>
      <c r="F9" s="916">
        <f>F7/BS!$W$89</f>
        <v>1.039353610767237</v>
      </c>
      <c r="G9" s="916">
        <f>G7/BS!$W$89</f>
        <v>0.85194308669691698</v>
      </c>
      <c r="H9" s="916">
        <f>H7/BS!$W$89</f>
        <v>1.0406615843685474</v>
      </c>
      <c r="I9" s="917">
        <f>I7/BS!$W$89</f>
        <v>1.024798547170547</v>
      </c>
      <c r="J9" s="917">
        <f>J7/BS!$W$89</f>
        <v>1.1387961421575148</v>
      </c>
      <c r="K9" s="917">
        <f>K7/BS!$W$89</f>
        <v>1.5063516799679944</v>
      </c>
      <c r="L9" s="917">
        <v>1.8674840013936853</v>
      </c>
      <c r="M9" s="918">
        <f>M7/BS!$W$89</f>
        <v>1.7348862268373055</v>
      </c>
      <c r="N9" s="919">
        <f t="shared" si="0"/>
        <v>0.15171393898811658</v>
      </c>
      <c r="O9" s="920">
        <f t="shared" si="1"/>
        <v>-7.1003432670600275E-2</v>
      </c>
      <c r="P9" s="916">
        <f>P7/BS!$W$89</f>
        <v>1.6215410094780849</v>
      </c>
      <c r="Q9" s="920">
        <f t="shared" si="2"/>
        <v>-6.5332939766228226E-2</v>
      </c>
    </row>
    <row r="10" spans="1:17" x14ac:dyDescent="0.4">
      <c r="D10" s="921"/>
      <c r="E10" s="921"/>
      <c r="F10" s="921"/>
      <c r="G10" s="921"/>
      <c r="H10" s="921"/>
      <c r="I10" s="922"/>
      <c r="J10" s="922"/>
      <c r="K10" s="922"/>
      <c r="L10" s="922"/>
      <c r="M10" s="923"/>
      <c r="N10" s="914"/>
      <c r="O10" s="915"/>
      <c r="P10" s="921"/>
      <c r="Q10" s="915"/>
    </row>
    <row r="11" spans="1:17" x14ac:dyDescent="0.4">
      <c r="A11" s="901" t="s">
        <v>2771</v>
      </c>
      <c r="B11" s="901" t="s">
        <v>135</v>
      </c>
      <c r="D11" s="915">
        <f t="shared" ref="D11:M11" si="3">D5/D$4</f>
        <v>0.12947848215489144</v>
      </c>
      <c r="E11" s="915">
        <f t="shared" si="3"/>
        <v>0.1430652034911149</v>
      </c>
      <c r="F11" s="915">
        <f t="shared" si="3"/>
        <v>0.15183742297795419</v>
      </c>
      <c r="G11" s="915">
        <f t="shared" si="3"/>
        <v>0.15633648786013182</v>
      </c>
      <c r="H11" s="915">
        <f t="shared" si="3"/>
        <v>0.15262132230619327</v>
      </c>
      <c r="I11" s="924">
        <f t="shared" si="3"/>
        <v>0.14976084357048211</v>
      </c>
      <c r="J11" s="924">
        <f t="shared" si="3"/>
        <v>0.14864641298444206</v>
      </c>
      <c r="K11" s="924">
        <f t="shared" si="3"/>
        <v>0.1374699344983315</v>
      </c>
      <c r="L11" s="924">
        <f t="shared" si="3"/>
        <v>0.13907652129510223</v>
      </c>
      <c r="M11" s="914">
        <f t="shared" si="3"/>
        <v>0.14365895978716589</v>
      </c>
      <c r="N11" s="914" t="str">
        <f>ROUND((M11-K11)*100,1)&amp;"ppt"</f>
        <v>0.6ppt</v>
      </c>
      <c r="O11" s="915" t="str">
        <f>ROUND((M11-L11)*100,1)&amp;"ppt"</f>
        <v>0.5ppt</v>
      </c>
      <c r="P11" s="915">
        <f>P5/P$4</f>
        <v>0.15504327648507887</v>
      </c>
      <c r="Q11" s="915" t="str">
        <f>ROUND((P11-M11)*100,1)&amp;"ppt"</f>
        <v>1.1ppt</v>
      </c>
    </row>
    <row r="12" spans="1:17" hidden="1" outlineLevel="1" x14ac:dyDescent="0.4">
      <c r="A12" s="901" t="s">
        <v>2784</v>
      </c>
      <c r="B12" s="901" t="s">
        <v>2497</v>
      </c>
      <c r="D12" s="915">
        <f t="shared" ref="D12:M12" si="4">D6/D$4</f>
        <v>0.13010266643247684</v>
      </c>
      <c r="E12" s="915">
        <f t="shared" si="4"/>
        <v>0.13037089654036166</v>
      </c>
      <c r="F12" s="915">
        <f t="shared" si="4"/>
        <v>0.13538632671807305</v>
      </c>
      <c r="G12" s="915">
        <f t="shared" si="4"/>
        <v>0.1115570252519384</v>
      </c>
      <c r="H12" s="915">
        <f t="shared" si="4"/>
        <v>0.12064895353074449</v>
      </c>
      <c r="I12" s="924">
        <f t="shared" si="4"/>
        <v>0.11812078863132708</v>
      </c>
      <c r="J12" s="924">
        <f t="shared" si="4"/>
        <v>0.13200030119435921</v>
      </c>
      <c r="K12" s="924">
        <f t="shared" si="4"/>
        <v>0.10569901436392437</v>
      </c>
      <c r="L12" s="924">
        <f t="shared" si="4"/>
        <v>0.10659302469268013</v>
      </c>
      <c r="M12" s="914">
        <f t="shared" si="4"/>
        <v>0.10641976556300711</v>
      </c>
      <c r="N12" s="914" t="str">
        <f>ROUND((M12-K12)*100,1)&amp;"ppt"</f>
        <v>0.1ppt</v>
      </c>
      <c r="O12" s="915" t="str">
        <f>ROUND((M12-L12)*100,1)&amp;"ppt"</f>
        <v>0ppt</v>
      </c>
      <c r="P12" s="915">
        <f>P6/P$4</f>
        <v>0.11240921719503295</v>
      </c>
      <c r="Q12" s="915" t="str">
        <f>ROUND((P12-M12)*100,1)&amp;"ppt"</f>
        <v>0.6ppt</v>
      </c>
    </row>
    <row r="13" spans="1:17" collapsed="1" x14ac:dyDescent="0.4">
      <c r="A13" s="901" t="s">
        <v>2785</v>
      </c>
      <c r="B13" s="901" t="s">
        <v>2498</v>
      </c>
      <c r="D13" s="915">
        <f t="shared" ref="D13:M13" si="5">D7/D$4</f>
        <v>0.11102234727741658</v>
      </c>
      <c r="E13" s="915">
        <f t="shared" si="5"/>
        <v>0.10913003521233523</v>
      </c>
      <c r="F13" s="915">
        <f t="shared" si="5"/>
        <v>0.10946789038972395</v>
      </c>
      <c r="G13" s="915">
        <f t="shared" si="5"/>
        <v>8.0899640572920373E-2</v>
      </c>
      <c r="H13" s="915">
        <f t="shared" si="5"/>
        <v>8.7092225549376553E-2</v>
      </c>
      <c r="I13" s="924">
        <f t="shared" si="5"/>
        <v>8.7777464964224422E-2</v>
      </c>
      <c r="J13" s="924">
        <f t="shared" si="5"/>
        <v>9.6310594851014203E-2</v>
      </c>
      <c r="K13" s="924">
        <f t="shared" si="5"/>
        <v>7.8027509906446385E-2</v>
      </c>
      <c r="L13" s="924">
        <f t="shared" si="5"/>
        <v>7.9124867385512915E-2</v>
      </c>
      <c r="M13" s="914">
        <f t="shared" si="5"/>
        <v>8.0574357294506113E-2</v>
      </c>
      <c r="N13" s="914" t="str">
        <f>ROUND((M13-K13)*100,1)&amp;"ppt"</f>
        <v>0.3ppt</v>
      </c>
      <c r="O13" s="915" t="str">
        <f>ROUND((M13-L13)*100,1)&amp;"ppt"</f>
        <v>0.1ppt</v>
      </c>
      <c r="P13" s="915">
        <f>P7/P$4</f>
        <v>8.1324665607844279E-2</v>
      </c>
      <c r="Q13" s="915" t="str">
        <f>ROUND((P13-M13)*100,1)&amp;"ppt"</f>
        <v>0.1ppt</v>
      </c>
    </row>
    <row r="17" spans="1:1" s="903" customFormat="1" x14ac:dyDescent="0.4">
      <c r="A17" s="925" t="s">
        <v>2786</v>
      </c>
    </row>
    <row r="18" spans="1:1" s="903" customFormat="1" x14ac:dyDescent="0.4">
      <c r="A18" s="926" t="s">
        <v>2787</v>
      </c>
    </row>
    <row r="19" spans="1:1" s="903" customFormat="1" x14ac:dyDescent="0.4">
      <c r="A19" s="926" t="s">
        <v>2788</v>
      </c>
    </row>
    <row r="20" spans="1:1" s="903" customFormat="1" x14ac:dyDescent="0.4">
      <c r="A20" s="926" t="s">
        <v>2789</v>
      </c>
    </row>
    <row r="22" spans="1:1" s="903" customFormat="1" x14ac:dyDescent="0.4">
      <c r="A22" s="925"/>
    </row>
    <row r="23" spans="1:1" s="903" customFormat="1" x14ac:dyDescent="0.4">
      <c r="A23" s="926"/>
    </row>
    <row r="24" spans="1:1" s="903" customFormat="1" x14ac:dyDescent="0.4">
      <c r="A24" s="926"/>
    </row>
    <row r="25" spans="1:1" s="903" customFormat="1" x14ac:dyDescent="0.4">
      <c r="A25" s="926"/>
    </row>
  </sheetData>
  <phoneticPr fontId="5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2060"/>
    <pageSetUpPr fitToPage="1"/>
  </sheetPr>
  <dimension ref="A1:AG121"/>
  <sheetViews>
    <sheetView showGridLines="0" workbookViewId="0">
      <pane xSplit="2" ySplit="2" topLeftCell="C3" activePane="bottomRight" state="frozen"/>
      <selection pane="topRight"/>
      <selection pane="bottomLeft"/>
      <selection pane="bottomRight" activeCell="AG1" sqref="AG1:AG1048576"/>
    </sheetView>
  </sheetViews>
  <sheetFormatPr defaultColWidth="9" defaultRowHeight="11.65" outlineLevelCol="1" x14ac:dyDescent="0.35"/>
  <cols>
    <col min="1" max="1" width="31.0625" style="331" hidden="1" customWidth="1" outlineLevel="1"/>
    <col min="2" max="2" width="25" style="331" customWidth="1" collapsed="1"/>
    <col min="3" max="13" width="8.0625" style="625" hidden="1" customWidth="1" outlineLevel="1"/>
    <col min="14" max="14" width="8.0625" style="625" customWidth="1" collapsed="1"/>
    <col min="15" max="21" width="8.0625" style="625" customWidth="1"/>
    <col min="22" max="33" width="8.0625" style="625" customWidth="1" outlineLevel="1"/>
    <col min="34" max="16384" width="9" style="625"/>
  </cols>
  <sheetData>
    <row r="1" spans="1:33" ht="12" x14ac:dyDescent="0.35">
      <c r="A1" s="811" t="s">
        <v>2081</v>
      </c>
      <c r="B1" s="517" t="s">
        <v>2082</v>
      </c>
      <c r="D1" s="812"/>
      <c r="E1" s="812">
        <f>E9/(E3+D6)</f>
        <v>0.36536190476190478</v>
      </c>
      <c r="F1" s="812">
        <f t="shared" ref="F1:L1" si="0">F9/(E6+F3)</f>
        <v>0.3252868823938761</v>
      </c>
      <c r="G1" s="812">
        <f t="shared" si="0"/>
        <v>0.27586309859154928</v>
      </c>
      <c r="H1" s="812">
        <f t="shared" si="0"/>
        <v>0.35812692307692312</v>
      </c>
      <c r="I1" s="812">
        <f t="shared" si="0"/>
        <v>-0.11</v>
      </c>
      <c r="J1" s="812">
        <f t="shared" si="0"/>
        <v>0.41482857142857144</v>
      </c>
      <c r="K1" s="812">
        <f t="shared" si="0"/>
        <v>0.2003625</v>
      </c>
      <c r="L1" s="812">
        <f t="shared" si="0"/>
        <v>0</v>
      </c>
      <c r="M1" s="812">
        <v>0</v>
      </c>
      <c r="N1" s="812">
        <v>0</v>
      </c>
      <c r="O1" s="812">
        <v>0</v>
      </c>
      <c r="P1" s="812">
        <v>0</v>
      </c>
      <c r="Q1" s="812">
        <v>0</v>
      </c>
      <c r="R1" s="812">
        <v>0</v>
      </c>
      <c r="S1" s="812">
        <v>0</v>
      </c>
      <c r="T1" s="899">
        <f t="shared" ref="T1:AC1" si="1">S1</f>
        <v>0</v>
      </c>
      <c r="U1" s="899">
        <f t="shared" si="1"/>
        <v>0</v>
      </c>
      <c r="V1" s="899">
        <f t="shared" si="1"/>
        <v>0</v>
      </c>
      <c r="W1" s="899">
        <f t="shared" si="1"/>
        <v>0</v>
      </c>
      <c r="X1" s="899">
        <f t="shared" si="1"/>
        <v>0</v>
      </c>
      <c r="Y1" s="899">
        <f t="shared" si="1"/>
        <v>0</v>
      </c>
      <c r="Z1" s="899">
        <f t="shared" si="1"/>
        <v>0</v>
      </c>
      <c r="AA1" s="899">
        <f t="shared" si="1"/>
        <v>0</v>
      </c>
      <c r="AB1" s="899">
        <f t="shared" si="1"/>
        <v>0</v>
      </c>
      <c r="AC1" s="899">
        <f t="shared" si="1"/>
        <v>0</v>
      </c>
      <c r="AD1" s="899">
        <f t="shared" ref="AD1" si="2">AC1</f>
        <v>0</v>
      </c>
      <c r="AE1" s="899">
        <f t="shared" ref="AE1" si="3">AD1</f>
        <v>0</v>
      </c>
      <c r="AF1" s="899">
        <f t="shared" ref="AF1:AG1" si="4">AE1</f>
        <v>0</v>
      </c>
      <c r="AG1" s="899">
        <f t="shared" si="4"/>
        <v>0</v>
      </c>
    </row>
    <row r="2" spans="1:33" s="322" customFormat="1" x14ac:dyDescent="0.4">
      <c r="A2" s="318" t="s">
        <v>759</v>
      </c>
      <c r="B2" s="319" t="s">
        <v>1766</v>
      </c>
      <c r="C2" s="515" t="s">
        <v>328</v>
      </c>
      <c r="D2" s="515" t="s">
        <v>323</v>
      </c>
      <c r="E2" s="515" t="s">
        <v>198</v>
      </c>
      <c r="F2" s="515" t="s">
        <v>331</v>
      </c>
      <c r="G2" s="515" t="s">
        <v>56</v>
      </c>
      <c r="H2" s="515" t="s">
        <v>721</v>
      </c>
      <c r="I2" s="515" t="s">
        <v>747</v>
      </c>
      <c r="J2" s="516" t="s">
        <v>1748</v>
      </c>
      <c r="K2" s="516" t="s">
        <v>2042</v>
      </c>
      <c r="L2" s="516" t="s">
        <v>1510</v>
      </c>
      <c r="M2" s="516" t="s">
        <v>1587</v>
      </c>
      <c r="N2" s="516" t="s">
        <v>1739</v>
      </c>
      <c r="O2" s="516" t="s">
        <v>1810</v>
      </c>
      <c r="P2" s="516" t="s">
        <v>1818</v>
      </c>
      <c r="Q2" s="516" t="str">
        <f>PL!Q3</f>
        <v>2019A</v>
      </c>
      <c r="R2" s="516" t="str">
        <f>PL!R3</f>
        <v>2020A</v>
      </c>
      <c r="S2" s="516" t="str">
        <f>PL!S3</f>
        <v>2021A</v>
      </c>
      <c r="T2" s="516" t="str">
        <f>PL!T3</f>
        <v>2022A</v>
      </c>
      <c r="U2" s="516" t="str">
        <f>PL!U3</f>
        <v>2023A</v>
      </c>
      <c r="V2" s="516" t="str">
        <f>PL!V3</f>
        <v>2024A</v>
      </c>
      <c r="W2" s="516" t="str">
        <f>PL!W3</f>
        <v>2025A</v>
      </c>
      <c r="X2" s="516" t="str">
        <f>PL!X3</f>
        <v>2026E</v>
      </c>
      <c r="Y2" s="516" t="str">
        <f>PL!Y3</f>
        <v>2027E</v>
      </c>
      <c r="Z2" s="516" t="str">
        <f>PL!Z3</f>
        <v>2028E</v>
      </c>
      <c r="AA2" s="516" t="str">
        <f>PL!AA3</f>
        <v>2029E</v>
      </c>
      <c r="AB2" s="516" t="str">
        <f>PL!AB3</f>
        <v>2030E</v>
      </c>
      <c r="AC2" s="516" t="str">
        <f>PL!AC3</f>
        <v>2031E</v>
      </c>
      <c r="AD2" s="516" t="str">
        <f>PL!AD3</f>
        <v>2032E</v>
      </c>
      <c r="AE2" s="516" t="str">
        <f>PL!AE3</f>
        <v>2033E</v>
      </c>
      <c r="AF2" s="516" t="str">
        <f>PL!AF3</f>
        <v>2034E</v>
      </c>
      <c r="AG2" s="516" t="str">
        <f>PL!AG3</f>
        <v>2035E</v>
      </c>
    </row>
    <row r="3" spans="1:33" ht="12" x14ac:dyDescent="0.35">
      <c r="A3" s="858" t="s">
        <v>1474</v>
      </c>
      <c r="B3" s="858" t="s">
        <v>2083</v>
      </c>
      <c r="C3" s="859"/>
      <c r="D3" s="860">
        <v>1563.99</v>
      </c>
      <c r="E3" s="860">
        <v>2695</v>
      </c>
      <c r="F3" s="860">
        <v>1820</v>
      </c>
      <c r="G3" s="860">
        <v>330</v>
      </c>
      <c r="H3" s="860">
        <v>0</v>
      </c>
      <c r="I3" s="860">
        <v>0</v>
      </c>
      <c r="J3" s="860">
        <v>0</v>
      </c>
      <c r="K3" s="860">
        <v>0</v>
      </c>
      <c r="L3" s="860">
        <v>0</v>
      </c>
      <c r="M3" s="860">
        <v>0</v>
      </c>
      <c r="N3" s="860">
        <v>0</v>
      </c>
      <c r="O3" s="860">
        <v>0</v>
      </c>
      <c r="P3" s="860">
        <v>0</v>
      </c>
      <c r="Q3" s="860">
        <v>0</v>
      </c>
      <c r="R3" s="860">
        <v>0</v>
      </c>
      <c r="S3" s="860">
        <v>0</v>
      </c>
      <c r="T3" s="927">
        <f t="shared" ref="T3:AC3" si="5">S3</f>
        <v>0</v>
      </c>
      <c r="U3" s="927">
        <f t="shared" si="5"/>
        <v>0</v>
      </c>
      <c r="V3" s="927">
        <f t="shared" si="5"/>
        <v>0</v>
      </c>
      <c r="W3" s="927">
        <f t="shared" si="5"/>
        <v>0</v>
      </c>
      <c r="X3" s="927">
        <f t="shared" si="5"/>
        <v>0</v>
      </c>
      <c r="Y3" s="927">
        <f t="shared" si="5"/>
        <v>0</v>
      </c>
      <c r="Z3" s="927">
        <f t="shared" si="5"/>
        <v>0</v>
      </c>
      <c r="AA3" s="927">
        <f t="shared" si="5"/>
        <v>0</v>
      </c>
      <c r="AB3" s="927">
        <f t="shared" si="5"/>
        <v>0</v>
      </c>
      <c r="AC3" s="927">
        <f t="shared" si="5"/>
        <v>0</v>
      </c>
      <c r="AD3" s="927">
        <f t="shared" ref="AD3" si="6">AC3</f>
        <v>0</v>
      </c>
      <c r="AE3" s="927">
        <f t="shared" ref="AE3" si="7">AD3</f>
        <v>0</v>
      </c>
      <c r="AF3" s="927">
        <f t="shared" ref="AF3:AG3" si="8">AE3</f>
        <v>0</v>
      </c>
      <c r="AG3" s="927">
        <f t="shared" si="8"/>
        <v>0</v>
      </c>
    </row>
    <row r="4" spans="1:33" x14ac:dyDescent="0.35">
      <c r="A4" s="625" t="s">
        <v>577</v>
      </c>
      <c r="B4" s="625" t="s">
        <v>577</v>
      </c>
      <c r="C4" s="820"/>
      <c r="D4" s="820"/>
      <c r="E4" s="820">
        <f>E3/D3-1</f>
        <v>0.72315679767773444</v>
      </c>
      <c r="F4" s="820">
        <f>F3/E3-1</f>
        <v>-0.32467532467532467</v>
      </c>
      <c r="G4" s="820"/>
      <c r="H4" s="820"/>
      <c r="I4" s="820"/>
      <c r="J4" s="820"/>
      <c r="K4" s="820"/>
      <c r="L4" s="820"/>
      <c r="M4" s="820"/>
      <c r="N4" s="820"/>
      <c r="O4" s="820"/>
      <c r="P4" s="820"/>
      <c r="Q4" s="820"/>
      <c r="R4" s="820"/>
      <c r="S4" s="820"/>
      <c r="T4" s="820"/>
      <c r="U4" s="820"/>
      <c r="V4" s="820"/>
      <c r="W4" s="820"/>
      <c r="X4" s="820"/>
      <c r="Y4" s="820"/>
      <c r="Z4" s="820"/>
      <c r="AA4" s="820"/>
      <c r="AB4" s="820"/>
      <c r="AC4" s="820"/>
      <c r="AD4" s="820"/>
      <c r="AE4" s="820"/>
      <c r="AF4" s="820"/>
      <c r="AG4" s="820"/>
    </row>
    <row r="5" spans="1:33" x14ac:dyDescent="0.35">
      <c r="A5" s="720"/>
      <c r="B5" s="625"/>
      <c r="C5" s="820"/>
      <c r="D5" s="820"/>
      <c r="E5" s="841"/>
      <c r="F5" s="841"/>
      <c r="G5" s="841"/>
      <c r="H5" s="841"/>
      <c r="I5" s="841"/>
      <c r="J5" s="841"/>
      <c r="K5" s="841"/>
      <c r="L5" s="841"/>
      <c r="M5" s="841"/>
      <c r="N5" s="841"/>
      <c r="O5" s="841"/>
      <c r="P5" s="841"/>
      <c r="Q5" s="841"/>
      <c r="R5" s="841"/>
      <c r="S5" s="841"/>
      <c r="T5" s="841"/>
      <c r="U5" s="841"/>
      <c r="V5" s="841"/>
      <c r="W5" s="841"/>
      <c r="X5" s="841"/>
      <c r="Y5" s="841"/>
      <c r="Z5" s="841"/>
      <c r="AA5" s="841"/>
      <c r="AB5" s="841"/>
      <c r="AC5" s="841"/>
      <c r="AD5" s="841"/>
      <c r="AE5" s="841"/>
      <c r="AF5" s="841"/>
      <c r="AG5" s="841"/>
    </row>
    <row r="6" spans="1:33" ht="12" x14ac:dyDescent="0.35">
      <c r="A6" s="720" t="s">
        <v>2087</v>
      </c>
      <c r="B6" s="720" t="s">
        <v>2088</v>
      </c>
      <c r="C6" s="841"/>
      <c r="D6" s="842">
        <v>3920</v>
      </c>
      <c r="E6" s="842">
        <v>3928</v>
      </c>
      <c r="F6" s="842">
        <v>3220</v>
      </c>
      <c r="G6" s="842">
        <v>2340</v>
      </c>
      <c r="H6" s="842">
        <v>1080</v>
      </c>
      <c r="I6" s="842">
        <v>140</v>
      </c>
      <c r="J6" s="842">
        <v>80</v>
      </c>
      <c r="K6" s="842">
        <v>63.971000000000004</v>
      </c>
      <c r="L6" s="842">
        <v>0</v>
      </c>
      <c r="M6" s="842">
        <f>L6+M3-M9</f>
        <v>0</v>
      </c>
      <c r="N6" s="842">
        <v>0</v>
      </c>
      <c r="O6" s="842">
        <v>0</v>
      </c>
      <c r="P6" s="842">
        <v>0</v>
      </c>
      <c r="Q6" s="842">
        <v>0</v>
      </c>
      <c r="R6" s="842">
        <v>0</v>
      </c>
      <c r="S6" s="842">
        <v>0</v>
      </c>
      <c r="T6" s="928">
        <f t="shared" ref="T6:AC6" si="9">S6+T3-T9</f>
        <v>0</v>
      </c>
      <c r="U6" s="928">
        <f t="shared" si="9"/>
        <v>0</v>
      </c>
      <c r="V6" s="928">
        <f t="shared" si="9"/>
        <v>0</v>
      </c>
      <c r="W6" s="928">
        <f t="shared" si="9"/>
        <v>0</v>
      </c>
      <c r="X6" s="928">
        <f t="shared" si="9"/>
        <v>0</v>
      </c>
      <c r="Y6" s="928">
        <f t="shared" si="9"/>
        <v>0</v>
      </c>
      <c r="Z6" s="928">
        <f t="shared" si="9"/>
        <v>0</v>
      </c>
      <c r="AA6" s="928">
        <f t="shared" si="9"/>
        <v>0</v>
      </c>
      <c r="AB6" s="928">
        <f t="shared" si="9"/>
        <v>0</v>
      </c>
      <c r="AC6" s="928">
        <f t="shared" si="9"/>
        <v>0</v>
      </c>
      <c r="AD6" s="928">
        <f t="shared" ref="AD6" si="10">AC6+AD3-AD9</f>
        <v>0</v>
      </c>
      <c r="AE6" s="928">
        <f t="shared" ref="AE6" si="11">AD6+AE3-AE9</f>
        <v>0</v>
      </c>
      <c r="AF6" s="928">
        <f t="shared" ref="AF6:AG6" si="12">AE6+AF3-AF9</f>
        <v>0</v>
      </c>
      <c r="AG6" s="928">
        <f t="shared" si="12"/>
        <v>0</v>
      </c>
    </row>
    <row r="7" spans="1:33" s="623" customFormat="1" x14ac:dyDescent="0.35">
      <c r="A7" s="623" t="s">
        <v>577</v>
      </c>
      <c r="B7" s="623" t="s">
        <v>577</v>
      </c>
      <c r="C7" s="843"/>
      <c r="D7" s="843"/>
      <c r="E7" s="843">
        <f t="shared" ref="E7:L7" si="13">E6/D6-1</f>
        <v>2.0408163265306367E-3</v>
      </c>
      <c r="F7" s="843">
        <f t="shared" si="13"/>
        <v>-0.18024439918533608</v>
      </c>
      <c r="G7" s="843">
        <f t="shared" si="13"/>
        <v>-0.27329192546583847</v>
      </c>
      <c r="H7" s="843">
        <f t="shared" si="13"/>
        <v>-0.53846153846153844</v>
      </c>
      <c r="I7" s="843">
        <f t="shared" si="13"/>
        <v>-0.87037037037037035</v>
      </c>
      <c r="J7" s="843">
        <f t="shared" si="13"/>
        <v>-0.4285714285714286</v>
      </c>
      <c r="K7" s="843">
        <f t="shared" si="13"/>
        <v>-0.2003625</v>
      </c>
      <c r="L7" s="843">
        <f t="shared" si="13"/>
        <v>-1</v>
      </c>
      <c r="M7" s="843" t="s">
        <v>6</v>
      </c>
      <c r="N7" s="843" t="s">
        <v>6</v>
      </c>
      <c r="O7" s="843" t="s">
        <v>6</v>
      </c>
      <c r="P7" s="843" t="s">
        <v>6</v>
      </c>
      <c r="Q7" s="843" t="s">
        <v>6</v>
      </c>
      <c r="R7" s="843" t="s">
        <v>6</v>
      </c>
      <c r="S7" s="843" t="s">
        <v>6</v>
      </c>
      <c r="T7" s="843" t="s">
        <v>6</v>
      </c>
      <c r="U7" s="843" t="s">
        <v>6</v>
      </c>
      <c r="V7" s="843" t="s">
        <v>6</v>
      </c>
      <c r="W7" s="843" t="s">
        <v>6</v>
      </c>
      <c r="X7" s="843" t="s">
        <v>6</v>
      </c>
      <c r="Y7" s="843" t="s">
        <v>6</v>
      </c>
      <c r="Z7" s="843" t="s">
        <v>6</v>
      </c>
      <c r="AA7" s="843" t="s">
        <v>6</v>
      </c>
      <c r="AB7" s="843" t="s">
        <v>6</v>
      </c>
      <c r="AC7" s="843" t="s">
        <v>6</v>
      </c>
      <c r="AD7" s="843" t="s">
        <v>6</v>
      </c>
      <c r="AE7" s="843" t="s">
        <v>6</v>
      </c>
      <c r="AF7" s="843" t="s">
        <v>6</v>
      </c>
      <c r="AG7" s="843" t="s">
        <v>6</v>
      </c>
    </row>
    <row r="8" spans="1:33" x14ac:dyDescent="0.35">
      <c r="A8" s="720"/>
      <c r="B8" s="625"/>
      <c r="C8" s="820"/>
      <c r="D8" s="820"/>
      <c r="E8" s="820"/>
      <c r="F8" s="820"/>
      <c r="G8" s="820"/>
      <c r="H8" s="820"/>
      <c r="I8" s="820"/>
      <c r="J8" s="820"/>
      <c r="K8" s="820"/>
      <c r="L8" s="820"/>
      <c r="M8" s="820"/>
      <c r="N8" s="820"/>
      <c r="O8" s="820"/>
      <c r="P8" s="820"/>
      <c r="Q8" s="820"/>
      <c r="R8" s="820"/>
      <c r="S8" s="820"/>
      <c r="T8" s="820"/>
      <c r="U8" s="820"/>
      <c r="V8" s="820"/>
      <c r="W8" s="820"/>
      <c r="X8" s="820"/>
      <c r="Y8" s="820"/>
      <c r="Z8" s="820"/>
      <c r="AA8" s="820"/>
      <c r="AB8" s="820"/>
      <c r="AC8" s="820"/>
      <c r="AD8" s="820"/>
      <c r="AE8" s="820"/>
      <c r="AF8" s="820"/>
      <c r="AG8" s="820"/>
    </row>
    <row r="9" spans="1:33" ht="12" x14ac:dyDescent="0.35">
      <c r="A9" s="858" t="s">
        <v>262</v>
      </c>
      <c r="B9" s="858" t="s">
        <v>2090</v>
      </c>
      <c r="C9" s="859"/>
      <c r="D9" s="860">
        <v>1248.6480000000001</v>
      </c>
      <c r="E9" s="860">
        <v>2416.8690000000001</v>
      </c>
      <c r="F9" s="860">
        <v>1869.7489999999998</v>
      </c>
      <c r="G9" s="860">
        <v>979.31399999999996</v>
      </c>
      <c r="H9" s="860">
        <v>838.01700000000005</v>
      </c>
      <c r="I9" s="860">
        <v>-118.8</v>
      </c>
      <c r="J9" s="860">
        <f>58076/1000</f>
        <v>58.076000000000001</v>
      </c>
      <c r="K9" s="860">
        <f>16029/1000</f>
        <v>16.029</v>
      </c>
      <c r="L9" s="860">
        <v>0</v>
      </c>
      <c r="M9" s="860">
        <v>0</v>
      </c>
      <c r="N9" s="860">
        <v>0</v>
      </c>
      <c r="O9" s="860">
        <v>0</v>
      </c>
      <c r="P9" s="860">
        <v>0</v>
      </c>
      <c r="Q9" s="860">
        <v>0</v>
      </c>
      <c r="R9" s="860">
        <v>0</v>
      </c>
      <c r="S9" s="860">
        <v>0</v>
      </c>
      <c r="T9" s="927">
        <f t="shared" ref="T9:AC9" si="14">S9</f>
        <v>0</v>
      </c>
      <c r="U9" s="927">
        <f t="shared" si="14"/>
        <v>0</v>
      </c>
      <c r="V9" s="927">
        <f t="shared" si="14"/>
        <v>0</v>
      </c>
      <c r="W9" s="927">
        <f t="shared" si="14"/>
        <v>0</v>
      </c>
      <c r="X9" s="927">
        <f t="shared" si="14"/>
        <v>0</v>
      </c>
      <c r="Y9" s="927">
        <f t="shared" si="14"/>
        <v>0</v>
      </c>
      <c r="Z9" s="927">
        <f t="shared" si="14"/>
        <v>0</v>
      </c>
      <c r="AA9" s="927">
        <f t="shared" si="14"/>
        <v>0</v>
      </c>
      <c r="AB9" s="927">
        <f t="shared" si="14"/>
        <v>0</v>
      </c>
      <c r="AC9" s="927">
        <f t="shared" si="14"/>
        <v>0</v>
      </c>
      <c r="AD9" s="927">
        <f t="shared" ref="AD9" si="15">AC9</f>
        <v>0</v>
      </c>
      <c r="AE9" s="927">
        <f t="shared" ref="AE9" si="16">AD9</f>
        <v>0</v>
      </c>
      <c r="AF9" s="927">
        <f t="shared" ref="AF9:AG9" si="17">AE9</f>
        <v>0</v>
      </c>
      <c r="AG9" s="927">
        <f t="shared" si="17"/>
        <v>0</v>
      </c>
    </row>
    <row r="10" spans="1:33" x14ac:dyDescent="0.35">
      <c r="A10" s="625"/>
      <c r="B10" s="625"/>
      <c r="C10" s="820"/>
      <c r="D10" s="820"/>
      <c r="E10" s="820"/>
      <c r="F10" s="820"/>
      <c r="G10" s="820"/>
      <c r="H10" s="820"/>
      <c r="I10" s="820"/>
      <c r="J10" s="820"/>
      <c r="K10" s="820"/>
      <c r="L10" s="820"/>
      <c r="M10" s="820"/>
      <c r="N10" s="820"/>
      <c r="O10" s="820"/>
      <c r="P10" s="820"/>
      <c r="Q10" s="820"/>
      <c r="R10" s="820"/>
      <c r="S10" s="820"/>
      <c r="T10" s="820"/>
      <c r="U10" s="820"/>
      <c r="V10" s="820"/>
      <c r="W10" s="820"/>
      <c r="X10" s="820"/>
      <c r="Y10" s="820"/>
      <c r="Z10" s="820"/>
      <c r="AA10" s="820"/>
      <c r="AB10" s="820"/>
      <c r="AC10" s="820"/>
      <c r="AD10" s="820"/>
      <c r="AE10" s="820"/>
      <c r="AF10" s="820"/>
      <c r="AG10" s="820"/>
    </row>
    <row r="11" spans="1:33" s="646" customFormat="1" ht="12" x14ac:dyDescent="0.35">
      <c r="A11" s="720" t="s">
        <v>2094</v>
      </c>
      <c r="B11" s="720" t="s">
        <v>2095</v>
      </c>
      <c r="C11" s="869"/>
      <c r="D11" s="929">
        <f t="shared" ref="D11:AC11" si="18">D9-D13</f>
        <v>1233.7240000000002</v>
      </c>
      <c r="E11" s="929">
        <f t="shared" si="18"/>
        <v>2338.5630000000001</v>
      </c>
      <c r="F11" s="929">
        <f t="shared" si="18"/>
        <v>1808.3559999999998</v>
      </c>
      <c r="G11" s="929">
        <f t="shared" si="18"/>
        <v>998.346</v>
      </c>
      <c r="H11" s="929">
        <f t="shared" si="18"/>
        <v>863.05700000000002</v>
      </c>
      <c r="I11" s="929">
        <f t="shared" si="18"/>
        <v>1.5010000000000048</v>
      </c>
      <c r="J11" s="929">
        <f t="shared" si="18"/>
        <v>71.858999999999995</v>
      </c>
      <c r="K11" s="929">
        <f t="shared" si="18"/>
        <v>4.9339999999999993</v>
      </c>
      <c r="L11" s="929">
        <f t="shared" si="18"/>
        <v>27.954000000000001</v>
      </c>
      <c r="M11" s="929">
        <f t="shared" si="18"/>
        <v>16.219000000000001</v>
      </c>
      <c r="N11" s="929">
        <f t="shared" si="18"/>
        <v>19.11</v>
      </c>
      <c r="O11" s="929">
        <f t="shared" si="18"/>
        <v>-3.855</v>
      </c>
      <c r="P11" s="929">
        <f t="shared" si="18"/>
        <v>0</v>
      </c>
      <c r="Q11" s="929">
        <f t="shared" si="18"/>
        <v>0</v>
      </c>
      <c r="R11" s="929">
        <f t="shared" si="18"/>
        <v>0</v>
      </c>
      <c r="S11" s="929">
        <f t="shared" si="18"/>
        <v>0</v>
      </c>
      <c r="T11" s="929">
        <f t="shared" si="18"/>
        <v>0</v>
      </c>
      <c r="U11" s="929">
        <f t="shared" si="18"/>
        <v>0</v>
      </c>
      <c r="V11" s="929">
        <f t="shared" si="18"/>
        <v>0</v>
      </c>
      <c r="W11" s="929">
        <f t="shared" si="18"/>
        <v>0</v>
      </c>
      <c r="X11" s="929">
        <f t="shared" si="18"/>
        <v>0</v>
      </c>
      <c r="Y11" s="929">
        <f t="shared" si="18"/>
        <v>0</v>
      </c>
      <c r="Z11" s="929">
        <f t="shared" si="18"/>
        <v>0</v>
      </c>
      <c r="AA11" s="929">
        <f t="shared" si="18"/>
        <v>0</v>
      </c>
      <c r="AB11" s="929">
        <f t="shared" si="18"/>
        <v>0</v>
      </c>
      <c r="AC11" s="929">
        <f t="shared" si="18"/>
        <v>0</v>
      </c>
      <c r="AD11" s="929">
        <f t="shared" ref="AD11:AF11" si="19">AD9-AD13</f>
        <v>0</v>
      </c>
      <c r="AE11" s="929">
        <f t="shared" si="19"/>
        <v>0</v>
      </c>
      <c r="AF11" s="929">
        <f t="shared" si="19"/>
        <v>0</v>
      </c>
      <c r="AG11" s="929">
        <f t="shared" ref="AG11" si="20">AG9-AG13</f>
        <v>0</v>
      </c>
    </row>
    <row r="12" spans="1:33" x14ac:dyDescent="0.35">
      <c r="A12" s="872"/>
      <c r="B12" s="872"/>
      <c r="C12" s="873"/>
      <c r="D12" s="873"/>
      <c r="E12" s="873"/>
      <c r="F12" s="873"/>
      <c r="G12" s="873"/>
      <c r="H12" s="873"/>
      <c r="I12" s="873"/>
      <c r="J12" s="873"/>
      <c r="K12" s="873"/>
      <c r="L12" s="873"/>
      <c r="M12" s="873"/>
      <c r="N12" s="873"/>
      <c r="O12" s="873"/>
      <c r="P12" s="873"/>
      <c r="Q12" s="873"/>
      <c r="R12" s="873"/>
      <c r="S12" s="873"/>
      <c r="T12" s="873"/>
      <c r="U12" s="873"/>
      <c r="V12" s="873"/>
      <c r="W12" s="873"/>
      <c r="X12" s="873"/>
      <c r="Y12" s="873"/>
      <c r="Z12" s="873"/>
      <c r="AA12" s="873"/>
      <c r="AB12" s="873"/>
      <c r="AC12" s="873"/>
      <c r="AD12" s="873"/>
      <c r="AE12" s="873"/>
      <c r="AF12" s="873"/>
      <c r="AG12" s="873"/>
    </row>
    <row r="13" spans="1:33" ht="12" x14ac:dyDescent="0.35">
      <c r="A13" s="858" t="s">
        <v>2109</v>
      </c>
      <c r="B13" s="858" t="s">
        <v>1767</v>
      </c>
      <c r="C13" s="859"/>
      <c r="D13" s="819">
        <v>14.923999999999999</v>
      </c>
      <c r="E13" s="819">
        <v>78.305999999999997</v>
      </c>
      <c r="F13" s="819">
        <v>61.393000000000029</v>
      </c>
      <c r="G13" s="819">
        <v>-19.032</v>
      </c>
      <c r="H13" s="819">
        <v>-25.04</v>
      </c>
      <c r="I13" s="819">
        <v>-120.301</v>
      </c>
      <c r="J13" s="819">
        <v>-13.782999999999999</v>
      </c>
      <c r="K13" s="819">
        <v>11.095000000000001</v>
      </c>
      <c r="L13" s="819">
        <v>-27.954000000000001</v>
      </c>
      <c r="M13" s="819">
        <v>-16.219000000000001</v>
      </c>
      <c r="N13" s="819">
        <f>-19110/1000</f>
        <v>-19.11</v>
      </c>
      <c r="O13" s="819">
        <v>3.855</v>
      </c>
      <c r="P13" s="860">
        <v>0</v>
      </c>
      <c r="Q13" s="860">
        <v>0</v>
      </c>
      <c r="R13" s="860">
        <v>0</v>
      </c>
      <c r="S13" s="860">
        <v>0</v>
      </c>
      <c r="T13" s="930">
        <f t="shared" ref="T13:AC13" si="21">S13</f>
        <v>0</v>
      </c>
      <c r="U13" s="930">
        <f t="shared" si="21"/>
        <v>0</v>
      </c>
      <c r="V13" s="930">
        <f t="shared" si="21"/>
        <v>0</v>
      </c>
      <c r="W13" s="930">
        <f t="shared" si="21"/>
        <v>0</v>
      </c>
      <c r="X13" s="930">
        <f t="shared" si="21"/>
        <v>0</v>
      </c>
      <c r="Y13" s="930">
        <f t="shared" si="21"/>
        <v>0</v>
      </c>
      <c r="Z13" s="930">
        <f t="shared" si="21"/>
        <v>0</v>
      </c>
      <c r="AA13" s="930">
        <f t="shared" si="21"/>
        <v>0</v>
      </c>
      <c r="AB13" s="930">
        <f t="shared" si="21"/>
        <v>0</v>
      </c>
      <c r="AC13" s="930">
        <f t="shared" si="21"/>
        <v>0</v>
      </c>
      <c r="AD13" s="930">
        <f t="shared" ref="AD13" si="22">AC13</f>
        <v>0</v>
      </c>
      <c r="AE13" s="930">
        <f t="shared" ref="AE13" si="23">AD13</f>
        <v>0</v>
      </c>
      <c r="AF13" s="930">
        <f t="shared" ref="AF13:AG13" si="24">AE13</f>
        <v>0</v>
      </c>
      <c r="AG13" s="930">
        <f t="shared" si="24"/>
        <v>0</v>
      </c>
    </row>
    <row r="14" spans="1:33" x14ac:dyDescent="0.35">
      <c r="A14" s="625"/>
      <c r="B14" s="625"/>
      <c r="C14" s="820"/>
      <c r="D14" s="820"/>
      <c r="E14" s="820"/>
      <c r="F14" s="820"/>
      <c r="G14" s="820"/>
      <c r="H14" s="820"/>
      <c r="I14" s="820"/>
      <c r="J14" s="820"/>
      <c r="K14" s="820"/>
      <c r="L14" s="820"/>
      <c r="M14" s="820"/>
    </row>
    <row r="15" spans="1:33" ht="12" x14ac:dyDescent="0.35">
      <c r="A15" s="625" t="s">
        <v>600</v>
      </c>
      <c r="B15" s="625" t="s">
        <v>2099</v>
      </c>
      <c r="C15" s="820"/>
      <c r="D15" s="894">
        <f t="shared" ref="D15:S15" si="25">+D18-D13</f>
        <v>-19.381999999999998</v>
      </c>
      <c r="E15" s="894">
        <f t="shared" si="25"/>
        <v>-36.052999999999997</v>
      </c>
      <c r="F15" s="894">
        <f t="shared" si="25"/>
        <v>-51.367000000000033</v>
      </c>
      <c r="G15" s="894">
        <f t="shared" si="25"/>
        <v>-46.65100000000001</v>
      </c>
      <c r="H15" s="894">
        <f t="shared" si="25"/>
        <v>-30.664000000000001</v>
      </c>
      <c r="I15" s="894">
        <f t="shared" si="25"/>
        <v>25.609000000000009</v>
      </c>
      <c r="J15" s="894">
        <f t="shared" si="25"/>
        <v>11.388999999999999</v>
      </c>
      <c r="K15" s="894">
        <f t="shared" si="25"/>
        <v>9.2649999999999988</v>
      </c>
      <c r="L15" s="894">
        <f t="shared" si="25"/>
        <v>-25.673000000000002</v>
      </c>
      <c r="M15" s="894">
        <f t="shared" si="25"/>
        <v>-12.166999999999998</v>
      </c>
      <c r="N15" s="894">
        <f t="shared" si="25"/>
        <v>-16.118000000000002</v>
      </c>
      <c r="O15" s="894">
        <f t="shared" si="25"/>
        <v>-7.8580000000000005</v>
      </c>
      <c r="P15" s="894">
        <f t="shared" si="25"/>
        <v>-8.3740000000000006</v>
      </c>
      <c r="Q15" s="894">
        <f t="shared" si="25"/>
        <v>-14.209</v>
      </c>
      <c r="R15" s="894">
        <f t="shared" si="25"/>
        <v>-5.8689999999999998</v>
      </c>
      <c r="S15" s="894">
        <f t="shared" si="25"/>
        <v>0</v>
      </c>
      <c r="T15" s="894"/>
      <c r="U15" s="894"/>
      <c r="V15" s="894"/>
      <c r="W15" s="894"/>
      <c r="X15" s="894"/>
      <c r="Y15" s="894"/>
      <c r="Z15" s="894"/>
      <c r="AA15" s="894"/>
      <c r="AB15" s="894"/>
      <c r="AC15" s="894"/>
      <c r="AD15" s="894"/>
      <c r="AE15" s="894"/>
      <c r="AF15" s="894"/>
      <c r="AG15" s="894"/>
    </row>
    <row r="16" spans="1:33" s="623" customFormat="1" ht="12" x14ac:dyDescent="0.35">
      <c r="A16" s="623" t="s">
        <v>354</v>
      </c>
      <c r="B16" s="623" t="s">
        <v>2245</v>
      </c>
      <c r="C16" s="843"/>
      <c r="D16" s="843">
        <f t="shared" ref="D16:K16" si="26">D15/D9</f>
        <v>-1.5522389015959658E-2</v>
      </c>
      <c r="E16" s="843">
        <f t="shared" si="26"/>
        <v>-1.4917233826078284E-2</v>
      </c>
      <c r="F16" s="843">
        <f t="shared" si="26"/>
        <v>-2.747267146552828E-2</v>
      </c>
      <c r="G16" s="843">
        <f t="shared" si="26"/>
        <v>-4.7636406709186237E-2</v>
      </c>
      <c r="H16" s="843">
        <f t="shared" si="26"/>
        <v>-3.6591143139100994E-2</v>
      </c>
      <c r="I16" s="843">
        <f t="shared" si="26"/>
        <v>-0.21556397306397315</v>
      </c>
      <c r="J16" s="843">
        <f t="shared" si="26"/>
        <v>0.19610510365727665</v>
      </c>
      <c r="K16" s="843">
        <f t="shared" si="26"/>
        <v>0.57801484808784076</v>
      </c>
      <c r="L16" s="843" t="s">
        <v>6</v>
      </c>
      <c r="M16" s="843" t="s">
        <v>6</v>
      </c>
      <c r="N16" s="843" t="s">
        <v>6</v>
      </c>
      <c r="O16" s="843" t="s">
        <v>6</v>
      </c>
      <c r="P16" s="843" t="s">
        <v>6</v>
      </c>
      <c r="Q16" s="843" t="s">
        <v>6</v>
      </c>
      <c r="R16" s="843" t="s">
        <v>6</v>
      </c>
      <c r="S16" s="843" t="s">
        <v>6</v>
      </c>
      <c r="T16" s="880"/>
      <c r="U16" s="880"/>
      <c r="V16" s="880"/>
      <c r="W16" s="880"/>
      <c r="X16" s="880"/>
      <c r="Y16" s="880"/>
      <c r="Z16" s="880"/>
      <c r="AA16" s="880"/>
      <c r="AB16" s="880"/>
      <c r="AC16" s="880"/>
      <c r="AD16" s="880"/>
      <c r="AE16" s="880"/>
      <c r="AF16" s="880"/>
      <c r="AG16" s="880"/>
    </row>
    <row r="17" spans="1:33" x14ac:dyDescent="0.35">
      <c r="C17" s="875"/>
      <c r="D17" s="875"/>
      <c r="E17" s="875"/>
      <c r="F17" s="875"/>
      <c r="G17" s="875"/>
      <c r="H17" s="875"/>
      <c r="I17" s="875"/>
      <c r="J17" s="875"/>
      <c r="K17" s="875"/>
      <c r="L17" s="875"/>
      <c r="M17" s="875"/>
      <c r="N17" s="875"/>
      <c r="O17" s="875"/>
      <c r="P17" s="875"/>
      <c r="Q17" s="875"/>
      <c r="R17" s="875"/>
      <c r="S17" s="875"/>
      <c r="T17" s="875"/>
      <c r="U17" s="875"/>
      <c r="V17" s="875"/>
      <c r="W17" s="875"/>
      <c r="X17" s="875"/>
      <c r="Y17" s="875"/>
      <c r="Z17" s="875"/>
      <c r="AA17" s="875"/>
      <c r="AB17" s="875"/>
      <c r="AC17" s="875"/>
      <c r="AD17" s="875"/>
      <c r="AE17" s="875"/>
      <c r="AF17" s="875"/>
      <c r="AG17" s="875"/>
    </row>
    <row r="18" spans="1:33" ht="12" x14ac:dyDescent="0.35">
      <c r="A18" s="858" t="s">
        <v>2351</v>
      </c>
      <c r="B18" s="858" t="s">
        <v>2101</v>
      </c>
      <c r="C18" s="859"/>
      <c r="D18" s="819">
        <v>-4.4579999999999984</v>
      </c>
      <c r="E18" s="819">
        <v>42.253</v>
      </c>
      <c r="F18" s="819">
        <v>10.026</v>
      </c>
      <c r="G18" s="819">
        <v>-65.683000000000007</v>
      </c>
      <c r="H18" s="819">
        <v>-55.704000000000001</v>
      </c>
      <c r="I18" s="819">
        <v>-94.691999999999993</v>
      </c>
      <c r="J18" s="819">
        <v>-2.3940000000000001</v>
      </c>
      <c r="K18" s="819">
        <v>20.36</v>
      </c>
      <c r="L18" s="819">
        <v>-53.627000000000002</v>
      </c>
      <c r="M18" s="819">
        <v>-28.385999999999999</v>
      </c>
      <c r="N18" s="819">
        <f>-35228/1000</f>
        <v>-35.228000000000002</v>
      </c>
      <c r="O18" s="819">
        <v>-4.0030000000000001</v>
      </c>
      <c r="P18" s="819">
        <v>-8.3740000000000006</v>
      </c>
      <c r="Q18" s="819">
        <v>-14.209</v>
      </c>
      <c r="R18" s="819">
        <v>-5.8689999999999998</v>
      </c>
      <c r="S18" s="819">
        <v>0</v>
      </c>
      <c r="T18" s="930">
        <v>0</v>
      </c>
      <c r="U18" s="818"/>
      <c r="V18" s="818"/>
      <c r="W18" s="818"/>
      <c r="X18" s="818"/>
      <c r="Y18" s="818"/>
      <c r="Z18" s="818"/>
      <c r="AA18" s="818"/>
      <c r="AB18" s="818"/>
      <c r="AC18" s="818"/>
      <c r="AD18" s="818"/>
      <c r="AE18" s="818"/>
      <c r="AF18" s="818"/>
      <c r="AG18" s="818"/>
    </row>
    <row r="19" spans="1:33" x14ac:dyDescent="0.35">
      <c r="B19" s="625"/>
      <c r="C19" s="882"/>
      <c r="D19" s="882"/>
      <c r="E19" s="882"/>
      <c r="F19" s="883"/>
      <c r="G19" s="883"/>
      <c r="H19" s="883"/>
      <c r="I19" s="883"/>
      <c r="J19" s="883"/>
      <c r="K19" s="883"/>
      <c r="L19" s="883"/>
      <c r="M19" s="883"/>
      <c r="N19" s="883"/>
      <c r="O19" s="883"/>
      <c r="P19" s="883"/>
      <c r="Q19" s="883"/>
      <c r="R19" s="883"/>
      <c r="S19" s="883"/>
      <c r="T19" s="883"/>
      <c r="U19" s="883"/>
      <c r="V19" s="883"/>
      <c r="W19" s="883"/>
      <c r="X19" s="883"/>
      <c r="Y19" s="883"/>
      <c r="Z19" s="883"/>
      <c r="AA19" s="883"/>
      <c r="AB19" s="883"/>
      <c r="AC19" s="883"/>
      <c r="AD19" s="883"/>
      <c r="AE19" s="883"/>
      <c r="AF19" s="883"/>
      <c r="AG19" s="883"/>
    </row>
    <row r="20" spans="1:33" ht="12" x14ac:dyDescent="0.35">
      <c r="A20" s="625" t="s">
        <v>672</v>
      </c>
      <c r="B20" s="331" t="s">
        <v>2103</v>
      </c>
      <c r="C20" s="743"/>
      <c r="D20" s="885">
        <v>13.457999999999998</v>
      </c>
      <c r="E20" s="885">
        <v>21.137</v>
      </c>
      <c r="F20" s="885">
        <v>16.638000000000002</v>
      </c>
      <c r="G20" s="875"/>
      <c r="H20" s="875"/>
      <c r="I20" s="875"/>
      <c r="J20" s="875"/>
      <c r="K20" s="867">
        <f>19247/1000</f>
        <v>19.247</v>
      </c>
      <c r="L20" s="867">
        <f>36/1000</f>
        <v>3.5999999999999997E-2</v>
      </c>
      <c r="M20" s="867">
        <v>0</v>
      </c>
      <c r="N20" s="867">
        <v>0</v>
      </c>
      <c r="O20" s="887">
        <v>0.16400000000000001</v>
      </c>
      <c r="P20" s="887">
        <v>0</v>
      </c>
      <c r="Q20" s="887">
        <v>0</v>
      </c>
      <c r="R20" s="887">
        <v>0</v>
      </c>
      <c r="S20" s="887">
        <v>0</v>
      </c>
      <c r="T20" s="875"/>
      <c r="U20" s="875"/>
      <c r="V20" s="875"/>
      <c r="W20" s="875"/>
      <c r="X20" s="875"/>
    </row>
    <row r="21" spans="1:33" x14ac:dyDescent="0.35">
      <c r="C21" s="743"/>
      <c r="D21" s="743"/>
      <c r="E21" s="743"/>
      <c r="F21" s="883"/>
      <c r="G21" s="883"/>
      <c r="H21" s="883"/>
      <c r="I21" s="883"/>
      <c r="J21" s="883"/>
      <c r="K21" s="883"/>
      <c r="L21" s="883"/>
      <c r="M21" s="883"/>
      <c r="N21" s="883"/>
      <c r="O21" s="883"/>
      <c r="P21" s="883"/>
      <c r="Q21" s="883"/>
      <c r="R21" s="883"/>
      <c r="S21" s="883"/>
      <c r="T21" s="883"/>
      <c r="U21" s="883"/>
      <c r="V21" s="883"/>
      <c r="W21" s="883"/>
      <c r="X21" s="883"/>
    </row>
    <row r="22" spans="1:33" s="886" customFormat="1" ht="12" x14ac:dyDescent="0.35">
      <c r="A22" s="810" t="s">
        <v>2104</v>
      </c>
      <c r="B22" s="331" t="s">
        <v>2105</v>
      </c>
      <c r="C22" s="885"/>
      <c r="D22" s="885"/>
      <c r="E22" s="885"/>
      <c r="F22" s="887"/>
      <c r="G22" s="887"/>
      <c r="H22" s="887"/>
      <c r="I22" s="887"/>
      <c r="J22" s="887"/>
      <c r="K22" s="887"/>
      <c r="L22" s="887">
        <v>-9.4329999999999998</v>
      </c>
      <c r="M22" s="887">
        <v>-0.30099999999999999</v>
      </c>
      <c r="N22" s="887">
        <v>0</v>
      </c>
      <c r="O22" s="887">
        <v>0.16400000000000001</v>
      </c>
      <c r="P22" s="887">
        <v>0</v>
      </c>
      <c r="Q22" s="887">
        <v>0</v>
      </c>
      <c r="R22" s="887">
        <v>0</v>
      </c>
      <c r="S22" s="887">
        <v>0</v>
      </c>
      <c r="T22" s="887"/>
      <c r="U22" s="887"/>
      <c r="V22" s="887"/>
      <c r="W22" s="887"/>
      <c r="X22" s="887"/>
    </row>
    <row r="23" spans="1:33" x14ac:dyDescent="0.35">
      <c r="C23" s="743"/>
      <c r="D23" s="743"/>
      <c r="E23" s="743"/>
      <c r="F23" s="883"/>
      <c r="G23" s="883"/>
      <c r="H23" s="883"/>
      <c r="I23" s="883"/>
      <c r="J23" s="883"/>
      <c r="K23" s="883"/>
      <c r="L23" s="883"/>
      <c r="M23" s="883"/>
      <c r="N23" s="883"/>
      <c r="O23" s="883"/>
      <c r="P23" s="883"/>
      <c r="Q23" s="883"/>
      <c r="R23" s="883"/>
      <c r="S23" s="883"/>
      <c r="T23" s="883"/>
      <c r="U23" s="883"/>
      <c r="V23" s="883"/>
      <c r="W23" s="883"/>
      <c r="X23" s="883"/>
    </row>
    <row r="24" spans="1:33" ht="12" x14ac:dyDescent="0.35">
      <c r="A24" s="331" t="s">
        <v>2106</v>
      </c>
      <c r="B24" s="331" t="s">
        <v>2107</v>
      </c>
      <c r="C24" s="743"/>
      <c r="D24" s="885">
        <v>50.241999999999997</v>
      </c>
      <c r="E24" s="885">
        <v>21.718999999999998</v>
      </c>
      <c r="F24" s="885">
        <v>26.904</v>
      </c>
      <c r="G24" s="931"/>
      <c r="H24" s="931"/>
      <c r="I24" s="931"/>
      <c r="J24" s="875"/>
      <c r="K24" s="875"/>
      <c r="L24" s="867">
        <f>10996/1000</f>
        <v>10.996</v>
      </c>
      <c r="M24" s="867">
        <f>8508/1000</f>
        <v>8.5079999999999991</v>
      </c>
      <c r="N24" s="867">
        <v>6.7439999999999998</v>
      </c>
      <c r="O24" s="867">
        <v>2.665</v>
      </c>
      <c r="P24" s="887">
        <v>116.57899999999999</v>
      </c>
      <c r="Q24" s="887">
        <v>38.093000000000004</v>
      </c>
      <c r="R24" s="887">
        <v>143.77000000000001</v>
      </c>
      <c r="S24" s="887">
        <v>162.34700000000001</v>
      </c>
      <c r="T24" s="875">
        <f>CSCD!M11*Overseas!T26</f>
        <v>200.24365221481384</v>
      </c>
      <c r="U24" s="875">
        <f>CSCD!N11*Overseas!U26</f>
        <v>213.4576037435792</v>
      </c>
      <c r="V24" s="875">
        <f>CSCD!O11*Overseas!V26</f>
        <v>172.6015644632127</v>
      </c>
      <c r="W24" s="875">
        <f>CSCD!P11*Overseas!W26</f>
        <v>132.83468655034318</v>
      </c>
      <c r="X24" s="875">
        <f>CSCD!Q11*Overseas!X26</f>
        <v>123.11714306676402</v>
      </c>
      <c r="Y24" s="875">
        <f>CSCD!R11*Overseas!Y26</f>
        <v>134.85213900840117</v>
      </c>
      <c r="Z24" s="875">
        <f>CSCD!S11*Overseas!Z26</f>
        <v>145.15133084388154</v>
      </c>
      <c r="AA24" s="875">
        <f>CSCD!T11*Overseas!AA26</f>
        <v>154.83480217520321</v>
      </c>
      <c r="AB24" s="875">
        <f>CSCD!U11*Overseas!AB26</f>
        <v>164.64373926318868</v>
      </c>
      <c r="AC24" s="875">
        <f>CSCD!V11*Overseas!AC26</f>
        <v>174.63745593273669</v>
      </c>
      <c r="AD24" s="875">
        <f>CSCD!W11*Overseas!AD26</f>
        <v>184.87038883040569</v>
      </c>
      <c r="AE24" s="875">
        <f>CSCD!X11*Overseas!AE26</f>
        <v>195.39301325592879</v>
      </c>
      <c r="AF24" s="875">
        <f>CSCD!Y11*Overseas!AF26</f>
        <v>206.25263330701011</v>
      </c>
      <c r="AG24" s="875">
        <f>CSCD!Z11*Overseas!AG26</f>
        <v>217.49406540880358</v>
      </c>
    </row>
    <row r="25" spans="1:33" x14ac:dyDescent="0.35">
      <c r="A25" s="623" t="s">
        <v>577</v>
      </c>
      <c r="B25" s="623" t="s">
        <v>577</v>
      </c>
      <c r="C25" s="843"/>
      <c r="D25" s="843"/>
      <c r="E25" s="843">
        <f>E24/D24-1</f>
        <v>-0.56771227260061308</v>
      </c>
      <c r="F25" s="843">
        <f>F24/E24-1</f>
        <v>0.2387310649661587</v>
      </c>
      <c r="G25" s="843"/>
      <c r="H25" s="843"/>
      <c r="I25" s="843"/>
      <c r="J25" s="843"/>
      <c r="K25" s="843"/>
      <c r="L25" s="843"/>
      <c r="M25" s="843">
        <f t="shared" ref="M25:S25" si="27">M24/L24-1</f>
        <v>-0.22626409603492192</v>
      </c>
      <c r="N25" s="843">
        <f t="shared" si="27"/>
        <v>-0.2073342736248236</v>
      </c>
      <c r="O25" s="843">
        <f t="shared" si="27"/>
        <v>-0.60483392645314349</v>
      </c>
      <c r="P25" s="843">
        <f t="shared" si="27"/>
        <v>42.744465290806751</v>
      </c>
      <c r="Q25" s="843">
        <f t="shared" si="27"/>
        <v>-0.67324303691059284</v>
      </c>
      <c r="R25" s="843">
        <f t="shared" si="27"/>
        <v>2.7741842333237079</v>
      </c>
      <c r="S25" s="843">
        <f t="shared" si="27"/>
        <v>0.12921332684148301</v>
      </c>
      <c r="T25" s="843" t="s">
        <v>6</v>
      </c>
      <c r="U25" s="843" t="s">
        <v>6</v>
      </c>
      <c r="V25" s="843">
        <f t="shared" ref="V25:AC25" si="28">V24/U24-1</f>
        <v>-0.19140118957507712</v>
      </c>
      <c r="W25" s="843">
        <f t="shared" si="28"/>
        <v>-0.23039697256825964</v>
      </c>
      <c r="X25" s="843">
        <f t="shared" si="28"/>
        <v>-7.3155165536497924E-2</v>
      </c>
      <c r="Y25" s="843">
        <f t="shared" si="28"/>
        <v>9.5315694056298028E-2</v>
      </c>
      <c r="Z25" s="843">
        <f t="shared" si="28"/>
        <v>7.6373959739998831E-2</v>
      </c>
      <c r="AA25" s="843">
        <f t="shared" si="28"/>
        <v>6.6712935217499325E-2</v>
      </c>
      <c r="AB25" s="843">
        <f t="shared" si="28"/>
        <v>6.3350984082287676E-2</v>
      </c>
      <c r="AC25" s="843">
        <f t="shared" si="28"/>
        <v>6.0699038507457059E-2</v>
      </c>
      <c r="AD25" s="843">
        <f t="shared" ref="AD25" si="29">AD24/AC24-1</f>
        <v>5.8595292991500791E-2</v>
      </c>
      <c r="AE25" s="843">
        <f t="shared" ref="AE25" si="30">AE24/AD24-1</f>
        <v>5.6918928402191149E-2</v>
      </c>
      <c r="AF25" s="843">
        <f t="shared" ref="AF25:AG25" si="31">AF24/AE24-1</f>
        <v>5.5578343719267176E-2</v>
      </c>
      <c r="AG25" s="843">
        <f t="shared" si="31"/>
        <v>5.4503217348311095E-2</v>
      </c>
    </row>
    <row r="26" spans="1:33" ht="12" x14ac:dyDescent="0.35">
      <c r="A26" s="877" t="s">
        <v>354</v>
      </c>
      <c r="B26" s="877" t="s">
        <v>2108</v>
      </c>
      <c r="C26" s="843"/>
      <c r="D26" s="843">
        <f>D24/D9</f>
        <v>4.0237120469499801E-2</v>
      </c>
      <c r="E26" s="843">
        <f>E24/E9</f>
        <v>8.9864200335227091E-3</v>
      </c>
      <c r="F26" s="843">
        <f>F24/F9</f>
        <v>1.4389097146194491E-2</v>
      </c>
      <c r="G26" s="843"/>
      <c r="H26" s="843"/>
      <c r="I26" s="843"/>
      <c r="J26" s="888"/>
      <c r="K26" s="888"/>
      <c r="L26" s="843">
        <f>L24/CSCD!E11</f>
        <v>7.956481029914227E-3</v>
      </c>
      <c r="M26" s="843">
        <f>M24/CSCD!F11</f>
        <v>4.7680426814916098E-3</v>
      </c>
      <c r="N26" s="843">
        <f>N24/CSCD!G11</f>
        <v>4.1082296783044167E-3</v>
      </c>
      <c r="O26" s="843">
        <f>O24/CSCD!H11</f>
        <v>1.1944304135597657E-3</v>
      </c>
      <c r="P26" s="843">
        <f>P24/CSCD!I11</f>
        <v>3.7536516956135219E-2</v>
      </c>
      <c r="Q26" s="843">
        <f>Q24/CSCD!J11</f>
        <v>1.052495757469258E-2</v>
      </c>
      <c r="R26" s="843">
        <f>R24/CSCD!K11</f>
        <v>4.4914468194514612E-2</v>
      </c>
      <c r="S26" s="843">
        <f>S24/CSCD!L11</f>
        <v>3.5833570241717183E-2</v>
      </c>
      <c r="T26" s="888">
        <f t="shared" ref="T26:AC26" si="32">S26</f>
        <v>3.5833570241717183E-2</v>
      </c>
      <c r="U26" s="888">
        <f t="shared" si="32"/>
        <v>3.5833570241717183E-2</v>
      </c>
      <c r="V26" s="888">
        <f t="shared" si="32"/>
        <v>3.5833570241717183E-2</v>
      </c>
      <c r="W26" s="888">
        <f t="shared" si="32"/>
        <v>3.5833570241717183E-2</v>
      </c>
      <c r="X26" s="888">
        <f t="shared" si="32"/>
        <v>3.5833570241717183E-2</v>
      </c>
      <c r="Y26" s="888">
        <f t="shared" si="32"/>
        <v>3.5833570241717183E-2</v>
      </c>
      <c r="Z26" s="888">
        <f t="shared" si="32"/>
        <v>3.5833570241717183E-2</v>
      </c>
      <c r="AA26" s="888">
        <f t="shared" si="32"/>
        <v>3.5833570241717183E-2</v>
      </c>
      <c r="AB26" s="888">
        <f t="shared" si="32"/>
        <v>3.5833570241717183E-2</v>
      </c>
      <c r="AC26" s="888">
        <f t="shared" si="32"/>
        <v>3.5833570241717183E-2</v>
      </c>
      <c r="AD26" s="888">
        <f t="shared" ref="AD26" si="33">AC26</f>
        <v>3.5833570241717183E-2</v>
      </c>
      <c r="AE26" s="888">
        <f t="shared" ref="AE26" si="34">AD26</f>
        <v>3.5833570241717183E-2</v>
      </c>
      <c r="AF26" s="888">
        <f t="shared" ref="AF26:AG26" si="35">AE26</f>
        <v>3.5833570241717183E-2</v>
      </c>
      <c r="AG26" s="888">
        <f t="shared" si="35"/>
        <v>3.5833570241717183E-2</v>
      </c>
    </row>
    <row r="28" spans="1:33" x14ac:dyDescent="0.35">
      <c r="C28" s="743"/>
      <c r="D28" s="743"/>
      <c r="E28" s="743"/>
      <c r="F28" s="883"/>
      <c r="G28" s="883"/>
      <c r="H28" s="883"/>
      <c r="I28" s="883"/>
      <c r="J28" s="883"/>
      <c r="K28" s="883"/>
      <c r="L28" s="883"/>
      <c r="M28" s="883"/>
      <c r="N28" s="883"/>
      <c r="O28" s="883"/>
      <c r="P28" s="883"/>
      <c r="Q28" s="883"/>
      <c r="R28" s="883"/>
      <c r="S28" s="883"/>
      <c r="T28" s="883"/>
      <c r="U28" s="883"/>
      <c r="V28" s="883"/>
      <c r="W28" s="883"/>
      <c r="X28" s="883"/>
    </row>
    <row r="29" spans="1:33" x14ac:dyDescent="0.35">
      <c r="C29" s="743"/>
      <c r="D29" s="743"/>
      <c r="E29" s="743"/>
      <c r="F29" s="743"/>
      <c r="G29" s="743"/>
      <c r="H29" s="743"/>
      <c r="I29" s="743"/>
      <c r="J29" s="743"/>
      <c r="K29" s="743"/>
      <c r="L29" s="743"/>
      <c r="M29" s="743"/>
      <c r="N29" s="743"/>
      <c r="O29" s="743"/>
      <c r="P29" s="743"/>
      <c r="Q29" s="743"/>
      <c r="R29" s="743"/>
      <c r="S29" s="743"/>
      <c r="T29" s="743"/>
      <c r="U29" s="743"/>
      <c r="V29" s="743"/>
      <c r="W29" s="743"/>
      <c r="X29" s="743"/>
    </row>
    <row r="30" spans="1:33" x14ac:dyDescent="0.35">
      <c r="A30" s="625"/>
      <c r="C30" s="890"/>
      <c r="D30" s="820"/>
      <c r="E30" s="820"/>
      <c r="F30" s="820"/>
      <c r="G30" s="820"/>
      <c r="H30" s="820"/>
      <c r="I30" s="820"/>
      <c r="J30" s="820"/>
      <c r="K30" s="820"/>
      <c r="L30" s="820"/>
      <c r="M30" s="820"/>
    </row>
    <row r="31" spans="1:33" x14ac:dyDescent="0.35">
      <c r="C31" s="820"/>
      <c r="D31" s="820"/>
      <c r="E31" s="820"/>
      <c r="F31" s="820"/>
      <c r="G31" s="820"/>
      <c r="H31" s="820"/>
      <c r="I31" s="820"/>
      <c r="J31" s="820"/>
      <c r="K31" s="820"/>
      <c r="L31" s="820"/>
      <c r="M31" s="820"/>
    </row>
    <row r="32" spans="1:33" x14ac:dyDescent="0.35">
      <c r="C32" s="873"/>
      <c r="D32" s="873"/>
      <c r="E32" s="873"/>
      <c r="F32" s="873"/>
      <c r="G32" s="873"/>
      <c r="H32" s="873"/>
      <c r="I32" s="873"/>
      <c r="J32" s="873"/>
      <c r="K32" s="873"/>
      <c r="L32" s="873"/>
      <c r="M32" s="873"/>
    </row>
    <row r="33" spans="3:13" x14ac:dyDescent="0.35">
      <c r="C33" s="890"/>
      <c r="F33" s="892"/>
      <c r="G33" s="892"/>
      <c r="H33" s="892"/>
      <c r="I33" s="892"/>
      <c r="J33" s="892"/>
      <c r="K33" s="892"/>
      <c r="L33" s="892"/>
      <c r="M33" s="892"/>
    </row>
    <row r="34" spans="3:13" x14ac:dyDescent="0.35">
      <c r="C34" s="890"/>
    </row>
    <row r="35" spans="3:13" x14ac:dyDescent="0.35">
      <c r="C35" s="890"/>
    </row>
    <row r="36" spans="3:13" x14ac:dyDescent="0.35">
      <c r="C36" s="890"/>
      <c r="D36" s="890"/>
      <c r="E36" s="890"/>
    </row>
    <row r="37" spans="3:13" x14ac:dyDescent="0.35">
      <c r="C37" s="890"/>
    </row>
    <row r="38" spans="3:13" x14ac:dyDescent="0.35">
      <c r="C38" s="890"/>
    </row>
    <row r="39" spans="3:13" x14ac:dyDescent="0.35">
      <c r="C39" s="890"/>
    </row>
    <row r="40" spans="3:13" x14ac:dyDescent="0.35">
      <c r="C40" s="890"/>
    </row>
    <row r="41" spans="3:13" x14ac:dyDescent="0.35">
      <c r="C41" s="890"/>
    </row>
    <row r="42" spans="3:13" x14ac:dyDescent="0.35">
      <c r="C42" s="890"/>
    </row>
    <row r="43" spans="3:13" x14ac:dyDescent="0.35">
      <c r="C43" s="890"/>
    </row>
    <row r="44" spans="3:13" x14ac:dyDescent="0.35">
      <c r="C44" s="890"/>
    </row>
    <row r="45" spans="3:13" x14ac:dyDescent="0.35">
      <c r="C45" s="890"/>
    </row>
    <row r="46" spans="3:13" x14ac:dyDescent="0.35">
      <c r="C46" s="890"/>
    </row>
    <row r="47" spans="3:13" x14ac:dyDescent="0.35">
      <c r="C47" s="890"/>
    </row>
    <row r="48" spans="3:13" x14ac:dyDescent="0.35">
      <c r="C48" s="890"/>
    </row>
    <row r="49" spans="3:3" x14ac:dyDescent="0.35">
      <c r="C49" s="890"/>
    </row>
    <row r="50" spans="3:3" x14ac:dyDescent="0.35">
      <c r="C50" s="890"/>
    </row>
    <row r="51" spans="3:3" x14ac:dyDescent="0.35">
      <c r="C51" s="890"/>
    </row>
    <row r="52" spans="3:3" x14ac:dyDescent="0.35">
      <c r="C52" s="890"/>
    </row>
    <row r="53" spans="3:3" x14ac:dyDescent="0.35">
      <c r="C53" s="890"/>
    </row>
    <row r="54" spans="3:3" x14ac:dyDescent="0.35">
      <c r="C54" s="890"/>
    </row>
    <row r="55" spans="3:3" x14ac:dyDescent="0.35">
      <c r="C55" s="890"/>
    </row>
    <row r="56" spans="3:3" x14ac:dyDescent="0.35">
      <c r="C56" s="890"/>
    </row>
    <row r="57" spans="3:3" x14ac:dyDescent="0.35">
      <c r="C57" s="890"/>
    </row>
    <row r="58" spans="3:3" x14ac:dyDescent="0.35">
      <c r="C58" s="890"/>
    </row>
    <row r="59" spans="3:3" x14ac:dyDescent="0.35">
      <c r="C59" s="890"/>
    </row>
    <row r="60" spans="3:3" x14ac:dyDescent="0.35">
      <c r="C60" s="890"/>
    </row>
    <row r="61" spans="3:3" x14ac:dyDescent="0.35">
      <c r="C61" s="890"/>
    </row>
    <row r="62" spans="3:3" x14ac:dyDescent="0.35">
      <c r="C62" s="890"/>
    </row>
    <row r="63" spans="3:3" x14ac:dyDescent="0.35">
      <c r="C63" s="890"/>
    </row>
    <row r="64" spans="3:3" x14ac:dyDescent="0.35">
      <c r="C64" s="890"/>
    </row>
    <row r="65" spans="3:3" x14ac:dyDescent="0.35">
      <c r="C65" s="890"/>
    </row>
    <row r="66" spans="3:3" x14ac:dyDescent="0.35">
      <c r="C66" s="890"/>
    </row>
    <row r="67" spans="3:3" x14ac:dyDescent="0.35">
      <c r="C67" s="890"/>
    </row>
    <row r="68" spans="3:3" x14ac:dyDescent="0.35">
      <c r="C68" s="890"/>
    </row>
    <row r="69" spans="3:3" x14ac:dyDescent="0.35">
      <c r="C69" s="890"/>
    </row>
    <row r="70" spans="3:3" x14ac:dyDescent="0.35">
      <c r="C70" s="890"/>
    </row>
    <row r="71" spans="3:3" x14ac:dyDescent="0.35">
      <c r="C71" s="890"/>
    </row>
    <row r="72" spans="3:3" x14ac:dyDescent="0.35">
      <c r="C72" s="890"/>
    </row>
    <row r="73" spans="3:3" x14ac:dyDescent="0.35">
      <c r="C73" s="890"/>
    </row>
    <row r="74" spans="3:3" x14ac:dyDescent="0.35">
      <c r="C74" s="890"/>
    </row>
    <row r="75" spans="3:3" x14ac:dyDescent="0.35">
      <c r="C75" s="890"/>
    </row>
    <row r="76" spans="3:3" x14ac:dyDescent="0.35">
      <c r="C76" s="890"/>
    </row>
    <row r="77" spans="3:3" x14ac:dyDescent="0.35">
      <c r="C77" s="890"/>
    </row>
    <row r="78" spans="3:3" x14ac:dyDescent="0.35">
      <c r="C78" s="890"/>
    </row>
    <row r="79" spans="3:3" x14ac:dyDescent="0.35">
      <c r="C79" s="890"/>
    </row>
    <row r="80" spans="3:3" x14ac:dyDescent="0.35">
      <c r="C80" s="890"/>
    </row>
    <row r="81" spans="3:3" x14ac:dyDescent="0.35">
      <c r="C81" s="890"/>
    </row>
    <row r="82" spans="3:3" x14ac:dyDescent="0.35">
      <c r="C82" s="890"/>
    </row>
    <row r="83" spans="3:3" x14ac:dyDescent="0.35">
      <c r="C83" s="890"/>
    </row>
    <row r="84" spans="3:3" x14ac:dyDescent="0.35">
      <c r="C84" s="890"/>
    </row>
    <row r="85" spans="3:3" x14ac:dyDescent="0.35">
      <c r="C85" s="890"/>
    </row>
    <row r="86" spans="3:3" x14ac:dyDescent="0.35">
      <c r="C86" s="890"/>
    </row>
    <row r="87" spans="3:3" x14ac:dyDescent="0.35">
      <c r="C87" s="890"/>
    </row>
    <row r="88" spans="3:3" x14ac:dyDescent="0.35">
      <c r="C88" s="890"/>
    </row>
    <row r="89" spans="3:3" x14ac:dyDescent="0.35">
      <c r="C89" s="890"/>
    </row>
    <row r="90" spans="3:3" x14ac:dyDescent="0.35">
      <c r="C90" s="890"/>
    </row>
    <row r="91" spans="3:3" x14ac:dyDescent="0.35">
      <c r="C91" s="890"/>
    </row>
    <row r="92" spans="3:3" x14ac:dyDescent="0.35">
      <c r="C92" s="890"/>
    </row>
    <row r="93" spans="3:3" x14ac:dyDescent="0.35">
      <c r="C93" s="890"/>
    </row>
    <row r="94" spans="3:3" x14ac:dyDescent="0.35">
      <c r="C94" s="890"/>
    </row>
    <row r="95" spans="3:3" x14ac:dyDescent="0.35">
      <c r="C95" s="890"/>
    </row>
    <row r="96" spans="3:3" x14ac:dyDescent="0.35">
      <c r="C96" s="890"/>
    </row>
    <row r="97" spans="3:3" x14ac:dyDescent="0.35">
      <c r="C97" s="890"/>
    </row>
    <row r="98" spans="3:3" x14ac:dyDescent="0.35">
      <c r="C98" s="890"/>
    </row>
    <row r="99" spans="3:3" x14ac:dyDescent="0.35">
      <c r="C99" s="890"/>
    </row>
    <row r="100" spans="3:3" x14ac:dyDescent="0.35">
      <c r="C100" s="890"/>
    </row>
    <row r="101" spans="3:3" x14ac:dyDescent="0.35">
      <c r="C101" s="890"/>
    </row>
    <row r="102" spans="3:3" x14ac:dyDescent="0.35">
      <c r="C102" s="890"/>
    </row>
    <row r="103" spans="3:3" x14ac:dyDescent="0.35">
      <c r="C103" s="890"/>
    </row>
    <row r="104" spans="3:3" x14ac:dyDescent="0.35">
      <c r="C104" s="890"/>
    </row>
    <row r="105" spans="3:3" x14ac:dyDescent="0.35">
      <c r="C105" s="890"/>
    </row>
    <row r="106" spans="3:3" x14ac:dyDescent="0.35">
      <c r="C106" s="890"/>
    </row>
    <row r="107" spans="3:3" x14ac:dyDescent="0.35">
      <c r="C107" s="890"/>
    </row>
    <row r="108" spans="3:3" x14ac:dyDescent="0.35">
      <c r="C108" s="890"/>
    </row>
    <row r="109" spans="3:3" x14ac:dyDescent="0.35">
      <c r="C109" s="890"/>
    </row>
    <row r="110" spans="3:3" x14ac:dyDescent="0.35">
      <c r="C110" s="890"/>
    </row>
    <row r="111" spans="3:3" x14ac:dyDescent="0.35">
      <c r="C111" s="890"/>
    </row>
    <row r="112" spans="3:3" x14ac:dyDescent="0.35">
      <c r="C112" s="890"/>
    </row>
    <row r="113" spans="3:3" x14ac:dyDescent="0.35">
      <c r="C113" s="890"/>
    </row>
    <row r="114" spans="3:3" x14ac:dyDescent="0.35">
      <c r="C114" s="890"/>
    </row>
    <row r="115" spans="3:3" x14ac:dyDescent="0.35">
      <c r="C115" s="890"/>
    </row>
    <row r="116" spans="3:3" x14ac:dyDescent="0.35">
      <c r="C116" s="890"/>
    </row>
    <row r="117" spans="3:3" x14ac:dyDescent="0.35">
      <c r="C117" s="890"/>
    </row>
    <row r="118" spans="3:3" x14ac:dyDescent="0.35">
      <c r="C118" s="890"/>
    </row>
    <row r="119" spans="3:3" x14ac:dyDescent="0.35">
      <c r="C119" s="890"/>
    </row>
    <row r="120" spans="3:3" x14ac:dyDescent="0.35">
      <c r="C120" s="890"/>
    </row>
    <row r="121" spans="3:3" x14ac:dyDescent="0.35">
      <c r="C121" s="890"/>
    </row>
  </sheetData>
  <phoneticPr fontId="51" type="noConversion"/>
  <pageMargins left="0.75" right="0.75" top="0.81" bottom="0.88" header="0.5" footer="0.5"/>
  <pageSetup paperSize="9" fitToHeight="2"/>
  <headerFooter alignWithMargins="0">
    <oddHeader>&amp;A</oddHeader>
    <oddFooter>&amp;F</oddFooter>
  </headerFooter>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15"/>
  <sheetViews>
    <sheetView showGridLines="0" topLeftCell="B1" workbookViewId="0">
      <selection activeCell="R5" sqref="R5"/>
    </sheetView>
  </sheetViews>
  <sheetFormatPr defaultColWidth="9" defaultRowHeight="10.5" outlineLevelRow="1" outlineLevelCol="1" x14ac:dyDescent="0.4"/>
  <cols>
    <col min="1" max="1" width="22.0625" style="948" bestFit="1" customWidth="1"/>
    <col min="2" max="2" width="17.5625" style="948" customWidth="1" outlineLevel="1"/>
    <col min="3" max="3" width="1.0625" style="948" customWidth="1"/>
    <col min="4" max="5" width="8.5625" style="949" hidden="1" customWidth="1" outlineLevel="1"/>
    <col min="6" max="15" width="9.5625" style="949" hidden="1" customWidth="1" outlineLevel="1"/>
    <col min="16" max="16" width="9.5625" style="949" customWidth="1" collapsed="1"/>
    <col min="17" max="18" width="9.5625" style="949" customWidth="1"/>
    <col min="19" max="19" width="9" style="949" customWidth="1"/>
    <col min="20" max="20" width="9.5" style="949" customWidth="1"/>
    <col min="21" max="21" width="11.0625" style="949" customWidth="1"/>
    <col min="22" max="22" width="11.5625" style="949" customWidth="1"/>
    <col min="23" max="23" width="9" style="950"/>
    <col min="24" max="24" width="17.5625" style="950" customWidth="1"/>
    <col min="25" max="25" width="18.0625" style="950" hidden="1" customWidth="1" outlineLevel="1"/>
    <col min="26" max="31" width="9" style="950" hidden="1" customWidth="1" outlineLevel="1"/>
    <col min="32" max="32" width="12.5625" style="950" customWidth="1" collapsed="1"/>
    <col min="33" max="34" width="10.0625" style="950" customWidth="1"/>
    <col min="35" max="35" width="12.5" style="950" customWidth="1"/>
    <col min="36" max="36" width="13.5" style="950" customWidth="1"/>
    <col min="37" max="16384" width="9" style="950"/>
  </cols>
  <sheetData>
    <row r="1" spans="1:22" ht="21" x14ac:dyDescent="0.4">
      <c r="A1" s="951" t="s">
        <v>2750</v>
      </c>
      <c r="B1" s="951" t="s">
        <v>2499</v>
      </c>
      <c r="C1" s="951"/>
      <c r="D1" s="952" t="s">
        <v>2804</v>
      </c>
      <c r="E1" s="952" t="s">
        <v>2805</v>
      </c>
      <c r="F1" s="952" t="s">
        <v>2806</v>
      </c>
      <c r="G1" s="952" t="s">
        <v>2807</v>
      </c>
      <c r="H1" s="952" t="s">
        <v>2808</v>
      </c>
      <c r="I1" s="952" t="s">
        <v>2809</v>
      </c>
      <c r="J1" s="952" t="s">
        <v>1977</v>
      </c>
      <c r="K1" s="952" t="s">
        <v>2150</v>
      </c>
      <c r="L1" s="952" t="s">
        <v>2151</v>
      </c>
      <c r="M1" s="952" t="s">
        <v>2812</v>
      </c>
      <c r="N1" s="952" t="s">
        <v>2813</v>
      </c>
      <c r="O1" s="952" t="s">
        <v>2814</v>
      </c>
      <c r="P1" s="952" t="s">
        <v>2815</v>
      </c>
      <c r="Q1" s="952" t="s">
        <v>2854</v>
      </c>
      <c r="R1" s="952" t="s">
        <v>2853</v>
      </c>
      <c r="S1" s="952" t="s">
        <v>1724</v>
      </c>
      <c r="T1" s="952" t="s">
        <v>2859</v>
      </c>
      <c r="U1" s="952" t="s">
        <v>1522</v>
      </c>
      <c r="V1" s="952" t="s">
        <v>2855</v>
      </c>
    </row>
    <row r="2" spans="1:22" outlineLevel="1" x14ac:dyDescent="0.4">
      <c r="A2" s="953" t="s">
        <v>2750</v>
      </c>
      <c r="B2" s="953" t="s">
        <v>2499</v>
      </c>
      <c r="C2" s="953"/>
      <c r="D2" s="954" t="s">
        <v>2500</v>
      </c>
      <c r="E2" s="954" t="s">
        <v>2501</v>
      </c>
      <c r="F2" s="954" t="s">
        <v>2502</v>
      </c>
      <c r="G2" s="954" t="s">
        <v>2503</v>
      </c>
      <c r="H2" s="954" t="s">
        <v>1979</v>
      </c>
      <c r="I2" s="954" t="s">
        <v>1978</v>
      </c>
      <c r="J2" s="954" t="s">
        <v>1977</v>
      </c>
      <c r="K2" s="954" t="s">
        <v>2150</v>
      </c>
      <c r="L2" s="954" t="s">
        <v>2151</v>
      </c>
      <c r="M2" s="952" t="s">
        <v>2812</v>
      </c>
      <c r="N2" s="952" t="s">
        <v>2813</v>
      </c>
      <c r="O2" s="952" t="s">
        <v>2814</v>
      </c>
      <c r="P2" s="952" t="s">
        <v>2815</v>
      </c>
      <c r="Q2" s="952" t="s">
        <v>2854</v>
      </c>
      <c r="R2" s="952" t="s">
        <v>2853</v>
      </c>
      <c r="S2" s="952" t="s">
        <v>1724</v>
      </c>
      <c r="T2" s="952" t="s">
        <v>2859</v>
      </c>
      <c r="U2" s="952" t="s">
        <v>1522</v>
      </c>
      <c r="V2" s="955" t="s">
        <v>2860</v>
      </c>
    </row>
    <row r="3" spans="1:22" x14ac:dyDescent="0.4">
      <c r="A3" s="948" t="s">
        <v>2781</v>
      </c>
      <c r="B3" s="948" t="s">
        <v>262</v>
      </c>
      <c r="D3" s="956">
        <f>HoH!AO7</f>
        <v>18845.053</v>
      </c>
      <c r="E3" s="956">
        <f>HoH!AP7</f>
        <v>27362.455000000002</v>
      </c>
      <c r="F3" s="956">
        <f>HoH!AQ7</f>
        <v>22966.134999999998</v>
      </c>
      <c r="G3" s="956">
        <f>HoH!AR7</f>
        <v>27186.388999999999</v>
      </c>
      <c r="H3" s="956">
        <f>HoH!AS7</f>
        <v>27105.613000000001</v>
      </c>
      <c r="I3" s="956">
        <f>HoH!AT7</f>
        <v>28520.691000000003</v>
      </c>
      <c r="J3" s="957">
        <f>HoH!AU7</f>
        <v>27542.5</v>
      </c>
      <c r="K3" s="957">
        <f>HoH!AV7</f>
        <v>34127.178</v>
      </c>
      <c r="L3" s="957">
        <f>HoH!AW7</f>
        <v>28002.100999999999</v>
      </c>
      <c r="M3" s="957">
        <f>HoH!AX7</f>
        <v>34455.907999999996</v>
      </c>
      <c r="N3" s="957">
        <f>HoH!AY7</f>
        <v>36370.987999999998</v>
      </c>
      <c r="O3" s="957">
        <f>HoH!AZ7</f>
        <v>40938.626000000004</v>
      </c>
      <c r="P3" s="957">
        <f>HoH!BA7</f>
        <v>53810.559000000001</v>
      </c>
      <c r="Q3" s="957">
        <f>HoH!BB7</f>
        <v>48164.705999999998</v>
      </c>
      <c r="R3" s="958">
        <f>HoH!BC7</f>
        <v>55110.712</v>
      </c>
      <c r="S3" s="959">
        <f>R3/P3-1</f>
        <v>2.4161670574728511E-2</v>
      </c>
      <c r="T3" s="960">
        <f>R3/Q3-1</f>
        <v>0.14421360736635669</v>
      </c>
      <c r="U3" s="961">
        <f>PL!U4</f>
        <v>113734.01300000001</v>
      </c>
      <c r="V3" s="960">
        <f>R3/U3</f>
        <v>0.48455787803776867</v>
      </c>
    </row>
    <row r="4" spans="1:22" x14ac:dyDescent="0.4">
      <c r="A4" s="948" t="s">
        <v>2753</v>
      </c>
      <c r="B4" s="948" t="s">
        <v>20</v>
      </c>
      <c r="D4" s="956">
        <f>HoH!AO9</f>
        <v>2307.4320000000007</v>
      </c>
      <c r="E4" s="956">
        <f>HoH!AP9</f>
        <v>3675.4460000000036</v>
      </c>
      <c r="F4" s="956">
        <f>HoH!AQ9</f>
        <v>3253.404</v>
      </c>
      <c r="G4" s="956">
        <f>HoH!AR9</f>
        <v>4361.6259999999984</v>
      </c>
      <c r="H4" s="956">
        <f>HoH!AS9</f>
        <v>4104.799</v>
      </c>
      <c r="I4" s="956">
        <f>HoH!AT9</f>
        <v>4591.6220000000021</v>
      </c>
      <c r="J4" s="957">
        <f>HoH!AU9</f>
        <v>4352.1629999999996</v>
      </c>
      <c r="K4" s="957">
        <f>HoH!AV9</f>
        <v>4883.5400000000018</v>
      </c>
      <c r="L4" s="957">
        <f>HoH!AW9</f>
        <v>5068.0079999999998</v>
      </c>
      <c r="M4" s="957">
        <f>HoH!AX9</f>
        <v>4216.1509999999998</v>
      </c>
      <c r="N4" s="957">
        <f>HoH!AY9</f>
        <v>6012.97</v>
      </c>
      <c r="O4" s="957">
        <f>HoH!AZ9</f>
        <v>5969.773000000002</v>
      </c>
      <c r="P4" s="957">
        <f>HoH!BA9</f>
        <v>7217.2730000000001</v>
      </c>
      <c r="Q4" s="957">
        <f>HoH!BB9</f>
        <v>6801.2599999999957</v>
      </c>
      <c r="R4" s="958">
        <f>HoH!BC9</f>
        <v>8625.7379999999994</v>
      </c>
      <c r="S4" s="959">
        <f>R4/P4-1</f>
        <v>0.19515196390658907</v>
      </c>
      <c r="T4" s="960">
        <f t="shared" ref="T4:T7" si="0">R4/Q4-1</f>
        <v>0.26825588199833628</v>
      </c>
      <c r="U4" s="961">
        <f>PL!U40</f>
        <v>16338.910000000003</v>
      </c>
      <c r="V4" s="960">
        <f t="shared" ref="V4:V7" si="1">R4/U4</f>
        <v>0.52792615908894769</v>
      </c>
    </row>
    <row r="5" spans="1:22" x14ac:dyDescent="0.4">
      <c r="A5" s="948" t="s">
        <v>2810</v>
      </c>
      <c r="B5" s="948" t="s">
        <v>2505</v>
      </c>
      <c r="D5" s="956">
        <f>HoH!AO21</f>
        <v>2676.5230000000001</v>
      </c>
      <c r="E5" s="956">
        <f>HoH!AP21</f>
        <v>3335.1970000000047</v>
      </c>
      <c r="F5" s="956">
        <f>HoH!AQ21</f>
        <v>3175.9349999999999</v>
      </c>
      <c r="G5" s="956">
        <f>HoH!AR21</f>
        <v>3614.0309999999995</v>
      </c>
      <c r="H5" s="956">
        <f>HoH!AS21</f>
        <v>3296.4690000000001</v>
      </c>
      <c r="I5" s="956">
        <f>HoH!AT21</f>
        <v>2909.0360000000019</v>
      </c>
      <c r="J5" s="957">
        <f>HoH!AU21</f>
        <v>3721.692</v>
      </c>
      <c r="K5" s="957">
        <f>HoH!AV21</f>
        <v>3562.7790000000014</v>
      </c>
      <c r="L5" s="957">
        <f>HoH!AW21</f>
        <v>3948.7700000000004</v>
      </c>
      <c r="M5" s="957">
        <f>HoH!AX21</f>
        <v>4295.7059999999992</v>
      </c>
      <c r="N5" s="957">
        <f>HoH!AY21</f>
        <v>4802.799</v>
      </c>
      <c r="O5" s="957">
        <f>HoH!AZ21</f>
        <v>4582.3790000000026</v>
      </c>
      <c r="P5" s="957">
        <f>HoH!BA21</f>
        <v>5565.396999999999</v>
      </c>
      <c r="Q5" s="957">
        <f>HoH!BB21</f>
        <v>5213.287999999995</v>
      </c>
      <c r="R5" s="958">
        <f>HoH!BC21</f>
        <v>6362.4109999999991</v>
      </c>
      <c r="S5" s="959">
        <f t="shared" ref="S5:S7" si="2">R5/P5-1</f>
        <v>0.14320883128373407</v>
      </c>
      <c r="T5" s="960">
        <f t="shared" si="0"/>
        <v>0.22042192950015527</v>
      </c>
      <c r="U5" s="961">
        <f>PL!U103</f>
        <v>12103.547000000004</v>
      </c>
      <c r="V5" s="960">
        <f t="shared" si="1"/>
        <v>0.5256649972111479</v>
      </c>
    </row>
    <row r="6" spans="1:22" x14ac:dyDescent="0.4">
      <c r="A6" s="948" t="s">
        <v>2617</v>
      </c>
      <c r="B6" s="948" t="s">
        <v>839</v>
      </c>
      <c r="D6" s="956">
        <f>HoH!AO25</f>
        <v>2253.3089999999997</v>
      </c>
      <c r="E6" s="956">
        <f>HoH!AN25</f>
        <v>2652.7669999999985</v>
      </c>
      <c r="F6" s="956">
        <f>HoH!AQ25</f>
        <v>2493.4009999999998</v>
      </c>
      <c r="G6" s="956">
        <f>HoH!AR25</f>
        <v>2996.6899999999996</v>
      </c>
      <c r="H6" s="956">
        <f>HoH!AS25</f>
        <v>2522.3200000000002</v>
      </c>
      <c r="I6" s="956">
        <f>HoH!AT25</f>
        <v>1977.8280000000018</v>
      </c>
      <c r="J6" s="957">
        <f>HoH!AU25</f>
        <v>2861.645</v>
      </c>
      <c r="K6" s="957">
        <f>HoH!AV25</f>
        <v>2551.563000000001</v>
      </c>
      <c r="L6" s="957">
        <f>HoH!AW25</f>
        <v>2897.5000000000005</v>
      </c>
      <c r="M6" s="957">
        <f>HoH!AX25</f>
        <v>3117.8679999999995</v>
      </c>
      <c r="N6" s="957">
        <f>HoH!AY25</f>
        <v>3500.201</v>
      </c>
      <c r="O6" s="957">
        <f>HoH!AZ25</f>
        <v>3300.6780000000026</v>
      </c>
      <c r="P6" s="957">
        <f>HoH!BA25</f>
        <v>4213.9939999999988</v>
      </c>
      <c r="Q6" s="957">
        <f>HoH!BB25</f>
        <v>3742.8819999999969</v>
      </c>
      <c r="R6" s="958">
        <f>HoH!BC25</f>
        <v>4848.6219999999994</v>
      </c>
      <c r="S6" s="959">
        <f t="shared" si="2"/>
        <v>0.15060011950657759</v>
      </c>
      <c r="T6" s="960">
        <f t="shared" si="0"/>
        <v>0.29542475557605163</v>
      </c>
      <c r="U6" s="961">
        <f>PL!U112</f>
        <v>9164.0450000000037</v>
      </c>
      <c r="V6" s="960">
        <f t="shared" si="1"/>
        <v>0.52909190210218271</v>
      </c>
    </row>
    <row r="7" spans="1:22" x14ac:dyDescent="0.4">
      <c r="A7" s="962" t="s">
        <v>2783</v>
      </c>
      <c r="B7" s="962" t="s">
        <v>2496</v>
      </c>
      <c r="C7" s="962"/>
      <c r="D7" s="963">
        <f>HoH!AO28</f>
        <v>0.24629811192713846</v>
      </c>
      <c r="E7" s="963">
        <f>HoH!AP28</f>
        <v>0.54002820444681876</v>
      </c>
      <c r="F7" s="963">
        <f>HoH!AQ28</f>
        <v>0.55420000000000003</v>
      </c>
      <c r="G7" s="963">
        <f>HoH!AR28</f>
        <v>0.40610157187606477</v>
      </c>
      <c r="H7" s="963">
        <f>HoH!AS28</f>
        <v>0.4775116477141122</v>
      </c>
      <c r="I7" s="963">
        <f>HoH!AT28</f>
        <v>0.53039399159826206</v>
      </c>
      <c r="J7" s="964">
        <f>HoH!AU28</f>
        <v>0.5417507767146319</v>
      </c>
      <c r="K7" s="964">
        <f>HoH!AV28</f>
        <v>0.48304777045591513</v>
      </c>
      <c r="L7" s="964">
        <f>HoH!AW28</f>
        <v>0.54853864666324659</v>
      </c>
      <c r="M7" s="964">
        <f>HoH!AX28</f>
        <v>0.51042554479081115</v>
      </c>
      <c r="N7" s="964">
        <f>HoH!AY28</f>
        <v>0.66263866077285316</v>
      </c>
      <c r="O7" s="964">
        <f>HoH!AZ28</f>
        <v>0.62486607185199361</v>
      </c>
      <c r="P7" s="964">
        <f>HoH!BA28</f>
        <v>0.79776999682727878</v>
      </c>
      <c r="Q7" s="964">
        <f>HoH!BB28</f>
        <v>0.70858168314071557</v>
      </c>
      <c r="R7" s="965">
        <f>HoH!BC28</f>
        <v>0.91791425368822888</v>
      </c>
      <c r="S7" s="966">
        <f t="shared" si="2"/>
        <v>0.15060011950657737</v>
      </c>
      <c r="T7" s="967">
        <f t="shared" si="0"/>
        <v>0.29542475557605186</v>
      </c>
      <c r="U7" s="963">
        <f>PL!U125</f>
        <v>1.7348862268373055</v>
      </c>
      <c r="V7" s="967">
        <f t="shared" si="1"/>
        <v>0.52909190210218271</v>
      </c>
    </row>
    <row r="8" spans="1:22" x14ac:dyDescent="0.4">
      <c r="D8" s="968"/>
      <c r="E8" s="968"/>
      <c r="F8" s="968"/>
      <c r="G8" s="968"/>
      <c r="H8" s="968"/>
      <c r="I8" s="968"/>
      <c r="J8" s="969"/>
      <c r="K8" s="969"/>
      <c r="L8" s="969"/>
      <c r="M8" s="969"/>
      <c r="N8" s="969"/>
      <c r="O8" s="969"/>
      <c r="P8" s="969"/>
      <c r="Q8" s="969"/>
      <c r="R8" s="970"/>
      <c r="S8" s="959"/>
      <c r="T8" s="960"/>
      <c r="U8" s="968"/>
      <c r="V8" s="960"/>
    </row>
    <row r="9" spans="1:22" x14ac:dyDescent="0.4">
      <c r="A9" s="948" t="s">
        <v>2771</v>
      </c>
      <c r="B9" s="948" t="s">
        <v>135</v>
      </c>
      <c r="D9" s="960">
        <f t="shared" ref="D9:P9" si="3">D4/D$3</f>
        <v>0.12244231947769002</v>
      </c>
      <c r="E9" s="960">
        <f t="shared" si="3"/>
        <v>0.13432442374048686</v>
      </c>
      <c r="F9" s="960">
        <f t="shared" si="3"/>
        <v>0.14166092814485329</v>
      </c>
      <c r="G9" s="960">
        <f t="shared" si="3"/>
        <v>0.16043417902980783</v>
      </c>
      <c r="H9" s="960">
        <f t="shared" si="3"/>
        <v>0.15143723183829119</v>
      </c>
      <c r="I9" s="960">
        <f t="shared" si="3"/>
        <v>0.16099266318617603</v>
      </c>
      <c r="J9" s="971">
        <f t="shared" si="3"/>
        <v>0.15801626577108105</v>
      </c>
      <c r="K9" s="971">
        <f t="shared" si="3"/>
        <v>0.14309826613850116</v>
      </c>
      <c r="L9" s="971">
        <f t="shared" si="3"/>
        <v>0.18098670524758126</v>
      </c>
      <c r="M9" s="971">
        <f t="shared" si="3"/>
        <v>0.12236365966614493</v>
      </c>
      <c r="N9" s="971">
        <f t="shared" si="3"/>
        <v>0.16532325159822442</v>
      </c>
      <c r="O9" s="971">
        <f t="shared" si="3"/>
        <v>0.14582250513243902</v>
      </c>
      <c r="P9" s="971">
        <f t="shared" si="3"/>
        <v>0.13412373210990058</v>
      </c>
      <c r="Q9" s="971">
        <f t="shared" ref="Q9:R9" si="4">Q4/Q$3</f>
        <v>0.14120837776939812</v>
      </c>
      <c r="R9" s="959">
        <f t="shared" si="4"/>
        <v>0.15651654074075472</v>
      </c>
      <c r="S9" s="959" t="str">
        <f>ROUND((R9-P9)*100,1)&amp;"ppt"</f>
        <v>2.2ppt</v>
      </c>
      <c r="T9" s="960" t="str">
        <f>ROUND((R9-Q9)*100,1)&amp;"ppt"</f>
        <v>1.5ppt</v>
      </c>
      <c r="U9" s="960">
        <f>U4/U$3</f>
        <v>0.14365895978716589</v>
      </c>
      <c r="V9" s="960"/>
    </row>
    <row r="10" spans="1:22" x14ac:dyDescent="0.4">
      <c r="A10" s="948" t="s">
        <v>2811</v>
      </c>
      <c r="B10" s="948" t="s">
        <v>2506</v>
      </c>
      <c r="D10" s="960">
        <f t="shared" ref="D10:P10" si="5">D5/D$3</f>
        <v>0.14202788392264007</v>
      </c>
      <c r="E10" s="960">
        <f t="shared" si="5"/>
        <v>0.12188953805497367</v>
      </c>
      <c r="F10" s="960">
        <f t="shared" si="5"/>
        <v>0.13828774410670319</v>
      </c>
      <c r="G10" s="960">
        <f t="shared" si="5"/>
        <v>0.13293530817939814</v>
      </c>
      <c r="H10" s="960">
        <f t="shared" si="5"/>
        <v>0.12161573324314782</v>
      </c>
      <c r="I10" s="960">
        <f t="shared" si="5"/>
        <v>0.10199738849244577</v>
      </c>
      <c r="J10" s="971">
        <f t="shared" si="5"/>
        <v>0.13512542434419533</v>
      </c>
      <c r="K10" s="971">
        <f t="shared" si="5"/>
        <v>0.10439711715981911</v>
      </c>
      <c r="L10" s="971">
        <f t="shared" si="5"/>
        <v>0.14101691869477939</v>
      </c>
      <c r="M10" s="971">
        <f t="shared" si="5"/>
        <v>0.12467255252713119</v>
      </c>
      <c r="N10" s="971">
        <f t="shared" si="5"/>
        <v>0.13205027589572216</v>
      </c>
      <c r="O10" s="971">
        <f t="shared" si="5"/>
        <v>0.11193289681974188</v>
      </c>
      <c r="P10" s="971">
        <f t="shared" si="5"/>
        <v>0.10342574214848797</v>
      </c>
      <c r="Q10" s="971">
        <f t="shared" ref="Q10:R10" si="6">Q5/Q$3</f>
        <v>0.108238758895362</v>
      </c>
      <c r="R10" s="959">
        <f t="shared" si="6"/>
        <v>0.1154478098559133</v>
      </c>
      <c r="S10" s="959" t="str">
        <f t="shared" ref="S10:S11" si="7">ROUND((R10-P10)*100,1)&amp;"ppt"</f>
        <v>1.2ppt</v>
      </c>
      <c r="T10" s="960" t="str">
        <f t="shared" ref="T10:T11" si="8">ROUND((R10-Q10)*100,1)&amp;"ppt"</f>
        <v>0.7ppt</v>
      </c>
      <c r="U10" s="960">
        <f>U5/U$3</f>
        <v>0.10641976556300711</v>
      </c>
      <c r="V10" s="960"/>
    </row>
    <row r="11" spans="1:22" x14ac:dyDescent="0.4">
      <c r="A11" s="948" t="s">
        <v>2785</v>
      </c>
      <c r="B11" s="948" t="s">
        <v>2498</v>
      </c>
      <c r="D11" s="960">
        <f t="shared" ref="D11:P11" si="9">D6/D$3</f>
        <v>0.11957031906463726</v>
      </c>
      <c r="E11" s="960">
        <f t="shared" si="9"/>
        <v>9.6949158984455094E-2</v>
      </c>
      <c r="F11" s="960">
        <f t="shared" si="9"/>
        <v>0.10856859458502705</v>
      </c>
      <c r="G11" s="960">
        <f t="shared" si="9"/>
        <v>0.1102275848403405</v>
      </c>
      <c r="H11" s="960">
        <f t="shared" si="9"/>
        <v>9.3055264974084895E-2</v>
      </c>
      <c r="I11" s="960">
        <f t="shared" si="9"/>
        <v>6.9347127669522515E-2</v>
      </c>
      <c r="J11" s="971">
        <f t="shared" si="9"/>
        <v>0.10389924661886175</v>
      </c>
      <c r="K11" s="971">
        <f t="shared" si="9"/>
        <v>7.4766305025279298E-2</v>
      </c>
      <c r="L11" s="971">
        <f t="shared" si="9"/>
        <v>0.10347437858323562</v>
      </c>
      <c r="M11" s="971">
        <f t="shared" si="9"/>
        <v>9.0488632602571381E-2</v>
      </c>
      <c r="N11" s="971">
        <f t="shared" si="9"/>
        <v>9.6236071453434269E-2</v>
      </c>
      <c r="O11" s="971">
        <f t="shared" si="9"/>
        <v>8.062503123578213E-2</v>
      </c>
      <c r="P11" s="971">
        <f t="shared" si="9"/>
        <v>7.8311656268056959E-2</v>
      </c>
      <c r="Q11" s="971">
        <f t="shared" ref="Q11:R11" si="10">Q6/Q$3</f>
        <v>7.7710055989960725E-2</v>
      </c>
      <c r="R11" s="959">
        <f t="shared" si="10"/>
        <v>8.7979665368866936E-2</v>
      </c>
      <c r="S11" s="959" t="str">
        <f t="shared" si="7"/>
        <v>1ppt</v>
      </c>
      <c r="T11" s="960" t="str">
        <f t="shared" si="8"/>
        <v>1ppt</v>
      </c>
      <c r="U11" s="960">
        <f>U6/U$3</f>
        <v>8.0574357294506113E-2</v>
      </c>
      <c r="V11" s="960"/>
    </row>
    <row r="14" spans="1:22" x14ac:dyDescent="0.4">
      <c r="H14" s="972"/>
      <c r="I14" s="972"/>
      <c r="J14" s="972"/>
      <c r="K14" s="972"/>
      <c r="L14" s="972"/>
      <c r="M14" s="972"/>
      <c r="N14" s="972"/>
      <c r="O14" s="972"/>
      <c r="P14" s="972"/>
      <c r="Q14" s="972"/>
      <c r="R14" s="972"/>
    </row>
    <row r="15" spans="1:22" x14ac:dyDescent="0.4">
      <c r="H15" s="973"/>
      <c r="I15" s="973"/>
      <c r="J15" s="973"/>
      <c r="K15" s="973"/>
      <c r="L15" s="973"/>
      <c r="M15" s="973"/>
      <c r="N15" s="973"/>
      <c r="O15" s="973"/>
      <c r="P15" s="973"/>
      <c r="Q15" s="973"/>
      <c r="R15" s="973"/>
      <c r="S15" s="973"/>
    </row>
  </sheetData>
  <phoneticPr fontId="5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V14"/>
  <sheetViews>
    <sheetView showGridLines="0" zoomScale="130" zoomScaleNormal="130" workbookViewId="0">
      <selection activeCell="R5" sqref="R5"/>
    </sheetView>
  </sheetViews>
  <sheetFormatPr defaultColWidth="9" defaultRowHeight="10.15" outlineLevelCol="1" x14ac:dyDescent="0.3"/>
  <cols>
    <col min="1" max="1" width="15.0625" style="202" customWidth="1"/>
    <col min="2" max="10" width="8.0625" style="202" hidden="1" customWidth="1" outlineLevel="1"/>
    <col min="11" max="13" width="9" style="202" hidden="1" customWidth="1" outlineLevel="1"/>
    <col min="14" max="16" width="0" style="202" hidden="1" customWidth="1" outlineLevel="1"/>
    <col min="17" max="17" width="9" style="202" collapsed="1"/>
    <col min="18" max="19" width="9" style="202"/>
    <col min="20" max="20" width="9" style="202" customWidth="1" outlineLevel="1"/>
    <col min="21" max="21" width="9" style="202"/>
    <col min="22" max="22" width="9" style="202" customWidth="1" outlineLevel="1"/>
    <col min="23" max="16384" width="9" style="202"/>
  </cols>
  <sheetData>
    <row r="1" spans="1:22" x14ac:dyDescent="0.3">
      <c r="A1" s="1754" t="s">
        <v>2499</v>
      </c>
      <c r="B1" s="1751" t="s">
        <v>338</v>
      </c>
      <c r="C1" s="1749"/>
      <c r="D1" s="1750"/>
      <c r="E1" s="1751" t="s">
        <v>2507</v>
      </c>
      <c r="F1" s="1749"/>
      <c r="G1" s="1750"/>
      <c r="H1" s="1751" t="s">
        <v>2595</v>
      </c>
      <c r="I1" s="1749"/>
      <c r="J1" s="1750"/>
      <c r="K1" s="1751" t="s">
        <v>2508</v>
      </c>
      <c r="L1" s="1749"/>
      <c r="M1" s="1750"/>
      <c r="N1" s="1751" t="s">
        <v>2575</v>
      </c>
      <c r="O1" s="1749"/>
      <c r="P1" s="1750"/>
      <c r="Q1" s="1751" t="s">
        <v>3149</v>
      </c>
      <c r="R1" s="1749"/>
      <c r="S1" s="1750"/>
      <c r="T1" s="1751" t="s">
        <v>3150</v>
      </c>
      <c r="U1" s="1749"/>
      <c r="V1" s="1750"/>
    </row>
    <row r="2" spans="1:22" x14ac:dyDescent="0.3">
      <c r="A2" s="1755"/>
      <c r="B2" s="977" t="s">
        <v>1513</v>
      </c>
      <c r="C2" s="978" t="s">
        <v>1514</v>
      </c>
      <c r="D2" s="979" t="s">
        <v>1515</v>
      </c>
      <c r="E2" s="977" t="s">
        <v>1513</v>
      </c>
      <c r="F2" s="978" t="s">
        <v>1514</v>
      </c>
      <c r="G2" s="979" t="s">
        <v>1515</v>
      </c>
      <c r="H2" s="980" t="s">
        <v>2600</v>
      </c>
      <c r="I2" s="981" t="s">
        <v>2601</v>
      </c>
      <c r="J2" s="979" t="s">
        <v>1515</v>
      </c>
      <c r="K2" s="980" t="s">
        <v>2600</v>
      </c>
      <c r="L2" s="981" t="s">
        <v>2601</v>
      </c>
      <c r="M2" s="979" t="s">
        <v>1515</v>
      </c>
      <c r="N2" s="980" t="s">
        <v>2600</v>
      </c>
      <c r="O2" s="981" t="s">
        <v>2601</v>
      </c>
      <c r="P2" s="979" t="s">
        <v>1515</v>
      </c>
      <c r="Q2" s="980" t="s">
        <v>2856</v>
      </c>
      <c r="R2" s="981" t="s">
        <v>2857</v>
      </c>
      <c r="S2" s="979" t="s">
        <v>2858</v>
      </c>
      <c r="T2" s="980" t="s">
        <v>2839</v>
      </c>
      <c r="U2" s="981" t="s">
        <v>2857</v>
      </c>
      <c r="V2" s="979" t="s">
        <v>1515</v>
      </c>
    </row>
    <row r="3" spans="1:22" x14ac:dyDescent="0.3">
      <c r="A3" s="982" t="s">
        <v>1516</v>
      </c>
      <c r="B3" s="983">
        <v>58886.375570020107</v>
      </c>
      <c r="C3" s="984">
        <f>Cover!O5</f>
        <v>55626.304000000004</v>
      </c>
      <c r="D3" s="985">
        <f>C3/B3-1</f>
        <v>-5.5362068703713074E-2</v>
      </c>
      <c r="E3" s="983">
        <v>67166</v>
      </c>
      <c r="F3" s="984">
        <f>Cover!P5</f>
        <v>61669.678</v>
      </c>
      <c r="G3" s="985">
        <f>F3/E3-1</f>
        <v>-8.1831909001578218E-2</v>
      </c>
      <c r="H3" s="983">
        <v>66723</v>
      </c>
      <c r="I3" s="984">
        <f>Cover!Q5</f>
        <v>62458.008999999998</v>
      </c>
      <c r="J3" s="985">
        <f>I3/H3-1</f>
        <v>-6.3920851880161278E-2</v>
      </c>
      <c r="K3" s="983">
        <v>75990</v>
      </c>
      <c r="L3" s="984">
        <f>Cover!R5</f>
        <v>77309.614000000001</v>
      </c>
      <c r="M3" s="985">
        <f>L3/K3-1</f>
        <v>1.7365627056191713E-2</v>
      </c>
      <c r="N3" s="983">
        <v>92546</v>
      </c>
      <c r="O3" s="984">
        <f>PL!T4</f>
        <v>101975.265</v>
      </c>
      <c r="P3" s="985">
        <f>O3/N3-1</f>
        <v>0.10188733170531417</v>
      </c>
      <c r="Q3" s="983">
        <v>132856.22640704419</v>
      </c>
      <c r="R3" s="984">
        <f>PL!X4</f>
        <v>103560.45987128874</v>
      </c>
      <c r="S3" s="985">
        <f>R3/Q3-1</f>
        <v>-0.22050729068579167</v>
      </c>
      <c r="T3" s="983">
        <v>149689.33167074277</v>
      </c>
      <c r="U3" s="984">
        <f>PL!Y4</f>
        <v>114194.84012038677</v>
      </c>
      <c r="V3" s="985">
        <f>U3/T3-1</f>
        <v>-0.23712105033931086</v>
      </c>
    </row>
    <row r="4" spans="1:22" x14ac:dyDescent="0.3">
      <c r="A4" s="982" t="s">
        <v>2505</v>
      </c>
      <c r="B4" s="983"/>
      <c r="C4" s="984"/>
      <c r="D4" s="985"/>
      <c r="E4" s="983"/>
      <c r="F4" s="984"/>
      <c r="G4" s="985"/>
      <c r="H4" s="983"/>
      <c r="I4" s="984"/>
      <c r="J4" s="985"/>
      <c r="K4" s="983"/>
      <c r="L4" s="984"/>
      <c r="M4" s="985"/>
      <c r="N4" s="983">
        <v>10670</v>
      </c>
      <c r="O4" s="984">
        <f>PL!T103</f>
        <v>10778.684999999994</v>
      </c>
      <c r="P4" s="985">
        <f>O4/N4-1</f>
        <v>1.0186035613870104E-2</v>
      </c>
      <c r="Q4" s="983">
        <v>14609.633794024405</v>
      </c>
      <c r="R4" s="984">
        <f ca="1">PL!X103</f>
        <v>13423.970433482549</v>
      </c>
      <c r="S4" s="985">
        <f ca="1">R4/Q4-1</f>
        <v>-8.1156268340333959E-2</v>
      </c>
      <c r="T4" s="983">
        <v>15824.924471451035</v>
      </c>
      <c r="U4" s="984">
        <f ca="1">PL!Y103</f>
        <v>14554.861349565783</v>
      </c>
      <c r="V4" s="985">
        <f ca="1">U4/T4-1</f>
        <v>-8.0257136403810936E-2</v>
      </c>
    </row>
    <row r="5" spans="1:22" x14ac:dyDescent="0.3">
      <c r="A5" s="982" t="s">
        <v>1517</v>
      </c>
      <c r="B5" s="983">
        <v>6630.790709568143</v>
      </c>
      <c r="C5" s="984">
        <f>Cover!O9</f>
        <v>4500.1480000000029</v>
      </c>
      <c r="D5" s="985">
        <f>C5/B5-1</f>
        <v>-0.32132558587524873</v>
      </c>
      <c r="E5" s="983">
        <v>7030</v>
      </c>
      <c r="F5" s="984">
        <f>Cover!P9</f>
        <v>5413.2080000000014</v>
      </c>
      <c r="G5" s="985">
        <f>F5/E5-1</f>
        <v>-0.22998463726884755</v>
      </c>
      <c r="H5" s="983">
        <v>5998</v>
      </c>
      <c r="I5" s="984">
        <f>Cover!Q9</f>
        <v>6015.3679999999986</v>
      </c>
      <c r="J5" s="985">
        <f>I5/H5-1</f>
        <v>2.8956318772921374E-3</v>
      </c>
      <c r="K5" s="983">
        <v>6725</v>
      </c>
      <c r="L5" s="984">
        <f>Cover!R9</f>
        <v>6800.8790000000008</v>
      </c>
      <c r="M5" s="985">
        <f>L5/K5-1</f>
        <v>1.1283122676579938E-2</v>
      </c>
      <c r="N5" s="983">
        <v>7795</v>
      </c>
      <c r="O5" s="984">
        <f>PL!T112</f>
        <v>7956.8759999999957</v>
      </c>
      <c r="P5" s="985">
        <f>O5/N5-1</f>
        <v>2.0766645285438923E-2</v>
      </c>
      <c r="Q5" s="983">
        <v>10775.7</v>
      </c>
      <c r="R5" s="984">
        <f ca="1">PL!X112</f>
        <v>9661.5456312902897</v>
      </c>
      <c r="S5" s="985">
        <f ca="1">R5/Q5-1</f>
        <v>-0.10339508047827162</v>
      </c>
      <c r="T5" s="983">
        <v>11702.882177606012</v>
      </c>
      <c r="U5" s="984">
        <f ca="1">PL!Y112</f>
        <v>10494.750019954554</v>
      </c>
      <c r="V5" s="985">
        <f ca="1">U5/T5-1</f>
        <v>-0.10323372818050525</v>
      </c>
    </row>
    <row r="6" spans="1:22" x14ac:dyDescent="0.3">
      <c r="A6" s="986" t="s">
        <v>2509</v>
      </c>
      <c r="B6" s="987">
        <f>B5/BS!$O$89</f>
        <v>1.2553045598390811</v>
      </c>
      <c r="C6" s="988">
        <f>C5/BS!$P$89</f>
        <v>0.85194308669691698</v>
      </c>
      <c r="D6" s="985">
        <f>C6/B6-1</f>
        <v>-0.32132558587524884</v>
      </c>
      <c r="E6" s="987">
        <f>E5/BS!$O$89</f>
        <v>1.3308806509206637</v>
      </c>
      <c r="F6" s="988">
        <f>F5/BS!$Q$89</f>
        <v>1.024798547170547</v>
      </c>
      <c r="G6" s="985">
        <f>F6/E6-1</f>
        <v>-0.22998463726884766</v>
      </c>
      <c r="H6" s="987">
        <f>H5/BS!$O$89</f>
        <v>1.1355081286233486</v>
      </c>
      <c r="I6" s="988">
        <f>I5/BS!$Q$89</f>
        <v>1.1387961421575148</v>
      </c>
      <c r="J6" s="985">
        <f>I6/H6-1</f>
        <v>2.8956318772921374E-3</v>
      </c>
      <c r="K6" s="987">
        <f>K5/BS!$O$89</f>
        <v>1.2731397407455851</v>
      </c>
      <c r="L6" s="988">
        <f>L5/BS!$Q$89</f>
        <v>1.2875047326248468</v>
      </c>
      <c r="M6" s="985">
        <f>L6/K6-1</f>
        <v>1.1283122676579938E-2</v>
      </c>
      <c r="N6" s="987">
        <f>N5/BS!$T$89</f>
        <v>1.4757062125073361</v>
      </c>
      <c r="O6" s="988">
        <f>O5/BS!$Q$89</f>
        <v>1.5063516799679944</v>
      </c>
      <c r="P6" s="985">
        <f>O6/N6-1</f>
        <v>2.0766645285438701E-2</v>
      </c>
      <c r="Q6" s="987">
        <f>Q5/BS!$W$89</f>
        <v>2.0399958222085059</v>
      </c>
      <c r="R6" s="988">
        <f ca="1">R5/BS!$X$89</f>
        <v>1.8290702899959197</v>
      </c>
      <c r="S6" s="985">
        <f ca="1">R6/Q6-1</f>
        <v>-0.10339508047827162</v>
      </c>
      <c r="T6" s="987">
        <f>T5/BS!$T$89</f>
        <v>2.2155248151038585</v>
      </c>
      <c r="U6" s="988">
        <f ca="1">U5/BS!$X$89</f>
        <v>1.9868079285642624</v>
      </c>
      <c r="V6" s="985">
        <f ca="1">U6/T6-1</f>
        <v>-0.10323372818050536</v>
      </c>
    </row>
    <row r="7" spans="1:22" x14ac:dyDescent="0.3">
      <c r="A7" s="986"/>
      <c r="B7" s="988"/>
      <c r="C7" s="988"/>
      <c r="D7" s="989"/>
      <c r="E7" s="988"/>
      <c r="F7" s="988"/>
      <c r="G7" s="989"/>
      <c r="H7" s="988"/>
      <c r="I7" s="988"/>
      <c r="J7" s="989"/>
    </row>
    <row r="9" spans="1:22" x14ac:dyDescent="0.3">
      <c r="A9" s="1752" t="s">
        <v>2750</v>
      </c>
      <c r="B9" s="1751" t="str">
        <f>B1</f>
        <v>2018E</v>
      </c>
      <c r="C9" s="1749"/>
      <c r="D9" s="1750"/>
      <c r="E9" s="1751" t="str">
        <f>E1</f>
        <v>2019E</v>
      </c>
      <c r="F9" s="1749"/>
      <c r="G9" s="1750"/>
      <c r="H9" s="1751" t="str">
        <f>H1</f>
        <v>2020A</v>
      </c>
      <c r="I9" s="1749"/>
      <c r="J9" s="1750"/>
      <c r="K9" s="1751" t="str">
        <f>K1</f>
        <v>2021E</v>
      </c>
      <c r="L9" s="1749"/>
      <c r="M9" s="1750"/>
      <c r="N9" s="1751" t="str">
        <f>N1</f>
        <v>2022E</v>
      </c>
      <c r="O9" s="1749"/>
      <c r="P9" s="1749"/>
      <c r="Q9" s="1751" t="str">
        <f>Q1</f>
        <v>2026E</v>
      </c>
      <c r="R9" s="1749"/>
      <c r="S9" s="1750"/>
      <c r="T9" s="1749" t="str">
        <f>T1</f>
        <v>2027E</v>
      </c>
      <c r="U9" s="1749"/>
      <c r="V9" s="1750"/>
    </row>
    <row r="10" spans="1:22" x14ac:dyDescent="0.3">
      <c r="A10" s="1753"/>
      <c r="B10" s="977" t="s">
        <v>2798</v>
      </c>
      <c r="C10" s="978" t="s">
        <v>2799</v>
      </c>
      <c r="D10" s="979" t="s">
        <v>2800</v>
      </c>
      <c r="E10" s="977" t="s">
        <v>2798</v>
      </c>
      <c r="F10" s="978" t="s">
        <v>2799</v>
      </c>
      <c r="G10" s="979" t="s">
        <v>2800</v>
      </c>
      <c r="H10" s="977" t="s">
        <v>2798</v>
      </c>
      <c r="I10" s="978" t="s">
        <v>2799</v>
      </c>
      <c r="J10" s="979" t="s">
        <v>2800</v>
      </c>
      <c r="K10" s="977" t="s">
        <v>2798</v>
      </c>
      <c r="L10" s="978" t="s">
        <v>2799</v>
      </c>
      <c r="M10" s="979" t="s">
        <v>2800</v>
      </c>
      <c r="N10" s="977" t="s">
        <v>2798</v>
      </c>
      <c r="O10" s="978" t="s">
        <v>2799</v>
      </c>
      <c r="P10" s="978" t="s">
        <v>2800</v>
      </c>
      <c r="Q10" s="974" t="s">
        <v>2798</v>
      </c>
      <c r="R10" s="975" t="s">
        <v>2799</v>
      </c>
      <c r="S10" s="976" t="s">
        <v>2800</v>
      </c>
      <c r="T10" s="978" t="s">
        <v>2798</v>
      </c>
      <c r="U10" s="975" t="s">
        <v>2799</v>
      </c>
      <c r="V10" s="979" t="s">
        <v>2800</v>
      </c>
    </row>
    <row r="11" spans="1:22" x14ac:dyDescent="0.3">
      <c r="A11" s="986" t="s">
        <v>2801</v>
      </c>
      <c r="B11" s="990">
        <f t="shared" ref="B11:V11" si="0">B3</f>
        <v>58886.375570020107</v>
      </c>
      <c r="C11" s="991">
        <f t="shared" si="0"/>
        <v>55626.304000000004</v>
      </c>
      <c r="D11" s="985">
        <f t="shared" si="0"/>
        <v>-5.5362068703713074E-2</v>
      </c>
      <c r="E11" s="990">
        <f t="shared" si="0"/>
        <v>67166</v>
      </c>
      <c r="F11" s="991">
        <f t="shared" si="0"/>
        <v>61669.678</v>
      </c>
      <c r="G11" s="985">
        <f t="shared" si="0"/>
        <v>-8.1831909001578218E-2</v>
      </c>
      <c r="H11" s="990">
        <f t="shared" si="0"/>
        <v>66723</v>
      </c>
      <c r="I11" s="991">
        <f t="shared" si="0"/>
        <v>62458.008999999998</v>
      </c>
      <c r="J11" s="985">
        <f t="shared" si="0"/>
        <v>-6.3920851880161278E-2</v>
      </c>
      <c r="K11" s="990">
        <f t="shared" si="0"/>
        <v>75990</v>
      </c>
      <c r="L11" s="991">
        <f t="shared" si="0"/>
        <v>77309.614000000001</v>
      </c>
      <c r="M11" s="985">
        <f t="shared" si="0"/>
        <v>1.7365627056191713E-2</v>
      </c>
      <c r="N11" s="990">
        <f t="shared" si="0"/>
        <v>92546</v>
      </c>
      <c r="O11" s="991">
        <f t="shared" si="0"/>
        <v>101975.265</v>
      </c>
      <c r="P11" s="989">
        <f t="shared" si="0"/>
        <v>0.10188733170531417</v>
      </c>
      <c r="Q11" s="990">
        <f t="shared" si="0"/>
        <v>132856.22640704419</v>
      </c>
      <c r="R11" s="991">
        <f t="shared" si="0"/>
        <v>103560.45987128874</v>
      </c>
      <c r="S11" s="985">
        <f t="shared" si="0"/>
        <v>-0.22050729068579167</v>
      </c>
      <c r="T11" s="991">
        <f t="shared" si="0"/>
        <v>149689.33167074277</v>
      </c>
      <c r="U11" s="991">
        <f t="shared" si="0"/>
        <v>114194.84012038677</v>
      </c>
      <c r="V11" s="985">
        <f t="shared" si="0"/>
        <v>-0.23712105033931086</v>
      </c>
    </row>
    <row r="12" spans="1:22" x14ac:dyDescent="0.3">
      <c r="A12" s="986" t="s">
        <v>2618</v>
      </c>
      <c r="B12" s="990"/>
      <c r="C12" s="991"/>
      <c r="D12" s="985"/>
      <c r="E12" s="990"/>
      <c r="F12" s="991"/>
      <c r="G12" s="985"/>
      <c r="H12" s="990"/>
      <c r="I12" s="991"/>
      <c r="J12" s="985"/>
      <c r="K12" s="990"/>
      <c r="L12" s="991"/>
      <c r="M12" s="985"/>
      <c r="N12" s="990">
        <f t="shared" ref="N12:V12" si="1">N4</f>
        <v>10670</v>
      </c>
      <c r="O12" s="991">
        <f t="shared" si="1"/>
        <v>10778.684999999994</v>
      </c>
      <c r="P12" s="989">
        <f t="shared" si="1"/>
        <v>1.0186035613870104E-2</v>
      </c>
      <c r="Q12" s="990">
        <f t="shared" si="1"/>
        <v>14609.633794024405</v>
      </c>
      <c r="R12" s="991">
        <f t="shared" ca="1" si="1"/>
        <v>13423.970433482549</v>
      </c>
      <c r="S12" s="985">
        <f t="shared" ca="1" si="1"/>
        <v>-8.1156268340333959E-2</v>
      </c>
      <c r="T12" s="991">
        <f t="shared" si="1"/>
        <v>15824.924471451035</v>
      </c>
      <c r="U12" s="991">
        <f t="shared" ca="1" si="1"/>
        <v>14554.861349565783</v>
      </c>
      <c r="V12" s="985">
        <f t="shared" ca="1" si="1"/>
        <v>-8.0257136403810936E-2</v>
      </c>
    </row>
    <row r="13" spans="1:22" x14ac:dyDescent="0.3">
      <c r="A13" s="986" t="s">
        <v>2802</v>
      </c>
      <c r="B13" s="990">
        <f t="shared" ref="B13:M13" si="2">B5</f>
        <v>6630.790709568143</v>
      </c>
      <c r="C13" s="991">
        <f t="shared" si="2"/>
        <v>4500.1480000000029</v>
      </c>
      <c r="D13" s="985">
        <f t="shared" si="2"/>
        <v>-0.32132558587524873</v>
      </c>
      <c r="E13" s="990">
        <f t="shared" si="2"/>
        <v>7030</v>
      </c>
      <c r="F13" s="991">
        <f t="shared" si="2"/>
        <v>5413.2080000000014</v>
      </c>
      <c r="G13" s="985">
        <f t="shared" si="2"/>
        <v>-0.22998463726884755</v>
      </c>
      <c r="H13" s="990">
        <f t="shared" si="2"/>
        <v>5998</v>
      </c>
      <c r="I13" s="991">
        <f t="shared" si="2"/>
        <v>6015.3679999999986</v>
      </c>
      <c r="J13" s="985">
        <f t="shared" si="2"/>
        <v>2.8956318772921374E-3</v>
      </c>
      <c r="K13" s="990">
        <f t="shared" si="2"/>
        <v>6725</v>
      </c>
      <c r="L13" s="991">
        <f t="shared" si="2"/>
        <v>6800.8790000000008</v>
      </c>
      <c r="M13" s="985">
        <f t="shared" si="2"/>
        <v>1.1283122676579938E-2</v>
      </c>
      <c r="N13" s="990">
        <f t="shared" ref="N13:V13" si="3">N5</f>
        <v>7795</v>
      </c>
      <c r="O13" s="991">
        <f t="shared" si="3"/>
        <v>7956.8759999999957</v>
      </c>
      <c r="P13" s="989">
        <f t="shared" si="3"/>
        <v>2.0766645285438923E-2</v>
      </c>
      <c r="Q13" s="990">
        <f t="shared" si="3"/>
        <v>10775.7</v>
      </c>
      <c r="R13" s="991">
        <f t="shared" ca="1" si="3"/>
        <v>9661.5456312902897</v>
      </c>
      <c r="S13" s="985">
        <f t="shared" ca="1" si="3"/>
        <v>-0.10339508047827162</v>
      </c>
      <c r="T13" s="991">
        <f t="shared" si="3"/>
        <v>11702.882177606012</v>
      </c>
      <c r="U13" s="991">
        <f t="shared" ca="1" si="3"/>
        <v>10494.750019954554</v>
      </c>
      <c r="V13" s="985">
        <f t="shared" ca="1" si="3"/>
        <v>-0.10323372818050525</v>
      </c>
    </row>
    <row r="14" spans="1:22" ht="11.25" x14ac:dyDescent="0.3">
      <c r="A14" s="986" t="s">
        <v>2841</v>
      </c>
      <c r="B14" s="992">
        <f t="shared" ref="B14:M14" si="4">B6</f>
        <v>1.2553045598390811</v>
      </c>
      <c r="C14" s="993">
        <f t="shared" si="4"/>
        <v>0.85194308669691698</v>
      </c>
      <c r="D14" s="985">
        <f t="shared" si="4"/>
        <v>-0.32132558587524884</v>
      </c>
      <c r="E14" s="992">
        <f t="shared" si="4"/>
        <v>1.3308806509206637</v>
      </c>
      <c r="F14" s="993">
        <f t="shared" si="4"/>
        <v>1.024798547170547</v>
      </c>
      <c r="G14" s="985">
        <f t="shared" si="4"/>
        <v>-0.22998463726884766</v>
      </c>
      <c r="H14" s="992">
        <f t="shared" si="4"/>
        <v>1.1355081286233486</v>
      </c>
      <c r="I14" s="993">
        <f t="shared" si="4"/>
        <v>1.1387961421575148</v>
      </c>
      <c r="J14" s="985">
        <f t="shared" si="4"/>
        <v>2.8956318772921374E-3</v>
      </c>
      <c r="K14" s="992">
        <f t="shared" si="4"/>
        <v>1.2731397407455851</v>
      </c>
      <c r="L14" s="993">
        <f t="shared" si="4"/>
        <v>1.2875047326248468</v>
      </c>
      <c r="M14" s="985">
        <f t="shared" si="4"/>
        <v>1.1283122676579938E-2</v>
      </c>
      <c r="N14" s="992">
        <f t="shared" ref="N14:V14" si="5">N6</f>
        <v>1.4757062125073361</v>
      </c>
      <c r="O14" s="993">
        <f t="shared" si="5"/>
        <v>1.5063516799679944</v>
      </c>
      <c r="P14" s="989">
        <f t="shared" si="5"/>
        <v>2.0766645285438701E-2</v>
      </c>
      <c r="Q14" s="992">
        <f t="shared" si="5"/>
        <v>2.0399958222085059</v>
      </c>
      <c r="R14" s="993">
        <f t="shared" ca="1" si="5"/>
        <v>1.8290702899959197</v>
      </c>
      <c r="S14" s="985">
        <f t="shared" ca="1" si="5"/>
        <v>-0.10339508047827162</v>
      </c>
      <c r="T14" s="993">
        <f t="shared" si="5"/>
        <v>2.2155248151038585</v>
      </c>
      <c r="U14" s="993">
        <f t="shared" ca="1" si="5"/>
        <v>1.9868079285642624</v>
      </c>
      <c r="V14" s="985">
        <f t="shared" ca="1" si="5"/>
        <v>-0.10323372818050536</v>
      </c>
    </row>
  </sheetData>
  <mergeCells count="16">
    <mergeCell ref="A1:A2"/>
    <mergeCell ref="E1:G1"/>
    <mergeCell ref="H1:J1"/>
    <mergeCell ref="K1:M1"/>
    <mergeCell ref="T1:V1"/>
    <mergeCell ref="N1:P1"/>
    <mergeCell ref="B1:D1"/>
    <mergeCell ref="Q1:S1"/>
    <mergeCell ref="T9:V9"/>
    <mergeCell ref="N9:P9"/>
    <mergeCell ref="A9:A10"/>
    <mergeCell ref="B9:D9"/>
    <mergeCell ref="Q9:S9"/>
    <mergeCell ref="K9:M9"/>
    <mergeCell ref="H9:J9"/>
    <mergeCell ref="E9:G9"/>
  </mergeCells>
  <phoneticPr fontId="5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T103"/>
  <sheetViews>
    <sheetView showGridLines="0" workbookViewId="0">
      <pane xSplit="2" ySplit="2" topLeftCell="N3" activePane="bottomRight" state="frozen"/>
      <selection pane="topRight"/>
      <selection pane="bottomLeft"/>
      <selection pane="bottomRight" activeCell="X57" sqref="X57"/>
    </sheetView>
  </sheetViews>
  <sheetFormatPr defaultColWidth="9" defaultRowHeight="10.5" outlineLevelRow="1" outlineLevelCol="1" x14ac:dyDescent="0.4"/>
  <cols>
    <col min="1" max="1" width="18" style="802" hidden="1" customWidth="1" outlineLevel="1"/>
    <col min="2" max="2" width="19.0625" style="802" customWidth="1"/>
    <col min="3" max="8" width="7.5" style="994" hidden="1" customWidth="1" outlineLevel="1"/>
    <col min="9" max="13" width="7.5" style="802" hidden="1" customWidth="1" outlineLevel="1"/>
    <col min="14" max="20" width="7.5" style="802" customWidth="1"/>
    <col min="21" max="16384" width="9" style="802"/>
  </cols>
  <sheetData>
    <row r="2" spans="1:20" x14ac:dyDescent="0.4">
      <c r="A2" s="798" t="s">
        <v>2510</v>
      </c>
      <c r="B2" s="798" t="s">
        <v>2511</v>
      </c>
      <c r="C2" s="749" t="str">
        <f>PL!D3</f>
        <v>2006A</v>
      </c>
      <c r="D2" s="749" t="str">
        <f>PL!E3</f>
        <v>2007A</v>
      </c>
      <c r="E2" s="749" t="s">
        <v>184</v>
      </c>
      <c r="F2" s="749" t="str">
        <f>PL!F3</f>
        <v>2008A</v>
      </c>
      <c r="G2" s="749" t="s">
        <v>2512</v>
      </c>
      <c r="H2" s="749" t="str">
        <f>PL!G3</f>
        <v>2009A</v>
      </c>
      <c r="I2" s="749" t="str">
        <f>PL!H3</f>
        <v>2010A</v>
      </c>
      <c r="J2" s="749" t="str">
        <f>PL!I3</f>
        <v>2011A</v>
      </c>
      <c r="K2" s="749" t="str">
        <f>PL!J3</f>
        <v>2012A</v>
      </c>
      <c r="L2" s="749" t="str">
        <f>PL!K3</f>
        <v>2013A</v>
      </c>
      <c r="M2" s="749" t="str">
        <f>PL!L3</f>
        <v>2014A</v>
      </c>
      <c r="N2" s="749" t="str">
        <f>PL!M3</f>
        <v>2015A</v>
      </c>
      <c r="O2" s="749" t="str">
        <f>PL!N3</f>
        <v>2016A</v>
      </c>
      <c r="P2" s="749" t="str">
        <f>PL!O3</f>
        <v>2017A</v>
      </c>
      <c r="Q2" s="749" t="str">
        <f>PL!P3</f>
        <v>2018A</v>
      </c>
      <c r="R2" s="749" t="str">
        <f>PL!Q3</f>
        <v>2019A</v>
      </c>
      <c r="S2" s="749" t="str">
        <f>PL!R3</f>
        <v>2020A</v>
      </c>
      <c r="T2" s="749" t="str">
        <f>PL!S3</f>
        <v>2021A</v>
      </c>
    </row>
    <row r="3" spans="1:20" x14ac:dyDescent="0.4">
      <c r="A3" s="995" t="s">
        <v>2513</v>
      </c>
      <c r="B3" s="995" t="s">
        <v>2514</v>
      </c>
      <c r="C3" s="996"/>
      <c r="D3" s="996"/>
      <c r="E3" s="996"/>
      <c r="F3" s="996"/>
      <c r="G3" s="996"/>
      <c r="H3" s="996"/>
      <c r="I3" s="996"/>
      <c r="J3" s="996"/>
      <c r="K3" s="996"/>
      <c r="L3" s="996"/>
      <c r="M3" s="996"/>
      <c r="N3" s="996"/>
      <c r="O3" s="996"/>
      <c r="P3" s="996"/>
      <c r="Q3" s="996"/>
      <c r="R3" s="996"/>
      <c r="S3" s="996"/>
      <c r="T3" s="996"/>
    </row>
    <row r="4" spans="1:20" hidden="1" outlineLevel="1" x14ac:dyDescent="0.4">
      <c r="A4" s="802" t="s">
        <v>2515</v>
      </c>
      <c r="C4" s="997">
        <f>PL!D6</f>
        <v>7464.6279999999997</v>
      </c>
      <c r="D4" s="997">
        <f>PL!E6</f>
        <v>5527.5870000000004</v>
      </c>
      <c r="E4" s="997"/>
      <c r="F4" s="997">
        <f>PL!F6</f>
        <v>6195.6409999999996</v>
      </c>
      <c r="G4" s="997"/>
      <c r="H4" s="997">
        <f>PL!G6</f>
        <v>6188.1589999999997</v>
      </c>
    </row>
    <row r="5" spans="1:20" hidden="1" outlineLevel="1" x14ac:dyDescent="0.4">
      <c r="A5" s="802" t="s">
        <v>2516</v>
      </c>
      <c r="C5" s="997" t="e">
        <f>PL!#REF!</f>
        <v>#REF!</v>
      </c>
      <c r="D5" s="997" t="e">
        <f>PL!#REF!</f>
        <v>#REF!</v>
      </c>
      <c r="E5" s="997"/>
      <c r="F5" s="997" t="e">
        <f>PL!#REF!</f>
        <v>#REF!</v>
      </c>
      <c r="G5" s="997"/>
      <c r="H5" s="997" t="e">
        <f>PL!#REF!</f>
        <v>#REF!</v>
      </c>
    </row>
    <row r="6" spans="1:20" hidden="1" outlineLevel="1" x14ac:dyDescent="0.4">
      <c r="A6" s="802" t="s">
        <v>2517</v>
      </c>
      <c r="C6" s="997" t="e">
        <f>PL!#REF!</f>
        <v>#REF!</v>
      </c>
      <c r="D6" s="997" t="e">
        <f>PL!#REF!</f>
        <v>#REF!</v>
      </c>
      <c r="E6" s="997"/>
      <c r="F6" s="997" t="e">
        <f>PL!#REF!</f>
        <v>#REF!</v>
      </c>
      <c r="G6" s="997"/>
      <c r="H6" s="997" t="e">
        <f>PL!#REF!</f>
        <v>#REF!</v>
      </c>
    </row>
    <row r="7" spans="1:20" hidden="1" outlineLevel="1" x14ac:dyDescent="0.4">
      <c r="A7" s="802" t="s">
        <v>1768</v>
      </c>
      <c r="C7" s="997" t="e">
        <f>PL!#REF!</f>
        <v>#REF!</v>
      </c>
      <c r="D7" s="997" t="e">
        <f>PL!#REF!</f>
        <v>#REF!</v>
      </c>
      <c r="E7" s="997"/>
      <c r="F7" s="997" t="e">
        <f>PL!#REF!</f>
        <v>#REF!</v>
      </c>
      <c r="G7" s="997"/>
      <c r="H7" s="997" t="e">
        <f>PL!#REF!</f>
        <v>#REF!</v>
      </c>
    </row>
    <row r="8" spans="1:20" hidden="1" outlineLevel="1" x14ac:dyDescent="0.4">
      <c r="A8" s="802" t="s">
        <v>1769</v>
      </c>
      <c r="C8" s="997">
        <f>PL!D14</f>
        <v>0</v>
      </c>
      <c r="D8" s="997">
        <f>PL!E14</f>
        <v>0</v>
      </c>
      <c r="E8" s="997"/>
      <c r="F8" s="997">
        <f>PL!F14</f>
        <v>0</v>
      </c>
      <c r="G8" s="997"/>
      <c r="H8" s="997">
        <f>PL!G14</f>
        <v>0</v>
      </c>
    </row>
    <row r="9" spans="1:20" collapsed="1" x14ac:dyDescent="0.4">
      <c r="A9" s="802" t="s">
        <v>2518</v>
      </c>
      <c r="B9" s="801" t="s">
        <v>262</v>
      </c>
      <c r="C9" s="803">
        <f>PL!D4</f>
        <v>10294.825999999999</v>
      </c>
      <c r="D9" s="803">
        <f>PL!E4</f>
        <v>10168.321</v>
      </c>
      <c r="E9" s="803">
        <v>74114</v>
      </c>
      <c r="F9" s="803">
        <f>PL!F4</f>
        <v>11021.405000000001</v>
      </c>
      <c r="G9" s="803">
        <v>74866</v>
      </c>
      <c r="H9" s="803">
        <f>PL!G4</f>
        <v>11341.998</v>
      </c>
      <c r="I9" s="803">
        <f>PL!H4</f>
        <v>11982.870999999999</v>
      </c>
      <c r="J9" s="803">
        <f>PL!I4</f>
        <v>16379.311</v>
      </c>
      <c r="K9" s="803">
        <f>PL!J4</f>
        <v>21910.66</v>
      </c>
      <c r="L9" s="803">
        <f>PL!K4</f>
        <v>27285.62</v>
      </c>
      <c r="M9" s="803">
        <f>PL!L4</f>
        <v>34439.574999999997</v>
      </c>
      <c r="N9" s="803">
        <f>PL!M4</f>
        <v>38001.875999999997</v>
      </c>
      <c r="O9" s="803">
        <f>PL!N4</f>
        <v>46207.508000000002</v>
      </c>
      <c r="P9" s="803">
        <f>PL!O4</f>
        <v>50152.523999999998</v>
      </c>
      <c r="Q9" s="803">
        <f>PL!P4</f>
        <v>55626.304000000004</v>
      </c>
      <c r="R9" s="803">
        <f>PL!Q4</f>
        <v>61669.678</v>
      </c>
      <c r="S9" s="803">
        <f>PL!R4</f>
        <v>62458.008999999998</v>
      </c>
      <c r="T9" s="803">
        <f>PL!S4</f>
        <v>77309.614000000001</v>
      </c>
    </row>
    <row r="10" spans="1:20" x14ac:dyDescent="0.4">
      <c r="A10" s="802" t="s">
        <v>1770</v>
      </c>
      <c r="B10" s="801" t="s">
        <v>20</v>
      </c>
      <c r="C10" s="803">
        <f>PL!D40</f>
        <v>459.04999999999927</v>
      </c>
      <c r="D10" s="803">
        <f>PL!E40</f>
        <v>766.11599999999999</v>
      </c>
      <c r="E10" s="803">
        <v>6961</v>
      </c>
      <c r="F10" s="803">
        <f>PL!F40</f>
        <v>909.39300000000003</v>
      </c>
      <c r="G10" s="803">
        <v>7019</v>
      </c>
      <c r="H10" s="803">
        <f>PL!G40</f>
        <v>992.90200000000004</v>
      </c>
      <c r="I10" s="803">
        <f>PL!H40</f>
        <v>1315.8539999999994</v>
      </c>
      <c r="J10" s="803">
        <f>PL!I40</f>
        <v>1798.1839999999993</v>
      </c>
      <c r="K10" s="803">
        <f>PL!J40</f>
        <v>2718.2170000000006</v>
      </c>
      <c r="L10" s="803">
        <f>PL!K40</f>
        <v>3745.9449999999997</v>
      </c>
      <c r="M10" s="803">
        <f>PL!L40</f>
        <v>4743.0919999999969</v>
      </c>
      <c r="N10" s="803">
        <f>PL!M40</f>
        <v>5113.114999999998</v>
      </c>
      <c r="O10" s="803">
        <f>PL!N40</f>
        <v>5982.8780000000042</v>
      </c>
      <c r="P10" s="803">
        <f>PL!O40</f>
        <v>7615.0299999999988</v>
      </c>
      <c r="Q10" s="803">
        <f>PL!P40</f>
        <v>8696.4210000000021</v>
      </c>
      <c r="R10" s="803">
        <f>PL!Q40</f>
        <v>9235.7030000000013</v>
      </c>
      <c r="S10" s="803">
        <f>PL!R40</f>
        <v>9284.1589999999997</v>
      </c>
      <c r="T10" s="803">
        <f>PL!S40</f>
        <v>11982.743000000002</v>
      </c>
    </row>
    <row r="11" spans="1:20" hidden="1" outlineLevel="1" x14ac:dyDescent="0.4">
      <c r="A11" s="802" t="s">
        <v>2519</v>
      </c>
      <c r="C11" s="998" t="e">
        <f>PL!#REF!</f>
        <v>#REF!</v>
      </c>
      <c r="D11" s="998" t="e">
        <f>PL!#REF!</f>
        <v>#REF!</v>
      </c>
      <c r="E11" s="998"/>
      <c r="F11" s="998" t="e">
        <f>PL!#REF!</f>
        <v>#REF!</v>
      </c>
      <c r="G11" s="998"/>
      <c r="H11" s="998" t="e">
        <f>PL!#REF!</f>
        <v>#REF!</v>
      </c>
      <c r="I11" s="999"/>
      <c r="J11" s="999"/>
      <c r="K11" s="999"/>
      <c r="L11" s="999"/>
      <c r="M11" s="999"/>
      <c r="N11" s="999"/>
      <c r="O11" s="999"/>
      <c r="P11" s="999"/>
      <c r="Q11" s="999"/>
      <c r="R11" s="999"/>
      <c r="S11" s="999"/>
      <c r="T11" s="999"/>
    </row>
    <row r="12" spans="1:20" collapsed="1" x14ac:dyDescent="0.4">
      <c r="A12" s="802" t="s">
        <v>2520</v>
      </c>
      <c r="B12" s="802" t="s">
        <v>2521</v>
      </c>
      <c r="C12" s="998">
        <f>PL!D81</f>
        <v>4.82</v>
      </c>
      <c r="D12" s="998">
        <f>PL!E81</f>
        <v>10.718999999999999</v>
      </c>
      <c r="E12" s="998">
        <v>365</v>
      </c>
      <c r="F12" s="998">
        <f>PL!F81</f>
        <v>17.795999999999999</v>
      </c>
      <c r="G12" s="998">
        <v>385</v>
      </c>
      <c r="H12" s="998">
        <f>PL!G81</f>
        <v>9.843</v>
      </c>
      <c r="I12" s="998">
        <f>PL!H81</f>
        <v>4.7359999999999998</v>
      </c>
      <c r="J12" s="998">
        <f>PL!I81</f>
        <v>15.523</v>
      </c>
      <c r="K12" s="998">
        <f>PL!J81</f>
        <v>5.5049999999999999</v>
      </c>
      <c r="L12" s="998">
        <f>PL!K81</f>
        <v>82.945999999999998</v>
      </c>
      <c r="M12" s="998">
        <f>PL!L81</f>
        <v>133.87100000000001</v>
      </c>
      <c r="N12" s="998">
        <f>PL!M81</f>
        <v>0</v>
      </c>
      <c r="O12" s="998">
        <f>PL!N81</f>
        <v>0</v>
      </c>
      <c r="P12" s="998">
        <f>PL!O81</f>
        <v>0</v>
      </c>
      <c r="Q12" s="998">
        <f>PL!P81</f>
        <v>0</v>
      </c>
      <c r="R12" s="998">
        <f>PL!Q81</f>
        <v>0</v>
      </c>
      <c r="S12" s="998">
        <f>PL!R81</f>
        <v>0</v>
      </c>
      <c r="T12" s="998">
        <f>PL!S81</f>
        <v>0</v>
      </c>
    </row>
    <row r="13" spans="1:20" x14ac:dyDescent="0.4">
      <c r="A13" s="802" t="s">
        <v>2522</v>
      </c>
      <c r="B13" s="802" t="s">
        <v>2523</v>
      </c>
      <c r="C13" s="998">
        <f>PL!D83</f>
        <v>249.71100000000001</v>
      </c>
      <c r="D13" s="998">
        <f>PL!E83</f>
        <v>332</v>
      </c>
      <c r="E13" s="998">
        <v>3080</v>
      </c>
      <c r="F13" s="998">
        <f>PL!F83</f>
        <v>394.03199999999998</v>
      </c>
      <c r="G13" s="998">
        <v>2984</v>
      </c>
      <c r="H13" s="998">
        <f>PL!G83</f>
        <v>356.53500000000003</v>
      </c>
      <c r="I13" s="998">
        <f>PL!H83</f>
        <v>466.76600000000002</v>
      </c>
      <c r="J13" s="998">
        <f>PL!I83</f>
        <v>538.67999999999995</v>
      </c>
      <c r="K13" s="998">
        <f>PL!J83</f>
        <v>704.13900000000001</v>
      </c>
      <c r="L13" s="998">
        <f>PL!K83</f>
        <v>959.51199999999994</v>
      </c>
      <c r="M13" s="998">
        <f>PL!L83</f>
        <v>899.26900000000001</v>
      </c>
      <c r="N13" s="998">
        <f>PL!M83</f>
        <v>0</v>
      </c>
      <c r="O13" s="998">
        <f>PL!N83</f>
        <v>0</v>
      </c>
      <c r="P13" s="998">
        <f>PL!O83</f>
        <v>0</v>
      </c>
      <c r="Q13" s="998">
        <f>PL!P83</f>
        <v>0</v>
      </c>
      <c r="R13" s="998">
        <f>PL!Q83</f>
        <v>0</v>
      </c>
      <c r="S13" s="998">
        <f>PL!R83</f>
        <v>0</v>
      </c>
      <c r="T13" s="998">
        <f>PL!S83</f>
        <v>0</v>
      </c>
    </row>
    <row r="14" spans="1:20" hidden="1" outlineLevel="1" x14ac:dyDescent="0.4">
      <c r="A14" s="802" t="s">
        <v>1771</v>
      </c>
      <c r="B14" s="801" t="s">
        <v>2524</v>
      </c>
      <c r="C14" s="803" t="e">
        <f>PL!#REF!</f>
        <v>#REF!</v>
      </c>
      <c r="D14" s="803" t="e">
        <f>PL!#REF!</f>
        <v>#REF!</v>
      </c>
      <c r="E14" s="803">
        <v>3958</v>
      </c>
      <c r="F14" s="803" t="e">
        <f>PL!#REF!</f>
        <v>#REF!</v>
      </c>
      <c r="G14" s="803">
        <v>4161</v>
      </c>
      <c r="H14" s="803" t="e">
        <f>PL!#REF!</f>
        <v>#REF!</v>
      </c>
      <c r="I14" s="803" t="e">
        <f>PL!#REF!</f>
        <v>#REF!</v>
      </c>
      <c r="J14" s="803" t="e">
        <f>PL!#REF!</f>
        <v>#REF!</v>
      </c>
      <c r="K14" s="803" t="e">
        <f>PL!#REF!</f>
        <v>#REF!</v>
      </c>
      <c r="L14" s="803" t="e">
        <f>PL!#REF!</f>
        <v>#REF!</v>
      </c>
      <c r="M14" s="803" t="e">
        <f>PL!#REF!</f>
        <v>#REF!</v>
      </c>
      <c r="N14" s="803" t="e">
        <f>PL!#REF!</f>
        <v>#REF!</v>
      </c>
      <c r="O14" s="803" t="e">
        <f>PL!#REF!</f>
        <v>#REF!</v>
      </c>
      <c r="P14" s="803" t="e">
        <f>PL!#REF!</f>
        <v>#REF!</v>
      </c>
      <c r="Q14" s="803" t="e">
        <f>PL!#REF!</f>
        <v>#REF!</v>
      </c>
      <c r="R14" s="803" t="e">
        <f>PL!#REF!</f>
        <v>#REF!</v>
      </c>
      <c r="S14" s="803" t="e">
        <f>PL!#REF!</f>
        <v>#REF!</v>
      </c>
      <c r="T14" s="803" t="e">
        <f>PL!#REF!</f>
        <v>#REF!</v>
      </c>
    </row>
    <row r="15" spans="1:20" hidden="1" outlineLevel="1" x14ac:dyDescent="0.4">
      <c r="A15" s="802" t="s">
        <v>2525</v>
      </c>
      <c r="B15" s="802" t="s">
        <v>2526</v>
      </c>
      <c r="C15" s="998" t="e">
        <f>PL!#REF!</f>
        <v>#REF!</v>
      </c>
      <c r="D15" s="998" t="e">
        <f>PL!#REF!</f>
        <v>#REF!</v>
      </c>
      <c r="E15" s="998">
        <v>236</v>
      </c>
      <c r="F15" s="998" t="e">
        <f>PL!#REF!</f>
        <v>#REF!</v>
      </c>
      <c r="G15" s="998">
        <v>229</v>
      </c>
      <c r="H15" s="998" t="e">
        <f>PL!#REF!</f>
        <v>#REF!</v>
      </c>
      <c r="I15" s="998" t="e">
        <f>PL!#REF!</f>
        <v>#REF!</v>
      </c>
      <c r="J15" s="998" t="e">
        <f>PL!#REF!</f>
        <v>#REF!</v>
      </c>
      <c r="K15" s="998" t="e">
        <f>PL!#REF!</f>
        <v>#REF!</v>
      </c>
      <c r="L15" s="998" t="e">
        <f>PL!#REF!</f>
        <v>#REF!</v>
      </c>
      <c r="M15" s="998" t="e">
        <f>PL!#REF!</f>
        <v>#REF!</v>
      </c>
      <c r="N15" s="998" t="e">
        <f>PL!#REF!</f>
        <v>#REF!</v>
      </c>
      <c r="O15" s="998" t="e">
        <f>PL!#REF!</f>
        <v>#REF!</v>
      </c>
      <c r="P15" s="998" t="e">
        <f>PL!#REF!</f>
        <v>#REF!</v>
      </c>
      <c r="Q15" s="998" t="e">
        <f>PL!#REF!</f>
        <v>#REF!</v>
      </c>
      <c r="R15" s="998" t="e">
        <f>PL!#REF!</f>
        <v>#REF!</v>
      </c>
      <c r="S15" s="998" t="e">
        <f>PL!#REF!</f>
        <v>#REF!</v>
      </c>
      <c r="T15" s="998" t="e">
        <f>PL!#REF!</f>
        <v>#REF!</v>
      </c>
    </row>
    <row r="16" spans="1:20" collapsed="1" x14ac:dyDescent="0.4">
      <c r="A16" s="802" t="s">
        <v>2527</v>
      </c>
      <c r="B16" s="802" t="s">
        <v>308</v>
      </c>
      <c r="C16" s="998">
        <f>PL!D90</f>
        <v>1.5529999999999999</v>
      </c>
      <c r="D16" s="998">
        <f>PL!E90</f>
        <v>1.823</v>
      </c>
      <c r="E16" s="998">
        <v>1261</v>
      </c>
      <c r="F16" s="998">
        <f>PL!F90</f>
        <v>20.065000000000001</v>
      </c>
      <c r="G16" s="998">
        <v>1173</v>
      </c>
      <c r="H16" s="998">
        <f>PL!G90</f>
        <v>26.135999999999999</v>
      </c>
      <c r="I16" s="998">
        <f>PL!H90</f>
        <v>15.552</v>
      </c>
      <c r="J16" s="998">
        <f>PL!I90</f>
        <v>192.69</v>
      </c>
      <c r="K16" s="998">
        <f>PL!J90</f>
        <v>239.375</v>
      </c>
      <c r="L16" s="998">
        <f>PL!K90</f>
        <v>418.44</v>
      </c>
      <c r="M16" s="998">
        <f>PL!L90</f>
        <v>455.82900000000001</v>
      </c>
      <c r="N16" s="998">
        <f>PL!M90</f>
        <v>629.10500000000002</v>
      </c>
      <c r="O16" s="998">
        <f>PL!N90</f>
        <v>688.15899999999999</v>
      </c>
      <c r="P16" s="998">
        <f>PL!O90</f>
        <v>1069.7540000000001</v>
      </c>
      <c r="Q16" s="998">
        <f>PL!P90</f>
        <v>1781.7170000000001</v>
      </c>
      <c r="R16" s="998">
        <f>PL!Q90</f>
        <v>2278.9850000000001</v>
      </c>
      <c r="S16" s="998">
        <f>PL!R90</f>
        <v>2679.9769999999999</v>
      </c>
      <c r="T16" s="998">
        <f>PL!S90</f>
        <v>2668.2020000000002</v>
      </c>
    </row>
    <row r="17" spans="1:20" hidden="1" outlineLevel="1" x14ac:dyDescent="0.4">
      <c r="A17" s="802" t="s">
        <v>1772</v>
      </c>
      <c r="C17" s="998">
        <f>PL!D88</f>
        <v>0</v>
      </c>
      <c r="D17" s="998">
        <f>PL!E88</f>
        <v>0</v>
      </c>
      <c r="E17" s="998"/>
      <c r="F17" s="998">
        <f>PL!F88</f>
        <v>8.5800000000000018</v>
      </c>
      <c r="G17" s="998"/>
      <c r="H17" s="998">
        <f>PL!G88</f>
        <v>0</v>
      </c>
      <c r="I17" s="999"/>
      <c r="J17" s="999"/>
      <c r="K17" s="999"/>
      <c r="L17" s="999"/>
      <c r="M17" s="999"/>
      <c r="N17" s="999"/>
      <c r="O17" s="999"/>
      <c r="P17" s="999"/>
      <c r="Q17" s="999"/>
      <c r="R17" s="999"/>
      <c r="S17" s="999"/>
      <c r="T17" s="999"/>
    </row>
    <row r="18" spans="1:20" hidden="1" outlineLevel="1" x14ac:dyDescent="0.4">
      <c r="A18" s="802" t="s">
        <v>1773</v>
      </c>
      <c r="C18" s="998" t="e">
        <f>PL!#REF!</f>
        <v>#REF!</v>
      </c>
      <c r="D18" s="998" t="e">
        <f>PL!#REF!</f>
        <v>#REF!</v>
      </c>
      <c r="E18" s="998"/>
      <c r="F18" s="998" t="e">
        <f>PL!#REF!</f>
        <v>#REF!</v>
      </c>
      <c r="G18" s="998"/>
      <c r="H18" s="998" t="e">
        <f>PL!#REF!</f>
        <v>#REF!</v>
      </c>
      <c r="I18" s="999"/>
      <c r="J18" s="999"/>
      <c r="K18" s="999"/>
      <c r="L18" s="999"/>
      <c r="M18" s="999"/>
      <c r="N18" s="999"/>
      <c r="O18" s="999"/>
      <c r="P18" s="999"/>
      <c r="Q18" s="999"/>
      <c r="R18" s="999"/>
      <c r="S18" s="999"/>
      <c r="T18" s="999"/>
    </row>
    <row r="19" spans="1:20" hidden="1" outlineLevel="1" x14ac:dyDescent="0.4">
      <c r="A19" s="802" t="s">
        <v>1774</v>
      </c>
      <c r="C19" s="998" t="e">
        <f>PL!#REF!</f>
        <v>#REF!</v>
      </c>
      <c r="D19" s="998" t="e">
        <f>PL!#REF!</f>
        <v>#REF!</v>
      </c>
      <c r="E19" s="998"/>
      <c r="F19" s="998" t="e">
        <f>PL!#REF!</f>
        <v>#REF!</v>
      </c>
      <c r="G19" s="998"/>
      <c r="H19" s="998" t="e">
        <f>PL!#REF!</f>
        <v>#REF!</v>
      </c>
      <c r="I19" s="999"/>
      <c r="J19" s="999"/>
      <c r="K19" s="999"/>
      <c r="L19" s="999"/>
      <c r="M19" s="999"/>
      <c r="N19" s="999"/>
      <c r="O19" s="999"/>
      <c r="P19" s="999"/>
      <c r="Q19" s="999"/>
      <c r="R19" s="999"/>
      <c r="S19" s="999"/>
      <c r="T19" s="999"/>
    </row>
    <row r="20" spans="1:20" hidden="1" outlineLevel="1" x14ac:dyDescent="0.4">
      <c r="A20" s="802" t="s">
        <v>1775</v>
      </c>
      <c r="C20" s="998">
        <f>PL!D90</f>
        <v>1.5529999999999999</v>
      </c>
      <c r="D20" s="998">
        <f>PL!E90</f>
        <v>1.823</v>
      </c>
      <c r="E20" s="998"/>
      <c r="F20" s="998">
        <f>PL!F90</f>
        <v>20.065000000000001</v>
      </c>
      <c r="G20" s="998"/>
      <c r="H20" s="998">
        <f>PL!G90</f>
        <v>26.135999999999999</v>
      </c>
      <c r="I20" s="999"/>
      <c r="J20" s="999"/>
      <c r="K20" s="999"/>
      <c r="L20" s="999"/>
      <c r="M20" s="999"/>
      <c r="N20" s="999"/>
      <c r="O20" s="999"/>
      <c r="P20" s="999"/>
      <c r="Q20" s="999"/>
      <c r="R20" s="999"/>
      <c r="S20" s="999"/>
      <c r="T20" s="999"/>
    </row>
    <row r="21" spans="1:20" collapsed="1" x14ac:dyDescent="0.4">
      <c r="A21" s="802" t="s">
        <v>2504</v>
      </c>
      <c r="B21" s="802" t="s">
        <v>1982</v>
      </c>
      <c r="C21" s="998">
        <f>PL!D103</f>
        <v>271.04399999999924</v>
      </c>
      <c r="D21" s="998">
        <f>PL!E103</f>
        <v>530.31000000000006</v>
      </c>
      <c r="E21" s="998">
        <v>2985</v>
      </c>
      <c r="F21" s="998">
        <f>PL!F103</f>
        <v>570.66500000000008</v>
      </c>
      <c r="G21" s="998">
        <v>3257</v>
      </c>
      <c r="H21" s="998">
        <f>PL!G103</f>
        <v>722.08</v>
      </c>
      <c r="I21" s="998">
        <f>PL!H103</f>
        <v>1333.4669999999994</v>
      </c>
      <c r="J21" s="998">
        <f>PL!I103</f>
        <v>1844.3009999999995</v>
      </c>
      <c r="K21" s="998">
        <f>PL!J103</f>
        <v>2541.3970000000008</v>
      </c>
      <c r="L21" s="998">
        <f>PL!K103</f>
        <v>3173.7580000000003</v>
      </c>
      <c r="M21" s="998">
        <f>PL!L103</f>
        <v>4047.5939999999964</v>
      </c>
      <c r="N21" s="998">
        <f>PL!M103</f>
        <v>5132.2449999999981</v>
      </c>
      <c r="O21" s="998">
        <f>PL!N103</f>
        <v>6011.7200000000048</v>
      </c>
      <c r="P21" s="998">
        <f>PL!O103</f>
        <v>6789.9659999999994</v>
      </c>
      <c r="Q21" s="998">
        <f>PL!P103</f>
        <v>6205.5050000000028</v>
      </c>
      <c r="R21" s="998">
        <f>PL!Q103</f>
        <v>7284.4710000000014</v>
      </c>
      <c r="S21" s="998">
        <f>PL!R103</f>
        <v>8244.4759999999987</v>
      </c>
      <c r="T21" s="998">
        <f>PL!S103</f>
        <v>9385.1779999999999</v>
      </c>
    </row>
    <row r="22" spans="1:20" x14ac:dyDescent="0.4">
      <c r="A22" s="802" t="s">
        <v>1776</v>
      </c>
      <c r="B22" s="802" t="s">
        <v>1981</v>
      </c>
      <c r="C22" s="998">
        <f>PL!D105</f>
        <v>49.180999999999997</v>
      </c>
      <c r="D22" s="998">
        <f>PL!E105</f>
        <v>82.355000000000004</v>
      </c>
      <c r="E22" s="998">
        <v>605</v>
      </c>
      <c r="F22" s="998">
        <f>PL!F105</f>
        <v>66.275999999999996</v>
      </c>
      <c r="G22" s="998">
        <v>684</v>
      </c>
      <c r="H22" s="998">
        <f>PL!G105</f>
        <v>109.54900000000001</v>
      </c>
      <c r="I22" s="998">
        <f>PL!H105</f>
        <v>213.21799999999999</v>
      </c>
      <c r="J22" s="998">
        <f>PL!I105</f>
        <v>334.12200000000001</v>
      </c>
      <c r="K22" s="998">
        <f>PL!J105</f>
        <v>-404.89600000000002</v>
      </c>
      <c r="L22" s="998">
        <f>PL!K105</f>
        <v>503.07100000000003</v>
      </c>
      <c r="M22" s="998">
        <f>PL!L105</f>
        <v>659.71600000000001</v>
      </c>
      <c r="N22" s="998">
        <f>PL!M105</f>
        <v>659.56200000000001</v>
      </c>
      <c r="O22" s="998">
        <f>PL!N105</f>
        <v>1004.504</v>
      </c>
      <c r="P22" s="998">
        <f>PL!O105</f>
        <v>1255.662</v>
      </c>
      <c r="Q22" s="998">
        <f>PL!P105</f>
        <v>1648.8720000000001</v>
      </c>
      <c r="R22" s="998">
        <f>PL!Q105</f>
        <v>1560.8910000000001</v>
      </c>
      <c r="S22" s="998">
        <f>PL!R105</f>
        <v>1760.3019999999999</v>
      </c>
      <c r="T22" s="998">
        <f>PL!S105</f>
        <v>1949.2940000000001</v>
      </c>
    </row>
    <row r="23" spans="1:20" s="806" customFormat="1" hidden="1" outlineLevel="1" x14ac:dyDescent="0.4">
      <c r="A23" s="806" t="s">
        <v>2528</v>
      </c>
      <c r="C23" s="1000">
        <f>PL!D106</f>
        <v>0.18145024424078798</v>
      </c>
      <c r="D23" s="1000">
        <f>PL!E106</f>
        <v>0.15529595896739642</v>
      </c>
      <c r="E23" s="1000"/>
      <c r="F23" s="1000">
        <f>PL!F106</f>
        <v>0.11613818965592772</v>
      </c>
      <c r="G23" s="1000"/>
      <c r="H23" s="1000">
        <f>PL!G106</f>
        <v>0.15171310658098824</v>
      </c>
      <c r="I23" s="1001"/>
      <c r="J23" s="1001"/>
      <c r="K23" s="1001"/>
      <c r="L23" s="1001"/>
      <c r="M23" s="1001"/>
      <c r="N23" s="1001"/>
      <c r="O23" s="1001"/>
      <c r="P23" s="1001"/>
      <c r="Q23" s="1001"/>
      <c r="R23" s="1001"/>
      <c r="S23" s="1001"/>
      <c r="T23" s="1001"/>
    </row>
    <row r="24" spans="1:20" collapsed="1" x14ac:dyDescent="0.4">
      <c r="A24" s="802" t="s">
        <v>2529</v>
      </c>
      <c r="B24" s="802" t="s">
        <v>2530</v>
      </c>
      <c r="C24" s="998">
        <f>C26+C27</f>
        <v>221.86299999999926</v>
      </c>
      <c r="D24" s="998">
        <f>D26+D27</f>
        <v>447.95500000000004</v>
      </c>
      <c r="E24" s="998">
        <v>2380</v>
      </c>
      <c r="F24" s="998">
        <f>F26+F27</f>
        <v>504.38900000000007</v>
      </c>
      <c r="G24" s="998">
        <v>2573</v>
      </c>
      <c r="H24" s="998">
        <f t="shared" ref="H24:T24" si="0">H26+H27</f>
        <v>612.53100000000006</v>
      </c>
      <c r="I24" s="998">
        <f t="shared" si="0"/>
        <v>1120.2489999999993</v>
      </c>
      <c r="J24" s="998">
        <f t="shared" si="0"/>
        <v>1510.1789999999994</v>
      </c>
      <c r="K24" s="998">
        <f t="shared" si="0"/>
        <v>2946.293000000001</v>
      </c>
      <c r="L24" s="998">
        <f t="shared" si="0"/>
        <v>2670.6870000000004</v>
      </c>
      <c r="M24" s="998">
        <f t="shared" si="0"/>
        <v>3387.8779999999965</v>
      </c>
      <c r="N24" s="998">
        <f t="shared" si="0"/>
        <v>4472.6829999999982</v>
      </c>
      <c r="O24" s="998">
        <f t="shared" si="0"/>
        <v>5007.2160000000049</v>
      </c>
      <c r="P24" s="998">
        <f t="shared" si="0"/>
        <v>5534.3039999999992</v>
      </c>
      <c r="Q24" s="998">
        <f t="shared" si="0"/>
        <v>4539.6330000000025</v>
      </c>
      <c r="R24" s="998">
        <f t="shared" si="0"/>
        <v>5463.4140000000016</v>
      </c>
      <c r="S24" s="998">
        <f t="shared" si="0"/>
        <v>6076.927999999999</v>
      </c>
      <c r="T24" s="998">
        <f t="shared" si="0"/>
        <v>6970.7520000000004</v>
      </c>
    </row>
    <row r="25" spans="1:20" s="806" customFormat="1" hidden="1" outlineLevel="1" x14ac:dyDescent="0.4">
      <c r="A25" s="806" t="s">
        <v>2531</v>
      </c>
      <c r="B25" s="806" t="s">
        <v>2532</v>
      </c>
      <c r="C25" s="1000"/>
      <c r="D25" s="1000"/>
      <c r="E25" s="1000"/>
      <c r="F25" s="1000"/>
      <c r="G25" s="1000"/>
      <c r="H25" s="1000"/>
      <c r="I25" s="1001"/>
      <c r="J25" s="1001"/>
      <c r="K25" s="1001"/>
      <c r="L25" s="1001"/>
      <c r="M25" s="1001"/>
      <c r="N25" s="1001"/>
      <c r="O25" s="1001"/>
      <c r="P25" s="1001"/>
      <c r="Q25" s="1001"/>
      <c r="R25" s="1001"/>
      <c r="S25" s="1001"/>
      <c r="T25" s="1001"/>
    </row>
    <row r="26" spans="1:20" hidden="1" outlineLevel="1" x14ac:dyDescent="0.4">
      <c r="A26" s="802" t="s">
        <v>2533</v>
      </c>
      <c r="B26" s="802" t="s">
        <v>310</v>
      </c>
      <c r="C26" s="998">
        <f>PL!D109</f>
        <v>-0.31900000000000001</v>
      </c>
      <c r="D26" s="998">
        <f>PL!E109</f>
        <v>43.061999999999998</v>
      </c>
      <c r="E26" s="998">
        <v>324</v>
      </c>
      <c r="F26" s="998">
        <f>PL!F109</f>
        <v>15.068</v>
      </c>
      <c r="G26" s="998">
        <v>436</v>
      </c>
      <c r="H26" s="998">
        <f>PL!G109</f>
        <v>0</v>
      </c>
      <c r="I26" s="998">
        <f>PL!H109</f>
        <v>83.971000000000004</v>
      </c>
      <c r="J26" s="998">
        <f>PL!I109</f>
        <v>2.774</v>
      </c>
      <c r="K26" s="998">
        <f>PL!J109</f>
        <v>5.0419999999999998</v>
      </c>
      <c r="L26" s="998">
        <f>PL!K109</f>
        <v>-78.864000000000004</v>
      </c>
      <c r="M26" s="998">
        <f>PL!L109</f>
        <v>-69.531999999999996</v>
      </c>
      <c r="N26" s="998">
        <f>PL!M109</f>
        <v>-51.442999999999998</v>
      </c>
      <c r="O26" s="998">
        <f>PL!N109</f>
        <v>-122.85</v>
      </c>
      <c r="P26" s="998">
        <f>PL!O109</f>
        <v>44.213000000000001</v>
      </c>
      <c r="Q26" s="998">
        <f>PL!P109</f>
        <v>39.484999999999999</v>
      </c>
      <c r="R26" s="998">
        <f>PL!Q109</f>
        <v>50.206000000000003</v>
      </c>
      <c r="S26" s="998">
        <f>PL!R109</f>
        <v>61.56</v>
      </c>
      <c r="T26" s="998">
        <f>PL!S109</f>
        <v>169.87299999999999</v>
      </c>
    </row>
    <row r="27" spans="1:20" collapsed="1" x14ac:dyDescent="0.4">
      <c r="A27" s="802" t="s">
        <v>2534</v>
      </c>
      <c r="B27" s="801" t="s">
        <v>2535</v>
      </c>
      <c r="C27" s="803">
        <f>PL!D112</f>
        <v>222.18199999999925</v>
      </c>
      <c r="D27" s="803">
        <f>PL!E112</f>
        <v>404.89300000000003</v>
      </c>
      <c r="E27" s="803">
        <v>2056</v>
      </c>
      <c r="F27" s="803">
        <f>PL!F112</f>
        <v>489.32100000000008</v>
      </c>
      <c r="G27" s="803">
        <v>2137</v>
      </c>
      <c r="H27" s="803">
        <f>PL!G112</f>
        <v>612.53100000000006</v>
      </c>
      <c r="I27" s="803">
        <f>PL!H112</f>
        <v>1036.2779999999993</v>
      </c>
      <c r="J27" s="803">
        <f>PL!I112</f>
        <v>1507.4049999999995</v>
      </c>
      <c r="K27" s="803">
        <f>PL!J112</f>
        <v>2941.2510000000011</v>
      </c>
      <c r="L27" s="803">
        <f>PL!K112</f>
        <v>2749.5510000000004</v>
      </c>
      <c r="M27" s="803">
        <f>PL!L112</f>
        <v>3457.4099999999967</v>
      </c>
      <c r="N27" s="803">
        <f>PL!M112</f>
        <v>4524.1259999999984</v>
      </c>
      <c r="O27" s="803">
        <f>PL!N112</f>
        <v>5130.0660000000053</v>
      </c>
      <c r="P27" s="803">
        <f>PL!O112</f>
        <v>5490.0909999999994</v>
      </c>
      <c r="Q27" s="803">
        <f>PL!P112</f>
        <v>4500.1480000000029</v>
      </c>
      <c r="R27" s="803">
        <f>PL!Q112</f>
        <v>5413.2080000000014</v>
      </c>
      <c r="S27" s="803">
        <f>PL!R112</f>
        <v>6015.3679999999986</v>
      </c>
      <c r="T27" s="803">
        <f>PL!S112</f>
        <v>6800.8790000000008</v>
      </c>
    </row>
    <row r="28" spans="1:20" x14ac:dyDescent="0.4">
      <c r="A28" s="995" t="s">
        <v>2536</v>
      </c>
      <c r="B28" s="995" t="s">
        <v>2537</v>
      </c>
      <c r="C28" s="1002"/>
      <c r="D28" s="1002"/>
      <c r="E28" s="1002"/>
      <c r="F28" s="1002"/>
      <c r="G28" s="1002"/>
      <c r="H28" s="1002"/>
      <c r="I28" s="1002"/>
      <c r="J28" s="1002"/>
      <c r="K28" s="1002"/>
      <c r="L28" s="1002"/>
      <c r="M28" s="1002"/>
      <c r="N28" s="1002"/>
      <c r="O28" s="1002"/>
      <c r="P28" s="1002"/>
      <c r="Q28" s="1002"/>
      <c r="R28" s="1002"/>
      <c r="S28" s="1002"/>
      <c r="T28" s="1002"/>
    </row>
    <row r="29" spans="1:20" hidden="1" outlineLevel="1" x14ac:dyDescent="0.4">
      <c r="A29" s="801" t="s">
        <v>1777</v>
      </c>
      <c r="B29" s="801"/>
      <c r="C29" s="1003"/>
      <c r="D29" s="1003"/>
      <c r="E29" s="1003"/>
      <c r="F29" s="1003"/>
      <c r="G29" s="1003"/>
      <c r="H29" s="1003"/>
      <c r="I29" s="1004"/>
      <c r="J29" s="1004"/>
      <c r="K29" s="1004"/>
      <c r="L29" s="1004"/>
      <c r="M29" s="1004"/>
      <c r="N29" s="1004"/>
      <c r="O29" s="1004"/>
      <c r="P29" s="1004"/>
      <c r="Q29" s="1004"/>
      <c r="R29" s="1004"/>
      <c r="S29" s="1004"/>
      <c r="T29" s="1004"/>
    </row>
    <row r="30" spans="1:20" hidden="1" outlineLevel="1" x14ac:dyDescent="0.4">
      <c r="A30" s="802" t="s">
        <v>2538</v>
      </c>
      <c r="C30" s="1003">
        <f>BS!D8</f>
        <v>12.448</v>
      </c>
      <c r="D30" s="1003">
        <f>BS!E8</f>
        <v>60.326999999999998</v>
      </c>
      <c r="E30" s="1003"/>
      <c r="F30" s="1003">
        <f>BS!F8</f>
        <v>78.536000000000001</v>
      </c>
      <c r="G30" s="1003"/>
      <c r="H30" s="1003">
        <f>BS!G8</f>
        <v>76.551000000000002</v>
      </c>
      <c r="I30" s="1004"/>
      <c r="J30" s="1004"/>
      <c r="K30" s="1004"/>
      <c r="L30" s="1004"/>
      <c r="M30" s="1004"/>
      <c r="N30" s="1004"/>
      <c r="O30" s="1004"/>
      <c r="P30" s="1004"/>
      <c r="Q30" s="1004"/>
      <c r="R30" s="1004"/>
      <c r="S30" s="1004"/>
      <c r="T30" s="1004"/>
    </row>
    <row r="31" spans="1:20" hidden="1" outlineLevel="1" x14ac:dyDescent="0.4">
      <c r="A31" s="802" t="s">
        <v>2539</v>
      </c>
      <c r="C31" s="1003">
        <f>BS!D9</f>
        <v>0</v>
      </c>
      <c r="D31" s="1003">
        <f>BS!E9</f>
        <v>0</v>
      </c>
      <c r="E31" s="1003"/>
      <c r="F31" s="1003">
        <f>BS!F9</f>
        <v>0</v>
      </c>
      <c r="G31" s="1003"/>
      <c r="H31" s="1003">
        <f>BS!G9</f>
        <v>9.9499999999999993</v>
      </c>
      <c r="I31" s="1004"/>
      <c r="J31" s="1004"/>
      <c r="K31" s="1004"/>
      <c r="L31" s="1004"/>
      <c r="M31" s="1004"/>
      <c r="N31" s="1004"/>
      <c r="O31" s="1004"/>
      <c r="P31" s="1004"/>
      <c r="Q31" s="1004"/>
      <c r="R31" s="1004"/>
      <c r="S31" s="1004"/>
      <c r="T31" s="1004"/>
    </row>
    <row r="32" spans="1:20" hidden="1" outlineLevel="1" x14ac:dyDescent="0.4">
      <c r="A32" s="802" t="s">
        <v>2540</v>
      </c>
      <c r="C32" s="1003">
        <f>BS!D10</f>
        <v>0</v>
      </c>
      <c r="D32" s="1003">
        <f>BS!E10</f>
        <v>0</v>
      </c>
      <c r="E32" s="1003"/>
      <c r="F32" s="1003">
        <f>BS!F10</f>
        <v>0</v>
      </c>
      <c r="G32" s="1003"/>
      <c r="H32" s="1003">
        <f>BS!G10</f>
        <v>0</v>
      </c>
      <c r="I32" s="1004"/>
      <c r="J32" s="1004"/>
      <c r="K32" s="1004"/>
      <c r="L32" s="1004"/>
      <c r="M32" s="1004"/>
      <c r="N32" s="1004"/>
      <c r="O32" s="1004"/>
      <c r="P32" s="1004"/>
      <c r="Q32" s="1004"/>
      <c r="R32" s="1004"/>
      <c r="S32" s="1004"/>
      <c r="T32" s="1004"/>
    </row>
    <row r="33" spans="1:20" hidden="1" outlineLevel="1" x14ac:dyDescent="0.4">
      <c r="A33" s="802" t="s">
        <v>2541</v>
      </c>
      <c r="C33" s="1003" t="e">
        <f>BS!#REF!</f>
        <v>#REF!</v>
      </c>
      <c r="D33" s="1003" t="e">
        <f>BS!#REF!</f>
        <v>#REF!</v>
      </c>
      <c r="E33" s="1003"/>
      <c r="F33" s="1003" t="e">
        <f>BS!#REF!</f>
        <v>#REF!</v>
      </c>
      <c r="G33" s="1003"/>
      <c r="H33" s="1003" t="e">
        <f>BS!#REF!</f>
        <v>#REF!</v>
      </c>
      <c r="I33" s="1004"/>
      <c r="J33" s="1004"/>
      <c r="K33" s="1004"/>
      <c r="L33" s="1004"/>
      <c r="M33" s="1004"/>
      <c r="N33" s="1004"/>
      <c r="O33" s="1004"/>
      <c r="P33" s="1004"/>
      <c r="Q33" s="1004"/>
      <c r="R33" s="1004"/>
      <c r="S33" s="1004"/>
      <c r="T33" s="1004"/>
    </row>
    <row r="34" spans="1:20" collapsed="1" x14ac:dyDescent="0.4">
      <c r="A34" s="802" t="s">
        <v>2542</v>
      </c>
      <c r="B34" s="802" t="s">
        <v>2543</v>
      </c>
      <c r="C34" s="998">
        <f>BS!D29</f>
        <v>2682.6880000000001</v>
      </c>
      <c r="D34" s="998">
        <f>BS!E29</f>
        <v>3339.2040000000002</v>
      </c>
      <c r="E34" s="998"/>
      <c r="F34" s="998">
        <f>BS!F29</f>
        <v>3703.163</v>
      </c>
      <c r="G34" s="998">
        <v>60446</v>
      </c>
      <c r="H34" s="998">
        <f>BS!G29</f>
        <v>3398.3249999999998</v>
      </c>
      <c r="I34" s="998">
        <f>BS!H29</f>
        <v>4163.43</v>
      </c>
      <c r="J34" s="998">
        <f>BS!I29</f>
        <v>4736.1909999999998</v>
      </c>
      <c r="K34" s="998">
        <f>BS!J29</f>
        <v>6559.777</v>
      </c>
      <c r="L34" s="998">
        <f>BS!K29</f>
        <v>10023.98</v>
      </c>
      <c r="M34" s="998">
        <f>BS!L29</f>
        <v>12542.066999999999</v>
      </c>
      <c r="N34" s="998">
        <f>BS!M29</f>
        <v>18173.525000000001</v>
      </c>
      <c r="O34" s="998">
        <f>BS!N29</f>
        <v>17643.865000000002</v>
      </c>
      <c r="P34" s="998">
        <f>BS!O29</f>
        <v>22136.148000000001</v>
      </c>
      <c r="Q34" s="998">
        <f>BS!P29</f>
        <v>25321.39</v>
      </c>
      <c r="R34" s="998">
        <f>BS!Q29</f>
        <v>30601.279000000002</v>
      </c>
      <c r="S34" s="998">
        <f>BS!R29</f>
        <v>38160.275999999998</v>
      </c>
      <c r="T34" s="998">
        <f>BS!S29</f>
        <v>59239.65</v>
      </c>
    </row>
    <row r="35" spans="1:20" x14ac:dyDescent="0.4">
      <c r="A35" s="802" t="s">
        <v>2544</v>
      </c>
      <c r="B35" s="802" t="s">
        <v>2269</v>
      </c>
      <c r="C35" s="998">
        <f>BS!D27</f>
        <v>8.7149999999999999</v>
      </c>
      <c r="D35" s="998">
        <f>BS!E27</f>
        <v>54.485999999999997</v>
      </c>
      <c r="E35" s="998"/>
      <c r="F35" s="998">
        <f>BS!F27</f>
        <v>55.509</v>
      </c>
      <c r="G35" s="998">
        <v>10106</v>
      </c>
      <c r="H35" s="998">
        <f>BS!G27</f>
        <v>46.883000000000003</v>
      </c>
      <c r="I35" s="998">
        <f>BS!H27</f>
        <v>117.711</v>
      </c>
      <c r="J35" s="998">
        <f>BS!I27</f>
        <v>149.559</v>
      </c>
      <c r="K35" s="998">
        <f>BS!J27</f>
        <v>185.374</v>
      </c>
      <c r="L35" s="998">
        <f>BS!K27</f>
        <v>163.42699999999999</v>
      </c>
      <c r="M35" s="998">
        <f>BS!L27</f>
        <v>160.28899999999999</v>
      </c>
      <c r="N35" s="998">
        <f>BS!M27</f>
        <v>108.83499999999999</v>
      </c>
      <c r="O35" s="998">
        <f>BS!N27</f>
        <v>131.36500000000001</v>
      </c>
      <c r="P35" s="998">
        <f>BS!O27</f>
        <v>214.03900000000002</v>
      </c>
      <c r="Q35" s="998">
        <f>BS!P27</f>
        <v>280.20400000000001</v>
      </c>
      <c r="R35" s="998">
        <f>BS!Q27</f>
        <v>259.81099999999998</v>
      </c>
      <c r="S35" s="998">
        <f>BS!R27</f>
        <v>410.072</v>
      </c>
      <c r="T35" s="998">
        <f>BS!S27</f>
        <v>366.96699999999998</v>
      </c>
    </row>
    <row r="36" spans="1:20" hidden="1" outlineLevel="1" x14ac:dyDescent="0.4">
      <c r="A36" s="802" t="s">
        <v>2545</v>
      </c>
      <c r="C36" s="998" t="e">
        <f>BS!#REF!</f>
        <v>#REF!</v>
      </c>
      <c r="D36" s="998" t="e">
        <f>BS!#REF!</f>
        <v>#REF!</v>
      </c>
      <c r="E36" s="998"/>
      <c r="F36" s="998" t="e">
        <f>BS!#REF!</f>
        <v>#REF!</v>
      </c>
      <c r="G36" s="998"/>
      <c r="H36" s="998" t="e">
        <f>BS!#REF!</f>
        <v>#REF!</v>
      </c>
      <c r="I36" s="999"/>
      <c r="J36" s="999"/>
      <c r="K36" s="999"/>
      <c r="L36" s="999"/>
      <c r="M36" s="999"/>
      <c r="N36" s="999"/>
      <c r="O36" s="999"/>
      <c r="P36" s="999"/>
      <c r="Q36" s="999"/>
      <c r="R36" s="999"/>
      <c r="S36" s="999"/>
      <c r="T36" s="999"/>
    </row>
    <row r="37" spans="1:20" hidden="1" outlineLevel="1" collapsed="1" x14ac:dyDescent="0.4">
      <c r="A37" s="802" t="s">
        <v>1778</v>
      </c>
      <c r="C37" s="998">
        <f>BS!D29</f>
        <v>2682.6880000000001</v>
      </c>
      <c r="D37" s="998">
        <f>BS!E29</f>
        <v>3339.2040000000002</v>
      </c>
      <c r="E37" s="998"/>
      <c r="F37" s="998">
        <f>BS!F29</f>
        <v>3703.163</v>
      </c>
      <c r="G37" s="998"/>
      <c r="H37" s="998">
        <f>BS!G29</f>
        <v>3398.3249999999998</v>
      </c>
      <c r="I37" s="999"/>
      <c r="J37" s="999"/>
      <c r="K37" s="999"/>
      <c r="L37" s="999"/>
      <c r="M37" s="999"/>
      <c r="N37" s="999"/>
      <c r="O37" s="999"/>
      <c r="P37" s="999"/>
      <c r="Q37" s="999"/>
      <c r="R37" s="999"/>
      <c r="S37" s="999"/>
      <c r="T37" s="999"/>
    </row>
    <row r="38" spans="1:20" collapsed="1" x14ac:dyDescent="0.4">
      <c r="A38" s="802" t="s">
        <v>2546</v>
      </c>
      <c r="B38" s="802" t="s">
        <v>2547</v>
      </c>
      <c r="C38" s="998">
        <f>BS!D39+BS!D38</f>
        <v>1701.104</v>
      </c>
      <c r="D38" s="998">
        <f>BS!E39+BS!E38</f>
        <v>1550.3050000000001</v>
      </c>
      <c r="E38" s="998"/>
      <c r="F38" s="998">
        <f>BS!F39+BS!F38</f>
        <v>1900.346</v>
      </c>
      <c r="G38" s="998">
        <f>3287+26946</f>
        <v>30233</v>
      </c>
      <c r="H38" s="998">
        <f>BS!G39+BS!G38</f>
        <v>5748.0190000000002</v>
      </c>
      <c r="I38" s="998">
        <f>BS!H39+BS!H38</f>
        <v>3729.7429999999999</v>
      </c>
      <c r="J38" s="998">
        <f>BS!I39+BS!I38</f>
        <v>5458.66</v>
      </c>
      <c r="K38" s="998">
        <f>BS!J39+BS!J38</f>
        <v>6717.4289999999992</v>
      </c>
      <c r="L38" s="998">
        <f>BS!K39+BS!K38</f>
        <v>8126.3450000000003</v>
      </c>
      <c r="M38" s="998">
        <f>BS!L39+BS!L38</f>
        <v>7452.4480000000003</v>
      </c>
      <c r="N38" s="998">
        <f>BS!M39+BS!M38</f>
        <v>8026.2240000000002</v>
      </c>
      <c r="O38" s="998">
        <f>BS!N39+BS!N38</f>
        <v>11484.652</v>
      </c>
      <c r="P38" s="998">
        <f>BS!O39+BS!O38</f>
        <v>17593.203000000001</v>
      </c>
      <c r="Q38" s="998">
        <f>BS!P39+BS!P38</f>
        <v>17925.707999999999</v>
      </c>
      <c r="R38" s="998">
        <f>BS!Q39+BS!Q38</f>
        <v>22623.620999999999</v>
      </c>
      <c r="S38" s="998">
        <f>BS!R39+BS!R38</f>
        <v>22455.362000000001</v>
      </c>
      <c r="T38" s="998">
        <f>BS!S39+BS!S38</f>
        <v>24407.419000000002</v>
      </c>
    </row>
    <row r="39" spans="1:20" x14ac:dyDescent="0.4">
      <c r="A39" s="802" t="s">
        <v>1779</v>
      </c>
      <c r="B39" s="801" t="s">
        <v>2548</v>
      </c>
      <c r="C39" s="803">
        <f>BS!D41</f>
        <v>5220.34</v>
      </c>
      <c r="D39" s="803">
        <f>BS!E41</f>
        <v>6272.3840000000009</v>
      </c>
      <c r="E39" s="803"/>
      <c r="F39" s="803">
        <f>BS!F41</f>
        <v>6915.1040000000021</v>
      </c>
      <c r="G39" s="803">
        <v>139413</v>
      </c>
      <c r="H39" s="803">
        <f>BS!G41</f>
        <v>10457.09</v>
      </c>
      <c r="I39" s="803">
        <f>BS!H41</f>
        <v>8916.7669999999998</v>
      </c>
      <c r="J39" s="803">
        <f>BS!I41</f>
        <v>14406.746999999999</v>
      </c>
      <c r="K39" s="803">
        <f>BS!J41</f>
        <v>20437.889999999996</v>
      </c>
      <c r="L39" s="803">
        <f>BS!K41</f>
        <v>29053.372999999985</v>
      </c>
      <c r="M39" s="803">
        <f>BS!L41</f>
        <v>34329.607000000004</v>
      </c>
      <c r="N39" s="803">
        <f>BS!M41</f>
        <v>32418.46100000001</v>
      </c>
      <c r="O39" s="803">
        <f>BS!N41</f>
        <v>40143.720000000008</v>
      </c>
      <c r="P39" s="803">
        <f>BS!O41</f>
        <v>55477.637000000017</v>
      </c>
      <c r="Q39" s="803">
        <f>BS!P41</f>
        <v>60262.668000000005</v>
      </c>
      <c r="R39" s="803">
        <f>BS!Q41</f>
        <v>75499.641000000003</v>
      </c>
      <c r="S39" s="803">
        <f>BS!R41</f>
        <v>88007.041000000012</v>
      </c>
      <c r="T39" s="803">
        <f>BS!S41</f>
        <v>113956.90300000002</v>
      </c>
    </row>
    <row r="40" spans="1:20" x14ac:dyDescent="0.4">
      <c r="A40" s="802" t="s">
        <v>2549</v>
      </c>
      <c r="B40" s="802" t="s">
        <v>2550</v>
      </c>
      <c r="C40" s="998">
        <f>BS!D4</f>
        <v>96.578999999999994</v>
      </c>
      <c r="D40" s="998">
        <f>BS!E4</f>
        <v>971.95299999999997</v>
      </c>
      <c r="E40" s="998"/>
      <c r="F40" s="998">
        <f>BS!F4</f>
        <v>1107.2750000000001</v>
      </c>
      <c r="G40" s="998">
        <v>25317</v>
      </c>
      <c r="H40" s="998">
        <f>BS!G4</f>
        <v>1121.3240000000001</v>
      </c>
      <c r="I40" s="998">
        <f>BS!H4</f>
        <v>1454.4449999999999</v>
      </c>
      <c r="J40" s="998">
        <f>BS!I4</f>
        <v>1870.0329999999999</v>
      </c>
      <c r="K40" s="998">
        <f>BS!J4</f>
        <v>2190.951</v>
      </c>
      <c r="L40" s="998">
        <f>BS!K4</f>
        <v>2672.357</v>
      </c>
      <c r="M40" s="998">
        <f>BS!L4</f>
        <v>2827.3</v>
      </c>
      <c r="N40" s="998">
        <f>BS!M4</f>
        <v>2786.9160000000002</v>
      </c>
      <c r="O40" s="998">
        <f>BS!N4</f>
        <v>2493.761</v>
      </c>
      <c r="P40" s="998">
        <f>BS!O4</f>
        <v>3818.806</v>
      </c>
      <c r="Q40" s="998">
        <f>BS!P4</f>
        <v>4149.8060000000005</v>
      </c>
      <c r="R40" s="998">
        <f>BS!Q4</f>
        <v>4726.3779999999997</v>
      </c>
      <c r="S40" s="998">
        <f>BS!R4</f>
        <v>5390.5469999999996</v>
      </c>
      <c r="T40" s="998">
        <f>BS!S4</f>
        <v>5698.3360000000002</v>
      </c>
    </row>
    <row r="41" spans="1:20" hidden="1" outlineLevel="1" x14ac:dyDescent="0.4">
      <c r="A41" s="802" t="s">
        <v>1780</v>
      </c>
      <c r="C41" s="998">
        <f>BS!D35</f>
        <v>20.696999999999999</v>
      </c>
      <c r="D41" s="998">
        <f>BS!E35</f>
        <v>31.146000000000001</v>
      </c>
      <c r="E41" s="998"/>
      <c r="F41" s="998">
        <f>BS!F35</f>
        <v>2.4140000000000001</v>
      </c>
      <c r="G41" s="998"/>
      <c r="H41" s="998">
        <f>BS!G35</f>
        <v>4.8319999999999999</v>
      </c>
      <c r="I41" s="999"/>
      <c r="J41" s="999"/>
      <c r="K41" s="999"/>
      <c r="L41" s="999"/>
      <c r="M41" s="999"/>
      <c r="N41" s="999"/>
      <c r="O41" s="999"/>
      <c r="P41" s="999"/>
      <c r="Q41" s="999"/>
      <c r="R41" s="999"/>
      <c r="S41" s="999"/>
      <c r="T41" s="999"/>
    </row>
    <row r="42" spans="1:20" hidden="1" outlineLevel="1" x14ac:dyDescent="0.4">
      <c r="A42" s="802" t="s">
        <v>1781</v>
      </c>
      <c r="C42" s="998">
        <f>BS!D38</f>
        <v>0</v>
      </c>
      <c r="D42" s="998">
        <f>BS!E38</f>
        <v>5.3049999999999997</v>
      </c>
      <c r="E42" s="998"/>
      <c r="F42" s="998">
        <f>BS!F38</f>
        <v>0.17699999999999999</v>
      </c>
      <c r="G42" s="998"/>
      <c r="H42" s="998">
        <f>BS!G38</f>
        <v>1.446</v>
      </c>
      <c r="I42" s="999"/>
      <c r="J42" s="999"/>
      <c r="K42" s="999"/>
      <c r="L42" s="999"/>
      <c r="M42" s="999"/>
      <c r="N42" s="999"/>
      <c r="O42" s="999"/>
      <c r="P42" s="999"/>
      <c r="Q42" s="999"/>
      <c r="R42" s="999"/>
      <c r="S42" s="999"/>
      <c r="T42" s="999"/>
    </row>
    <row r="43" spans="1:20" hidden="1" outlineLevel="1" x14ac:dyDescent="0.4">
      <c r="A43" s="801" t="s">
        <v>1782</v>
      </c>
      <c r="B43" s="801"/>
      <c r="C43" s="998"/>
      <c r="D43" s="998"/>
      <c r="E43" s="998"/>
      <c r="F43" s="998"/>
      <c r="G43" s="998"/>
      <c r="H43" s="998"/>
      <c r="I43" s="999"/>
      <c r="J43" s="999"/>
      <c r="K43" s="999"/>
      <c r="L43" s="999"/>
      <c r="M43" s="999"/>
      <c r="N43" s="999"/>
      <c r="O43" s="999"/>
      <c r="P43" s="999"/>
      <c r="Q43" s="999"/>
      <c r="R43" s="999"/>
      <c r="S43" s="999"/>
      <c r="T43" s="999"/>
    </row>
    <row r="44" spans="1:20" collapsed="1" x14ac:dyDescent="0.4">
      <c r="A44" s="802" t="s">
        <v>2551</v>
      </c>
      <c r="B44" s="802" t="s">
        <v>2552</v>
      </c>
      <c r="C44" s="998">
        <f>BS!D58</f>
        <v>3440.2330000000002</v>
      </c>
      <c r="D44" s="998">
        <f>BS!E58</f>
        <v>3759.933</v>
      </c>
      <c r="E44" s="998"/>
      <c r="F44" s="998">
        <f>BS!F58</f>
        <v>3690.4259999999999</v>
      </c>
      <c r="G44" s="998">
        <v>80947</v>
      </c>
      <c r="H44" s="998">
        <f>BS!G58</f>
        <v>3552.277</v>
      </c>
      <c r="I44" s="998">
        <f>BS!H58</f>
        <v>4116.9110000000001</v>
      </c>
      <c r="J44" s="998">
        <f>BS!I58</f>
        <v>5175.8879999999999</v>
      </c>
      <c r="K44" s="998">
        <f>BS!J58</f>
        <v>6498.27</v>
      </c>
      <c r="L44" s="998">
        <f>BS!K58</f>
        <v>13019.734</v>
      </c>
      <c r="M44" s="998">
        <f>BS!L58</f>
        <v>17261.317999999999</v>
      </c>
      <c r="N44" s="998">
        <f>BS!M58</f>
        <v>21926.977999999999</v>
      </c>
      <c r="O44" s="998">
        <f>BS!N58</f>
        <v>29000.144</v>
      </c>
      <c r="P44" s="998">
        <f>BS!O58</f>
        <v>33133.985999999997</v>
      </c>
      <c r="Q44" s="998">
        <f>BS!P58</f>
        <v>36714.715000000004</v>
      </c>
      <c r="R44" s="998">
        <f>BS!Q58</f>
        <v>44699.248</v>
      </c>
      <c r="S44" s="998">
        <f>BS!R58</f>
        <v>51288.245999999999</v>
      </c>
      <c r="T44" s="998">
        <f>BS!S58</f>
        <v>60561.364000000001</v>
      </c>
    </row>
    <row r="45" spans="1:20" collapsed="1" x14ac:dyDescent="0.4">
      <c r="A45" s="802" t="s">
        <v>2553</v>
      </c>
      <c r="B45" s="802" t="s">
        <v>124</v>
      </c>
      <c r="C45" s="998">
        <f>BS!D66</f>
        <v>0</v>
      </c>
      <c r="D45" s="998">
        <f>BS!E66</f>
        <v>29.728999999999999</v>
      </c>
      <c r="E45" s="998"/>
      <c r="F45" s="998">
        <f>BS!F66</f>
        <v>37.128</v>
      </c>
      <c r="G45" s="998">
        <v>42645</v>
      </c>
      <c r="H45" s="998">
        <f>BS!G66</f>
        <v>21.956</v>
      </c>
      <c r="I45" s="998">
        <f>BS!H66</f>
        <v>0</v>
      </c>
      <c r="J45" s="998">
        <f>BS!I66</f>
        <v>357.71600000000001</v>
      </c>
      <c r="K45" s="998">
        <f>BS!J66</f>
        <v>48.78</v>
      </c>
      <c r="L45" s="998">
        <f>BS!K66</f>
        <v>261.88900000000001</v>
      </c>
      <c r="M45" s="998">
        <f>BS!L66</f>
        <v>587.26900000000001</v>
      </c>
      <c r="N45" s="998">
        <f>BS!M66</f>
        <v>808.197</v>
      </c>
      <c r="O45" s="998">
        <f>BS!N66</f>
        <v>1455.62</v>
      </c>
      <c r="P45" s="998">
        <f>BS!O66</f>
        <v>2580.59</v>
      </c>
      <c r="Q45" s="998">
        <f>BS!P66</f>
        <v>2795.8319999999999</v>
      </c>
      <c r="R45" s="998">
        <f>BS!Q66</f>
        <v>10040.968000000001</v>
      </c>
      <c r="S45" s="998">
        <f>BS!R66</f>
        <v>9707.491</v>
      </c>
      <c r="T45" s="998">
        <f>BS!S66</f>
        <v>10104.945</v>
      </c>
    </row>
    <row r="46" spans="1:20" hidden="1" outlineLevel="1" x14ac:dyDescent="0.4">
      <c r="A46" s="802" t="s">
        <v>2554</v>
      </c>
      <c r="C46" s="998">
        <f>BS!D49</f>
        <v>0</v>
      </c>
      <c r="D46" s="998">
        <f>BS!E49</f>
        <v>67.436999999999998</v>
      </c>
      <c r="E46" s="998"/>
      <c r="F46" s="998">
        <f>BS!F49</f>
        <v>71.132999999999996</v>
      </c>
      <c r="G46" s="998"/>
      <c r="H46" s="998">
        <f>BS!G49</f>
        <v>93.218999999999994</v>
      </c>
      <c r="I46" s="999"/>
      <c r="J46" s="999"/>
      <c r="K46" s="999"/>
      <c r="L46" s="999"/>
      <c r="M46" s="999"/>
      <c r="N46" s="999"/>
      <c r="O46" s="999"/>
      <c r="P46" s="999"/>
      <c r="Q46" s="999"/>
      <c r="R46" s="999"/>
      <c r="S46" s="999"/>
      <c r="T46" s="999"/>
    </row>
    <row r="47" spans="1:20" hidden="1" outlineLevel="1" x14ac:dyDescent="0.4">
      <c r="A47" s="802" t="s">
        <v>2555</v>
      </c>
      <c r="C47" s="998">
        <f>BS!D50</f>
        <v>0</v>
      </c>
      <c r="D47" s="998">
        <f>BS!E50</f>
        <v>21.164999999999999</v>
      </c>
      <c r="E47" s="998"/>
      <c r="F47" s="998">
        <f>BS!F50</f>
        <v>1000</v>
      </c>
      <c r="G47" s="998"/>
      <c r="H47" s="998">
        <f>BS!G50</f>
        <v>1601.931</v>
      </c>
      <c r="I47" s="999"/>
      <c r="J47" s="999"/>
      <c r="K47" s="999"/>
      <c r="L47" s="999"/>
      <c r="M47" s="999"/>
      <c r="N47" s="999"/>
      <c r="O47" s="999"/>
      <c r="P47" s="999"/>
      <c r="Q47" s="999"/>
      <c r="R47" s="999"/>
      <c r="S47" s="999"/>
      <c r="T47" s="999"/>
    </row>
    <row r="48" spans="1:20" hidden="1" outlineLevel="1" x14ac:dyDescent="0.4">
      <c r="A48" s="802" t="s">
        <v>2556</v>
      </c>
      <c r="C48" s="998" t="e">
        <f>BS!#REF!</f>
        <v>#REF!</v>
      </c>
      <c r="D48" s="998" t="e">
        <f>BS!#REF!</f>
        <v>#REF!</v>
      </c>
      <c r="E48" s="998"/>
      <c r="F48" s="998" t="e">
        <f>BS!#REF!</f>
        <v>#REF!</v>
      </c>
      <c r="G48" s="998"/>
      <c r="H48" s="998" t="e">
        <f>BS!#REF!</f>
        <v>#REF!</v>
      </c>
      <c r="I48" s="999"/>
      <c r="J48" s="999"/>
      <c r="K48" s="999"/>
      <c r="L48" s="999"/>
      <c r="M48" s="999"/>
      <c r="N48" s="999"/>
      <c r="O48" s="999"/>
      <c r="P48" s="999"/>
      <c r="Q48" s="999"/>
      <c r="R48" s="999"/>
      <c r="S48" s="999"/>
      <c r="T48" s="999"/>
    </row>
    <row r="49" spans="1:20" hidden="1" outlineLevel="1" x14ac:dyDescent="0.4">
      <c r="A49" s="802" t="s">
        <v>2557</v>
      </c>
      <c r="C49" s="998" t="e">
        <f>BS!#REF!</f>
        <v>#REF!</v>
      </c>
      <c r="D49" s="998" t="e">
        <f>BS!#REF!</f>
        <v>#REF!</v>
      </c>
      <c r="E49" s="998"/>
      <c r="F49" s="998" t="e">
        <f>BS!#REF!</f>
        <v>#REF!</v>
      </c>
      <c r="G49" s="998"/>
      <c r="H49" s="998" t="e">
        <f>BS!#REF!</f>
        <v>#REF!</v>
      </c>
      <c r="I49" s="999"/>
      <c r="J49" s="999"/>
      <c r="K49" s="999"/>
      <c r="L49" s="999"/>
      <c r="M49" s="999"/>
      <c r="N49" s="999"/>
      <c r="O49" s="999"/>
      <c r="P49" s="999"/>
      <c r="Q49" s="999"/>
      <c r="R49" s="999"/>
      <c r="S49" s="999"/>
      <c r="T49" s="999"/>
    </row>
    <row r="50" spans="1:20" hidden="1" outlineLevel="1" x14ac:dyDescent="0.4">
      <c r="A50" s="802" t="s">
        <v>2558</v>
      </c>
      <c r="C50" s="998" t="e">
        <f>BS!#REF!</f>
        <v>#REF!</v>
      </c>
      <c r="D50" s="998" t="e">
        <f>BS!#REF!</f>
        <v>#REF!</v>
      </c>
      <c r="E50" s="998"/>
      <c r="F50" s="998" t="e">
        <f>BS!#REF!</f>
        <v>#REF!</v>
      </c>
      <c r="G50" s="998"/>
      <c r="H50" s="998" t="e">
        <f>BS!#REF!</f>
        <v>#REF!</v>
      </c>
      <c r="I50" s="999"/>
      <c r="J50" s="999"/>
      <c r="K50" s="999"/>
      <c r="L50" s="999"/>
      <c r="M50" s="999"/>
      <c r="N50" s="999"/>
      <c r="O50" s="999"/>
      <c r="P50" s="999"/>
      <c r="Q50" s="999"/>
      <c r="R50" s="999"/>
      <c r="S50" s="999"/>
      <c r="T50" s="999"/>
    </row>
    <row r="51" spans="1:20" hidden="1" outlineLevel="1" x14ac:dyDescent="0.4">
      <c r="A51" s="802" t="s">
        <v>2559</v>
      </c>
      <c r="C51" s="998" t="e">
        <f>BS!#REF!</f>
        <v>#REF!</v>
      </c>
      <c r="D51" s="998" t="e">
        <f>BS!#REF!</f>
        <v>#REF!</v>
      </c>
      <c r="E51" s="998"/>
      <c r="F51" s="998" t="e">
        <f>BS!#REF!</f>
        <v>#REF!</v>
      </c>
      <c r="G51" s="998"/>
      <c r="H51" s="998" t="e">
        <f>BS!#REF!</f>
        <v>#REF!</v>
      </c>
      <c r="I51" s="999"/>
      <c r="J51" s="999"/>
      <c r="K51" s="999"/>
      <c r="L51" s="999"/>
      <c r="M51" s="999"/>
      <c r="N51" s="999"/>
      <c r="O51" s="999"/>
      <c r="P51" s="999"/>
      <c r="Q51" s="999"/>
      <c r="R51" s="999"/>
      <c r="S51" s="999"/>
      <c r="T51" s="999"/>
    </row>
    <row r="52" spans="1:20" hidden="1" outlineLevel="1" x14ac:dyDescent="0.4">
      <c r="A52" s="802" t="s">
        <v>2560</v>
      </c>
      <c r="C52" s="998" t="e">
        <f>BS!#REF!</f>
        <v>#REF!</v>
      </c>
      <c r="D52" s="998" t="e">
        <f>BS!#REF!</f>
        <v>#REF!</v>
      </c>
      <c r="E52" s="998"/>
      <c r="F52" s="998" t="e">
        <f>BS!#REF!</f>
        <v>#REF!</v>
      </c>
      <c r="G52" s="998"/>
      <c r="H52" s="998" t="e">
        <f>BS!#REF!</f>
        <v>#REF!</v>
      </c>
      <c r="I52" s="999"/>
      <c r="J52" s="999"/>
      <c r="K52" s="999"/>
      <c r="L52" s="999"/>
      <c r="M52" s="999"/>
      <c r="N52" s="999"/>
      <c r="O52" s="999"/>
      <c r="P52" s="999"/>
      <c r="Q52" s="999"/>
      <c r="R52" s="999"/>
      <c r="S52" s="999"/>
      <c r="T52" s="999"/>
    </row>
    <row r="53" spans="1:20" hidden="1" outlineLevel="1" x14ac:dyDescent="0.4">
      <c r="A53" s="802" t="s">
        <v>2561</v>
      </c>
      <c r="C53" s="998" t="e">
        <f>BS!#REF!</f>
        <v>#REF!</v>
      </c>
      <c r="D53" s="998" t="e">
        <f>BS!#REF!</f>
        <v>#REF!</v>
      </c>
      <c r="E53" s="998"/>
      <c r="F53" s="998" t="e">
        <f>BS!#REF!</f>
        <v>#REF!</v>
      </c>
      <c r="G53" s="998"/>
      <c r="H53" s="998" t="e">
        <f>BS!#REF!</f>
        <v>#REF!</v>
      </c>
      <c r="I53" s="999"/>
      <c r="J53" s="999"/>
      <c r="K53" s="999"/>
      <c r="L53" s="999"/>
      <c r="M53" s="999"/>
      <c r="N53" s="999"/>
      <c r="O53" s="999"/>
      <c r="P53" s="999"/>
      <c r="Q53" s="999"/>
      <c r="R53" s="999"/>
      <c r="S53" s="999"/>
      <c r="T53" s="999"/>
    </row>
    <row r="54" spans="1:20" hidden="1" outlineLevel="1" x14ac:dyDescent="0.4">
      <c r="A54" s="802" t="s">
        <v>2562</v>
      </c>
      <c r="C54" s="998" t="e">
        <f>BS!#REF!</f>
        <v>#REF!</v>
      </c>
      <c r="D54" s="998" t="e">
        <f>BS!#REF!</f>
        <v>#REF!</v>
      </c>
      <c r="E54" s="998"/>
      <c r="F54" s="998" t="e">
        <f>BS!#REF!</f>
        <v>#REF!</v>
      </c>
      <c r="G54" s="998"/>
      <c r="H54" s="998" t="e">
        <f>BS!#REF!</f>
        <v>#REF!</v>
      </c>
      <c r="I54" s="999"/>
      <c r="J54" s="999"/>
      <c r="K54" s="999"/>
      <c r="L54" s="999"/>
      <c r="M54" s="999"/>
      <c r="N54" s="999"/>
      <c r="O54" s="999"/>
      <c r="P54" s="999"/>
      <c r="Q54" s="999"/>
      <c r="R54" s="999"/>
      <c r="S54" s="999"/>
      <c r="T54" s="999"/>
    </row>
    <row r="55" spans="1:20" hidden="1" outlineLevel="1" x14ac:dyDescent="0.4">
      <c r="A55" s="802" t="s">
        <v>2563</v>
      </c>
      <c r="C55" s="998">
        <f>BS!D57</f>
        <v>0</v>
      </c>
      <c r="D55" s="998">
        <f>BS!E57</f>
        <v>0</v>
      </c>
      <c r="E55" s="998"/>
      <c r="F55" s="998">
        <f>BS!F57</f>
        <v>0</v>
      </c>
      <c r="G55" s="998"/>
      <c r="H55" s="998">
        <f>BS!G57</f>
        <v>0</v>
      </c>
      <c r="I55" s="999"/>
      <c r="J55" s="999"/>
      <c r="K55" s="999"/>
      <c r="L55" s="999"/>
      <c r="M55" s="999"/>
      <c r="N55" s="999"/>
      <c r="O55" s="999"/>
      <c r="P55" s="999"/>
      <c r="Q55" s="999"/>
      <c r="R55" s="999"/>
      <c r="S55" s="999"/>
      <c r="T55" s="999"/>
    </row>
    <row r="56" spans="1:20" collapsed="1" x14ac:dyDescent="0.4">
      <c r="A56" s="802" t="s">
        <v>1783</v>
      </c>
      <c r="B56" s="801" t="s">
        <v>2564</v>
      </c>
      <c r="C56" s="803">
        <f>BS!D69</f>
        <v>4433.661000000001</v>
      </c>
      <c r="D56" s="803">
        <f>BS!E69</f>
        <v>5244.5259999999998</v>
      </c>
      <c r="E56" s="803"/>
      <c r="F56" s="803">
        <f>BS!F69</f>
        <v>5223.880000000001</v>
      </c>
      <c r="G56" s="803">
        <v>138340</v>
      </c>
      <c r="H56" s="803">
        <f>BS!G69</f>
        <v>5275.4919999999993</v>
      </c>
      <c r="I56" s="803">
        <f>BS!H69</f>
        <v>8232.2630000000008</v>
      </c>
      <c r="J56" s="803">
        <f>BS!I69</f>
        <v>11576.848000000002</v>
      </c>
      <c r="K56" s="803">
        <f>BS!J69</f>
        <v>12475.473999999998</v>
      </c>
      <c r="L56" s="803">
        <f>BS!K69</f>
        <v>22761.392000000003</v>
      </c>
      <c r="M56" s="803">
        <f>BS!L69</f>
        <v>31221.072</v>
      </c>
      <c r="N56" s="803">
        <f>BS!M69</f>
        <v>31706.668999999994</v>
      </c>
      <c r="O56" s="803">
        <f>BS!N69</f>
        <v>39716.113999999994</v>
      </c>
      <c r="P56" s="803">
        <f>BS!O69</f>
        <v>52807.711999999985</v>
      </c>
      <c r="Q56" s="803">
        <f>BS!P69</f>
        <v>53629.989000000001</v>
      </c>
      <c r="R56" s="803">
        <f>BS!Q69</f>
        <v>71105.770000000019</v>
      </c>
      <c r="S56" s="803">
        <f>BS!R69</f>
        <v>79939.491999999998</v>
      </c>
      <c r="T56" s="803">
        <f>BS!S69</f>
        <v>92922.448000000004</v>
      </c>
    </row>
    <row r="57" spans="1:20" collapsed="1" x14ac:dyDescent="0.4">
      <c r="A57" s="802" t="s">
        <v>2565</v>
      </c>
      <c r="B57" s="802" t="s">
        <v>2566</v>
      </c>
      <c r="C57" s="998">
        <f>BS!D56</f>
        <v>0.27800000000000002</v>
      </c>
      <c r="D57" s="998">
        <f>BS!E56</f>
        <v>207.298</v>
      </c>
      <c r="E57" s="998"/>
      <c r="F57" s="998">
        <f>BS!F56</f>
        <v>1236.527</v>
      </c>
      <c r="G57" s="998">
        <v>37838</v>
      </c>
      <c r="H57" s="998">
        <f>BS!G56</f>
        <v>3579.2080000000001</v>
      </c>
      <c r="I57" s="998">
        <f>BS!H56</f>
        <v>5823.759</v>
      </c>
      <c r="J57" s="998">
        <f>BS!I56</f>
        <v>5659.22</v>
      </c>
      <c r="K57" s="998">
        <f>BS!J56</f>
        <v>10884.353000000001</v>
      </c>
      <c r="L57" s="998">
        <f>BS!K56</f>
        <v>13501.946</v>
      </c>
      <c r="M57" s="998">
        <f>BS!L56</f>
        <v>15360.373</v>
      </c>
      <c r="N57" s="998">
        <f>BS!M56</f>
        <v>18112.61</v>
      </c>
      <c r="O57" s="998">
        <f>BS!N56</f>
        <v>20788.012999999999</v>
      </c>
      <c r="P57" s="998">
        <f>BS!O56</f>
        <v>27247.649999999998</v>
      </c>
      <c r="Q57" s="998">
        <f>BS!P56</f>
        <v>39413.851999999999</v>
      </c>
      <c r="R57" s="998">
        <f>BS!Q56</f>
        <v>39410.567999999999</v>
      </c>
      <c r="S57" s="998">
        <f>BS!R56</f>
        <v>48592.267999999996</v>
      </c>
      <c r="T57" s="998">
        <f>BS!S56</f>
        <v>60145.705999999998</v>
      </c>
    </row>
    <row r="58" spans="1:20" x14ac:dyDescent="0.4">
      <c r="A58" s="802" t="s">
        <v>1784</v>
      </c>
      <c r="B58" s="801" t="s">
        <v>2567</v>
      </c>
      <c r="C58" s="803">
        <f>BS!D71</f>
        <v>4433.9390000000012</v>
      </c>
      <c r="D58" s="803">
        <f>BS!E71</f>
        <v>5451.8239999999996</v>
      </c>
      <c r="E58" s="803"/>
      <c r="F58" s="803">
        <f>BS!F71</f>
        <v>6460.4070000000011</v>
      </c>
      <c r="G58" s="803">
        <v>176178</v>
      </c>
      <c r="H58" s="803">
        <f>BS!G71</f>
        <v>8854.6999999999989</v>
      </c>
      <c r="I58" s="803">
        <f>BS!H71</f>
        <v>14056.022000000001</v>
      </c>
      <c r="J58" s="803">
        <f>BS!I71</f>
        <v>17236.068000000003</v>
      </c>
      <c r="K58" s="803">
        <f>BS!J71</f>
        <v>23359.826999999997</v>
      </c>
      <c r="L58" s="803">
        <f>BS!K71</f>
        <v>36263.338000000003</v>
      </c>
      <c r="M58" s="803">
        <f>BS!L71</f>
        <v>46581.445</v>
      </c>
      <c r="N58" s="803">
        <f>BS!M71</f>
        <v>49819.278999999995</v>
      </c>
      <c r="O58" s="803">
        <f>BS!N71</f>
        <v>60504.126999999993</v>
      </c>
      <c r="P58" s="803">
        <f>BS!O71</f>
        <v>80055.361999999979</v>
      </c>
      <c r="Q58" s="803">
        <f>BS!P71</f>
        <v>93043.841</v>
      </c>
      <c r="R58" s="803">
        <f>BS!Q71</f>
        <v>110516.33800000002</v>
      </c>
      <c r="S58" s="803">
        <f>BS!R71</f>
        <v>128531.76</v>
      </c>
      <c r="T58" s="803">
        <f>BS!S71</f>
        <v>153068.15400000001</v>
      </c>
    </row>
    <row r="59" spans="1:20" hidden="1" outlineLevel="1" collapsed="1" x14ac:dyDescent="0.4">
      <c r="A59" s="802" t="s">
        <v>1785</v>
      </c>
      <c r="C59" s="998" t="e">
        <f>BS!#REF!</f>
        <v>#REF!</v>
      </c>
      <c r="D59" s="998" t="e">
        <f>BS!#REF!</f>
        <v>#REF!</v>
      </c>
      <c r="E59" s="998"/>
      <c r="F59" s="998" t="e">
        <f>BS!#REF!</f>
        <v>#REF!</v>
      </c>
      <c r="G59" s="998"/>
      <c r="H59" s="998" t="e">
        <f>BS!#REF!</f>
        <v>#REF!</v>
      </c>
      <c r="I59" s="999"/>
      <c r="J59" s="999"/>
      <c r="K59" s="999"/>
      <c r="L59" s="999"/>
      <c r="M59" s="999"/>
      <c r="N59" s="999"/>
      <c r="O59" s="999"/>
      <c r="P59" s="999"/>
      <c r="Q59" s="999"/>
      <c r="R59" s="999"/>
      <c r="S59" s="999"/>
      <c r="T59" s="999"/>
    </row>
    <row r="60" spans="1:20" ht="21" collapsed="1" x14ac:dyDescent="0.4">
      <c r="A60" s="802" t="s">
        <v>1786</v>
      </c>
      <c r="B60" s="1005" t="s">
        <v>2568</v>
      </c>
      <c r="C60" s="998">
        <f>BS!D77</f>
        <v>974.20099999999991</v>
      </c>
      <c r="D60" s="998">
        <f>BS!E77</f>
        <v>2155.683</v>
      </c>
      <c r="E60" s="998"/>
      <c r="F60" s="998">
        <f>BS!F77</f>
        <v>2523.2570000000001</v>
      </c>
      <c r="G60" s="998">
        <v>2449</v>
      </c>
      <c r="H60" s="998">
        <f>BS!G77</f>
        <v>4304.7819999999992</v>
      </c>
      <c r="I60" s="998">
        <f>BS!H77</f>
        <v>4619.45</v>
      </c>
      <c r="J60" s="998">
        <f>BS!I77</f>
        <v>9490.351999999999</v>
      </c>
      <c r="K60" s="998">
        <f>BS!J77</f>
        <v>13509.824000000001</v>
      </c>
      <c r="L60" s="998">
        <f>BS!K77</f>
        <v>15933.635999999999</v>
      </c>
      <c r="M60" s="998">
        <f>BS!L77</f>
        <v>19830.096000000001</v>
      </c>
      <c r="N60" s="998">
        <f>BS!M77</f>
        <v>23184.554</v>
      </c>
      <c r="O60" s="998">
        <f>BS!N77</f>
        <v>25447.958000000002</v>
      </c>
      <c r="P60" s="998">
        <f>BS!O77</f>
        <v>38087.629000000001</v>
      </c>
      <c r="Q60" s="998">
        <f>BS!P77</f>
        <v>38454.368000000002</v>
      </c>
      <c r="R60" s="998">
        <f>BS!Q77</f>
        <v>42148.17</v>
      </c>
      <c r="S60" s="998">
        <f>BS!R77</f>
        <v>49093.773999999998</v>
      </c>
      <c r="T60" s="998">
        <f>BS!S77</f>
        <v>56446.165000000001</v>
      </c>
    </row>
    <row r="61" spans="1:20" hidden="1" outlineLevel="1" x14ac:dyDescent="0.4">
      <c r="A61" s="802" t="s">
        <v>1787</v>
      </c>
      <c r="C61" s="998">
        <f>BS!D84</f>
        <v>5408.1400000000012</v>
      </c>
      <c r="D61" s="998">
        <f>BS!E84</f>
        <v>7607.5069999999996</v>
      </c>
      <c r="E61" s="998"/>
      <c r="F61" s="998">
        <f>BS!F84</f>
        <v>8983.6640000000007</v>
      </c>
      <c r="G61" s="998"/>
      <c r="H61" s="998">
        <f>BS!G84</f>
        <v>13159.481999999998</v>
      </c>
      <c r="I61" s="999"/>
      <c r="J61" s="999"/>
      <c r="K61" s="999"/>
      <c r="L61" s="999"/>
      <c r="M61" s="999"/>
      <c r="N61" s="999"/>
      <c r="O61" s="999"/>
      <c r="P61" s="999"/>
      <c r="Q61" s="999"/>
      <c r="R61" s="999"/>
      <c r="S61" s="999"/>
      <c r="T61" s="999"/>
    </row>
    <row r="62" spans="1:20" collapsed="1" x14ac:dyDescent="0.4">
      <c r="A62" s="802" t="s">
        <v>1788</v>
      </c>
      <c r="B62" s="801" t="s">
        <v>2152</v>
      </c>
      <c r="C62" s="803">
        <f>BS!D43</f>
        <v>5408.14</v>
      </c>
      <c r="D62" s="803">
        <f>BS!E43</f>
        <v>7607.5070000000014</v>
      </c>
      <c r="E62" s="803"/>
      <c r="F62" s="803">
        <f>BS!F43</f>
        <v>8983.6640000000025</v>
      </c>
      <c r="G62" s="803">
        <v>184683</v>
      </c>
      <c r="H62" s="803">
        <f>BS!G43</f>
        <v>13159.482</v>
      </c>
      <c r="I62" s="803">
        <f>BS!H43</f>
        <v>18679.421999999999</v>
      </c>
      <c r="J62" s="803">
        <f>BS!I43</f>
        <v>26733.144</v>
      </c>
      <c r="K62" s="803">
        <f>BS!J43</f>
        <v>37212.794999999998</v>
      </c>
      <c r="L62" s="803">
        <f>BS!K43</f>
        <v>52450.66399999999</v>
      </c>
      <c r="M62" s="803">
        <f>BS!L43</f>
        <v>66579.107000000004</v>
      </c>
      <c r="N62" s="803">
        <f>BS!M43</f>
        <v>73104.095000000001</v>
      </c>
      <c r="O62" s="803">
        <f>BS!N43</f>
        <v>86174.445000000007</v>
      </c>
      <c r="P62" s="803">
        <f>BS!O43</f>
        <v>118518.27300000002</v>
      </c>
      <c r="Q62" s="803">
        <f>BS!P43</f>
        <v>136122.09100000001</v>
      </c>
      <c r="R62" s="803">
        <f>BS!Q43</f>
        <v>161423.90299999999</v>
      </c>
      <c r="S62" s="803">
        <f>BS!R43</f>
        <v>186811.30700000003</v>
      </c>
      <c r="T62" s="803">
        <f>BS!S43</f>
        <v>219284.42499999999</v>
      </c>
    </row>
    <row r="63" spans="1:20" x14ac:dyDescent="0.4">
      <c r="A63" s="995" t="s">
        <v>2153</v>
      </c>
      <c r="B63" s="995" t="s">
        <v>2154</v>
      </c>
      <c r="C63" s="1002"/>
      <c r="D63" s="1002"/>
      <c r="E63" s="1002"/>
      <c r="F63" s="1002"/>
      <c r="G63" s="1002"/>
      <c r="H63" s="1002"/>
      <c r="I63" s="1002"/>
      <c r="J63" s="1002"/>
      <c r="K63" s="1002"/>
      <c r="L63" s="1002"/>
      <c r="M63" s="1002"/>
      <c r="N63" s="1002"/>
      <c r="O63" s="1002"/>
      <c r="P63" s="1002"/>
      <c r="Q63" s="1002"/>
      <c r="R63" s="1002"/>
      <c r="S63" s="1002"/>
      <c r="T63" s="1002"/>
    </row>
    <row r="64" spans="1:20" hidden="1" outlineLevel="1" x14ac:dyDescent="0.4">
      <c r="A64" s="802" t="s">
        <v>1789</v>
      </c>
      <c r="C64" s="1003">
        <f>CF!D4</f>
        <v>222.18199999999925</v>
      </c>
      <c r="D64" s="1003">
        <f>CF!E4</f>
        <v>404.89300000000003</v>
      </c>
      <c r="E64" s="1003"/>
      <c r="F64" s="1003">
        <f>CF!F4</f>
        <v>489.32100000000008</v>
      </c>
      <c r="G64" s="1003"/>
      <c r="H64" s="1003">
        <f>CF!G4</f>
        <v>612.53100000000006</v>
      </c>
      <c r="I64" s="1004"/>
      <c r="J64" s="1004"/>
      <c r="K64" s="1004"/>
      <c r="L64" s="1004"/>
      <c r="M64" s="1004"/>
      <c r="N64" s="1004"/>
      <c r="O64" s="1004"/>
      <c r="P64" s="1004"/>
      <c r="Q64" s="1004"/>
      <c r="R64" s="1004"/>
      <c r="S64" s="1004"/>
      <c r="T64" s="1004"/>
    </row>
    <row r="65" spans="1:20" hidden="1" outlineLevel="1" x14ac:dyDescent="0.4">
      <c r="A65" s="802" t="s">
        <v>1790</v>
      </c>
      <c r="C65" s="1003">
        <f>CF!D5</f>
        <v>-0.31900000000000001</v>
      </c>
      <c r="D65" s="1003">
        <f>CF!E5</f>
        <v>43.061999999999998</v>
      </c>
      <c r="E65" s="1003"/>
      <c r="F65" s="1003">
        <f>CF!F5</f>
        <v>15.068</v>
      </c>
      <c r="G65" s="1003"/>
      <c r="H65" s="1003">
        <f>CF!G5</f>
        <v>0</v>
      </c>
      <c r="I65" s="1004"/>
      <c r="J65" s="1004"/>
      <c r="K65" s="1004"/>
      <c r="L65" s="1004"/>
      <c r="M65" s="1004"/>
      <c r="N65" s="1004"/>
      <c r="O65" s="1004"/>
      <c r="P65" s="1004"/>
      <c r="Q65" s="1004"/>
      <c r="R65" s="1004"/>
      <c r="S65" s="1004"/>
      <c r="T65" s="1004"/>
    </row>
    <row r="66" spans="1:20" hidden="1" outlineLevel="1" x14ac:dyDescent="0.4">
      <c r="A66" s="802" t="s">
        <v>1791</v>
      </c>
      <c r="C66" s="1003">
        <f>CF!D6</f>
        <v>10.284000000000001</v>
      </c>
      <c r="D66" s="1003">
        <f>CF!E6</f>
        <v>11.165000000000001</v>
      </c>
      <c r="E66" s="1003"/>
      <c r="F66" s="1003">
        <f>CF!F6</f>
        <v>14.366999999999999</v>
      </c>
      <c r="G66" s="1003"/>
      <c r="H66" s="1003">
        <f>CF!G6</f>
        <v>88.51</v>
      </c>
      <c r="I66" s="1004"/>
      <c r="J66" s="1004"/>
      <c r="K66" s="1004"/>
      <c r="L66" s="1004"/>
      <c r="M66" s="1004"/>
      <c r="N66" s="1004"/>
      <c r="O66" s="1004"/>
      <c r="P66" s="1004"/>
      <c r="Q66" s="1004"/>
      <c r="R66" s="1004"/>
      <c r="S66" s="1004"/>
      <c r="T66" s="1004"/>
    </row>
    <row r="67" spans="1:20" hidden="1" outlineLevel="1" x14ac:dyDescent="0.4">
      <c r="A67" s="802" t="s">
        <v>1792</v>
      </c>
      <c r="C67" s="1003">
        <f>CF!D7</f>
        <v>977.33200000000079</v>
      </c>
      <c r="D67" s="1003">
        <f>CF!E7</f>
        <v>-434.20200000000068</v>
      </c>
      <c r="E67" s="1003"/>
      <c r="F67" s="1003">
        <f>CF!F7</f>
        <v>-334.01200000000063</v>
      </c>
      <c r="G67" s="1003"/>
      <c r="H67" s="1003">
        <f>CF!G7</f>
        <v>373.13500000000113</v>
      </c>
      <c r="I67" s="1004"/>
      <c r="J67" s="1004"/>
      <c r="K67" s="1004"/>
      <c r="L67" s="1004"/>
      <c r="M67" s="1004"/>
      <c r="N67" s="1004"/>
      <c r="O67" s="1004"/>
      <c r="P67" s="1004"/>
      <c r="Q67" s="1004"/>
      <c r="R67" s="1004"/>
      <c r="S67" s="1004"/>
      <c r="T67" s="1004"/>
    </row>
    <row r="68" spans="1:20" hidden="1" outlineLevel="1" x14ac:dyDescent="0.4">
      <c r="A68" s="802" t="s">
        <v>1793</v>
      </c>
      <c r="C68" s="1003">
        <f>CF!D8</f>
        <v>4.7859999999999996</v>
      </c>
      <c r="D68" s="1003">
        <f>CF!E8</f>
        <v>1.823</v>
      </c>
      <c r="E68" s="1003"/>
      <c r="F68" s="1003">
        <f>CF!F8</f>
        <v>20.065000000000001</v>
      </c>
      <c r="G68" s="1003"/>
      <c r="H68" s="1003">
        <f>CF!G8</f>
        <v>12.956</v>
      </c>
      <c r="I68" s="1004"/>
      <c r="J68" s="1004"/>
      <c r="K68" s="1004"/>
      <c r="L68" s="1004"/>
      <c r="M68" s="1004"/>
      <c r="N68" s="1004"/>
      <c r="O68" s="1004"/>
      <c r="P68" s="1004"/>
      <c r="Q68" s="1004"/>
      <c r="R68" s="1004"/>
      <c r="S68" s="1004"/>
      <c r="T68" s="1004"/>
    </row>
    <row r="69" spans="1:20" hidden="1" outlineLevel="1" x14ac:dyDescent="0.4">
      <c r="A69" s="802" t="s">
        <v>1794</v>
      </c>
      <c r="C69" s="1003">
        <f>CF!D9</f>
        <v>-249.15600000000001</v>
      </c>
      <c r="D69" s="1003">
        <f>CF!E9</f>
        <v>-120.351</v>
      </c>
      <c r="E69" s="1003"/>
      <c r="F69" s="1003">
        <f>CF!F9</f>
        <v>-42.516000000000005</v>
      </c>
      <c r="G69" s="1003"/>
      <c r="H69" s="1003">
        <f>CF!G9</f>
        <v>-364.26799999999997</v>
      </c>
      <c r="I69" s="1004"/>
      <c r="J69" s="1004"/>
      <c r="K69" s="1004"/>
      <c r="L69" s="1004"/>
      <c r="M69" s="1004"/>
      <c r="N69" s="1004"/>
      <c r="O69" s="1004"/>
      <c r="P69" s="1004"/>
      <c r="Q69" s="1004"/>
      <c r="R69" s="1004"/>
      <c r="S69" s="1004"/>
      <c r="T69" s="1004"/>
    </row>
    <row r="70" spans="1:20" hidden="1" outlineLevel="1" x14ac:dyDescent="0.4">
      <c r="A70" s="802" t="s">
        <v>1795</v>
      </c>
      <c r="C70" s="1003">
        <f>CF!D10</f>
        <v>-808.22500000000014</v>
      </c>
      <c r="D70" s="1003">
        <f>CF!E10</f>
        <v>-324.97499999999934</v>
      </c>
      <c r="E70" s="1003"/>
      <c r="F70" s="1003" t="e">
        <f>CF!#REF!</f>
        <v>#REF!</v>
      </c>
      <c r="G70" s="1003"/>
      <c r="H70" s="1003">
        <f>CF!G10</f>
        <v>426.1329999999989</v>
      </c>
      <c r="I70" s="1004"/>
      <c r="J70" s="1004"/>
      <c r="K70" s="1004"/>
      <c r="L70" s="1004"/>
      <c r="M70" s="1004"/>
      <c r="N70" s="1004"/>
      <c r="O70" s="1004"/>
      <c r="P70" s="1004"/>
      <c r="Q70" s="1004"/>
      <c r="R70" s="1004"/>
      <c r="S70" s="1004"/>
      <c r="T70" s="1004"/>
    </row>
    <row r="71" spans="1:20" collapsed="1" x14ac:dyDescent="0.4">
      <c r="A71" s="802" t="s">
        <v>2155</v>
      </c>
      <c r="B71" s="802" t="s">
        <v>2156</v>
      </c>
      <c r="C71" s="998">
        <f>CF!D11</f>
        <v>156.88399999999999</v>
      </c>
      <c r="D71" s="998">
        <f>CF!E11</f>
        <v>-418.58499999999998</v>
      </c>
      <c r="E71" s="998">
        <v>-3174</v>
      </c>
      <c r="F71" s="998">
        <f>CF!F11</f>
        <v>301.42500000000001</v>
      </c>
      <c r="G71" s="998">
        <v>-2237</v>
      </c>
      <c r="H71" s="998">
        <f>CF!G11</f>
        <v>1148.9970000000001</v>
      </c>
      <c r="I71" s="998">
        <f>CF!H11</f>
        <v>41.023000000000003</v>
      </c>
      <c r="J71" s="998">
        <f>CF!I11</f>
        <v>-1004.495</v>
      </c>
      <c r="K71" s="998">
        <f>CF!J11</f>
        <v>-3339.8139999999999</v>
      </c>
      <c r="L71" s="998">
        <f>CF!K11</f>
        <v>-3085.4349999999999</v>
      </c>
      <c r="M71" s="998">
        <f>CF!L11</f>
        <v>-1688.9380000000001</v>
      </c>
      <c r="N71" s="998">
        <f>CF!M11</f>
        <v>298</v>
      </c>
      <c r="O71" s="998">
        <f>CF!N11</f>
        <v>2867</v>
      </c>
      <c r="P71" s="998">
        <f>CF!O11</f>
        <v>-4845.7060000000001</v>
      </c>
      <c r="Q71" s="998">
        <f>CF!P11</f>
        <v>-1924.595</v>
      </c>
      <c r="R71" s="998">
        <f>CF!Q11</f>
        <v>-2704.3490000000002</v>
      </c>
      <c r="S71" s="998">
        <f>CF!R11</f>
        <v>-4531.0680000000002</v>
      </c>
      <c r="T71" s="998">
        <f>CF!S11</f>
        <v>-551</v>
      </c>
    </row>
    <row r="72" spans="1:20" hidden="1" outlineLevel="1" x14ac:dyDescent="0.4">
      <c r="A72" s="802" t="s">
        <v>1796</v>
      </c>
      <c r="C72" s="998">
        <f>CF!D15</f>
        <v>-76.984999999999999</v>
      </c>
      <c r="D72" s="998">
        <f>CF!E15</f>
        <v>-124.584</v>
      </c>
      <c r="E72" s="998"/>
      <c r="F72" s="998">
        <f>CF!F15</f>
        <v>-215.12</v>
      </c>
      <c r="G72" s="998"/>
      <c r="H72" s="998">
        <f>CF!G15</f>
        <v>-132.56399999999999</v>
      </c>
      <c r="I72" s="999"/>
      <c r="J72" s="999"/>
      <c r="K72" s="999"/>
      <c r="L72" s="999"/>
      <c r="M72" s="999"/>
      <c r="N72" s="999"/>
      <c r="O72" s="999"/>
      <c r="P72" s="999"/>
      <c r="Q72" s="999"/>
      <c r="R72" s="999"/>
      <c r="S72" s="999"/>
      <c r="T72" s="999"/>
    </row>
    <row r="73" spans="1:20" hidden="1" outlineLevel="1" x14ac:dyDescent="0.4">
      <c r="A73" s="802" t="s">
        <v>1797</v>
      </c>
      <c r="C73" s="998">
        <f>CF!D16</f>
        <v>-55.268000000000001</v>
      </c>
      <c r="D73" s="998">
        <f>CF!E16</f>
        <v>-20.649000000000015</v>
      </c>
      <c r="E73" s="998"/>
      <c r="F73" s="998">
        <f>CF!F16</f>
        <v>-97.917000000000002</v>
      </c>
      <c r="G73" s="998"/>
      <c r="H73" s="998">
        <f>CF!G16</f>
        <v>-7.5139999999999993</v>
      </c>
      <c r="I73" s="999"/>
      <c r="J73" s="999"/>
      <c r="K73" s="999"/>
      <c r="L73" s="999"/>
      <c r="M73" s="999"/>
      <c r="N73" s="999"/>
      <c r="O73" s="999"/>
      <c r="P73" s="999"/>
      <c r="Q73" s="999"/>
      <c r="R73" s="999"/>
      <c r="S73" s="999"/>
      <c r="T73" s="999"/>
    </row>
    <row r="74" spans="1:20" hidden="1" outlineLevel="1" x14ac:dyDescent="0.4">
      <c r="A74" s="802" t="s">
        <v>1798</v>
      </c>
      <c r="C74" s="998" t="e">
        <f>CF!#REF!</f>
        <v>#REF!</v>
      </c>
      <c r="D74" s="998" t="e">
        <f>CF!#REF!</f>
        <v>#REF!</v>
      </c>
      <c r="E74" s="998"/>
      <c r="F74" s="998" t="e">
        <f>CF!#REF!</f>
        <v>#REF!</v>
      </c>
      <c r="G74" s="998"/>
      <c r="H74" s="998" t="e">
        <f>CF!#REF!</f>
        <v>#REF!</v>
      </c>
      <c r="I74" s="999"/>
      <c r="J74" s="999"/>
      <c r="K74" s="999"/>
      <c r="L74" s="999"/>
      <c r="M74" s="999"/>
      <c r="N74" s="999"/>
      <c r="O74" s="999"/>
      <c r="P74" s="999"/>
      <c r="Q74" s="999"/>
      <c r="R74" s="999"/>
      <c r="S74" s="999"/>
      <c r="T74" s="999"/>
    </row>
    <row r="75" spans="1:20" collapsed="1" x14ac:dyDescent="0.4">
      <c r="A75" s="802" t="s">
        <v>2157</v>
      </c>
      <c r="B75" s="802" t="s">
        <v>2158</v>
      </c>
      <c r="C75" s="998">
        <f>CF!D18</f>
        <v>-65.944999999999993</v>
      </c>
      <c r="D75" s="998">
        <f>CF!E18</f>
        <v>-178.22400000000002</v>
      </c>
      <c r="E75" s="998">
        <v>-5255</v>
      </c>
      <c r="F75" s="998">
        <f>CF!F18</f>
        <v>-357.97099999999995</v>
      </c>
      <c r="G75" s="998">
        <v>-8866</v>
      </c>
      <c r="H75" s="998">
        <f>CF!G18</f>
        <v>-654.41200000000003</v>
      </c>
      <c r="I75" s="998">
        <f>CF!H18</f>
        <v>-1424.9449999999999</v>
      </c>
      <c r="J75" s="998">
        <f>CF!I18</f>
        <v>-163.83600000000013</v>
      </c>
      <c r="K75" s="998">
        <f>CF!J18</f>
        <v>-457.45799999999991</v>
      </c>
      <c r="L75" s="998">
        <f>CF!K18</f>
        <v>130.05600000000004</v>
      </c>
      <c r="M75" s="998">
        <f>CF!L18</f>
        <v>-2091.319</v>
      </c>
      <c r="N75" s="998">
        <f>CF!M18</f>
        <v>-935.20399999999995</v>
      </c>
      <c r="O75" s="998">
        <f>CF!N18</f>
        <v>-5690.5309999999999</v>
      </c>
      <c r="P75" s="998">
        <f>CF!O18</f>
        <v>-4800.1890000000003</v>
      </c>
      <c r="Q75" s="998">
        <f>CF!P18</f>
        <v>-6953.9700000000012</v>
      </c>
      <c r="R75" s="998">
        <f>CF!Q18</f>
        <v>-3090.0410000000006</v>
      </c>
      <c r="S75" s="998">
        <f>CF!R18</f>
        <v>324.54000000000065</v>
      </c>
      <c r="T75" s="998">
        <f>CF!S18</f>
        <v>-4937.6689999999999</v>
      </c>
    </row>
    <row r="76" spans="1:20" hidden="1" outlineLevel="1" x14ac:dyDescent="0.4">
      <c r="A76" s="802" t="s">
        <v>1799</v>
      </c>
      <c r="C76" s="998">
        <f>CF!D23</f>
        <v>7.0570000000000004</v>
      </c>
      <c r="D76" s="998">
        <f>CF!E23</f>
        <v>1008.972</v>
      </c>
      <c r="E76" s="998"/>
      <c r="F76" s="998">
        <f>CF!F23</f>
        <v>6.3979999999999997</v>
      </c>
      <c r="G76" s="998"/>
      <c r="H76" s="998">
        <f>CF!G23</f>
        <v>1355.5859999999996</v>
      </c>
      <c r="I76" s="999"/>
      <c r="J76" s="999"/>
      <c r="K76" s="999"/>
      <c r="L76" s="999"/>
      <c r="M76" s="999"/>
      <c r="N76" s="999"/>
      <c r="O76" s="999"/>
      <c r="P76" s="999"/>
      <c r="Q76" s="999"/>
      <c r="R76" s="999"/>
      <c r="S76" s="999"/>
      <c r="T76" s="999"/>
    </row>
    <row r="77" spans="1:20" hidden="1" outlineLevel="1" x14ac:dyDescent="0.4">
      <c r="A77" s="802" t="s">
        <v>1800</v>
      </c>
      <c r="C77" s="998">
        <f>CF!D24</f>
        <v>-135.09400000000002</v>
      </c>
      <c r="D77" s="998">
        <f>CF!E24</f>
        <v>-20.661999999999999</v>
      </c>
      <c r="E77" s="998"/>
      <c r="F77" s="998">
        <f>CF!F24</f>
        <v>1073.0229999999999</v>
      </c>
      <c r="G77" s="998"/>
      <c r="H77" s="998">
        <f>CF!G24</f>
        <v>1986.759</v>
      </c>
      <c r="I77" s="999"/>
      <c r="J77" s="999"/>
      <c r="K77" s="999"/>
      <c r="L77" s="999"/>
      <c r="M77" s="999"/>
      <c r="N77" s="999"/>
      <c r="O77" s="999"/>
      <c r="P77" s="999"/>
      <c r="Q77" s="999"/>
      <c r="R77" s="999"/>
      <c r="S77" s="999"/>
      <c r="T77" s="999"/>
    </row>
    <row r="78" spans="1:20" hidden="1" outlineLevel="1" x14ac:dyDescent="0.4">
      <c r="A78" s="802" t="s">
        <v>1801</v>
      </c>
      <c r="C78" s="998">
        <f>CF!D26</f>
        <v>-88.662999999999997</v>
      </c>
      <c r="D78" s="998">
        <f>CF!E26</f>
        <v>-104.13200000000001</v>
      </c>
      <c r="E78" s="998"/>
      <c r="F78" s="998">
        <f>CF!F26</f>
        <v>-199.875</v>
      </c>
      <c r="G78" s="998"/>
      <c r="H78" s="998">
        <f>CF!G26</f>
        <v>-179.26875000000001</v>
      </c>
      <c r="I78" s="999"/>
      <c r="J78" s="999"/>
      <c r="K78" s="999"/>
      <c r="L78" s="999"/>
      <c r="M78" s="999"/>
      <c r="N78" s="999"/>
      <c r="O78" s="999"/>
      <c r="P78" s="999"/>
      <c r="Q78" s="999"/>
      <c r="R78" s="999"/>
      <c r="S78" s="999"/>
      <c r="T78" s="999"/>
    </row>
    <row r="79" spans="1:20" collapsed="1" x14ac:dyDescent="0.4">
      <c r="A79" s="802" t="s">
        <v>2159</v>
      </c>
      <c r="B79" s="802" t="s">
        <v>2160</v>
      </c>
      <c r="C79" s="998">
        <f>CF!D28</f>
        <v>-569.125</v>
      </c>
      <c r="D79" s="998">
        <f>CF!E28</f>
        <v>44.523999999999916</v>
      </c>
      <c r="E79" s="998">
        <v>8563</v>
      </c>
      <c r="F79" s="998">
        <f>CF!F28</f>
        <v>408.596</v>
      </c>
      <c r="G79" s="998">
        <v>12001</v>
      </c>
      <c r="H79" s="998">
        <f>CF!G28</f>
        <v>3547.6499999999996</v>
      </c>
      <c r="I79" s="998">
        <f>CF!H28</f>
        <v>-777.44799999999941</v>
      </c>
      <c r="J79" s="998">
        <f>CF!I28</f>
        <v>2894.1120000000001</v>
      </c>
      <c r="K79" s="998">
        <f>CF!J28</f>
        <v>5021.8450000000003</v>
      </c>
      <c r="L79" s="998">
        <f>CF!K28</f>
        <v>4046.0819999999994</v>
      </c>
      <c r="M79" s="998">
        <f>CF!L28</f>
        <v>3172.2689999999998</v>
      </c>
      <c r="N79" s="998">
        <f>CF!M28</f>
        <v>1309.4479999999992</v>
      </c>
      <c r="O79" s="998">
        <f>CF!N28</f>
        <v>6497.6669999999995</v>
      </c>
      <c r="P79" s="998">
        <f>CF!O28</f>
        <v>15252.916000000001</v>
      </c>
      <c r="Q79" s="998">
        <f>CF!P28</f>
        <v>9581.1139999999996</v>
      </c>
      <c r="R79" s="998">
        <f>CF!Q28</f>
        <v>10506.627</v>
      </c>
      <c r="S79" s="998">
        <f>CF!R28</f>
        <v>2881.2790000000018</v>
      </c>
      <c r="T79" s="998">
        <f>CF!S28</f>
        <v>6963.6329999999989</v>
      </c>
    </row>
    <row r="80" spans="1:20" hidden="1" outlineLevel="1" x14ac:dyDescent="0.4">
      <c r="A80" s="802" t="s">
        <v>1802</v>
      </c>
      <c r="C80" s="998">
        <f>CF!D30</f>
        <v>2.492</v>
      </c>
      <c r="D80" s="998">
        <f>CF!E30</f>
        <v>-1.899</v>
      </c>
      <c r="E80" s="998"/>
      <c r="F80" s="998">
        <f>CF!F30</f>
        <v>3.5720000000000001</v>
      </c>
      <c r="G80" s="998"/>
      <c r="H80" s="998">
        <f>CF!G30</f>
        <v>-2.6219999999999999</v>
      </c>
      <c r="I80" s="999"/>
      <c r="J80" s="999"/>
      <c r="K80" s="999"/>
      <c r="L80" s="999"/>
      <c r="M80" s="999"/>
      <c r="N80" s="999"/>
      <c r="O80" s="999"/>
      <c r="P80" s="999"/>
      <c r="Q80" s="999"/>
      <c r="R80" s="999"/>
      <c r="S80" s="999"/>
      <c r="T80" s="999"/>
    </row>
    <row r="81" spans="1:20" collapsed="1" x14ac:dyDescent="0.4">
      <c r="A81" s="802" t="s">
        <v>1803</v>
      </c>
      <c r="B81" s="802" t="s">
        <v>2161</v>
      </c>
      <c r="C81" s="998">
        <f>CF!D31-CF!D30</f>
        <v>-478.18600000000004</v>
      </c>
      <c r="D81" s="998">
        <f>CF!E31-CF!E30</f>
        <v>-552.28500000000008</v>
      </c>
      <c r="E81" s="998">
        <v>134</v>
      </c>
      <c r="F81" s="998">
        <f>CF!F31-CF!F30</f>
        <v>352.05000000000007</v>
      </c>
      <c r="G81" s="998">
        <v>898</v>
      </c>
      <c r="H81" s="998">
        <f>CF!G31-CF!G30</f>
        <v>4042.2349999999997</v>
      </c>
      <c r="I81" s="998">
        <f>CF!H31-CF!H30</f>
        <v>-2161.3699999999994</v>
      </c>
      <c r="J81" s="998">
        <f>CF!I31-CF!I30</f>
        <v>1725.7809999999999</v>
      </c>
      <c r="K81" s="998">
        <f>CF!J31-CF!J30</f>
        <v>1224.5730000000003</v>
      </c>
      <c r="L81" s="998">
        <f>CF!K31-CF!K30</f>
        <v>1090.7029999999995</v>
      </c>
      <c r="M81" s="998">
        <f>CF!L31-CF!L30</f>
        <v>-607.98800000000028</v>
      </c>
      <c r="N81" s="998">
        <f>CF!M31-CF!M30</f>
        <v>672.24399999999923</v>
      </c>
      <c r="O81" s="998">
        <f>CF!N31-CF!N30</f>
        <v>3674.1359999999995</v>
      </c>
      <c r="P81" s="998">
        <f>CF!O31-CF!O30</f>
        <v>5607.0210000000006</v>
      </c>
      <c r="Q81" s="998">
        <f>CF!P31-CF!P30</f>
        <v>702.54899999999907</v>
      </c>
      <c r="R81" s="998">
        <f>CF!Q31-CF!Q30</f>
        <v>4712.2369999999992</v>
      </c>
      <c r="S81" s="998">
        <f>CF!R31-CF!R30</f>
        <v>-1325.2489999999975</v>
      </c>
      <c r="T81" s="998">
        <f>CF!S31-CF!S30</f>
        <v>1474.963999999999</v>
      </c>
    </row>
    <row r="82" spans="1:20" x14ac:dyDescent="0.4">
      <c r="A82" s="802" t="s">
        <v>1804</v>
      </c>
      <c r="B82" s="802" t="s">
        <v>312</v>
      </c>
      <c r="C82" s="998">
        <f>CF!D33</f>
        <v>2043.2909999999999</v>
      </c>
      <c r="D82" s="998">
        <f>CF!E33</f>
        <v>1701.104</v>
      </c>
      <c r="E82" s="998">
        <v>24281</v>
      </c>
      <c r="F82" s="998">
        <f>CF!F33</f>
        <v>1545</v>
      </c>
      <c r="G82" s="998">
        <v>26094</v>
      </c>
      <c r="H82" s="998">
        <f>CF!G33</f>
        <v>1900.1690000000001</v>
      </c>
      <c r="I82" s="998">
        <f>CF!H33</f>
        <v>5939.7819999999992</v>
      </c>
      <c r="J82" s="998">
        <f>CF!I33</f>
        <v>3810.0349999999999</v>
      </c>
      <c r="K82" s="998">
        <f>CF!J33</f>
        <v>5594.2479999999996</v>
      </c>
      <c r="L82" s="998">
        <f>CF!K33</f>
        <v>6921.0910000000003</v>
      </c>
      <c r="M82" s="998">
        <f>CF!L33</f>
        <v>8161.25</v>
      </c>
      <c r="N82" s="998">
        <f>CF!M33</f>
        <v>7505.1279999999997</v>
      </c>
      <c r="O82" s="998">
        <f>CF!N33</f>
        <v>8025.91</v>
      </c>
      <c r="P82" s="998">
        <f>CF!O33</f>
        <v>11484.194</v>
      </c>
      <c r="Q82" s="998">
        <f>CF!P33</f>
        <v>17570.867999999999</v>
      </c>
      <c r="R82" s="998">
        <f>CF!Q33</f>
        <v>17924.195999999996</v>
      </c>
      <c r="S82" s="998">
        <f>CF!R33</f>
        <v>22600.361999999997</v>
      </c>
      <c r="T82" s="998">
        <f>CF!S33</f>
        <v>22455.362000000001</v>
      </c>
    </row>
    <row r="83" spans="1:20" x14ac:dyDescent="0.4">
      <c r="A83" s="802" t="s">
        <v>1805</v>
      </c>
      <c r="B83" s="802" t="s">
        <v>2162</v>
      </c>
      <c r="C83" s="998">
        <f>CF!D34</f>
        <v>1567.597</v>
      </c>
      <c r="D83" s="998">
        <f>CF!E34</f>
        <v>1146.92</v>
      </c>
      <c r="E83" s="998">
        <v>24278</v>
      </c>
      <c r="F83" s="998">
        <f>CF!F34</f>
        <v>1900.6220000000001</v>
      </c>
      <c r="G83" s="998">
        <v>26946</v>
      </c>
      <c r="H83" s="998">
        <f>CF!G34</f>
        <v>5939.7820000000002</v>
      </c>
      <c r="I83" s="998">
        <f>CF!H34</f>
        <v>3810.0349999999999</v>
      </c>
      <c r="J83" s="998">
        <f>CF!I34</f>
        <v>5539.7429999999995</v>
      </c>
      <c r="K83" s="998">
        <f>CF!J34</f>
        <v>6822.6559999999999</v>
      </c>
      <c r="L83" s="998">
        <f>CF!K34</f>
        <v>8161.25</v>
      </c>
      <c r="M83" s="998">
        <f>CF!L34</f>
        <v>7505.1279999999997</v>
      </c>
      <c r="N83" s="998">
        <f>CF!M34</f>
        <v>8012.7769999999991</v>
      </c>
      <c r="O83" s="998">
        <f>CF!N34</f>
        <v>11483.855</v>
      </c>
      <c r="P83" s="998">
        <f>CF!O34</f>
        <v>17570.868000000002</v>
      </c>
      <c r="Q83" s="998">
        <f>CF!P34</f>
        <v>17924.195999999996</v>
      </c>
      <c r="R83" s="998">
        <f>CF!Q34</f>
        <v>22600.361999999994</v>
      </c>
      <c r="S83" s="998">
        <f>CF!R34</f>
        <v>22412.228999999999</v>
      </c>
      <c r="T83" s="998">
        <f>CF!S34</f>
        <v>24383.995999999999</v>
      </c>
    </row>
    <row r="84" spans="1:20" x14ac:dyDescent="0.4">
      <c r="A84" s="995" t="s">
        <v>2163</v>
      </c>
      <c r="B84" s="995" t="s">
        <v>2164</v>
      </c>
      <c r="C84" s="1006"/>
      <c r="D84" s="1006"/>
      <c r="E84" s="1006"/>
      <c r="F84" s="1006"/>
      <c r="G84" s="1006"/>
      <c r="H84" s="1006"/>
      <c r="I84" s="1006"/>
      <c r="J84" s="1006"/>
      <c r="K84" s="1006"/>
      <c r="L84" s="1006"/>
      <c r="M84" s="1006"/>
      <c r="N84" s="1006"/>
      <c r="O84" s="1006"/>
      <c r="P84" s="1006"/>
      <c r="Q84" s="1006"/>
      <c r="R84" s="1006"/>
      <c r="S84" s="1006"/>
      <c r="T84" s="1006"/>
    </row>
    <row r="85" spans="1:20" ht="10.9" x14ac:dyDescent="0.35">
      <c r="A85" s="148" t="s">
        <v>1764</v>
      </c>
      <c r="B85" s="148" t="s">
        <v>135</v>
      </c>
      <c r="C85" s="180">
        <f>PL!D42</f>
        <v>4.4590360245039526E-2</v>
      </c>
      <c r="D85" s="180">
        <f>PL!E42</f>
        <v>7.5343412152311079E-2</v>
      </c>
      <c r="E85" s="180">
        <f>E10/E9</f>
        <v>9.3922875570067732E-2</v>
      </c>
      <c r="F85" s="180">
        <f>PL!F42</f>
        <v>8.251153097086987E-2</v>
      </c>
      <c r="G85" s="180">
        <f>G10/G9</f>
        <v>9.3754174124435652E-2</v>
      </c>
      <c r="H85" s="180">
        <f>PL!G42</f>
        <v>8.7542071511562611E-2</v>
      </c>
      <c r="I85" s="180">
        <f>PL!H42</f>
        <v>0.10981124640330348</v>
      </c>
      <c r="J85" s="180">
        <f>PL!I42</f>
        <v>0.10978386087180342</v>
      </c>
      <c r="K85" s="180">
        <f>PL!J42</f>
        <v>0.12405911095329855</v>
      </c>
      <c r="L85" s="180">
        <f>PL!K42</f>
        <v>0.13728641680123083</v>
      </c>
      <c r="M85" s="180">
        <f>PL!L42</f>
        <v>0.13772214088007756</v>
      </c>
      <c r="N85" s="180">
        <f>PL!M42</f>
        <v>0.13454901542229122</v>
      </c>
      <c r="O85" s="180">
        <f>PL!N42</f>
        <v>0.12947848215489144</v>
      </c>
      <c r="P85" s="180">
        <f>PL!O42</f>
        <v>0.15183742297795419</v>
      </c>
      <c r="Q85" s="180">
        <f>PL!P42</f>
        <v>0.15633648786013182</v>
      </c>
      <c r="R85" s="180">
        <f>PL!Q42</f>
        <v>0.14976084357048211</v>
      </c>
      <c r="S85" s="180">
        <f>PL!R42</f>
        <v>0.14864641298444206</v>
      </c>
      <c r="T85" s="180">
        <f>PL!S42</f>
        <v>0.15499680285559311</v>
      </c>
    </row>
    <row r="86" spans="1:20" ht="10.9" hidden="1" outlineLevel="1" x14ac:dyDescent="0.35">
      <c r="A86" s="148" t="s">
        <v>2165</v>
      </c>
      <c r="B86" s="148" t="s">
        <v>2166</v>
      </c>
      <c r="C86" s="180" t="e">
        <f>PL!#REF!</f>
        <v>#REF!</v>
      </c>
      <c r="D86" s="180" t="e">
        <f>PL!#REF!</f>
        <v>#REF!</v>
      </c>
      <c r="E86" s="180">
        <f>E14/E9</f>
        <v>5.3404215128045981E-2</v>
      </c>
      <c r="F86" s="180" t="e">
        <f>PL!#REF!</f>
        <v>#REF!</v>
      </c>
      <c r="G86" s="180">
        <f>G14/G9</f>
        <v>5.5579301685678414E-2</v>
      </c>
      <c r="H86" s="180" t="e">
        <f>PL!#REF!</f>
        <v>#REF!</v>
      </c>
      <c r="I86" s="180" t="e">
        <f>PL!#REF!</f>
        <v>#REF!</v>
      </c>
      <c r="J86" s="180" t="e">
        <f>PL!#REF!</f>
        <v>#REF!</v>
      </c>
      <c r="K86" s="180" t="e">
        <f>PL!#REF!</f>
        <v>#REF!</v>
      </c>
      <c r="L86" s="180" t="e">
        <f>PL!#REF!</f>
        <v>#REF!</v>
      </c>
      <c r="M86" s="180" t="e">
        <f>PL!#REF!</f>
        <v>#REF!</v>
      </c>
      <c r="N86" s="180" t="e">
        <f>PL!#REF!</f>
        <v>#REF!</v>
      </c>
      <c r="O86" s="180" t="e">
        <f>PL!#REF!</f>
        <v>#REF!</v>
      </c>
      <c r="P86" s="180" t="e">
        <f>PL!#REF!</f>
        <v>#REF!</v>
      </c>
      <c r="Q86" s="180" t="e">
        <f>PL!#REF!</f>
        <v>#REF!</v>
      </c>
      <c r="R86" s="180" t="e">
        <f>PL!#REF!</f>
        <v>#REF!</v>
      </c>
      <c r="S86" s="180" t="e">
        <f>PL!#REF!</f>
        <v>#REF!</v>
      </c>
      <c r="T86" s="180" t="e">
        <f>PL!#REF!</f>
        <v>#REF!</v>
      </c>
    </row>
    <row r="87" spans="1:20" ht="10.9" collapsed="1" x14ac:dyDescent="0.35">
      <c r="A87" s="148" t="s">
        <v>1765</v>
      </c>
      <c r="B87" s="148" t="s">
        <v>2016</v>
      </c>
      <c r="C87" s="180">
        <f>PL!D114</f>
        <v>2.1581909203710607E-2</v>
      </c>
      <c r="D87" s="180">
        <f>PL!E114</f>
        <v>3.9819061573685567E-2</v>
      </c>
      <c r="E87" s="180">
        <f>E27/E9</f>
        <v>2.7741047575356882E-2</v>
      </c>
      <c r="F87" s="180">
        <f>PL!F114</f>
        <v>4.4397334096696391E-2</v>
      </c>
      <c r="G87" s="180">
        <f>G27/G9</f>
        <v>2.8544332540806242E-2</v>
      </c>
      <c r="H87" s="180">
        <f>PL!G114</f>
        <v>5.400556409902383E-2</v>
      </c>
      <c r="I87" s="180">
        <f>PL!H114</f>
        <v>8.6479942911844701E-2</v>
      </c>
      <c r="J87" s="180">
        <f>PL!I114</f>
        <v>9.2031038424021591E-2</v>
      </c>
      <c r="K87" s="180">
        <f>PL!J114</f>
        <v>0.13423835703716827</v>
      </c>
      <c r="L87" s="180">
        <f>PL!K114</f>
        <v>0.10076923302457487</v>
      </c>
      <c r="M87" s="180">
        <f>PL!L114</f>
        <v>0.100390611672763</v>
      </c>
      <c r="N87" s="180">
        <f>PL!M114</f>
        <v>0.11905007005443623</v>
      </c>
      <c r="O87" s="180">
        <f>PL!N114</f>
        <v>0.11102234727741658</v>
      </c>
      <c r="P87" s="180">
        <f>PL!O114</f>
        <v>0.10946789038972395</v>
      </c>
      <c r="Q87" s="180">
        <f>PL!P114</f>
        <v>8.0899640572920373E-2</v>
      </c>
      <c r="R87" s="180">
        <f>PL!Q114</f>
        <v>8.7777464964224422E-2</v>
      </c>
      <c r="S87" s="180">
        <f>PL!R114</f>
        <v>9.6310594851014203E-2</v>
      </c>
      <c r="T87" s="180">
        <f>PL!S114</f>
        <v>8.7969382436704449E-2</v>
      </c>
    </row>
    <row r="88" spans="1:20" ht="10.9" x14ac:dyDescent="0.35">
      <c r="A88" s="148" t="s">
        <v>1806</v>
      </c>
      <c r="B88" s="148" t="s">
        <v>81</v>
      </c>
      <c r="C88" s="180">
        <f>PL!D132</f>
        <v>4.2676655315075094E-3</v>
      </c>
      <c r="D88" s="180">
        <f>PL!E132</f>
        <v>5.0169400217536693E-3</v>
      </c>
      <c r="E88" s="180"/>
      <c r="F88" s="180">
        <f>PL!F132</f>
        <v>9.6297092809896519E-3</v>
      </c>
      <c r="G88" s="180"/>
      <c r="H88" s="180">
        <f>PL!G132</f>
        <v>7.4385905915728282E-3</v>
      </c>
      <c r="I88" s="1007"/>
      <c r="J88" s="1007"/>
      <c r="K88" s="1007"/>
      <c r="L88" s="1007"/>
      <c r="M88" s="1007"/>
      <c r="N88" s="1007"/>
      <c r="O88" s="1007"/>
      <c r="P88" s="1007"/>
      <c r="Q88" s="1007"/>
      <c r="R88" s="1007"/>
      <c r="S88" s="1007"/>
      <c r="T88" s="1007"/>
    </row>
    <row r="89" spans="1:20" ht="10.9" x14ac:dyDescent="0.35">
      <c r="A89" s="148" t="s">
        <v>2167</v>
      </c>
      <c r="B89" s="148" t="s">
        <v>87</v>
      </c>
      <c r="C89" s="180">
        <f>PL!D141</f>
        <v>4.1082886167887515E-2</v>
      </c>
      <c r="D89" s="180">
        <f>PL!E141</f>
        <v>5.3222823192932985E-2</v>
      </c>
      <c r="E89" s="180"/>
      <c r="F89" s="180">
        <f>PL!F141</f>
        <v>5.4467865227372715E-2</v>
      </c>
      <c r="G89" s="180">
        <f>G27/G62</f>
        <v>1.1571178722459566E-2</v>
      </c>
      <c r="H89" s="180">
        <f>PL!G141</f>
        <v>4.6546740973542888E-2</v>
      </c>
      <c r="I89" s="180">
        <f>PL!H141</f>
        <v>5.5476984245015688E-2</v>
      </c>
      <c r="J89" s="180">
        <f>PL!I141</f>
        <v>5.6387120048431244E-2</v>
      </c>
      <c r="K89" s="180">
        <f>PL!J141</f>
        <v>7.903870160787442E-2</v>
      </c>
      <c r="L89" s="180">
        <f>PL!K141</f>
        <v>5.2421615409560418E-2</v>
      </c>
      <c r="M89" s="180">
        <f>PL!L141</f>
        <v>5.1929353753573118E-2</v>
      </c>
      <c r="N89" s="180">
        <f>PL!M141</f>
        <v>6.1886081757800276E-2</v>
      </c>
      <c r="O89" s="180">
        <f>PL!N141</f>
        <v>5.9531175396604012E-2</v>
      </c>
      <c r="P89" s="180">
        <f>PL!O141</f>
        <v>4.6322738772948541E-2</v>
      </c>
      <c r="Q89" s="180">
        <f>PL!P141</f>
        <v>3.3059644962403656E-2</v>
      </c>
      <c r="R89" s="180">
        <f>PL!Q141</f>
        <v>3.3534116691503864E-2</v>
      </c>
      <c r="S89" s="180">
        <f>PL!R141</f>
        <v>3.2200235074636027E-2</v>
      </c>
      <c r="T89" s="180">
        <f>PL!S141</f>
        <v>3.1013962801963706E-2</v>
      </c>
    </row>
    <row r="90" spans="1:20" ht="10.9" x14ac:dyDescent="0.35">
      <c r="A90" s="148" t="s">
        <v>1807</v>
      </c>
      <c r="B90" s="148" t="s">
        <v>86</v>
      </c>
      <c r="C90" s="180">
        <f>PL!D140</f>
        <v>0.24659393664952384</v>
      </c>
      <c r="D90" s="180">
        <f>PL!E140</f>
        <v>0.25872716049540495</v>
      </c>
      <c r="E90" s="180"/>
      <c r="F90" s="180">
        <f>PL!F140</f>
        <v>0.20915891206127885</v>
      </c>
      <c r="G90" s="180">
        <f>G27/G60</f>
        <v>0.87260106165781948</v>
      </c>
      <c r="H90" s="180">
        <f>PL!G140</f>
        <v>0.17941637415955011</v>
      </c>
      <c r="I90" s="180">
        <f>PL!H140</f>
        <v>0.2322391439397809</v>
      </c>
      <c r="J90" s="180">
        <f>PL!I140</f>
        <v>0.21366777506870749</v>
      </c>
      <c r="K90" s="180">
        <f>PL!J140</f>
        <v>0.25575899940939595</v>
      </c>
      <c r="L90" s="180">
        <f>PL!K140</f>
        <v>0.18676819911790263</v>
      </c>
      <c r="M90" s="180">
        <f>PL!L140</f>
        <v>0.19334727147603031</v>
      </c>
      <c r="N90" s="180">
        <f>PL!M140</f>
        <v>0.21035279840705426</v>
      </c>
      <c r="O90" s="180">
        <f>PL!N140</f>
        <v>0.21097269250660977</v>
      </c>
      <c r="P90" s="180">
        <f>PL!O140</f>
        <v>0.17281939962245094</v>
      </c>
      <c r="Q90" s="180">
        <f>PL!P140</f>
        <v>0.1175863754900464</v>
      </c>
      <c r="R90" s="180">
        <f>PL!Q140</f>
        <v>0.13431854962184941</v>
      </c>
      <c r="S90" s="180">
        <f>PL!R140</f>
        <v>0.13185532302994332</v>
      </c>
      <c r="T90" s="180">
        <f>PL!S140</f>
        <v>0.12887782699969158</v>
      </c>
    </row>
    <row r="91" spans="1:20" ht="10.9" x14ac:dyDescent="0.35">
      <c r="A91" s="148" t="s">
        <v>2168</v>
      </c>
      <c r="B91" s="148" t="s">
        <v>2169</v>
      </c>
      <c r="C91" s="180">
        <f>BS!D95</f>
        <v>0.81986394582980471</v>
      </c>
      <c r="D91" s="180">
        <f>BS!E95</f>
        <v>0.71663739514140434</v>
      </c>
      <c r="E91" s="180"/>
      <c r="F91" s="180">
        <f>BS!F95</f>
        <v>0.71912829776358522</v>
      </c>
      <c r="G91" s="180">
        <f>G58/G62</f>
        <v>0.95394811650233102</v>
      </c>
      <c r="H91" s="180">
        <f>BS!G95</f>
        <v>0.672876029618795</v>
      </c>
      <c r="I91" s="180">
        <f>BS!H95</f>
        <v>0.75248698808774717</v>
      </c>
      <c r="J91" s="180">
        <f>BS!I95</f>
        <v>0.6447452645300531</v>
      </c>
      <c r="K91" s="180">
        <f>BS!J95</f>
        <v>0.62773642775287364</v>
      </c>
      <c r="L91" s="180">
        <f>BS!K95</f>
        <v>0.69137934088252873</v>
      </c>
      <c r="M91" s="180">
        <f>BS!L95</f>
        <v>0.69964057943883207</v>
      </c>
      <c r="N91" s="180">
        <f>BS!M95</f>
        <v>0.68148410837997508</v>
      </c>
      <c r="O91" s="180">
        <f>BS!N95</f>
        <v>0.70211217490289612</v>
      </c>
      <c r="P91" s="180">
        <f>BS!O95</f>
        <v>0.67546851615024794</v>
      </c>
      <c r="Q91" s="180">
        <f>BS!P95</f>
        <v>0.6835322636940685</v>
      </c>
      <c r="R91" s="180">
        <f>BS!Q95</f>
        <v>0.68463428244576641</v>
      </c>
      <c r="S91" s="180">
        <f>BS!R95</f>
        <v>0.68802987390907766</v>
      </c>
      <c r="T91" s="180">
        <f>BS!S95</f>
        <v>0.69803477378751366</v>
      </c>
    </row>
    <row r="92" spans="1:20" ht="10.9" x14ac:dyDescent="0.35">
      <c r="A92" s="148" t="s">
        <v>2170</v>
      </c>
      <c r="B92" s="148" t="s">
        <v>2171</v>
      </c>
      <c r="C92" s="182" t="e">
        <f>BS!#REF!</f>
        <v>#REF!</v>
      </c>
      <c r="D92" s="182">
        <f>BS!C103</f>
        <v>0</v>
      </c>
      <c r="E92" s="182"/>
      <c r="F92" s="182">
        <f>BS!D103</f>
        <v>-1.7461530012800235</v>
      </c>
      <c r="G92" s="182"/>
      <c r="H92" s="182">
        <f>BS!E103</f>
        <v>-0.69556191703511139</v>
      </c>
      <c r="I92" s="182">
        <f>BS!F103</f>
        <v>-0.34210466868812811</v>
      </c>
      <c r="J92" s="103"/>
      <c r="K92" s="103"/>
      <c r="L92" s="103"/>
      <c r="M92" s="103"/>
      <c r="N92" s="1007"/>
      <c r="O92" s="1007"/>
      <c r="P92" s="1007"/>
      <c r="Q92" s="1007"/>
      <c r="R92" s="1007"/>
      <c r="S92" s="1007"/>
      <c r="T92" s="1007"/>
    </row>
    <row r="93" spans="1:20" ht="10.9" hidden="1" outlineLevel="1" x14ac:dyDescent="0.35">
      <c r="A93" s="148" t="s">
        <v>2569</v>
      </c>
      <c r="B93" s="148" t="s">
        <v>800</v>
      </c>
      <c r="C93" s="1008"/>
      <c r="D93" s="1008">
        <f>PL!E122</f>
        <v>7.6652099486944569E-2</v>
      </c>
      <c r="E93" s="1008"/>
      <c r="F93" s="1008">
        <f>PL!F122</f>
        <v>9.2635540681244688E-2</v>
      </c>
      <c r="G93" s="1008"/>
      <c r="H93" s="1008">
        <f>PL!G122</f>
        <v>0.11596097524738053</v>
      </c>
      <c r="I93" s="1008">
        <f>PL!H122</f>
        <v>0.19618240955544278</v>
      </c>
      <c r="J93" s="809"/>
      <c r="K93" s="809"/>
      <c r="L93" s="809"/>
      <c r="M93" s="809"/>
    </row>
    <row r="94" spans="1:20" ht="10.9" hidden="1" outlineLevel="1" x14ac:dyDescent="0.35">
      <c r="A94" s="148" t="s">
        <v>2172</v>
      </c>
      <c r="B94" s="148" t="s">
        <v>1980</v>
      </c>
      <c r="C94" s="802"/>
      <c r="D94" s="1009"/>
      <c r="E94" s="1009"/>
      <c r="F94" s="1009">
        <v>0</v>
      </c>
      <c r="G94" s="1009"/>
      <c r="H94" s="1009">
        <v>0</v>
      </c>
      <c r="I94" s="1009">
        <v>0</v>
      </c>
      <c r="J94" s="809"/>
      <c r="K94" s="809"/>
      <c r="L94" s="809"/>
      <c r="M94" s="809"/>
    </row>
    <row r="95" spans="1:20" ht="10.9" hidden="1" outlineLevel="1" x14ac:dyDescent="0.35">
      <c r="A95" s="148" t="s">
        <v>2173</v>
      </c>
      <c r="B95" s="148" t="s">
        <v>54</v>
      </c>
      <c r="C95" s="1008">
        <f>BS!D90</f>
        <v>0.18443033584744828</v>
      </c>
      <c r="D95" s="1008">
        <f>BS!E90</f>
        <v>0.40810196219325873</v>
      </c>
      <c r="E95" s="1008"/>
      <c r="F95" s="1008">
        <f>BS!F90</f>
        <v>0.47768903536274837</v>
      </c>
      <c r="G95" s="1008"/>
      <c r="H95" s="1008">
        <f>BS!G90</f>
        <v>0.81495747798457407</v>
      </c>
      <c r="I95" s="1008">
        <f>BS!H90</f>
        <v>0.87452868035497289</v>
      </c>
      <c r="J95" s="809"/>
      <c r="K95" s="809"/>
      <c r="L95" s="809"/>
      <c r="M95" s="809"/>
    </row>
    <row r="96" spans="1:20" collapsed="1" x14ac:dyDescent="0.4"/>
    <row r="101" spans="7:7" x14ac:dyDescent="0.4">
      <c r="G101" s="994">
        <f>(G9-G10)/G35</f>
        <v>6.7135365129625963</v>
      </c>
    </row>
    <row r="102" spans="7:7" x14ac:dyDescent="0.4">
      <c r="G102" s="994">
        <f>(G39-18421-911-G35)/G56</f>
        <v>0.79496168859332084</v>
      </c>
    </row>
    <row r="103" spans="7:7" x14ac:dyDescent="0.4">
      <c r="G103" s="994">
        <f>(G39)/G56</f>
        <v>1.0077562527107127</v>
      </c>
    </row>
  </sheetData>
  <phoneticPr fontId="51" type="noConversion"/>
  <pageMargins left="0.75" right="0.75" top="1" bottom="1" header="0.5" footer="0.5"/>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3995"/>
  <sheetViews>
    <sheetView showGridLines="0" workbookViewId="0">
      <selection activeCell="B36" sqref="B36"/>
    </sheetView>
  </sheetViews>
  <sheetFormatPr defaultColWidth="8.5625" defaultRowHeight="12" x14ac:dyDescent="0.35"/>
  <cols>
    <col min="1" max="2" width="9" style="1010" customWidth="1"/>
    <col min="3" max="3" width="8.5625" style="1011"/>
    <col min="4" max="4" width="7.5625" style="1011" customWidth="1"/>
    <col min="5" max="16384" width="8.5625" style="1011"/>
  </cols>
  <sheetData>
    <row r="1" spans="1:5" x14ac:dyDescent="0.35">
      <c r="E1" s="1010" t="s">
        <v>2570</v>
      </c>
    </row>
    <row r="2" spans="1:5" x14ac:dyDescent="0.35">
      <c r="B2" s="1010" t="s">
        <v>2571</v>
      </c>
      <c r="E2" s="1010" t="s">
        <v>2572</v>
      </c>
    </row>
    <row r="3" spans="1:5" x14ac:dyDescent="0.35">
      <c r="A3" s="1012">
        <v>38541</v>
      </c>
      <c r="B3" s="1013">
        <v>2.5974508914289678</v>
      </c>
      <c r="D3" s="1014">
        <v>38898</v>
      </c>
      <c r="E3" s="1015">
        <v>0.24659393664952384</v>
      </c>
    </row>
    <row r="4" spans="1:5" x14ac:dyDescent="0.35">
      <c r="A4" s="1012">
        <v>38544</v>
      </c>
      <c r="B4" s="1013">
        <v>2.3833111245518803</v>
      </c>
      <c r="D4" s="1014">
        <v>39263</v>
      </c>
      <c r="E4" s="1015">
        <v>0.25872716049540495</v>
      </c>
    </row>
    <row r="5" spans="1:5" x14ac:dyDescent="0.35">
      <c r="A5" s="1012">
        <v>38545</v>
      </c>
      <c r="B5" s="1013">
        <v>2.4080742819375534</v>
      </c>
      <c r="D5" s="1014">
        <v>39629</v>
      </c>
      <c r="E5" s="1015">
        <v>0.20915891206127885</v>
      </c>
    </row>
    <row r="6" spans="1:5" x14ac:dyDescent="0.35">
      <c r="A6" s="1012">
        <v>38546</v>
      </c>
      <c r="B6" s="1013">
        <v>2.2235343066515552</v>
      </c>
      <c r="D6" s="1014">
        <v>39994</v>
      </c>
      <c r="E6" s="1015">
        <v>0.17941637415955011</v>
      </c>
    </row>
    <row r="7" spans="1:5" x14ac:dyDescent="0.35">
      <c r="A7" s="1012">
        <v>38547</v>
      </c>
      <c r="B7" s="1013">
        <v>2.1699314283707909</v>
      </c>
      <c r="D7" s="1014">
        <v>40359</v>
      </c>
      <c r="E7" s="1015">
        <v>0.2322391439397809</v>
      </c>
    </row>
    <row r="8" spans="1:5" x14ac:dyDescent="0.35">
      <c r="A8" s="1012">
        <v>38548</v>
      </c>
      <c r="B8" s="1013">
        <v>2.1686485231166039</v>
      </c>
      <c r="D8" s="1014">
        <v>40724</v>
      </c>
      <c r="E8" s="1015">
        <v>0.21366777506870749</v>
      </c>
    </row>
    <row r="9" spans="1:5" x14ac:dyDescent="0.35">
      <c r="A9" s="1012">
        <v>38551</v>
      </c>
      <c r="B9" s="1013">
        <v>2.2430549975442982</v>
      </c>
      <c r="D9" s="1014">
        <v>41090</v>
      </c>
      <c r="E9" s="1015">
        <v>0.18534284259390019</v>
      </c>
    </row>
    <row r="10" spans="1:5" x14ac:dyDescent="0.35">
      <c r="A10" s="1012">
        <v>38552</v>
      </c>
      <c r="B10" s="1013">
        <v>2.1895986869108985</v>
      </c>
      <c r="D10" s="1014">
        <v>41455</v>
      </c>
      <c r="E10" s="1015">
        <v>0.18676819911790263</v>
      </c>
    </row>
    <row r="11" spans="1:5" x14ac:dyDescent="0.35">
      <c r="A11" s="1012">
        <v>38553</v>
      </c>
      <c r="B11" s="1013">
        <v>2.2404105401815855</v>
      </c>
      <c r="D11" s="1014">
        <v>41820</v>
      </c>
      <c r="E11" s="1015">
        <v>0.19334727147603031</v>
      </c>
    </row>
    <row r="12" spans="1:5" x14ac:dyDescent="0.35">
      <c r="A12" s="1012">
        <v>38554</v>
      </c>
      <c r="B12" s="1013">
        <v>2.2651265861637238</v>
      </c>
      <c r="D12" s="1014">
        <v>42185</v>
      </c>
      <c r="E12" s="1015">
        <v>0.21035279840705426</v>
      </c>
    </row>
    <row r="13" spans="1:5" x14ac:dyDescent="0.35">
      <c r="A13" s="1012">
        <v>38555</v>
      </c>
      <c r="B13" s="1013">
        <v>2.3418547439236863</v>
      </c>
      <c r="D13" s="1014">
        <v>42551</v>
      </c>
      <c r="E13" s="1015">
        <v>0.21097269250660977</v>
      </c>
    </row>
    <row r="14" spans="1:5" x14ac:dyDescent="0.35">
      <c r="A14" s="1012">
        <v>38558</v>
      </c>
      <c r="B14" s="1013">
        <v>2.3117507800083006</v>
      </c>
      <c r="D14" s="1014">
        <v>42916</v>
      </c>
      <c r="E14" s="1015">
        <v>0.17281939962245094</v>
      </c>
    </row>
    <row r="15" spans="1:5" x14ac:dyDescent="0.35">
      <c r="A15" s="1012">
        <v>38559</v>
      </c>
      <c r="B15" s="1013">
        <v>2.232514448542362</v>
      </c>
      <c r="D15" s="1014">
        <v>43281</v>
      </c>
      <c r="E15" s="1015">
        <v>0.1175863754900464</v>
      </c>
    </row>
    <row r="16" spans="1:5" x14ac:dyDescent="0.35">
      <c r="A16" s="1012">
        <v>38560</v>
      </c>
      <c r="B16" s="1013">
        <v>2.1793153798513449</v>
      </c>
      <c r="D16" s="1014">
        <v>43646</v>
      </c>
      <c r="E16" s="1015">
        <v>0.13431854962184941</v>
      </c>
    </row>
    <row r="17" spans="1:5" x14ac:dyDescent="0.35">
      <c r="A17" s="1012">
        <v>38561</v>
      </c>
      <c r="B17" s="1013">
        <v>2.2039657629272824</v>
      </c>
      <c r="D17" s="1014">
        <v>44012</v>
      </c>
      <c r="E17" s="1015">
        <v>0.13528163246369354</v>
      </c>
    </row>
    <row r="18" spans="1:5" x14ac:dyDescent="0.35">
      <c r="A18" s="1012">
        <v>38562</v>
      </c>
      <c r="B18" s="1013">
        <v>2.2026734326268924</v>
      </c>
      <c r="D18" s="1014">
        <v>44377</v>
      </c>
      <c r="E18" s="1015">
        <v>0.13727059571083119</v>
      </c>
    </row>
    <row r="19" spans="1:5" x14ac:dyDescent="0.35">
      <c r="A19" s="1012">
        <v>38565</v>
      </c>
      <c r="B19" s="1013">
        <v>2.1988055190982956</v>
      </c>
    </row>
    <row r="20" spans="1:5" x14ac:dyDescent="0.35">
      <c r="A20" s="1012">
        <v>38566</v>
      </c>
      <c r="B20" s="1013">
        <v>2.2492255663887901</v>
      </c>
    </row>
    <row r="21" spans="1:5" x14ac:dyDescent="0.35">
      <c r="A21" s="1012">
        <v>38567</v>
      </c>
      <c r="B21" s="1013">
        <v>2.2737486050098394</v>
      </c>
    </row>
    <row r="22" spans="1:5" x14ac:dyDescent="0.35">
      <c r="A22" s="1012">
        <v>38568</v>
      </c>
      <c r="B22" s="1013">
        <v>2.2207741208299234</v>
      </c>
    </row>
    <row r="23" spans="1:5" x14ac:dyDescent="0.35">
      <c r="A23" s="1012">
        <v>38569</v>
      </c>
      <c r="B23" s="1013">
        <v>2.2452851328258809</v>
      </c>
    </row>
    <row r="24" spans="1:5" x14ac:dyDescent="0.35">
      <c r="A24" s="1012">
        <v>38572</v>
      </c>
      <c r="B24" s="1013">
        <v>2.2155957404936641</v>
      </c>
    </row>
    <row r="25" spans="1:5" x14ac:dyDescent="0.35">
      <c r="A25" s="1012">
        <v>38573</v>
      </c>
      <c r="B25" s="1013">
        <v>2.2400526482056482</v>
      </c>
    </row>
    <row r="26" spans="1:5" x14ac:dyDescent="0.35">
      <c r="A26" s="1012">
        <v>38574</v>
      </c>
      <c r="B26" s="1013">
        <v>2.2644810749290878</v>
      </c>
    </row>
    <row r="27" spans="1:5" x14ac:dyDescent="0.35">
      <c r="A27" s="1012">
        <v>38575</v>
      </c>
      <c r="B27" s="1013">
        <v>2.3145988352216</v>
      </c>
    </row>
    <row r="28" spans="1:5" x14ac:dyDescent="0.35">
      <c r="A28" s="1012">
        <v>38576</v>
      </c>
      <c r="B28" s="1013">
        <v>2.6473891830082299</v>
      </c>
    </row>
    <row r="29" spans="1:5" x14ac:dyDescent="0.35">
      <c r="A29" s="1012">
        <v>38579</v>
      </c>
      <c r="B29" s="1013">
        <v>2.6427781310092953</v>
      </c>
    </row>
    <row r="30" spans="1:5" x14ac:dyDescent="0.35">
      <c r="A30" s="1012">
        <v>38580</v>
      </c>
      <c r="B30" s="1013">
        <v>2.6156015287991368</v>
      </c>
    </row>
    <row r="31" spans="1:5" x14ac:dyDescent="0.35">
      <c r="A31" s="1012">
        <v>38581</v>
      </c>
      <c r="B31" s="1013">
        <v>2.7165978545257849</v>
      </c>
    </row>
    <row r="32" spans="1:5" x14ac:dyDescent="0.35">
      <c r="A32" s="1012">
        <v>38582</v>
      </c>
      <c r="B32" s="1013">
        <v>2.6637965418362008</v>
      </c>
    </row>
    <row r="33" spans="1:2" x14ac:dyDescent="0.35">
      <c r="A33" s="1012">
        <v>38583</v>
      </c>
      <c r="B33" s="1013">
        <v>2.6622535819803637</v>
      </c>
    </row>
    <row r="34" spans="1:2" x14ac:dyDescent="0.35">
      <c r="A34" s="1012">
        <v>38586</v>
      </c>
      <c r="B34" s="1013">
        <v>2.6576354086147833</v>
      </c>
    </row>
    <row r="35" spans="1:2" x14ac:dyDescent="0.35">
      <c r="A35" s="1012">
        <v>38587</v>
      </c>
      <c r="B35" s="1013">
        <v>2.6816389949143273</v>
      </c>
    </row>
    <row r="36" spans="1:2" x14ac:dyDescent="0.35">
      <c r="A36" s="1012">
        <v>38588</v>
      </c>
      <c r="B36" s="1013">
        <v>2.6035161804176656</v>
      </c>
    </row>
    <row r="37" spans="1:2" x14ac:dyDescent="0.35">
      <c r="A37" s="1012">
        <v>38589</v>
      </c>
      <c r="B37" s="1013">
        <v>2.602013359861814</v>
      </c>
    </row>
    <row r="38" spans="1:2" x14ac:dyDescent="0.35">
      <c r="A38" s="1012">
        <v>38590</v>
      </c>
      <c r="B38" s="1013">
        <v>2.651502709973379</v>
      </c>
    </row>
    <row r="39" spans="1:2" x14ac:dyDescent="0.35">
      <c r="A39" s="1012">
        <v>38593</v>
      </c>
      <c r="B39" s="1013">
        <v>2.545117046130287</v>
      </c>
    </row>
    <row r="40" spans="1:2" x14ac:dyDescent="0.35">
      <c r="A40" s="1012">
        <v>38594</v>
      </c>
      <c r="B40" s="1013">
        <v>2.5945252062602151</v>
      </c>
    </row>
    <row r="41" spans="1:2" x14ac:dyDescent="0.35">
      <c r="A41" s="1012">
        <v>38595</v>
      </c>
      <c r="B41" s="1013">
        <v>2.4913451858708289</v>
      </c>
    </row>
    <row r="42" spans="1:2" x14ac:dyDescent="0.35">
      <c r="A42" s="1012">
        <v>38596</v>
      </c>
      <c r="B42" s="1013">
        <v>2.6169492732383102</v>
      </c>
    </row>
    <row r="43" spans="1:2" x14ac:dyDescent="0.35">
      <c r="A43" s="1012">
        <v>38597</v>
      </c>
      <c r="B43" s="1013">
        <v>2.5900529660913794</v>
      </c>
    </row>
    <row r="44" spans="1:2" x14ac:dyDescent="0.35">
      <c r="A44" s="1012">
        <v>38600</v>
      </c>
      <c r="B44" s="1013">
        <v>2.5348981541076312</v>
      </c>
    </row>
    <row r="45" spans="1:2" x14ac:dyDescent="0.35">
      <c r="A45" s="1012">
        <v>38601</v>
      </c>
      <c r="B45" s="1013">
        <v>2.558779457372971</v>
      </c>
    </row>
    <row r="46" spans="1:2" x14ac:dyDescent="0.35">
      <c r="A46" s="1012">
        <v>38602</v>
      </c>
      <c r="B46" s="1013">
        <v>2.5573134608453434</v>
      </c>
    </row>
    <row r="47" spans="1:2" x14ac:dyDescent="0.35">
      <c r="A47" s="1012">
        <v>38603</v>
      </c>
      <c r="B47" s="1013">
        <v>2.5558491431769164</v>
      </c>
    </row>
    <row r="48" spans="1:2" x14ac:dyDescent="0.35">
      <c r="A48" s="1012">
        <v>38604</v>
      </c>
      <c r="B48" s="1013">
        <v>2.5543865014853968</v>
      </c>
    </row>
    <row r="49" spans="1:2" x14ac:dyDescent="0.35">
      <c r="A49" s="1012">
        <v>38607</v>
      </c>
      <c r="B49" s="1013">
        <v>2.5752562134842627</v>
      </c>
    </row>
    <row r="50" spans="1:2" x14ac:dyDescent="0.35">
      <c r="A50" s="1012">
        <v>38608</v>
      </c>
      <c r="B50" s="1013">
        <v>2.5737858314993769</v>
      </c>
    </row>
    <row r="51" spans="1:2" x14ac:dyDescent="0.35">
      <c r="A51" s="1012">
        <v>38609</v>
      </c>
      <c r="B51" s="1013">
        <v>2.5975359229995099</v>
      </c>
    </row>
    <row r="52" spans="1:2" x14ac:dyDescent="0.35">
      <c r="A52" s="1012">
        <v>38610</v>
      </c>
      <c r="B52" s="1013">
        <v>2.8228942263603209</v>
      </c>
    </row>
    <row r="53" spans="1:2" x14ac:dyDescent="0.35">
      <c r="A53" s="1012">
        <v>38611</v>
      </c>
      <c r="B53" s="1013">
        <v>2.8716653007353146</v>
      </c>
    </row>
    <row r="54" spans="1:2" x14ac:dyDescent="0.35">
      <c r="A54" s="1012">
        <v>38614</v>
      </c>
      <c r="B54" s="1013">
        <v>2.86676323032684</v>
      </c>
    </row>
    <row r="55" spans="1:2" x14ac:dyDescent="0.35">
      <c r="A55" s="1012">
        <v>38615</v>
      </c>
      <c r="B55" s="1013">
        <v>2.8148674339915138</v>
      </c>
    </row>
    <row r="56" spans="1:2" x14ac:dyDescent="0.35">
      <c r="A56" s="1012">
        <v>38616</v>
      </c>
      <c r="B56" s="1013">
        <v>2.8635044706734245</v>
      </c>
    </row>
    <row r="57" spans="1:2" x14ac:dyDescent="0.35">
      <c r="A57" s="1012">
        <v>38617</v>
      </c>
      <c r="B57" s="1013">
        <v>2.9622946348182677</v>
      </c>
    </row>
    <row r="58" spans="1:2" x14ac:dyDescent="0.35">
      <c r="A58" s="1012">
        <v>38618</v>
      </c>
      <c r="B58" s="1013">
        <v>2.9857028091868227</v>
      </c>
    </row>
    <row r="59" spans="1:2" x14ac:dyDescent="0.35">
      <c r="A59" s="1012">
        <v>38621</v>
      </c>
      <c r="B59" s="1013">
        <v>3.0056735713807203</v>
      </c>
    </row>
    <row r="60" spans="1:2" x14ac:dyDescent="0.35">
      <c r="A60" s="1012">
        <v>38622</v>
      </c>
      <c r="B60" s="1013">
        <v>2.9288717690501929</v>
      </c>
    </row>
    <row r="61" spans="1:2" x14ac:dyDescent="0.35">
      <c r="A61" s="1012">
        <v>38623</v>
      </c>
      <c r="B61" s="1013">
        <v>3.0523082874133638</v>
      </c>
    </row>
    <row r="62" spans="1:2" x14ac:dyDescent="0.35">
      <c r="A62" s="1012">
        <v>38624</v>
      </c>
      <c r="B62" s="1013">
        <v>3.0255765372486181</v>
      </c>
    </row>
    <row r="63" spans="1:2" x14ac:dyDescent="0.35">
      <c r="A63" s="1012">
        <v>38625</v>
      </c>
      <c r="B63" s="1013">
        <v>3.2987625213847895</v>
      </c>
    </row>
    <row r="64" spans="1:2" x14ac:dyDescent="0.35">
      <c r="A64" s="1012">
        <v>38635</v>
      </c>
      <c r="B64" s="1013">
        <v>3.9263163763811106</v>
      </c>
    </row>
    <row r="65" spans="1:2" x14ac:dyDescent="0.35">
      <c r="A65" s="1012">
        <v>38636</v>
      </c>
      <c r="B65" s="1013">
        <v>3.9241098615165839</v>
      </c>
    </row>
    <row r="66" spans="1:2" x14ac:dyDescent="0.35">
      <c r="A66" s="1012">
        <v>38637</v>
      </c>
      <c r="B66" s="1013">
        <v>4.0211945803684088</v>
      </c>
    </row>
    <row r="67" spans="1:2" x14ac:dyDescent="0.35">
      <c r="A67" s="1012">
        <v>38638</v>
      </c>
      <c r="B67" s="1013">
        <v>3.6964299700565983</v>
      </c>
    </row>
    <row r="68" spans="1:2" x14ac:dyDescent="0.35">
      <c r="A68" s="1012">
        <v>38639</v>
      </c>
      <c r="B68" s="1013">
        <v>3.5703844606561983</v>
      </c>
    </row>
    <row r="69" spans="1:2" x14ac:dyDescent="0.35">
      <c r="A69" s="1012">
        <v>38642</v>
      </c>
      <c r="B69" s="1013">
        <v>3.8366646525832433</v>
      </c>
    </row>
    <row r="70" spans="1:2" x14ac:dyDescent="0.35">
      <c r="A70" s="1012">
        <v>38643</v>
      </c>
      <c r="B70" s="1013">
        <v>3.9829498839048676</v>
      </c>
    </row>
    <row r="71" spans="1:2" x14ac:dyDescent="0.35">
      <c r="A71" s="1012">
        <v>38644</v>
      </c>
      <c r="B71" s="1013">
        <v>3.9065466243866775</v>
      </c>
    </row>
    <row r="72" spans="1:2" x14ac:dyDescent="0.35">
      <c r="A72" s="1012">
        <v>38645</v>
      </c>
      <c r="B72" s="1013">
        <v>3.9290734214395613</v>
      </c>
    </row>
    <row r="73" spans="1:2" x14ac:dyDescent="0.35">
      <c r="A73" s="1012">
        <v>38646</v>
      </c>
      <c r="B73" s="1013">
        <v>3.9268776967221619</v>
      </c>
    </row>
    <row r="74" spans="1:2" x14ac:dyDescent="0.35">
      <c r="A74" s="1012">
        <v>38649</v>
      </c>
      <c r="B74" s="1013">
        <v>3.9696172380186101</v>
      </c>
    </row>
    <row r="75" spans="1:2" x14ac:dyDescent="0.35">
      <c r="A75" s="1012">
        <v>38650</v>
      </c>
      <c r="B75" s="1013">
        <v>3.7456234667592154</v>
      </c>
    </row>
    <row r="76" spans="1:2" x14ac:dyDescent="0.35">
      <c r="A76" s="1012">
        <v>38651</v>
      </c>
      <c r="B76" s="1013">
        <v>3.7927931476834433</v>
      </c>
    </row>
    <row r="77" spans="1:2" x14ac:dyDescent="0.35">
      <c r="A77" s="1012">
        <v>38652</v>
      </c>
      <c r="B77" s="1013">
        <v>3.7168362365816869</v>
      </c>
    </row>
    <row r="78" spans="1:2" x14ac:dyDescent="0.35">
      <c r="A78" s="1012">
        <v>38653</v>
      </c>
      <c r="B78" s="1013">
        <v>3.6409638902442114</v>
      </c>
    </row>
    <row r="79" spans="1:2" x14ac:dyDescent="0.35">
      <c r="A79" s="1012">
        <v>38656</v>
      </c>
      <c r="B79" s="1013">
        <v>3.7085739375719426</v>
      </c>
    </row>
    <row r="80" spans="1:2" x14ac:dyDescent="0.35">
      <c r="A80" s="1012">
        <v>38657</v>
      </c>
      <c r="B80" s="1013">
        <v>3.7556070011651195</v>
      </c>
    </row>
    <row r="81" spans="1:2" x14ac:dyDescent="0.35">
      <c r="A81" s="1012">
        <v>38658</v>
      </c>
      <c r="B81" s="1013">
        <v>3.7535221973502066</v>
      </c>
    </row>
    <row r="82" spans="1:2" x14ac:dyDescent="0.35">
      <c r="A82" s="1012">
        <v>38659</v>
      </c>
      <c r="B82" s="1013">
        <v>3.8004781344148357</v>
      </c>
    </row>
    <row r="83" spans="1:2" x14ac:dyDescent="0.35">
      <c r="A83" s="1012">
        <v>38660</v>
      </c>
      <c r="B83" s="1013">
        <v>3.7493595258882428</v>
      </c>
    </row>
    <row r="84" spans="1:2" x14ac:dyDescent="0.35">
      <c r="A84" s="1012">
        <v>38663</v>
      </c>
      <c r="B84" s="1013">
        <v>3.6697380407048756</v>
      </c>
    </row>
    <row r="85" spans="1:2" x14ac:dyDescent="0.35">
      <c r="A85" s="1012">
        <v>38664</v>
      </c>
      <c r="B85" s="1013">
        <v>3.6432562824001979</v>
      </c>
    </row>
    <row r="86" spans="1:2" x14ac:dyDescent="0.35">
      <c r="A86" s="1012">
        <v>38665</v>
      </c>
      <c r="B86" s="1013">
        <v>3.7878688564025977</v>
      </c>
    </row>
    <row r="87" spans="1:2" x14ac:dyDescent="0.35">
      <c r="A87" s="1012">
        <v>38666</v>
      </c>
      <c r="B87" s="1013">
        <v>3.8101997978790552</v>
      </c>
    </row>
    <row r="88" spans="1:2" x14ac:dyDescent="0.35">
      <c r="A88" s="1012">
        <v>38667</v>
      </c>
      <c r="B88" s="1013">
        <v>3.7348626032528522</v>
      </c>
    </row>
    <row r="89" spans="1:2" x14ac:dyDescent="0.35">
      <c r="A89" s="1012">
        <v>38670</v>
      </c>
      <c r="B89" s="1013">
        <v>3.7530543804489667</v>
      </c>
    </row>
    <row r="90" spans="1:2" x14ac:dyDescent="0.35">
      <c r="A90" s="1012">
        <v>38671</v>
      </c>
      <c r="B90" s="1013">
        <v>3.7266288693065408</v>
      </c>
    </row>
    <row r="91" spans="1:2" x14ac:dyDescent="0.35">
      <c r="A91" s="1012">
        <v>38672</v>
      </c>
      <c r="B91" s="1013">
        <v>3.7002324704501399</v>
      </c>
    </row>
    <row r="92" spans="1:2" x14ac:dyDescent="0.35">
      <c r="A92" s="1012">
        <v>38673</v>
      </c>
      <c r="B92" s="1013">
        <v>3.819846531922316</v>
      </c>
    </row>
    <row r="93" spans="1:2" x14ac:dyDescent="0.35">
      <c r="A93" s="1012">
        <v>38674</v>
      </c>
      <c r="B93" s="1013">
        <v>3.9636458082128265</v>
      </c>
    </row>
    <row r="94" spans="1:2" x14ac:dyDescent="0.35">
      <c r="A94" s="1012">
        <v>38677</v>
      </c>
      <c r="B94" s="1013">
        <v>3.957113832996038</v>
      </c>
    </row>
    <row r="95" spans="1:2" x14ac:dyDescent="0.35">
      <c r="A95" s="1012">
        <v>38678</v>
      </c>
      <c r="B95" s="1013">
        <v>3.809360628559221</v>
      </c>
    </row>
    <row r="96" spans="1:2" x14ac:dyDescent="0.35">
      <c r="A96" s="1012">
        <v>38679</v>
      </c>
      <c r="B96" s="1013">
        <v>3.831520482122404</v>
      </c>
    </row>
    <row r="97" spans="1:2" x14ac:dyDescent="0.35">
      <c r="A97" s="1012">
        <v>38680</v>
      </c>
      <c r="B97" s="1013">
        <v>3.902129690622961</v>
      </c>
    </row>
    <row r="98" spans="1:2" x14ac:dyDescent="0.35">
      <c r="A98" s="1012">
        <v>38681</v>
      </c>
      <c r="B98" s="1013">
        <v>3.9484379488647932</v>
      </c>
    </row>
    <row r="99" spans="1:2" x14ac:dyDescent="0.35">
      <c r="A99" s="1012">
        <v>38684</v>
      </c>
      <c r="B99" s="1013">
        <v>4.3530802020440467</v>
      </c>
    </row>
    <row r="100" spans="1:2" x14ac:dyDescent="0.35">
      <c r="A100" s="1012">
        <v>38685</v>
      </c>
      <c r="B100" s="1013">
        <v>4.3023583093705762</v>
      </c>
    </row>
    <row r="101" spans="1:2" x14ac:dyDescent="0.35">
      <c r="A101" s="1012">
        <v>38686</v>
      </c>
      <c r="B101" s="1013">
        <v>4.3241638885164351</v>
      </c>
    </row>
    <row r="102" spans="1:2" x14ac:dyDescent="0.35">
      <c r="A102" s="1012">
        <v>38687</v>
      </c>
      <c r="B102" s="1013">
        <v>4.2252249296198183</v>
      </c>
    </row>
    <row r="103" spans="1:2" x14ac:dyDescent="0.35">
      <c r="A103" s="1012">
        <v>38688</v>
      </c>
      <c r="B103" s="1013">
        <v>4.1263940169019451</v>
      </c>
    </row>
    <row r="104" spans="1:2" x14ac:dyDescent="0.35">
      <c r="A104" s="1012">
        <v>38691</v>
      </c>
      <c r="B104" s="1013">
        <v>4.3605606904400487</v>
      </c>
    </row>
    <row r="105" spans="1:2" x14ac:dyDescent="0.35">
      <c r="A105" s="1012">
        <v>38692</v>
      </c>
      <c r="B105" s="1013">
        <v>4.2618714280853389</v>
      </c>
    </row>
    <row r="106" spans="1:2" x14ac:dyDescent="0.35">
      <c r="A106" s="1012">
        <v>38693</v>
      </c>
      <c r="B106" s="1013">
        <v>4.3076811942039033</v>
      </c>
    </row>
    <row r="107" spans="1:2" x14ac:dyDescent="0.35">
      <c r="A107" s="1012">
        <v>38694</v>
      </c>
      <c r="B107" s="1013">
        <v>4.3534410971778943</v>
      </c>
    </row>
    <row r="108" spans="1:2" x14ac:dyDescent="0.35">
      <c r="A108" s="1012">
        <v>38695</v>
      </c>
      <c r="B108" s="1013">
        <v>4.3270339852876658</v>
      </c>
    </row>
    <row r="109" spans="1:2" x14ac:dyDescent="0.35">
      <c r="A109" s="1012">
        <v>38698</v>
      </c>
      <c r="B109" s="1013">
        <v>4.2959845646561945</v>
      </c>
    </row>
    <row r="110" spans="1:2" x14ac:dyDescent="0.35">
      <c r="A110" s="1012">
        <v>38699</v>
      </c>
      <c r="B110" s="1013">
        <v>4.2936528569642718</v>
      </c>
    </row>
    <row r="111" spans="1:2" x14ac:dyDescent="0.35">
      <c r="A111" s="1012">
        <v>38700</v>
      </c>
      <c r="B111" s="1013">
        <v>4.4591408061484765</v>
      </c>
    </row>
    <row r="112" spans="1:2" x14ac:dyDescent="0.35">
      <c r="A112" s="1012">
        <v>38701</v>
      </c>
      <c r="B112" s="1013">
        <v>4.312957903999175</v>
      </c>
    </row>
    <row r="113" spans="1:2" x14ac:dyDescent="0.35">
      <c r="A113" s="1012">
        <v>38702</v>
      </c>
      <c r="B113" s="1013">
        <v>4.3345686825642504</v>
      </c>
    </row>
    <row r="114" spans="1:2" x14ac:dyDescent="0.35">
      <c r="A114" s="1012">
        <v>38705</v>
      </c>
      <c r="B114" s="1013">
        <v>4.3036246177864808</v>
      </c>
    </row>
    <row r="115" spans="1:2" x14ac:dyDescent="0.35">
      <c r="A115" s="1012">
        <v>38706</v>
      </c>
      <c r="B115" s="1013">
        <v>4.301297604485967</v>
      </c>
    </row>
    <row r="116" spans="1:2" x14ac:dyDescent="0.35">
      <c r="A116" s="1012">
        <v>38707</v>
      </c>
      <c r="B116" s="1013">
        <v>4.2750899223807801</v>
      </c>
    </row>
    <row r="117" spans="1:2" x14ac:dyDescent="0.35">
      <c r="A117" s="1012">
        <v>38708</v>
      </c>
      <c r="B117" s="1013">
        <v>4.177299699190355</v>
      </c>
    </row>
    <row r="118" spans="1:2" x14ac:dyDescent="0.35">
      <c r="A118" s="1012">
        <v>38709</v>
      </c>
      <c r="B118" s="1013">
        <v>4.2943316390069031</v>
      </c>
    </row>
    <row r="119" spans="1:2" x14ac:dyDescent="0.35">
      <c r="A119" s="1012">
        <v>38712</v>
      </c>
      <c r="B119" s="1013">
        <v>4.2873881998539396</v>
      </c>
    </row>
    <row r="120" spans="1:2" x14ac:dyDescent="0.35">
      <c r="A120" s="1012">
        <v>38713</v>
      </c>
      <c r="B120" s="1013">
        <v>4.2850787071109773</v>
      </c>
    </row>
    <row r="121" spans="1:2" x14ac:dyDescent="0.35">
      <c r="A121" s="1012">
        <v>38714</v>
      </c>
      <c r="B121" s="1013">
        <v>4.3303580533780508</v>
      </c>
    </row>
    <row r="122" spans="1:2" x14ac:dyDescent="0.35">
      <c r="A122" s="1012">
        <v>38715</v>
      </c>
      <c r="B122" s="1013">
        <v>4.3993690439898288</v>
      </c>
    </row>
    <row r="123" spans="1:2" x14ac:dyDescent="0.35">
      <c r="A123" s="1012">
        <v>38716</v>
      </c>
      <c r="B123" s="1013">
        <v>4.4683058060833361</v>
      </c>
    </row>
    <row r="124" spans="1:2" x14ac:dyDescent="0.35">
      <c r="A124" s="1012">
        <v>38721</v>
      </c>
      <c r="B124" s="1013">
        <v>4.7552065039326754</v>
      </c>
    </row>
    <row r="125" spans="1:2" x14ac:dyDescent="0.35">
      <c r="A125" s="1012">
        <v>38722</v>
      </c>
      <c r="B125" s="1013">
        <v>4.854927809021012</v>
      </c>
    </row>
    <row r="126" spans="1:2" x14ac:dyDescent="0.35">
      <c r="A126" s="1012">
        <v>38723</v>
      </c>
      <c r="B126" s="1013">
        <v>4.8956461086195295</v>
      </c>
    </row>
    <row r="127" spans="1:2" x14ac:dyDescent="0.35">
      <c r="A127" s="1012">
        <v>38726</v>
      </c>
      <c r="B127" s="1013">
        <v>4.9583965793022555</v>
      </c>
    </row>
    <row r="128" spans="1:2" x14ac:dyDescent="0.35">
      <c r="A128" s="1012">
        <v>38727</v>
      </c>
      <c r="B128" s="1013">
        <v>4.9407149294304515</v>
      </c>
    </row>
    <row r="129" spans="1:2" x14ac:dyDescent="0.35">
      <c r="A129" s="1012">
        <v>38728</v>
      </c>
      <c r="B129" s="1013">
        <v>5.2666351419555886</v>
      </c>
    </row>
    <row r="130" spans="1:2" x14ac:dyDescent="0.35">
      <c r="A130" s="1012">
        <v>38729</v>
      </c>
      <c r="B130" s="1013">
        <v>5.4761606705663981</v>
      </c>
    </row>
    <row r="131" spans="1:2" x14ac:dyDescent="0.35">
      <c r="A131" s="1012">
        <v>38730</v>
      </c>
      <c r="B131" s="1013">
        <v>5.7410497564641867</v>
      </c>
    </row>
    <row r="132" spans="1:2" x14ac:dyDescent="0.35">
      <c r="A132" s="1012">
        <v>38733</v>
      </c>
      <c r="B132" s="1013">
        <v>5.9621521388911276</v>
      </c>
    </row>
    <row r="133" spans="1:2" x14ac:dyDescent="0.35">
      <c r="A133" s="1012">
        <v>38734</v>
      </c>
      <c r="B133" s="1013">
        <v>6.1095619701316348</v>
      </c>
    </row>
    <row r="134" spans="1:2" x14ac:dyDescent="0.35">
      <c r="A134" s="1012">
        <v>38735</v>
      </c>
      <c r="B134" s="1013">
        <v>6.088379554899304</v>
      </c>
    </row>
    <row r="135" spans="1:2" x14ac:dyDescent="0.35">
      <c r="A135" s="1012">
        <v>38736</v>
      </c>
      <c r="B135" s="1013">
        <v>6.0673435149476482</v>
      </c>
    </row>
    <row r="136" spans="1:2" x14ac:dyDescent="0.35">
      <c r="A136" s="1012">
        <v>38737</v>
      </c>
      <c r="B136" s="1013">
        <v>5.8800362188694031</v>
      </c>
    </row>
    <row r="137" spans="1:2" x14ac:dyDescent="0.35">
      <c r="A137" s="1012">
        <v>38740</v>
      </c>
      <c r="B137" s="1013">
        <v>5.4904891532273234</v>
      </c>
    </row>
    <row r="138" spans="1:2" x14ac:dyDescent="0.35">
      <c r="A138" s="1012">
        <v>38741</v>
      </c>
      <c r="B138" s="1013">
        <v>5.417122638296064</v>
      </c>
    </row>
    <row r="139" spans="1:2" x14ac:dyDescent="0.35">
      <c r="A139" s="1012">
        <v>38742</v>
      </c>
      <c r="B139" s="1013">
        <v>5.5187590200838494</v>
      </c>
    </row>
    <row r="140" spans="1:2" x14ac:dyDescent="0.35">
      <c r="A140" s="1012">
        <v>38754</v>
      </c>
      <c r="B140" s="1013">
        <v>5.3033410624486343</v>
      </c>
    </row>
    <row r="141" spans="1:2" x14ac:dyDescent="0.35">
      <c r="A141" s="1012">
        <v>38755</v>
      </c>
      <c r="B141" s="1013">
        <v>5.2756992828984943</v>
      </c>
    </row>
    <row r="142" spans="1:2" x14ac:dyDescent="0.35">
      <c r="A142" s="1012">
        <v>38756</v>
      </c>
      <c r="B142" s="1013">
        <v>5.1545176651524933</v>
      </c>
    </row>
    <row r="143" spans="1:2" x14ac:dyDescent="0.35">
      <c r="A143" s="1012">
        <v>38757</v>
      </c>
      <c r="B143" s="1013">
        <v>4.982218679835988</v>
      </c>
    </row>
    <row r="144" spans="1:2" x14ac:dyDescent="0.35">
      <c r="A144" s="1012">
        <v>38758</v>
      </c>
      <c r="B144" s="1013">
        <v>5.1214149982235515</v>
      </c>
    </row>
    <row r="145" spans="1:2" x14ac:dyDescent="0.35">
      <c r="A145" s="1012">
        <v>38761</v>
      </c>
      <c r="B145" s="1013">
        <v>4.8675990558768945</v>
      </c>
    </row>
    <row r="146" spans="1:2" x14ac:dyDescent="0.35">
      <c r="A146" s="1012">
        <v>38762</v>
      </c>
      <c r="B146" s="1013">
        <v>4.4946391241935428</v>
      </c>
    </row>
    <row r="147" spans="1:2" x14ac:dyDescent="0.35">
      <c r="A147" s="1012">
        <v>38763</v>
      </c>
      <c r="B147" s="1013">
        <v>4.6840908617105717</v>
      </c>
    </row>
    <row r="148" spans="1:2" x14ac:dyDescent="0.35">
      <c r="A148" s="1012">
        <v>38764</v>
      </c>
      <c r="B148" s="1013">
        <v>4.7200880208222564</v>
      </c>
    </row>
    <row r="149" spans="1:2" x14ac:dyDescent="0.35">
      <c r="A149" s="1012">
        <v>38765</v>
      </c>
      <c r="B149" s="1013">
        <v>4.7052648400852579</v>
      </c>
    </row>
    <row r="150" spans="1:2" x14ac:dyDescent="0.35">
      <c r="A150" s="1012">
        <v>38768</v>
      </c>
      <c r="B150" s="1013">
        <v>4.8117147879552329</v>
      </c>
    </row>
    <row r="151" spans="1:2" x14ac:dyDescent="0.35">
      <c r="A151" s="1012">
        <v>38769</v>
      </c>
      <c r="B151" s="1013">
        <v>5.0965907813723508</v>
      </c>
    </row>
    <row r="152" spans="1:2" x14ac:dyDescent="0.35">
      <c r="A152" s="1012">
        <v>38770</v>
      </c>
      <c r="B152" s="1013">
        <v>5.1804568215162661</v>
      </c>
    </row>
    <row r="153" spans="1:2" x14ac:dyDescent="0.35">
      <c r="A153" s="1012">
        <v>38771</v>
      </c>
      <c r="B153" s="1013">
        <v>5.2638058500303675</v>
      </c>
    </row>
    <row r="154" spans="1:2" x14ac:dyDescent="0.35">
      <c r="A154" s="1012">
        <v>38772</v>
      </c>
      <c r="B154" s="1013">
        <v>5.198124782161603</v>
      </c>
    </row>
    <row r="155" spans="1:2" x14ac:dyDescent="0.35">
      <c r="A155" s="1012">
        <v>38775</v>
      </c>
      <c r="B155" s="1013">
        <v>4.9544276871763309</v>
      </c>
    </row>
    <row r="156" spans="1:2" x14ac:dyDescent="0.35">
      <c r="A156" s="1012">
        <v>38776</v>
      </c>
      <c r="B156" s="1013">
        <v>4.8317974837285469</v>
      </c>
    </row>
    <row r="157" spans="1:2" x14ac:dyDescent="0.35">
      <c r="A157" s="1012">
        <v>38777</v>
      </c>
      <c r="B157" s="1013">
        <v>4.8756827486205339</v>
      </c>
    </row>
    <row r="158" spans="1:2" x14ac:dyDescent="0.35">
      <c r="A158" s="1012">
        <v>38778</v>
      </c>
      <c r="B158" s="1013">
        <v>4.8609715283442334</v>
      </c>
    </row>
    <row r="159" spans="1:2" x14ac:dyDescent="0.35">
      <c r="A159" s="1012">
        <v>38779</v>
      </c>
      <c r="B159" s="1013">
        <v>4.7494218399499015</v>
      </c>
    </row>
    <row r="160" spans="1:2" x14ac:dyDescent="0.35">
      <c r="A160" s="1012">
        <v>38782</v>
      </c>
      <c r="B160" s="1013">
        <v>4.6108836607440029</v>
      </c>
    </row>
    <row r="161" spans="1:2" x14ac:dyDescent="0.35">
      <c r="A161" s="1012">
        <v>38783</v>
      </c>
      <c r="B161" s="1013">
        <v>4.5492909018040484</v>
      </c>
    </row>
    <row r="162" spans="1:2" x14ac:dyDescent="0.35">
      <c r="A162" s="1012">
        <v>38784</v>
      </c>
      <c r="B162" s="1013">
        <v>4.0106096831876288</v>
      </c>
    </row>
    <row r="163" spans="1:2" x14ac:dyDescent="0.35">
      <c r="A163" s="1012">
        <v>38785</v>
      </c>
      <c r="B163" s="1013">
        <v>4.2367802786364113</v>
      </c>
    </row>
    <row r="164" spans="1:2" x14ac:dyDescent="0.35">
      <c r="A164" s="1012">
        <v>38786</v>
      </c>
      <c r="B164" s="1013">
        <v>4.1768340684318117</v>
      </c>
    </row>
    <row r="165" spans="1:2" x14ac:dyDescent="0.35">
      <c r="A165" s="1012">
        <v>38789</v>
      </c>
      <c r="B165" s="1013">
        <v>4.1872889582747987</v>
      </c>
    </row>
    <row r="166" spans="1:2" x14ac:dyDescent="0.35">
      <c r="A166" s="1012">
        <v>38790</v>
      </c>
      <c r="B166" s="1013">
        <v>4.0812738783365772</v>
      </c>
    </row>
    <row r="167" spans="1:2" x14ac:dyDescent="0.35">
      <c r="A167" s="1012">
        <v>38791</v>
      </c>
      <c r="B167" s="1013">
        <v>4.2565243603976413</v>
      </c>
    </row>
    <row r="168" spans="1:2" x14ac:dyDescent="0.35">
      <c r="A168" s="1012">
        <v>38792</v>
      </c>
      <c r="B168" s="1013">
        <v>4.3841205703938364</v>
      </c>
    </row>
    <row r="169" spans="1:2" x14ac:dyDescent="0.35">
      <c r="A169" s="1012">
        <v>38793</v>
      </c>
      <c r="B169" s="1013">
        <v>4.3714652876707332</v>
      </c>
    </row>
    <row r="170" spans="1:2" x14ac:dyDescent="0.35">
      <c r="A170" s="1012">
        <v>38796</v>
      </c>
      <c r="B170" s="1013">
        <v>4.3339340475094357</v>
      </c>
    </row>
    <row r="171" spans="1:2" x14ac:dyDescent="0.35">
      <c r="A171" s="1012">
        <v>38797</v>
      </c>
      <c r="B171" s="1013">
        <v>4.2296182143616905</v>
      </c>
    </row>
    <row r="172" spans="1:2" x14ac:dyDescent="0.35">
      <c r="A172" s="1012">
        <v>38798</v>
      </c>
      <c r="B172" s="1013">
        <v>4.171739342162029</v>
      </c>
    </row>
    <row r="173" spans="1:2" x14ac:dyDescent="0.35">
      <c r="A173" s="1012">
        <v>38799</v>
      </c>
      <c r="B173" s="1013">
        <v>3.9770492985767931</v>
      </c>
    </row>
    <row r="174" spans="1:2" x14ac:dyDescent="0.35">
      <c r="A174" s="1012">
        <v>38800</v>
      </c>
      <c r="B174" s="1013">
        <v>4.1481319230592186</v>
      </c>
    </row>
    <row r="175" spans="1:2" x14ac:dyDescent="0.35">
      <c r="A175" s="1012">
        <v>38803</v>
      </c>
      <c r="B175" s="1013">
        <v>4.2488181255888309</v>
      </c>
    </row>
    <row r="176" spans="1:2" x14ac:dyDescent="0.35">
      <c r="A176" s="1012">
        <v>38804</v>
      </c>
      <c r="B176" s="1013">
        <v>4.2369308632609846</v>
      </c>
    </row>
    <row r="177" spans="1:2" x14ac:dyDescent="0.35">
      <c r="A177" s="1012">
        <v>38805</v>
      </c>
      <c r="B177" s="1013">
        <v>4.0902659972904916</v>
      </c>
    </row>
    <row r="178" spans="1:2" x14ac:dyDescent="0.35">
      <c r="A178" s="1012">
        <v>38806</v>
      </c>
      <c r="B178" s="1013">
        <v>4.0788860065259422</v>
      </c>
    </row>
    <row r="179" spans="1:2" x14ac:dyDescent="0.35">
      <c r="A179" s="1012">
        <v>38807</v>
      </c>
      <c r="B179" s="1013">
        <v>3.9334734764872796</v>
      </c>
    </row>
    <row r="180" spans="1:2" x14ac:dyDescent="0.35">
      <c r="A180" s="1012">
        <v>38810</v>
      </c>
      <c r="B180" s="1013">
        <v>4.2556402338827359</v>
      </c>
    </row>
    <row r="181" spans="1:2" x14ac:dyDescent="0.35">
      <c r="A181" s="1012">
        <v>38811</v>
      </c>
      <c r="B181" s="1013">
        <v>4.1997546417108946</v>
      </c>
    </row>
    <row r="182" spans="1:2" x14ac:dyDescent="0.35">
      <c r="A182" s="1012">
        <v>38812</v>
      </c>
      <c r="B182" s="1013">
        <v>4.188261882053065</v>
      </c>
    </row>
    <row r="183" spans="1:2" x14ac:dyDescent="0.35">
      <c r="A183" s="1012">
        <v>38813</v>
      </c>
      <c r="B183" s="1013">
        <v>4.4406317577261518</v>
      </c>
    </row>
    <row r="184" spans="1:2" x14ac:dyDescent="0.35">
      <c r="A184" s="1012">
        <v>38814</v>
      </c>
      <c r="B184" s="1013">
        <v>4.2970050069562706</v>
      </c>
    </row>
    <row r="185" spans="1:2" x14ac:dyDescent="0.35">
      <c r="A185" s="1012">
        <v>38817</v>
      </c>
      <c r="B185" s="1013">
        <v>4.6971233323693617</v>
      </c>
    </row>
    <row r="186" spans="1:2" x14ac:dyDescent="0.35">
      <c r="A186" s="1012">
        <v>38818</v>
      </c>
      <c r="B186" s="1013">
        <v>5.5085981275502007</v>
      </c>
    </row>
    <row r="187" spans="1:2" x14ac:dyDescent="0.35">
      <c r="A187" s="1012">
        <v>38819</v>
      </c>
      <c r="B187" s="1013">
        <v>5.9263902405375575</v>
      </c>
    </row>
    <row r="188" spans="1:2" x14ac:dyDescent="0.35">
      <c r="A188" s="1012">
        <v>38820</v>
      </c>
      <c r="B188" s="1013">
        <v>5.737950000736368</v>
      </c>
    </row>
    <row r="189" spans="1:2" x14ac:dyDescent="0.35">
      <c r="A189" s="1012">
        <v>38821</v>
      </c>
      <c r="B189" s="1013">
        <v>5.7226253489601522</v>
      </c>
    </row>
    <row r="190" spans="1:2" x14ac:dyDescent="0.35">
      <c r="A190" s="1012">
        <v>38824</v>
      </c>
      <c r="B190" s="1013">
        <v>5.6771386302283444</v>
      </c>
    </row>
    <row r="191" spans="1:2" x14ac:dyDescent="0.35">
      <c r="A191" s="1012">
        <v>38825</v>
      </c>
      <c r="B191" s="1013">
        <v>5.9601438494311729</v>
      </c>
    </row>
    <row r="192" spans="1:2" x14ac:dyDescent="0.35">
      <c r="A192" s="1012">
        <v>38826</v>
      </c>
      <c r="B192" s="1013">
        <v>5.9444355377545381</v>
      </c>
    </row>
    <row r="193" spans="1:2" x14ac:dyDescent="0.35">
      <c r="A193" s="1012">
        <v>38827</v>
      </c>
      <c r="B193" s="1013">
        <v>5.8441125258127151</v>
      </c>
    </row>
    <row r="194" spans="1:2" x14ac:dyDescent="0.35">
      <c r="A194" s="1012">
        <v>38828</v>
      </c>
      <c r="B194" s="1013">
        <v>5.6598403267505137</v>
      </c>
    </row>
    <row r="195" spans="1:2" x14ac:dyDescent="0.35">
      <c r="A195" s="1012">
        <v>38831</v>
      </c>
      <c r="B195" s="1013">
        <v>5.1965918502160067</v>
      </c>
    </row>
    <row r="196" spans="1:2" x14ac:dyDescent="0.35">
      <c r="A196" s="1012">
        <v>38832</v>
      </c>
      <c r="B196" s="1013">
        <v>5.0159120632336718</v>
      </c>
    </row>
    <row r="197" spans="1:2" x14ac:dyDescent="0.35">
      <c r="A197" s="1012">
        <v>38833</v>
      </c>
      <c r="B197" s="1013">
        <v>5.2113872937581922</v>
      </c>
    </row>
    <row r="198" spans="1:2" x14ac:dyDescent="0.35">
      <c r="A198" s="1012">
        <v>38834</v>
      </c>
      <c r="B198" s="1013">
        <v>5.4890204032984951</v>
      </c>
    </row>
    <row r="199" spans="1:2" x14ac:dyDescent="0.35">
      <c r="A199" s="1012">
        <v>38835</v>
      </c>
      <c r="B199" s="1013">
        <v>5.3089832373732779</v>
      </c>
    </row>
    <row r="200" spans="1:2" x14ac:dyDescent="0.35">
      <c r="A200" s="1012">
        <v>38845</v>
      </c>
      <c r="B200" s="1013">
        <v>5.2566052136207393</v>
      </c>
    </row>
    <row r="201" spans="1:2" x14ac:dyDescent="0.35">
      <c r="A201" s="1012">
        <v>38846</v>
      </c>
      <c r="B201" s="1013">
        <v>5.364447392334486</v>
      </c>
    </row>
    <row r="202" spans="1:2" x14ac:dyDescent="0.35">
      <c r="A202" s="1012">
        <v>38847</v>
      </c>
      <c r="B202" s="1013">
        <v>5.3108170829739487</v>
      </c>
    </row>
    <row r="203" spans="1:2" x14ac:dyDescent="0.35">
      <c r="A203" s="1012">
        <v>38848</v>
      </c>
      <c r="B203" s="1013">
        <v>5.377853681805969</v>
      </c>
    </row>
    <row r="204" spans="1:2" x14ac:dyDescent="0.35">
      <c r="A204" s="1012">
        <v>38849</v>
      </c>
      <c r="B204" s="1013">
        <v>5.3244565937079873</v>
      </c>
    </row>
    <row r="205" spans="1:2" x14ac:dyDescent="0.35">
      <c r="A205" s="1012">
        <v>38852</v>
      </c>
      <c r="B205" s="1013">
        <v>5.1658458024415141</v>
      </c>
    </row>
    <row r="206" spans="1:2" x14ac:dyDescent="0.35">
      <c r="A206" s="1012">
        <v>38853</v>
      </c>
      <c r="B206" s="1013">
        <v>5.0342168759263695</v>
      </c>
    </row>
    <row r="207" spans="1:2" x14ac:dyDescent="0.35">
      <c r="A207" s="1012">
        <v>38854</v>
      </c>
      <c r="B207" s="1013">
        <v>5.061402939963501</v>
      </c>
    </row>
    <row r="208" spans="1:2" x14ac:dyDescent="0.35">
      <c r="A208" s="1012">
        <v>38855</v>
      </c>
      <c r="B208" s="1013">
        <v>4.8517835116016297</v>
      </c>
    </row>
    <row r="209" spans="1:2" x14ac:dyDescent="0.35">
      <c r="A209" s="1012">
        <v>38856</v>
      </c>
      <c r="B209" s="1013">
        <v>4.8399333066427745</v>
      </c>
    </row>
    <row r="210" spans="1:2" x14ac:dyDescent="0.35">
      <c r="A210" s="1012">
        <v>38859</v>
      </c>
      <c r="B210" s="1013">
        <v>4.4531620608902198</v>
      </c>
    </row>
    <row r="211" spans="1:2" x14ac:dyDescent="0.35">
      <c r="A211" s="1012">
        <v>38860</v>
      </c>
      <c r="B211" s="1013">
        <v>4.4034223603978546</v>
      </c>
    </row>
    <row r="212" spans="1:2" x14ac:dyDescent="0.35">
      <c r="A212" s="1012">
        <v>38861</v>
      </c>
      <c r="B212" s="1013">
        <v>4.4705456307389433</v>
      </c>
    </row>
    <row r="213" spans="1:2" x14ac:dyDescent="0.35">
      <c r="A213" s="1012">
        <v>38862</v>
      </c>
      <c r="B213" s="1013">
        <v>4.4210035486098622</v>
      </c>
    </row>
    <row r="214" spans="1:2" x14ac:dyDescent="0.35">
      <c r="A214" s="1012">
        <v>38863</v>
      </c>
      <c r="B214" s="1013">
        <v>4.5264498272822209</v>
      </c>
    </row>
    <row r="215" spans="1:2" x14ac:dyDescent="0.35">
      <c r="A215" s="1012">
        <v>38866</v>
      </c>
      <c r="B215" s="1013">
        <v>4.5324846925286835</v>
      </c>
    </row>
    <row r="216" spans="1:2" x14ac:dyDescent="0.35">
      <c r="A216" s="1012">
        <v>38867</v>
      </c>
      <c r="B216" s="1013">
        <v>4.4833844748253728</v>
      </c>
    </row>
    <row r="217" spans="1:2" x14ac:dyDescent="0.35">
      <c r="A217" s="1012">
        <v>38868</v>
      </c>
      <c r="B217" s="1013">
        <v>4.4727458736672192</v>
      </c>
    </row>
    <row r="218" spans="1:2" x14ac:dyDescent="0.35">
      <c r="A218" s="1012">
        <v>38869</v>
      </c>
      <c r="B218" s="1013">
        <v>4.4621576415582176</v>
      </c>
    </row>
    <row r="219" spans="1:2" x14ac:dyDescent="0.35">
      <c r="A219" s="1012">
        <v>38870</v>
      </c>
      <c r="B219" s="1013">
        <v>4.6418595678541035</v>
      </c>
    </row>
    <row r="220" spans="1:2" x14ac:dyDescent="0.35">
      <c r="A220" s="1012">
        <v>38873</v>
      </c>
      <c r="B220" s="1013">
        <v>4.83588520092521</v>
      </c>
    </row>
    <row r="221" spans="1:2" x14ac:dyDescent="0.35">
      <c r="A221" s="1012">
        <v>38874</v>
      </c>
      <c r="B221" s="1013">
        <v>4.711495345370615</v>
      </c>
    </row>
    <row r="222" spans="1:2" x14ac:dyDescent="0.35">
      <c r="A222" s="1012">
        <v>38875</v>
      </c>
      <c r="B222" s="1013">
        <v>4.662894142726576</v>
      </c>
    </row>
    <row r="223" spans="1:2" x14ac:dyDescent="0.35">
      <c r="A223" s="1012">
        <v>38876</v>
      </c>
      <c r="B223" s="1013">
        <v>4.5019700431979777</v>
      </c>
    </row>
    <row r="224" spans="1:2" x14ac:dyDescent="0.35">
      <c r="A224" s="1012">
        <v>38877</v>
      </c>
      <c r="B224" s="1013">
        <v>4.566369222372793</v>
      </c>
    </row>
    <row r="225" spans="1:2" x14ac:dyDescent="0.35">
      <c r="A225" s="1012">
        <v>38880</v>
      </c>
      <c r="B225" s="1013">
        <v>4.5719328509162711</v>
      </c>
    </row>
    <row r="226" spans="1:2" x14ac:dyDescent="0.35">
      <c r="A226" s="1012">
        <v>38881</v>
      </c>
      <c r="B226" s="1013">
        <v>4.4872395281698694</v>
      </c>
    </row>
    <row r="227" spans="1:2" x14ac:dyDescent="0.35">
      <c r="A227" s="1012">
        <v>38882</v>
      </c>
      <c r="B227" s="1013">
        <v>4.4399346745542321</v>
      </c>
    </row>
    <row r="228" spans="1:2" x14ac:dyDescent="0.35">
      <c r="A228" s="1012">
        <v>38883</v>
      </c>
      <c r="B228" s="1013">
        <v>4.5774199905209505</v>
      </c>
    </row>
    <row r="229" spans="1:2" x14ac:dyDescent="0.35">
      <c r="A229" s="1012">
        <v>38884</v>
      </c>
      <c r="B229" s="1013">
        <v>4.6037858359790436</v>
      </c>
    </row>
    <row r="230" spans="1:2" x14ac:dyDescent="0.35">
      <c r="A230" s="1012">
        <v>38887</v>
      </c>
      <c r="B230" s="1013">
        <v>4.3313761004127942</v>
      </c>
    </row>
    <row r="231" spans="1:2" x14ac:dyDescent="0.35">
      <c r="A231" s="1012">
        <v>38888</v>
      </c>
      <c r="B231" s="1013">
        <v>4.3591426834287441</v>
      </c>
    </row>
    <row r="232" spans="1:2" x14ac:dyDescent="0.35">
      <c r="A232" s="1012">
        <v>38889</v>
      </c>
      <c r="B232" s="1013">
        <v>4.349289868631498</v>
      </c>
    </row>
    <row r="233" spans="1:2" x14ac:dyDescent="0.35">
      <c r="A233" s="1012">
        <v>38890</v>
      </c>
      <c r="B233" s="1013">
        <v>4.4143001397578727</v>
      </c>
    </row>
    <row r="234" spans="1:2" x14ac:dyDescent="0.35">
      <c r="A234" s="1012">
        <v>38891</v>
      </c>
      <c r="B234" s="1013">
        <v>4.4043675550626826</v>
      </c>
    </row>
    <row r="235" spans="1:2" x14ac:dyDescent="0.35">
      <c r="A235" s="1012">
        <v>38894</v>
      </c>
      <c r="B235" s="1013">
        <v>4.4860608425830026</v>
      </c>
    </row>
    <row r="236" spans="1:2" x14ac:dyDescent="0.35">
      <c r="A236" s="1012">
        <v>38895</v>
      </c>
      <c r="B236" s="1013">
        <v>4.4020724190757559</v>
      </c>
    </row>
    <row r="237" spans="1:2" x14ac:dyDescent="0.35">
      <c r="A237" s="1012">
        <v>38896</v>
      </c>
      <c r="B237" s="1013">
        <v>4.2077280680932141</v>
      </c>
    </row>
    <row r="238" spans="1:2" x14ac:dyDescent="0.35">
      <c r="A238" s="1012">
        <v>38897</v>
      </c>
      <c r="B238" s="1013">
        <v>4.3456982111011255</v>
      </c>
    </row>
    <row r="239" spans="1:2" x14ac:dyDescent="0.35">
      <c r="A239" s="1012">
        <v>38898</v>
      </c>
      <c r="B239" s="1013">
        <v>4.4095643514795348</v>
      </c>
    </row>
    <row r="240" spans="1:2" x14ac:dyDescent="0.35">
      <c r="A240" s="1012">
        <v>38901</v>
      </c>
      <c r="B240" s="1013">
        <v>4.3804535845358883</v>
      </c>
    </row>
    <row r="241" spans="1:2" x14ac:dyDescent="0.35">
      <c r="A241" s="1012">
        <v>38902</v>
      </c>
      <c r="B241" s="1013">
        <v>4.3344115951632292</v>
      </c>
    </row>
    <row r="242" spans="1:2" x14ac:dyDescent="0.35">
      <c r="A242" s="1012">
        <v>38903</v>
      </c>
      <c r="B242" s="1013">
        <v>4.2885713558076013</v>
      </c>
    </row>
    <row r="243" spans="1:2" x14ac:dyDescent="0.35">
      <c r="A243" s="1012">
        <v>38904</v>
      </c>
      <c r="B243" s="1013">
        <v>4.2791959154694155</v>
      </c>
    </row>
    <row r="244" spans="1:2" x14ac:dyDescent="0.35">
      <c r="A244" s="1012">
        <v>38905</v>
      </c>
      <c r="B244" s="1013">
        <v>4.2698613778625578</v>
      </c>
    </row>
    <row r="245" spans="1:2" x14ac:dyDescent="0.35">
      <c r="A245" s="1012">
        <v>38908</v>
      </c>
      <c r="B245" s="1013">
        <v>4.2421005221051624</v>
      </c>
    </row>
    <row r="246" spans="1:2" x14ac:dyDescent="0.35">
      <c r="A246" s="1012">
        <v>38909</v>
      </c>
      <c r="B246" s="1013">
        <v>4.2687992098682432</v>
      </c>
    </row>
    <row r="247" spans="1:2" x14ac:dyDescent="0.35">
      <c r="A247" s="1012">
        <v>38910</v>
      </c>
      <c r="B247" s="1013">
        <v>4.2595878189516627</v>
      </c>
    </row>
    <row r="248" spans="1:2" x14ac:dyDescent="0.35">
      <c r="A248" s="1012">
        <v>38911</v>
      </c>
      <c r="B248" s="1013">
        <v>4.1789805312397208</v>
      </c>
    </row>
    <row r="249" spans="1:2" x14ac:dyDescent="0.35">
      <c r="A249" s="1012">
        <v>38912</v>
      </c>
      <c r="B249" s="1013">
        <v>4.1700017045354949</v>
      </c>
    </row>
    <row r="250" spans="1:2" x14ac:dyDescent="0.35">
      <c r="A250" s="1012">
        <v>38915</v>
      </c>
      <c r="B250" s="1013">
        <v>4.2849463606732678</v>
      </c>
    </row>
    <row r="251" spans="1:2" x14ac:dyDescent="0.35">
      <c r="A251" s="1012">
        <v>38916</v>
      </c>
      <c r="B251" s="1013">
        <v>4.2051436253194439</v>
      </c>
    </row>
    <row r="252" spans="1:2" x14ac:dyDescent="0.35">
      <c r="A252" s="1012">
        <v>38917</v>
      </c>
      <c r="B252" s="1013">
        <v>4.2314668394524233</v>
      </c>
    </row>
    <row r="253" spans="1:2" x14ac:dyDescent="0.35">
      <c r="A253" s="1012">
        <v>38918</v>
      </c>
      <c r="B253" s="1013">
        <v>4.1521161049107356</v>
      </c>
    </row>
    <row r="254" spans="1:2" x14ac:dyDescent="0.35">
      <c r="A254" s="1012">
        <v>38919</v>
      </c>
      <c r="B254" s="1013">
        <v>4.1082142412482705</v>
      </c>
    </row>
    <row r="255" spans="1:2" x14ac:dyDescent="0.35">
      <c r="A255" s="1012">
        <v>38922</v>
      </c>
      <c r="B255" s="1013">
        <v>4.0473995059873742</v>
      </c>
    </row>
    <row r="256" spans="1:2" x14ac:dyDescent="0.35">
      <c r="A256" s="1012">
        <v>38923</v>
      </c>
      <c r="B256" s="1013">
        <v>3.9971224037828916</v>
      </c>
    </row>
    <row r="257" spans="1:2" x14ac:dyDescent="0.35">
      <c r="A257" s="1012">
        <v>38924</v>
      </c>
      <c r="B257" s="1013">
        <v>4.0026482557698566</v>
      </c>
    </row>
    <row r="258" spans="1:2" x14ac:dyDescent="0.35">
      <c r="A258" s="1012">
        <v>38925</v>
      </c>
      <c r="B258" s="1013">
        <v>4.119103284658288</v>
      </c>
    </row>
    <row r="259" spans="1:2" x14ac:dyDescent="0.35">
      <c r="A259" s="1012">
        <v>38926</v>
      </c>
      <c r="B259" s="1013">
        <v>4.1381917598968094</v>
      </c>
    </row>
    <row r="260" spans="1:2" x14ac:dyDescent="0.35">
      <c r="A260" s="1012">
        <v>38929</v>
      </c>
      <c r="B260" s="1013">
        <v>4.0849500490808035</v>
      </c>
    </row>
    <row r="261" spans="1:2" x14ac:dyDescent="0.35">
      <c r="A261" s="1012">
        <v>38930</v>
      </c>
      <c r="B261" s="1013">
        <v>4.0490488717738353</v>
      </c>
    </row>
    <row r="262" spans="1:2" x14ac:dyDescent="0.35">
      <c r="A262" s="1012">
        <v>38931</v>
      </c>
      <c r="B262" s="1013">
        <v>4.08178219437018</v>
      </c>
    </row>
    <row r="263" spans="1:2" x14ac:dyDescent="0.35">
      <c r="A263" s="1012">
        <v>38932</v>
      </c>
      <c r="B263" s="1013">
        <v>4.0186973816934479</v>
      </c>
    </row>
    <row r="264" spans="1:2" x14ac:dyDescent="0.35">
      <c r="A264" s="1012">
        <v>38933</v>
      </c>
      <c r="B264" s="1013">
        <v>3.9831538253897936</v>
      </c>
    </row>
    <row r="265" spans="1:2" x14ac:dyDescent="0.35">
      <c r="A265" s="1012">
        <v>38936</v>
      </c>
      <c r="B265" s="1013">
        <v>3.9994105465445191</v>
      </c>
    </row>
    <row r="266" spans="1:2" x14ac:dyDescent="0.35">
      <c r="A266" s="1012">
        <v>38937</v>
      </c>
      <c r="B266" s="1013">
        <v>3.9777258962181312</v>
      </c>
    </row>
    <row r="267" spans="1:2" x14ac:dyDescent="0.35">
      <c r="A267" s="1012">
        <v>38938</v>
      </c>
      <c r="B267" s="1013">
        <v>3.9291252009013307</v>
      </c>
    </row>
    <row r="268" spans="1:2" x14ac:dyDescent="0.35">
      <c r="A268" s="1012">
        <v>38939</v>
      </c>
      <c r="B268" s="1013">
        <v>3.9480955424925042</v>
      </c>
    </row>
    <row r="269" spans="1:2" x14ac:dyDescent="0.35">
      <c r="A269" s="1012">
        <v>38940</v>
      </c>
      <c r="B269" s="1013">
        <v>3.953541571445371</v>
      </c>
    </row>
    <row r="270" spans="1:2" x14ac:dyDescent="0.35">
      <c r="A270" s="1012">
        <v>38943</v>
      </c>
      <c r="B270" s="1013">
        <v>3.902917238015577</v>
      </c>
    </row>
    <row r="271" spans="1:2" x14ac:dyDescent="0.35">
      <c r="A271" s="1012">
        <v>38944</v>
      </c>
      <c r="B271" s="1013">
        <v>3.8683924445719193</v>
      </c>
    </row>
    <row r="272" spans="1:2" x14ac:dyDescent="0.35">
      <c r="A272" s="1012">
        <v>38945</v>
      </c>
      <c r="B272" s="1013">
        <v>3.8473187078564886</v>
      </c>
    </row>
    <row r="273" spans="1:2" x14ac:dyDescent="0.35">
      <c r="A273" s="1012">
        <v>38946</v>
      </c>
      <c r="B273" s="1013">
        <v>3.8396152287919758</v>
      </c>
    </row>
    <row r="274" spans="1:2" x14ac:dyDescent="0.35">
      <c r="A274" s="1012">
        <v>38947</v>
      </c>
      <c r="B274" s="1013">
        <v>3.8452018541432706</v>
      </c>
    </row>
    <row r="275" spans="1:2" x14ac:dyDescent="0.35">
      <c r="A275" s="1012">
        <v>38950</v>
      </c>
      <c r="B275" s="1013">
        <v>3.8091073546188614</v>
      </c>
    </row>
    <row r="276" spans="1:2" x14ac:dyDescent="0.35">
      <c r="A276" s="1012">
        <v>38951</v>
      </c>
      <c r="B276" s="1013">
        <v>3.998868580983137</v>
      </c>
    </row>
    <row r="277" spans="1:2" x14ac:dyDescent="0.35">
      <c r="A277" s="1012">
        <v>38952</v>
      </c>
      <c r="B277" s="1013">
        <v>3.9647004113767119</v>
      </c>
    </row>
    <row r="278" spans="1:2" x14ac:dyDescent="0.35">
      <c r="A278" s="1012">
        <v>38953</v>
      </c>
      <c r="B278" s="1013">
        <v>4.1665072109972874</v>
      </c>
    </row>
    <row r="279" spans="1:2" x14ac:dyDescent="0.35">
      <c r="A279" s="1012">
        <v>38954</v>
      </c>
      <c r="B279" s="1013">
        <v>4.2367545672484219</v>
      </c>
    </row>
    <row r="280" spans="1:2" x14ac:dyDescent="0.35">
      <c r="A280" s="1012">
        <v>38957</v>
      </c>
      <c r="B280" s="1013">
        <v>4.2248528347995284</v>
      </c>
    </row>
    <row r="281" spans="1:2" x14ac:dyDescent="0.35">
      <c r="A281" s="1012">
        <v>38958</v>
      </c>
      <c r="B281" s="1013">
        <v>4.2036177809188384</v>
      </c>
    </row>
    <row r="282" spans="1:2" x14ac:dyDescent="0.35">
      <c r="A282" s="1012">
        <v>38959</v>
      </c>
      <c r="B282" s="1013">
        <v>4.2083632273484124</v>
      </c>
    </row>
    <row r="283" spans="1:2" x14ac:dyDescent="0.35">
      <c r="A283" s="1012">
        <v>38960</v>
      </c>
      <c r="B283" s="1013">
        <v>4.445714799994823</v>
      </c>
    </row>
    <row r="284" spans="1:2" x14ac:dyDescent="0.35">
      <c r="A284" s="1012">
        <v>38961</v>
      </c>
      <c r="B284" s="1013">
        <v>4.398377312465005</v>
      </c>
    </row>
    <row r="285" spans="1:2" x14ac:dyDescent="0.35">
      <c r="A285" s="1012">
        <v>38964</v>
      </c>
      <c r="B285" s="1013">
        <v>4.3087574186377022</v>
      </c>
    </row>
    <row r="286" spans="1:2" x14ac:dyDescent="0.35">
      <c r="A286" s="1012">
        <v>38965</v>
      </c>
      <c r="B286" s="1013">
        <v>4.3516419792417986</v>
      </c>
    </row>
    <row r="287" spans="1:2" x14ac:dyDescent="0.35">
      <c r="A287" s="1012">
        <v>38966</v>
      </c>
      <c r="B287" s="1013">
        <v>4.3049412718847231</v>
      </c>
    </row>
    <row r="288" spans="1:2" x14ac:dyDescent="0.35">
      <c r="A288" s="1012">
        <v>38967</v>
      </c>
      <c r="B288" s="1013">
        <v>4.3349185990741734</v>
      </c>
    </row>
    <row r="289" spans="1:2" x14ac:dyDescent="0.35">
      <c r="A289" s="1012">
        <v>38968</v>
      </c>
      <c r="B289" s="1013">
        <v>4.4284074885715112</v>
      </c>
    </row>
    <row r="290" spans="1:2" x14ac:dyDescent="0.35">
      <c r="A290" s="1012">
        <v>38971</v>
      </c>
      <c r="B290" s="1013">
        <v>4.442040096930274</v>
      </c>
    </row>
    <row r="291" spans="1:2" x14ac:dyDescent="0.35">
      <c r="A291" s="1012">
        <v>38972</v>
      </c>
      <c r="B291" s="1013">
        <v>4.3558037208586979</v>
      </c>
    </row>
    <row r="292" spans="1:2" x14ac:dyDescent="0.35">
      <c r="A292" s="1012">
        <v>38973</v>
      </c>
      <c r="B292" s="1013">
        <v>4.3863466554501214</v>
      </c>
    </row>
    <row r="293" spans="1:2" x14ac:dyDescent="0.35">
      <c r="A293" s="1012">
        <v>38974</v>
      </c>
      <c r="B293" s="1013">
        <v>4.2876283393188928</v>
      </c>
    </row>
    <row r="294" spans="1:2" x14ac:dyDescent="0.35">
      <c r="A294" s="1012">
        <v>38975</v>
      </c>
      <c r="B294" s="1013">
        <v>4.176393551108502</v>
      </c>
    </row>
    <row r="295" spans="1:2" x14ac:dyDescent="0.35">
      <c r="A295" s="1012">
        <v>38978</v>
      </c>
      <c r="B295" s="1013">
        <v>4.2938077289700667</v>
      </c>
    </row>
    <row r="296" spans="1:2" x14ac:dyDescent="0.35">
      <c r="A296" s="1012">
        <v>38979</v>
      </c>
      <c r="B296" s="1013">
        <v>4.2601565953754736</v>
      </c>
    </row>
    <row r="297" spans="1:2" x14ac:dyDescent="0.35">
      <c r="A297" s="1012">
        <v>38980</v>
      </c>
      <c r="B297" s="1013">
        <v>4.2777087509948561</v>
      </c>
    </row>
    <row r="298" spans="1:2" x14ac:dyDescent="0.35">
      <c r="A298" s="1012">
        <v>38981</v>
      </c>
      <c r="B298" s="1013">
        <v>4.2314682885637112</v>
      </c>
    </row>
    <row r="299" spans="1:2" x14ac:dyDescent="0.35">
      <c r="A299" s="1012">
        <v>38982</v>
      </c>
      <c r="B299" s="1013">
        <v>4.1726789678809775</v>
      </c>
    </row>
    <row r="300" spans="1:2" x14ac:dyDescent="0.35">
      <c r="A300" s="1012">
        <v>38985</v>
      </c>
      <c r="B300" s="1013">
        <v>4.0229226543475436</v>
      </c>
    </row>
    <row r="301" spans="1:2" x14ac:dyDescent="0.35">
      <c r="A301" s="1012">
        <v>38986</v>
      </c>
      <c r="B301" s="1013">
        <v>3.8386833996262157</v>
      </c>
    </row>
    <row r="302" spans="1:2" x14ac:dyDescent="0.35">
      <c r="A302" s="1012">
        <v>38987</v>
      </c>
      <c r="B302" s="1013">
        <v>3.8945997452087822</v>
      </c>
    </row>
    <row r="303" spans="1:2" x14ac:dyDescent="0.35">
      <c r="A303" s="1012">
        <v>38988</v>
      </c>
      <c r="B303" s="1013">
        <v>3.824503502449121</v>
      </c>
    </row>
    <row r="304" spans="1:2" x14ac:dyDescent="0.35">
      <c r="A304" s="1012">
        <v>38989</v>
      </c>
      <c r="B304" s="1013">
        <v>3.8174527662892093</v>
      </c>
    </row>
    <row r="305" spans="1:2" x14ac:dyDescent="0.35">
      <c r="A305" s="1012">
        <v>38999</v>
      </c>
      <c r="B305" s="1013">
        <v>3.7236891657349074</v>
      </c>
    </row>
    <row r="306" spans="1:2" x14ac:dyDescent="0.35">
      <c r="A306" s="1012">
        <v>39000</v>
      </c>
      <c r="B306" s="1013">
        <v>3.7169607353462841</v>
      </c>
    </row>
    <row r="307" spans="1:2" x14ac:dyDescent="0.35">
      <c r="A307" s="1012">
        <v>39001</v>
      </c>
      <c r="B307" s="1013">
        <v>3.6979709588472702</v>
      </c>
    </row>
    <row r="308" spans="1:2" x14ac:dyDescent="0.35">
      <c r="A308" s="1012">
        <v>39002</v>
      </c>
      <c r="B308" s="1013">
        <v>3.7281035556271154</v>
      </c>
    </row>
    <row r="309" spans="1:2" x14ac:dyDescent="0.35">
      <c r="A309" s="1012">
        <v>39003</v>
      </c>
      <c r="B309" s="1013">
        <v>3.8315765974462579</v>
      </c>
    </row>
    <row r="310" spans="1:2" x14ac:dyDescent="0.35">
      <c r="A310" s="1012">
        <v>39006</v>
      </c>
      <c r="B310" s="1013">
        <v>3.8475566746188252</v>
      </c>
    </row>
    <row r="311" spans="1:2" x14ac:dyDescent="0.35">
      <c r="A311" s="1012">
        <v>39007</v>
      </c>
      <c r="B311" s="1013">
        <v>3.9743862108542141</v>
      </c>
    </row>
    <row r="312" spans="1:2" x14ac:dyDescent="0.35">
      <c r="A312" s="1012">
        <v>39008</v>
      </c>
      <c r="B312" s="1013">
        <v>4.3434126886234754</v>
      </c>
    </row>
    <row r="313" spans="1:2" x14ac:dyDescent="0.35">
      <c r="A313" s="1012">
        <v>39009</v>
      </c>
      <c r="B313" s="1013">
        <v>4.6626834356417381</v>
      </c>
    </row>
    <row r="314" spans="1:2" x14ac:dyDescent="0.35">
      <c r="A314" s="1012">
        <v>39010</v>
      </c>
      <c r="B314" s="1013">
        <v>4.8236590403607433</v>
      </c>
    </row>
    <row r="315" spans="1:2" x14ac:dyDescent="0.35">
      <c r="A315" s="1012">
        <v>39013</v>
      </c>
      <c r="B315" s="1013">
        <v>4.6057057165331639</v>
      </c>
    </row>
    <row r="316" spans="1:2" x14ac:dyDescent="0.35">
      <c r="A316" s="1012">
        <v>39014</v>
      </c>
      <c r="B316" s="1013">
        <v>4.645605472969474</v>
      </c>
    </row>
    <row r="317" spans="1:2" x14ac:dyDescent="0.35">
      <c r="A317" s="1012">
        <v>39015</v>
      </c>
      <c r="B317" s="1013">
        <v>4.7692460546432835</v>
      </c>
    </row>
    <row r="318" spans="1:2" x14ac:dyDescent="0.35">
      <c r="A318" s="1012">
        <v>39016</v>
      </c>
      <c r="B318" s="1013">
        <v>4.6053647027197036</v>
      </c>
    </row>
    <row r="319" spans="1:2" x14ac:dyDescent="0.35">
      <c r="A319" s="1012">
        <v>39017</v>
      </c>
      <c r="B319" s="1013">
        <v>4.597291151227636</v>
      </c>
    </row>
    <row r="320" spans="1:2" x14ac:dyDescent="0.35">
      <c r="A320" s="1012">
        <v>39020</v>
      </c>
      <c r="B320" s="1013">
        <v>4.5732394507168523</v>
      </c>
    </row>
    <row r="321" spans="1:2" x14ac:dyDescent="0.35">
      <c r="A321" s="1012">
        <v>39021</v>
      </c>
      <c r="B321" s="1013">
        <v>4.6957145605620063</v>
      </c>
    </row>
    <row r="322" spans="1:2" x14ac:dyDescent="0.35">
      <c r="A322" s="1012">
        <v>39022</v>
      </c>
      <c r="B322" s="1013">
        <v>4.7940894695963143</v>
      </c>
    </row>
    <row r="323" spans="1:2" x14ac:dyDescent="0.35">
      <c r="A323" s="1012">
        <v>39023</v>
      </c>
      <c r="B323" s="1013">
        <v>5.2938916113931951</v>
      </c>
    </row>
    <row r="324" spans="1:2" x14ac:dyDescent="0.35">
      <c r="A324" s="1012">
        <v>39024</v>
      </c>
      <c r="B324" s="1013">
        <v>5.2729272688592674</v>
      </c>
    </row>
    <row r="325" spans="1:2" x14ac:dyDescent="0.35">
      <c r="A325" s="1012">
        <v>39027</v>
      </c>
      <c r="B325" s="1013">
        <v>5.0461736422743177</v>
      </c>
    </row>
    <row r="326" spans="1:2" x14ac:dyDescent="0.35">
      <c r="A326" s="1012">
        <v>39028</v>
      </c>
      <c r="B326" s="1013">
        <v>5.1312155143615472</v>
      </c>
    </row>
    <row r="327" spans="1:2" x14ac:dyDescent="0.35">
      <c r="A327" s="1012">
        <v>39029</v>
      </c>
      <c r="B327" s="1013">
        <v>4.970370578621198</v>
      </c>
    </row>
    <row r="328" spans="1:2" x14ac:dyDescent="0.35">
      <c r="A328" s="1012">
        <v>39030</v>
      </c>
      <c r="B328" s="1013">
        <v>5.172000294709191</v>
      </c>
    </row>
    <row r="329" spans="1:2" x14ac:dyDescent="0.35">
      <c r="A329" s="1012">
        <v>39031</v>
      </c>
      <c r="B329" s="1013">
        <v>5.0582558799829318</v>
      </c>
    </row>
    <row r="330" spans="1:2" x14ac:dyDescent="0.35">
      <c r="A330" s="1012">
        <v>39034</v>
      </c>
      <c r="B330" s="1013">
        <v>5.0440186852467983</v>
      </c>
    </row>
    <row r="331" spans="1:2" x14ac:dyDescent="0.35">
      <c r="A331" s="1012">
        <v>39035</v>
      </c>
      <c r="B331" s="1013">
        <v>5.1975069858319118</v>
      </c>
    </row>
    <row r="332" spans="1:2" x14ac:dyDescent="0.35">
      <c r="A332" s="1012">
        <v>39036</v>
      </c>
      <c r="B332" s="1013">
        <v>5.1077963723342794</v>
      </c>
    </row>
    <row r="333" spans="1:2" x14ac:dyDescent="0.35">
      <c r="A333" s="1012">
        <v>39037</v>
      </c>
      <c r="B333" s="1013">
        <v>5.0529992268771604</v>
      </c>
    </row>
    <row r="334" spans="1:2" x14ac:dyDescent="0.35">
      <c r="A334" s="1012">
        <v>39038</v>
      </c>
      <c r="B334" s="1013">
        <v>5.0444554730546907</v>
      </c>
    </row>
    <row r="335" spans="1:2" x14ac:dyDescent="0.35">
      <c r="A335" s="1012">
        <v>39041</v>
      </c>
      <c r="B335" s="1013">
        <v>5.0189966889420674</v>
      </c>
    </row>
    <row r="336" spans="1:2" x14ac:dyDescent="0.35">
      <c r="A336" s="1012">
        <v>39042</v>
      </c>
      <c r="B336" s="1013">
        <v>5.0334467406050889</v>
      </c>
    </row>
    <row r="337" spans="1:2" x14ac:dyDescent="0.35">
      <c r="A337" s="1012">
        <v>39043</v>
      </c>
      <c r="B337" s="1013">
        <v>5.2419963497604867</v>
      </c>
    </row>
    <row r="338" spans="1:2" x14ac:dyDescent="0.35">
      <c r="A338" s="1012">
        <v>39044</v>
      </c>
      <c r="B338" s="1013">
        <v>5.5296572851813943</v>
      </c>
    </row>
    <row r="339" spans="1:2" x14ac:dyDescent="0.35">
      <c r="A339" s="1012">
        <v>39045</v>
      </c>
      <c r="B339" s="1013">
        <v>5.5659461631426854</v>
      </c>
    </row>
    <row r="340" spans="1:2" x14ac:dyDescent="0.35">
      <c r="A340" s="1012">
        <v>39048</v>
      </c>
      <c r="B340" s="1013">
        <v>5.4928803176117462</v>
      </c>
    </row>
    <row r="341" spans="1:2" x14ac:dyDescent="0.35">
      <c r="A341" s="1012">
        <v>39049</v>
      </c>
      <c r="B341" s="1013">
        <v>5.2802413076011616</v>
      </c>
    </row>
    <row r="342" spans="1:2" x14ac:dyDescent="0.35">
      <c r="A342" s="1012">
        <v>39050</v>
      </c>
      <c r="B342" s="1013">
        <v>5.4746746746054518</v>
      </c>
    </row>
    <row r="343" spans="1:2" x14ac:dyDescent="0.35">
      <c r="A343" s="1012">
        <v>39051</v>
      </c>
      <c r="B343" s="1013">
        <v>5.4994249743324835</v>
      </c>
    </row>
    <row r="344" spans="1:2" x14ac:dyDescent="0.35">
      <c r="A344" s="1012">
        <v>39052</v>
      </c>
      <c r="B344" s="1013">
        <v>5.4115865162941432</v>
      </c>
    </row>
    <row r="345" spans="1:2" x14ac:dyDescent="0.35">
      <c r="A345" s="1012">
        <v>39055</v>
      </c>
      <c r="B345" s="1013">
        <v>5.4184889860141556</v>
      </c>
    </row>
    <row r="346" spans="1:2" x14ac:dyDescent="0.35">
      <c r="A346" s="1012">
        <v>39056</v>
      </c>
      <c r="B346" s="1013">
        <v>5.5660738235574403</v>
      </c>
    </row>
    <row r="347" spans="1:2" x14ac:dyDescent="0.35">
      <c r="A347" s="1012">
        <v>39057</v>
      </c>
      <c r="B347" s="1013">
        <v>5.6350652981635463</v>
      </c>
    </row>
    <row r="348" spans="1:2" x14ac:dyDescent="0.35">
      <c r="A348" s="1012">
        <v>39058</v>
      </c>
      <c r="B348" s="1013">
        <v>5.6815505085896172</v>
      </c>
    </row>
    <row r="349" spans="1:2" x14ac:dyDescent="0.35">
      <c r="A349" s="1012">
        <v>39059</v>
      </c>
      <c r="B349" s="1013">
        <v>5.7167618075800313</v>
      </c>
    </row>
    <row r="350" spans="1:2" x14ac:dyDescent="0.35">
      <c r="A350" s="1012">
        <v>39062</v>
      </c>
      <c r="B350" s="1013">
        <v>5.6556908093209701</v>
      </c>
    </row>
    <row r="351" spans="1:2" x14ac:dyDescent="0.35">
      <c r="A351" s="1012">
        <v>39063</v>
      </c>
      <c r="B351" s="1013">
        <v>5.6354659068293831</v>
      </c>
    </row>
    <row r="352" spans="1:2" x14ac:dyDescent="0.35">
      <c r="A352" s="1012">
        <v>39064</v>
      </c>
      <c r="B352" s="1013">
        <v>5.6263385543134872</v>
      </c>
    </row>
    <row r="353" spans="1:2" x14ac:dyDescent="0.35">
      <c r="A353" s="1012">
        <v>39065</v>
      </c>
      <c r="B353" s="1013">
        <v>5.7383968921897406</v>
      </c>
    </row>
    <row r="354" spans="1:2" x14ac:dyDescent="0.35">
      <c r="A354" s="1012">
        <v>39066</v>
      </c>
      <c r="B354" s="1013">
        <v>5.6081722603331121</v>
      </c>
    </row>
    <row r="355" spans="1:2" x14ac:dyDescent="0.35">
      <c r="A355" s="1012">
        <v>39069</v>
      </c>
      <c r="B355" s="1013">
        <v>5.5373680558310499</v>
      </c>
    </row>
    <row r="356" spans="1:2" x14ac:dyDescent="0.35">
      <c r="A356" s="1012">
        <v>39070</v>
      </c>
      <c r="B356" s="1013">
        <v>5.4083014238293954</v>
      </c>
    </row>
    <row r="357" spans="1:2" x14ac:dyDescent="0.35">
      <c r="A357" s="1012">
        <v>39071</v>
      </c>
      <c r="B357" s="1013">
        <v>5.4323652808761107</v>
      </c>
    </row>
    <row r="358" spans="1:2" x14ac:dyDescent="0.35">
      <c r="A358" s="1012">
        <v>39072</v>
      </c>
      <c r="B358" s="1013">
        <v>5.4236794184651069</v>
      </c>
    </row>
    <row r="359" spans="1:2" x14ac:dyDescent="0.35">
      <c r="A359" s="1012">
        <v>39073</v>
      </c>
      <c r="B359" s="1013">
        <v>5.3280329937603872</v>
      </c>
    </row>
    <row r="360" spans="1:2" x14ac:dyDescent="0.35">
      <c r="A360" s="1012">
        <v>39076</v>
      </c>
      <c r="B360" s="1013">
        <v>5.3026382757551946</v>
      </c>
    </row>
    <row r="361" spans="1:2" x14ac:dyDescent="0.35">
      <c r="A361" s="1012">
        <v>39077</v>
      </c>
      <c r="B361" s="1013">
        <v>5.2942270788600458</v>
      </c>
    </row>
    <row r="362" spans="1:2" x14ac:dyDescent="0.35">
      <c r="A362" s="1012">
        <v>39078</v>
      </c>
      <c r="B362" s="1013">
        <v>5.2642676564238267</v>
      </c>
    </row>
    <row r="363" spans="1:2" x14ac:dyDescent="0.35">
      <c r="A363" s="1012">
        <v>39079</v>
      </c>
      <c r="B363" s="1013">
        <v>5.2559437314025468</v>
      </c>
    </row>
    <row r="364" spans="1:2" x14ac:dyDescent="0.35">
      <c r="A364" s="1012">
        <v>39080</v>
      </c>
      <c r="B364" s="1013">
        <v>5.2691528348743306</v>
      </c>
    </row>
    <row r="365" spans="1:2" x14ac:dyDescent="0.35">
      <c r="A365" s="1012">
        <v>39086</v>
      </c>
      <c r="B365" s="1013">
        <v>5.1756076252222423</v>
      </c>
    </row>
    <row r="366" spans="1:2" x14ac:dyDescent="0.35">
      <c r="A366" s="1012">
        <v>39087</v>
      </c>
      <c r="B366" s="1013">
        <v>4.9791135373272128</v>
      </c>
    </row>
    <row r="367" spans="1:2" x14ac:dyDescent="0.35">
      <c r="A367" s="1012">
        <v>39090</v>
      </c>
      <c r="B367" s="1013">
        <v>4.9010726689202473</v>
      </c>
    </row>
    <row r="368" spans="1:2" x14ac:dyDescent="0.35">
      <c r="A368" s="1012">
        <v>39091</v>
      </c>
      <c r="B368" s="1013">
        <v>4.8826543142699164</v>
      </c>
    </row>
    <row r="369" spans="1:2" x14ac:dyDescent="0.35">
      <c r="A369" s="1012">
        <v>39092</v>
      </c>
      <c r="B369" s="1013">
        <v>4.8157520079258207</v>
      </c>
    </row>
    <row r="370" spans="1:2" x14ac:dyDescent="0.35">
      <c r="A370" s="1012">
        <v>39093</v>
      </c>
      <c r="B370" s="1013">
        <v>4.7114376067158581</v>
      </c>
    </row>
    <row r="371" spans="1:2" x14ac:dyDescent="0.35">
      <c r="A371" s="1012">
        <v>39094</v>
      </c>
      <c r="B371" s="1013">
        <v>4.6666026360409338</v>
      </c>
    </row>
    <row r="372" spans="1:2" x14ac:dyDescent="0.35">
      <c r="A372" s="1012">
        <v>39097</v>
      </c>
      <c r="B372" s="1013">
        <v>4.5650246467630087</v>
      </c>
    </row>
    <row r="373" spans="1:2" x14ac:dyDescent="0.35">
      <c r="A373" s="1012">
        <v>39098</v>
      </c>
      <c r="B373" s="1013">
        <v>4.5970237035560455</v>
      </c>
    </row>
    <row r="374" spans="1:2" x14ac:dyDescent="0.35">
      <c r="A374" s="1012">
        <v>39099</v>
      </c>
      <c r="B374" s="1013">
        <v>4.5461173466298792</v>
      </c>
    </row>
    <row r="375" spans="1:2" x14ac:dyDescent="0.35">
      <c r="A375" s="1012">
        <v>39100</v>
      </c>
      <c r="B375" s="1013">
        <v>4.8949775504783632</v>
      </c>
    </row>
    <row r="376" spans="1:2" x14ac:dyDescent="0.35">
      <c r="A376" s="1012">
        <v>39101</v>
      </c>
      <c r="B376" s="1013">
        <v>5.1926932839278566</v>
      </c>
    </row>
    <row r="377" spans="1:2" x14ac:dyDescent="0.35">
      <c r="A377" s="1012">
        <v>39104</v>
      </c>
      <c r="B377" s="1013">
        <v>5.0573305817669203</v>
      </c>
    </row>
    <row r="378" spans="1:2" x14ac:dyDescent="0.35">
      <c r="A378" s="1012">
        <v>39105</v>
      </c>
      <c r="B378" s="1013">
        <v>4.9877414495765215</v>
      </c>
    </row>
    <row r="379" spans="1:2" x14ac:dyDescent="0.35">
      <c r="A379" s="1012">
        <v>39106</v>
      </c>
      <c r="B379" s="1013">
        <v>4.7215353514148344</v>
      </c>
    </row>
    <row r="380" spans="1:2" x14ac:dyDescent="0.35">
      <c r="A380" s="1012">
        <v>39107</v>
      </c>
      <c r="B380" s="1013">
        <v>4.6900782150637772</v>
      </c>
    </row>
    <row r="381" spans="1:2" x14ac:dyDescent="0.35">
      <c r="A381" s="1012">
        <v>39108</v>
      </c>
      <c r="B381" s="1013">
        <v>4.6084145580231031</v>
      </c>
    </row>
    <row r="382" spans="1:2" x14ac:dyDescent="0.35">
      <c r="A382" s="1012">
        <v>39111</v>
      </c>
      <c r="B382" s="1013">
        <v>4.486922830380804</v>
      </c>
    </row>
    <row r="383" spans="1:2" x14ac:dyDescent="0.35">
      <c r="A383" s="1012">
        <v>39112</v>
      </c>
      <c r="B383" s="1013">
        <v>4.4177446411351324</v>
      </c>
    </row>
    <row r="384" spans="1:2" x14ac:dyDescent="0.35">
      <c r="A384" s="1012">
        <v>39113</v>
      </c>
      <c r="B384" s="1013">
        <v>4.7067448784614001</v>
      </c>
    </row>
    <row r="385" spans="1:2" x14ac:dyDescent="0.35">
      <c r="A385" s="1012">
        <v>39114</v>
      </c>
      <c r="B385" s="1013">
        <v>4.6610660025212205</v>
      </c>
    </row>
    <row r="386" spans="1:2" x14ac:dyDescent="0.35">
      <c r="A386" s="1012">
        <v>39115</v>
      </c>
      <c r="B386" s="1013">
        <v>4.5921526478165262</v>
      </c>
    </row>
    <row r="387" spans="1:2" x14ac:dyDescent="0.35">
      <c r="A387" s="1012">
        <v>39118</v>
      </c>
      <c r="B387" s="1013">
        <v>4.4932286312025003</v>
      </c>
    </row>
    <row r="388" spans="1:2" x14ac:dyDescent="0.35">
      <c r="A388" s="1012">
        <v>39119</v>
      </c>
      <c r="B388" s="1013">
        <v>4.4432060958095789</v>
      </c>
    </row>
    <row r="389" spans="1:2" x14ac:dyDescent="0.35">
      <c r="A389" s="1012">
        <v>39120</v>
      </c>
      <c r="B389" s="1013">
        <v>4.3632198734000669</v>
      </c>
    </row>
    <row r="390" spans="1:2" x14ac:dyDescent="0.35">
      <c r="A390" s="1012">
        <v>39121</v>
      </c>
      <c r="B390" s="1013">
        <v>4.2158326875940766</v>
      </c>
    </row>
    <row r="391" spans="1:2" x14ac:dyDescent="0.35">
      <c r="A391" s="1012">
        <v>39122</v>
      </c>
      <c r="B391" s="1013">
        <v>4.1917209855783852</v>
      </c>
    </row>
    <row r="392" spans="1:2" x14ac:dyDescent="0.35">
      <c r="A392" s="1012">
        <v>39125</v>
      </c>
      <c r="B392" s="1013">
        <v>4.1141125865035697</v>
      </c>
    </row>
    <row r="393" spans="1:2" x14ac:dyDescent="0.35">
      <c r="A393" s="1012">
        <v>39126</v>
      </c>
      <c r="B393" s="1013">
        <v>4.076755461366381</v>
      </c>
    </row>
    <row r="394" spans="1:2" x14ac:dyDescent="0.35">
      <c r="A394" s="1012">
        <v>39127</v>
      </c>
      <c r="B394" s="1013">
        <v>4.0836932710023932</v>
      </c>
    </row>
    <row r="395" spans="1:2" x14ac:dyDescent="0.35">
      <c r="A395" s="1012">
        <v>39128</v>
      </c>
      <c r="B395" s="1013">
        <v>4.0905313163213242</v>
      </c>
    </row>
    <row r="396" spans="1:2" x14ac:dyDescent="0.35">
      <c r="A396" s="1012">
        <v>39129</v>
      </c>
      <c r="B396" s="1013">
        <v>4.0253897736052551</v>
      </c>
    </row>
    <row r="397" spans="1:2" x14ac:dyDescent="0.35">
      <c r="A397" s="1012">
        <v>39139</v>
      </c>
      <c r="B397" s="1013">
        <v>3.8242731457988848</v>
      </c>
    </row>
    <row r="398" spans="1:2" x14ac:dyDescent="0.35">
      <c r="A398" s="1012">
        <v>39140</v>
      </c>
      <c r="B398" s="1013">
        <v>3.7989609128635244</v>
      </c>
    </row>
    <row r="399" spans="1:2" x14ac:dyDescent="0.35">
      <c r="A399" s="1012">
        <v>39141</v>
      </c>
      <c r="B399" s="1013">
        <v>3.5753509437075457</v>
      </c>
    </row>
    <row r="400" spans="1:2" x14ac:dyDescent="0.35">
      <c r="A400" s="1012">
        <v>39142</v>
      </c>
      <c r="B400" s="1013">
        <v>3.5519954579676809</v>
      </c>
    </row>
    <row r="401" spans="1:2" x14ac:dyDescent="0.35">
      <c r="A401" s="1012">
        <v>39143</v>
      </c>
      <c r="B401" s="1013">
        <v>3.4635923262792314</v>
      </c>
    </row>
    <row r="402" spans="1:2" x14ac:dyDescent="0.35">
      <c r="A402" s="1012">
        <v>39146</v>
      </c>
      <c r="B402" s="1013">
        <v>3.2051362456717363</v>
      </c>
    </row>
    <row r="403" spans="1:2" x14ac:dyDescent="0.35">
      <c r="A403" s="1012">
        <v>39147</v>
      </c>
      <c r="B403" s="1013">
        <v>3.3759530320556848</v>
      </c>
    </row>
    <row r="404" spans="1:2" x14ac:dyDescent="0.35">
      <c r="A404" s="1012">
        <v>39148</v>
      </c>
      <c r="B404" s="1013">
        <v>3.2281381788321446</v>
      </c>
    </row>
    <row r="405" spans="1:2" x14ac:dyDescent="0.35">
      <c r="A405" s="1012">
        <v>39149</v>
      </c>
      <c r="B405" s="1013">
        <v>3.302325044854439</v>
      </c>
    </row>
    <row r="406" spans="1:2" x14ac:dyDescent="0.35">
      <c r="A406" s="1012">
        <v>39150</v>
      </c>
      <c r="B406" s="1013">
        <v>3.2818244038758984</v>
      </c>
    </row>
    <row r="407" spans="1:2" x14ac:dyDescent="0.35">
      <c r="A407" s="1012">
        <v>39153</v>
      </c>
      <c r="B407" s="1013">
        <v>3.2402321700670185</v>
      </c>
    </row>
    <row r="408" spans="1:2" x14ac:dyDescent="0.35">
      <c r="A408" s="1012">
        <v>39154</v>
      </c>
      <c r="B408" s="1013">
        <v>3.1718073542459138</v>
      </c>
    </row>
    <row r="409" spans="1:2" x14ac:dyDescent="0.35">
      <c r="A409" s="1012">
        <v>39155</v>
      </c>
      <c r="B409" s="1013">
        <v>3.055703290066738</v>
      </c>
    </row>
    <row r="410" spans="1:2" x14ac:dyDescent="0.35">
      <c r="A410" s="1012">
        <v>39156</v>
      </c>
      <c r="B410" s="1013">
        <v>3.1278141153292611</v>
      </c>
    </row>
    <row r="411" spans="1:2" x14ac:dyDescent="0.35">
      <c r="A411" s="1012">
        <v>39157</v>
      </c>
      <c r="B411" s="1013">
        <v>3.1930761453526588</v>
      </c>
    </row>
    <row r="412" spans="1:2" x14ac:dyDescent="0.35">
      <c r="A412" s="1012">
        <v>39160</v>
      </c>
      <c r="B412" s="1013">
        <v>3.2547990170108512</v>
      </c>
    </row>
    <row r="413" spans="1:2" x14ac:dyDescent="0.35">
      <c r="A413" s="1012">
        <v>39161</v>
      </c>
      <c r="B413" s="1013">
        <v>3.2124789630769399</v>
      </c>
    </row>
    <row r="414" spans="1:2" x14ac:dyDescent="0.35">
      <c r="A414" s="1012">
        <v>39162</v>
      </c>
      <c r="B414" s="1013">
        <v>3.1706479209106933</v>
      </c>
    </row>
    <row r="415" spans="1:2" x14ac:dyDescent="0.35">
      <c r="A415" s="1012">
        <v>39163</v>
      </c>
      <c r="B415" s="1013">
        <v>3.3491002426531042</v>
      </c>
    </row>
    <row r="416" spans="1:2" x14ac:dyDescent="0.35">
      <c r="A416" s="1012">
        <v>39164</v>
      </c>
      <c r="B416" s="1013">
        <v>3.2667079963789596</v>
      </c>
    </row>
    <row r="417" spans="1:2" x14ac:dyDescent="0.35">
      <c r="A417" s="1012">
        <v>39167</v>
      </c>
      <c r="B417" s="1013">
        <v>3.3926166407362874</v>
      </c>
    </row>
    <row r="418" spans="1:2" x14ac:dyDescent="0.35">
      <c r="A418" s="1012">
        <v>39168</v>
      </c>
      <c r="B418" s="1013">
        <v>3.3174444913954377</v>
      </c>
    </row>
    <row r="419" spans="1:2" x14ac:dyDescent="0.35">
      <c r="A419" s="1012">
        <v>39169</v>
      </c>
      <c r="B419" s="1013">
        <v>3.382896301993541</v>
      </c>
    </row>
    <row r="420" spans="1:2" x14ac:dyDescent="0.35">
      <c r="A420" s="1012">
        <v>39170</v>
      </c>
      <c r="B420" s="1013">
        <v>3.3086080774960211</v>
      </c>
    </row>
    <row r="421" spans="1:2" x14ac:dyDescent="0.35">
      <c r="A421" s="1012">
        <v>39171</v>
      </c>
      <c r="B421" s="1013">
        <v>3.2351358305540003</v>
      </c>
    </row>
    <row r="422" spans="1:2" x14ac:dyDescent="0.35">
      <c r="A422" s="1012">
        <v>39174</v>
      </c>
      <c r="B422" s="1013">
        <v>3.2044600126394136</v>
      </c>
    </row>
    <row r="423" spans="1:2" x14ac:dyDescent="0.35">
      <c r="A423" s="1012">
        <v>39175</v>
      </c>
      <c r="B423" s="1013">
        <v>3.2142958716262284</v>
      </c>
    </row>
    <row r="424" spans="1:2" x14ac:dyDescent="0.35">
      <c r="A424" s="1012">
        <v>39176</v>
      </c>
      <c r="B424" s="1013">
        <v>3.2132618850549957</v>
      </c>
    </row>
    <row r="425" spans="1:2" x14ac:dyDescent="0.35">
      <c r="A425" s="1012">
        <v>39177</v>
      </c>
      <c r="B425" s="1013">
        <v>3.1961776989617134</v>
      </c>
    </row>
    <row r="426" spans="1:2" x14ac:dyDescent="0.35">
      <c r="A426" s="1012">
        <v>39178</v>
      </c>
      <c r="B426" s="1013">
        <v>3.1792742176028721</v>
      </c>
    </row>
    <row r="427" spans="1:2" x14ac:dyDescent="0.35">
      <c r="A427" s="1012">
        <v>39181</v>
      </c>
      <c r="B427" s="1013">
        <v>3.1296197791642202</v>
      </c>
    </row>
    <row r="428" spans="1:2" x14ac:dyDescent="0.35">
      <c r="A428" s="1012">
        <v>39182</v>
      </c>
      <c r="B428" s="1013">
        <v>3.0508300569379867</v>
      </c>
    </row>
    <row r="429" spans="1:2" x14ac:dyDescent="0.35">
      <c r="A429" s="1012">
        <v>39183</v>
      </c>
      <c r="B429" s="1013">
        <v>3.1181225153178631</v>
      </c>
    </row>
    <row r="430" spans="1:2" x14ac:dyDescent="0.35">
      <c r="A430" s="1012">
        <v>39184</v>
      </c>
      <c r="B430" s="1013">
        <v>3.1331088018014395</v>
      </c>
    </row>
    <row r="431" spans="1:2" x14ac:dyDescent="0.35">
      <c r="A431" s="1012">
        <v>39185</v>
      </c>
      <c r="B431" s="1013">
        <v>3.0811832618232957</v>
      </c>
    </row>
    <row r="432" spans="1:2" x14ac:dyDescent="0.35">
      <c r="A432" s="1012">
        <v>39188</v>
      </c>
      <c r="B432" s="1013">
        <v>3.1662588165505716</v>
      </c>
    </row>
    <row r="433" spans="1:2" x14ac:dyDescent="0.35">
      <c r="A433" s="1012">
        <v>39189</v>
      </c>
      <c r="B433" s="1013">
        <v>3.200760592432391</v>
      </c>
    </row>
    <row r="434" spans="1:2" x14ac:dyDescent="0.35">
      <c r="A434" s="1012">
        <v>39190</v>
      </c>
      <c r="B434" s="1013">
        <v>3.1648126021776242</v>
      </c>
    </row>
    <row r="435" spans="1:2" x14ac:dyDescent="0.35">
      <c r="A435" s="1012">
        <v>39191</v>
      </c>
      <c r="B435" s="1013">
        <v>3.1491517247209604</v>
      </c>
    </row>
    <row r="436" spans="1:2" x14ac:dyDescent="0.35">
      <c r="A436" s="1012">
        <v>39192</v>
      </c>
      <c r="B436" s="1013">
        <v>3.3121438480666834</v>
      </c>
    </row>
    <row r="437" spans="1:2" x14ac:dyDescent="0.35">
      <c r="A437" s="1012">
        <v>39195</v>
      </c>
      <c r="B437" s="1013">
        <v>3.4251703737374628</v>
      </c>
    </row>
    <row r="438" spans="1:2" x14ac:dyDescent="0.35">
      <c r="A438" s="1012">
        <v>39196</v>
      </c>
      <c r="B438" s="1013">
        <v>3.4086303680375099</v>
      </c>
    </row>
    <row r="439" spans="1:2" x14ac:dyDescent="0.35">
      <c r="A439" s="1012">
        <v>39197</v>
      </c>
      <c r="B439" s="1013">
        <v>3.3632143922667637</v>
      </c>
    </row>
    <row r="440" spans="1:2" x14ac:dyDescent="0.35">
      <c r="A440" s="1012">
        <v>39198</v>
      </c>
      <c r="B440" s="1013">
        <v>3.3712089857580181</v>
      </c>
    </row>
    <row r="441" spans="1:2" x14ac:dyDescent="0.35">
      <c r="A441" s="1012">
        <v>39199</v>
      </c>
      <c r="B441" s="1013">
        <v>3.3551620276487739</v>
      </c>
    </row>
    <row r="442" spans="1:2" x14ac:dyDescent="0.35">
      <c r="A442" s="1012">
        <v>39202</v>
      </c>
      <c r="B442" s="1013">
        <v>3.279571209374367</v>
      </c>
    </row>
    <row r="443" spans="1:2" x14ac:dyDescent="0.35">
      <c r="A443" s="1012">
        <v>39210</v>
      </c>
      <c r="B443" s="1013">
        <v>3.2565455940493706</v>
      </c>
    </row>
    <row r="444" spans="1:2" x14ac:dyDescent="0.35">
      <c r="A444" s="1012">
        <v>39211</v>
      </c>
      <c r="B444" s="1013">
        <v>3.1602682044396047</v>
      </c>
    </row>
    <row r="445" spans="1:2" x14ac:dyDescent="0.35">
      <c r="A445" s="1012">
        <v>39212</v>
      </c>
      <c r="B445" s="1013">
        <v>3.2002672467372659</v>
      </c>
    </row>
    <row r="446" spans="1:2" x14ac:dyDescent="0.35">
      <c r="A446" s="1012">
        <v>39213</v>
      </c>
      <c r="B446" s="1013">
        <v>3.1455429986289398</v>
      </c>
    </row>
    <row r="447" spans="1:2" x14ac:dyDescent="0.35">
      <c r="A447" s="1012">
        <v>39216</v>
      </c>
      <c r="B447" s="1013">
        <v>3.1305929269823265</v>
      </c>
    </row>
    <row r="448" spans="1:2" x14ac:dyDescent="0.35">
      <c r="A448" s="1012">
        <v>39217</v>
      </c>
      <c r="B448" s="1013">
        <v>3.0727190502328305</v>
      </c>
    </row>
    <row r="449" spans="1:2" x14ac:dyDescent="0.35">
      <c r="A449" s="1012">
        <v>39218</v>
      </c>
      <c r="B449" s="1013">
        <v>3.1472170740550887</v>
      </c>
    </row>
    <row r="450" spans="1:2" x14ac:dyDescent="0.35">
      <c r="A450" s="1012">
        <v>39219</v>
      </c>
      <c r="B450" s="1013">
        <v>3.5186661555197229</v>
      </c>
    </row>
    <row r="451" spans="1:2" x14ac:dyDescent="0.35">
      <c r="A451" s="1012">
        <v>39220</v>
      </c>
      <c r="B451" s="1013">
        <v>3.4380766960194222</v>
      </c>
    </row>
    <row r="452" spans="1:2" x14ac:dyDescent="0.35">
      <c r="A452" s="1012">
        <v>39223</v>
      </c>
      <c r="B452" s="1013">
        <v>3.6908295703737255</v>
      </c>
    </row>
    <row r="453" spans="1:2" x14ac:dyDescent="0.35">
      <c r="A453" s="1012">
        <v>39224</v>
      </c>
      <c r="B453" s="1013">
        <v>3.940698323980222</v>
      </c>
    </row>
    <row r="454" spans="1:2" x14ac:dyDescent="0.35">
      <c r="A454" s="1012">
        <v>39225</v>
      </c>
      <c r="B454" s="1013">
        <v>4.0647587933373908</v>
      </c>
    </row>
    <row r="455" spans="1:2" x14ac:dyDescent="0.35">
      <c r="A455" s="1012">
        <v>39226</v>
      </c>
      <c r="B455" s="1013">
        <v>4.0476139882638211</v>
      </c>
    </row>
    <row r="456" spans="1:2" x14ac:dyDescent="0.35">
      <c r="A456" s="1012">
        <v>39227</v>
      </c>
      <c r="B456" s="1013">
        <v>3.9840898639959716</v>
      </c>
    </row>
    <row r="457" spans="1:2" x14ac:dyDescent="0.35">
      <c r="A457" s="1012">
        <v>39230</v>
      </c>
      <c r="B457" s="1013">
        <v>4.1751423595613462</v>
      </c>
    </row>
    <row r="458" spans="1:2" x14ac:dyDescent="0.35">
      <c r="A458" s="1012">
        <v>39231</v>
      </c>
      <c r="B458" s="1013">
        <v>3.8762182275236086</v>
      </c>
    </row>
    <row r="459" spans="1:2" x14ac:dyDescent="0.35">
      <c r="A459" s="1012">
        <v>39232</v>
      </c>
      <c r="B459" s="1013">
        <v>3.851898531262484</v>
      </c>
    </row>
    <row r="460" spans="1:2" x14ac:dyDescent="0.35">
      <c r="A460" s="1012">
        <v>39233</v>
      </c>
      <c r="B460" s="1013">
        <v>3.8819841162478856</v>
      </c>
    </row>
    <row r="461" spans="1:2" x14ac:dyDescent="0.35">
      <c r="A461" s="1012">
        <v>39234</v>
      </c>
      <c r="B461" s="1013">
        <v>3.9699617032697931</v>
      </c>
    </row>
    <row r="462" spans="1:2" x14ac:dyDescent="0.35">
      <c r="A462" s="1012">
        <v>39237</v>
      </c>
      <c r="B462" s="1013">
        <v>3.8727246806086497</v>
      </c>
    </row>
    <row r="463" spans="1:2" x14ac:dyDescent="0.35">
      <c r="A463" s="1012">
        <v>39238</v>
      </c>
      <c r="B463" s="1013">
        <v>3.7836289508995136</v>
      </c>
    </row>
    <row r="464" spans="1:2" x14ac:dyDescent="0.35">
      <c r="A464" s="1012">
        <v>39239</v>
      </c>
      <c r="B464" s="1013">
        <v>3.8295443265822122</v>
      </c>
    </row>
    <row r="465" spans="1:2" x14ac:dyDescent="0.35">
      <c r="A465" s="1012">
        <v>39240</v>
      </c>
      <c r="B465" s="1013">
        <v>3.7940250536777689</v>
      </c>
    </row>
    <row r="466" spans="1:2" x14ac:dyDescent="0.35">
      <c r="A466" s="1012">
        <v>39241</v>
      </c>
      <c r="B466" s="1013">
        <v>3.7184139275611661</v>
      </c>
    </row>
    <row r="467" spans="1:2" x14ac:dyDescent="0.35">
      <c r="A467" s="1012">
        <v>39244</v>
      </c>
      <c r="B467" s="1013">
        <v>3.6667025192523113</v>
      </c>
    </row>
    <row r="468" spans="1:2" x14ac:dyDescent="0.35">
      <c r="A468" s="1012">
        <v>39245</v>
      </c>
      <c r="B468" s="1013">
        <v>3.6205897387683881</v>
      </c>
    </row>
    <row r="469" spans="1:2" x14ac:dyDescent="0.35">
      <c r="A469" s="1012">
        <v>39246</v>
      </c>
      <c r="B469" s="1013">
        <v>3.6302595045992949</v>
      </c>
    </row>
    <row r="470" spans="1:2" x14ac:dyDescent="0.35">
      <c r="A470" s="1012">
        <v>39247</v>
      </c>
      <c r="B470" s="1013">
        <v>3.7897074933034611</v>
      </c>
    </row>
    <row r="471" spans="1:2" x14ac:dyDescent="0.35">
      <c r="A471" s="1012">
        <v>39248</v>
      </c>
      <c r="B471" s="1013">
        <v>3.8418609759812079</v>
      </c>
    </row>
    <row r="472" spans="1:2" x14ac:dyDescent="0.35">
      <c r="A472" s="1012">
        <v>39251</v>
      </c>
      <c r="B472" s="1013">
        <v>4.0774831432577514</v>
      </c>
    </row>
    <row r="473" spans="1:2" x14ac:dyDescent="0.35">
      <c r="A473" s="1012">
        <v>39252</v>
      </c>
      <c r="B473" s="1013">
        <v>4.0619843546601953</v>
      </c>
    </row>
    <row r="474" spans="1:2" x14ac:dyDescent="0.35">
      <c r="A474" s="1012">
        <v>39253</v>
      </c>
      <c r="B474" s="1013">
        <v>4.2470061371912786</v>
      </c>
    </row>
    <row r="475" spans="1:2" x14ac:dyDescent="0.35">
      <c r="A475" s="1012">
        <v>39254</v>
      </c>
      <c r="B475" s="1013">
        <v>4.3077721593166132</v>
      </c>
    </row>
    <row r="476" spans="1:2" x14ac:dyDescent="0.35">
      <c r="A476" s="1012">
        <v>39255</v>
      </c>
      <c r="B476" s="1013">
        <v>4.3680814382749311</v>
      </c>
    </row>
    <row r="477" spans="1:2" x14ac:dyDescent="0.35">
      <c r="A477" s="1012">
        <v>39258</v>
      </c>
      <c r="B477" s="1013">
        <v>4.1605255507178756</v>
      </c>
    </row>
    <row r="478" spans="1:2" x14ac:dyDescent="0.35">
      <c r="A478" s="1012">
        <v>39259</v>
      </c>
      <c r="B478" s="1013">
        <v>3.9717795656146757</v>
      </c>
    </row>
    <row r="479" spans="1:2" x14ac:dyDescent="0.35">
      <c r="A479" s="1012">
        <v>39260</v>
      </c>
      <c r="B479" s="1013">
        <v>3.9421105294069707</v>
      </c>
    </row>
    <row r="480" spans="1:2" x14ac:dyDescent="0.35">
      <c r="A480" s="1012">
        <v>39261</v>
      </c>
      <c r="B480" s="1013">
        <v>3.9201407652012534</v>
      </c>
    </row>
    <row r="481" spans="1:2" x14ac:dyDescent="0.35">
      <c r="A481" s="1012">
        <v>39262</v>
      </c>
      <c r="B481" s="1013">
        <v>3.95796221804977</v>
      </c>
    </row>
    <row r="482" spans="1:2" x14ac:dyDescent="0.35">
      <c r="A482" s="1012">
        <v>39265</v>
      </c>
      <c r="B482" s="1013">
        <v>3.9149539774873547</v>
      </c>
    </row>
    <row r="483" spans="1:2" x14ac:dyDescent="0.35">
      <c r="A483" s="1012">
        <v>39266</v>
      </c>
      <c r="B483" s="1013">
        <v>4.0330562047313334</v>
      </c>
    </row>
    <row r="484" spans="1:2" x14ac:dyDescent="0.35">
      <c r="A484" s="1012">
        <v>39267</v>
      </c>
      <c r="B484" s="1013">
        <v>4.4430997929417018</v>
      </c>
    </row>
    <row r="485" spans="1:2" x14ac:dyDescent="0.35">
      <c r="A485" s="1012">
        <v>39268</v>
      </c>
      <c r="B485" s="1013">
        <v>4.9158467558204579</v>
      </c>
    </row>
    <row r="486" spans="1:2" x14ac:dyDescent="0.35">
      <c r="A486" s="1012">
        <v>39269</v>
      </c>
      <c r="B486" s="1013">
        <v>4.6148629004378705</v>
      </c>
    </row>
    <row r="487" spans="1:2" x14ac:dyDescent="0.35">
      <c r="A487" s="1012">
        <v>39272</v>
      </c>
      <c r="B487" s="1013">
        <v>4.5371946755385117</v>
      </c>
    </row>
    <row r="488" spans="1:2" x14ac:dyDescent="0.35">
      <c r="A488" s="1012">
        <v>39273</v>
      </c>
      <c r="B488" s="1013">
        <v>4.3420940680552729</v>
      </c>
    </row>
    <row r="489" spans="1:2" x14ac:dyDescent="0.35">
      <c r="A489" s="1012">
        <v>39274</v>
      </c>
      <c r="B489" s="1013">
        <v>4.2626027952039118</v>
      </c>
    </row>
    <row r="490" spans="1:2" x14ac:dyDescent="0.35">
      <c r="A490" s="1012">
        <v>39275</v>
      </c>
      <c r="B490" s="1013">
        <v>4.190782322524492</v>
      </c>
    </row>
    <row r="491" spans="1:2" x14ac:dyDescent="0.35">
      <c r="A491" s="1012">
        <v>39276</v>
      </c>
      <c r="B491" s="1013">
        <v>4.1903651582801897</v>
      </c>
    </row>
    <row r="492" spans="1:2" x14ac:dyDescent="0.35">
      <c r="A492" s="1012">
        <v>39279</v>
      </c>
      <c r="B492" s="1013">
        <v>4.3856060746629391</v>
      </c>
    </row>
    <row r="493" spans="1:2" x14ac:dyDescent="0.35">
      <c r="A493" s="1012">
        <v>39280</v>
      </c>
      <c r="B493" s="1013">
        <v>4.6013041034822413</v>
      </c>
    </row>
    <row r="494" spans="1:2" x14ac:dyDescent="0.35">
      <c r="A494" s="1012">
        <v>39281</v>
      </c>
      <c r="B494" s="1013">
        <v>4.4322344576894528</v>
      </c>
    </row>
    <row r="495" spans="1:2" x14ac:dyDescent="0.35">
      <c r="A495" s="1012">
        <v>39282</v>
      </c>
      <c r="B495" s="1013">
        <v>4.4657277220559557</v>
      </c>
    </row>
    <row r="496" spans="1:2" x14ac:dyDescent="0.35">
      <c r="A496" s="1012">
        <v>39283</v>
      </c>
      <c r="B496" s="1013">
        <v>4.4989932061589029</v>
      </c>
    </row>
    <row r="497" spans="1:2" x14ac:dyDescent="0.35">
      <c r="A497" s="1012">
        <v>39286</v>
      </c>
      <c r="B497" s="1013">
        <v>4.4535616781191072</v>
      </c>
    </row>
    <row r="498" spans="1:2" x14ac:dyDescent="0.35">
      <c r="A498" s="1012">
        <v>39287</v>
      </c>
      <c r="B498" s="1013">
        <v>4.6161658932686453</v>
      </c>
    </row>
    <row r="499" spans="1:2" x14ac:dyDescent="0.35">
      <c r="A499" s="1012">
        <v>39288</v>
      </c>
      <c r="B499" s="1013">
        <v>4.6007315469018675</v>
      </c>
    </row>
    <row r="500" spans="1:2" x14ac:dyDescent="0.35">
      <c r="A500" s="1012">
        <v>39289</v>
      </c>
      <c r="B500" s="1013">
        <v>4.646448293127392</v>
      </c>
    </row>
    <row r="501" spans="1:2" x14ac:dyDescent="0.35">
      <c r="A501" s="1012">
        <v>39290</v>
      </c>
      <c r="B501" s="1013">
        <v>4.4687613225643075</v>
      </c>
    </row>
    <row r="502" spans="1:2" x14ac:dyDescent="0.35">
      <c r="A502" s="1012">
        <v>39293</v>
      </c>
      <c r="B502" s="1013">
        <v>4.351040885247154</v>
      </c>
    </row>
    <row r="503" spans="1:2" x14ac:dyDescent="0.35">
      <c r="A503" s="1012">
        <v>39294</v>
      </c>
      <c r="B503" s="1013">
        <v>4.376810911911349</v>
      </c>
    </row>
    <row r="504" spans="1:2" x14ac:dyDescent="0.35">
      <c r="A504" s="1012">
        <v>39295</v>
      </c>
      <c r="B504" s="1013">
        <v>4.2162077926863191</v>
      </c>
    </row>
    <row r="505" spans="1:2" x14ac:dyDescent="0.35">
      <c r="A505" s="1012">
        <v>39296</v>
      </c>
      <c r="B505" s="1013">
        <v>4.1428213456793577</v>
      </c>
    </row>
    <row r="506" spans="1:2" x14ac:dyDescent="0.35">
      <c r="A506" s="1012">
        <v>39297</v>
      </c>
      <c r="B506" s="1013">
        <v>4.2747282691099304</v>
      </c>
    </row>
    <row r="507" spans="1:2" x14ac:dyDescent="0.35">
      <c r="A507" s="1012">
        <v>39300</v>
      </c>
      <c r="B507" s="1013">
        <v>4.257306906927421</v>
      </c>
    </row>
    <row r="508" spans="1:2" x14ac:dyDescent="0.35">
      <c r="A508" s="1012">
        <v>39301</v>
      </c>
      <c r="B508" s="1013">
        <v>4.1013059835184507</v>
      </c>
    </row>
    <row r="509" spans="1:2" x14ac:dyDescent="0.35">
      <c r="A509" s="1012">
        <v>39302</v>
      </c>
      <c r="B509" s="1013">
        <v>4.2571404286605619</v>
      </c>
    </row>
    <row r="510" spans="1:2" x14ac:dyDescent="0.35">
      <c r="A510" s="1012">
        <v>39303</v>
      </c>
      <c r="B510" s="1013">
        <v>4.1627560672125901</v>
      </c>
    </row>
    <row r="511" spans="1:2" x14ac:dyDescent="0.35">
      <c r="A511" s="1012">
        <v>39304</v>
      </c>
      <c r="B511" s="1013">
        <v>3.961539239220119</v>
      </c>
    </row>
    <row r="512" spans="1:2" x14ac:dyDescent="0.35">
      <c r="A512" s="1012">
        <v>39307</v>
      </c>
      <c r="B512" s="1013">
        <v>3.9574318254811338</v>
      </c>
    </row>
    <row r="513" spans="1:2" x14ac:dyDescent="0.35">
      <c r="A513" s="1012">
        <v>39308</v>
      </c>
      <c r="B513" s="1013">
        <v>3.891986937136795</v>
      </c>
    </row>
    <row r="514" spans="1:2" x14ac:dyDescent="0.35">
      <c r="A514" s="1012">
        <v>39309</v>
      </c>
      <c r="B514" s="1013">
        <v>3.8005126233310942</v>
      </c>
    </row>
    <row r="515" spans="1:2" x14ac:dyDescent="0.35">
      <c r="A515" s="1012">
        <v>39310</v>
      </c>
      <c r="B515" s="1013">
        <v>3.3274459811712123</v>
      </c>
    </row>
    <row r="516" spans="1:2" x14ac:dyDescent="0.35">
      <c r="A516" s="1012">
        <v>39311</v>
      </c>
      <c r="B516" s="1013">
        <v>3.0379518497656721</v>
      </c>
    </row>
    <row r="517" spans="1:2" x14ac:dyDescent="0.35">
      <c r="A517" s="1012">
        <v>39314</v>
      </c>
      <c r="B517" s="1013">
        <v>3.4166619304128623</v>
      </c>
    </row>
    <row r="518" spans="1:2" x14ac:dyDescent="0.35">
      <c r="A518" s="1012">
        <v>39315</v>
      </c>
      <c r="B518" s="1013">
        <v>3.6397509796197149</v>
      </c>
    </row>
    <row r="519" spans="1:2" x14ac:dyDescent="0.35">
      <c r="A519" s="1012">
        <v>39316</v>
      </c>
      <c r="B519" s="1013">
        <v>3.6221549670041551</v>
      </c>
    </row>
    <row r="520" spans="1:2" x14ac:dyDescent="0.35">
      <c r="A520" s="1012">
        <v>39317</v>
      </c>
      <c r="B520" s="1013">
        <v>3.7723251136200293</v>
      </c>
    </row>
    <row r="521" spans="1:2" x14ac:dyDescent="0.35">
      <c r="A521" s="1012">
        <v>39318</v>
      </c>
      <c r="B521" s="1013">
        <v>3.7415755344129615</v>
      </c>
    </row>
    <row r="522" spans="1:2" x14ac:dyDescent="0.35">
      <c r="A522" s="1012">
        <v>39321</v>
      </c>
      <c r="B522" s="1013">
        <v>3.8097066175680339</v>
      </c>
    </row>
    <row r="523" spans="1:2" x14ac:dyDescent="0.35">
      <c r="A523" s="1012">
        <v>39322</v>
      </c>
      <c r="B523" s="1013">
        <v>3.5251492689021946</v>
      </c>
    </row>
    <row r="524" spans="1:2" x14ac:dyDescent="0.35">
      <c r="A524" s="1012">
        <v>39323</v>
      </c>
      <c r="B524" s="1013">
        <v>3.4766019336250285</v>
      </c>
    </row>
    <row r="525" spans="1:2" x14ac:dyDescent="0.35">
      <c r="A525" s="1012">
        <v>39324</v>
      </c>
      <c r="B525" s="1013">
        <v>3.5041088767922317</v>
      </c>
    </row>
    <row r="526" spans="1:2" x14ac:dyDescent="0.35">
      <c r="A526" s="1012">
        <v>39325</v>
      </c>
      <c r="B526" s="1013">
        <v>3.4747978168415687</v>
      </c>
    </row>
    <row r="527" spans="1:2" x14ac:dyDescent="0.35">
      <c r="A527" s="1012">
        <v>39328</v>
      </c>
      <c r="B527" s="1013">
        <v>3.4565334706394117</v>
      </c>
    </row>
    <row r="528" spans="1:2" x14ac:dyDescent="0.35">
      <c r="A528" s="1012">
        <v>39329</v>
      </c>
      <c r="B528" s="1013">
        <v>3.4277070546321209</v>
      </c>
    </row>
    <row r="529" spans="1:2" x14ac:dyDescent="0.35">
      <c r="A529" s="1012">
        <v>39330</v>
      </c>
      <c r="B529" s="1013">
        <v>3.4424681845236118</v>
      </c>
    </row>
    <row r="530" spans="1:2" x14ac:dyDescent="0.35">
      <c r="A530" s="1012">
        <v>39331</v>
      </c>
      <c r="B530" s="1013">
        <v>3.3952978788078076</v>
      </c>
    </row>
    <row r="531" spans="1:2" x14ac:dyDescent="0.35">
      <c r="A531" s="1012">
        <v>39332</v>
      </c>
      <c r="B531" s="1013">
        <v>3.3545690384759435</v>
      </c>
    </row>
    <row r="532" spans="1:2" x14ac:dyDescent="0.35">
      <c r="A532" s="1012">
        <v>39335</v>
      </c>
      <c r="B532" s="1013">
        <v>3.2093426015005186</v>
      </c>
    </row>
    <row r="533" spans="1:2" x14ac:dyDescent="0.35">
      <c r="A533" s="1012">
        <v>39336</v>
      </c>
      <c r="B533" s="1013">
        <v>3.1818097507230338</v>
      </c>
    </row>
    <row r="534" spans="1:2" x14ac:dyDescent="0.35">
      <c r="A534" s="1012">
        <v>39337</v>
      </c>
      <c r="B534" s="1013">
        <v>3.1205573601827643</v>
      </c>
    </row>
    <row r="535" spans="1:2" x14ac:dyDescent="0.35">
      <c r="A535" s="1012">
        <v>39338</v>
      </c>
      <c r="B535" s="1013">
        <v>3.0565992990147026</v>
      </c>
    </row>
    <row r="536" spans="1:2" x14ac:dyDescent="0.35">
      <c r="A536" s="1012">
        <v>39339</v>
      </c>
      <c r="B536" s="1013">
        <v>3.2795062406153779</v>
      </c>
    </row>
    <row r="537" spans="1:2" x14ac:dyDescent="0.35">
      <c r="A537" s="1012">
        <v>39342</v>
      </c>
      <c r="B537" s="1013">
        <v>3.1670265007678595</v>
      </c>
    </row>
    <row r="538" spans="1:2" x14ac:dyDescent="0.35">
      <c r="A538" s="1012">
        <v>39343</v>
      </c>
      <c r="B538" s="1013">
        <v>3.0435716054807287</v>
      </c>
    </row>
    <row r="539" spans="1:2" x14ac:dyDescent="0.35">
      <c r="A539" s="1012">
        <v>39344</v>
      </c>
      <c r="B539" s="1013">
        <v>3.0289902908898521</v>
      </c>
    </row>
    <row r="540" spans="1:2" x14ac:dyDescent="0.35">
      <c r="A540" s="1012">
        <v>39345</v>
      </c>
      <c r="B540" s="1013">
        <v>3.0684280869404561</v>
      </c>
    </row>
    <row r="541" spans="1:2" x14ac:dyDescent="0.35">
      <c r="A541" s="1012">
        <v>39346</v>
      </c>
      <c r="B541" s="1013">
        <v>3.0538588315508974</v>
      </c>
    </row>
    <row r="542" spans="1:2" x14ac:dyDescent="0.35">
      <c r="A542" s="1012">
        <v>39349</v>
      </c>
      <c r="B542" s="1013">
        <v>2.9810043440116543</v>
      </c>
    </row>
    <row r="543" spans="1:2" x14ac:dyDescent="0.35">
      <c r="A543" s="1012">
        <v>39350</v>
      </c>
      <c r="B543" s="1013">
        <v>2.9786586720632</v>
      </c>
    </row>
    <row r="544" spans="1:2" x14ac:dyDescent="0.35">
      <c r="A544" s="1012">
        <v>39351</v>
      </c>
      <c r="B544" s="1013">
        <v>2.9704322418565625</v>
      </c>
    </row>
    <row r="545" spans="1:2" x14ac:dyDescent="0.35">
      <c r="A545" s="1012">
        <v>39352</v>
      </c>
      <c r="B545" s="1013">
        <v>2.9740060906347034</v>
      </c>
    </row>
    <row r="546" spans="1:2" x14ac:dyDescent="0.35">
      <c r="A546" s="1012">
        <v>39353</v>
      </c>
      <c r="B546" s="1013">
        <v>2.9423922722841143</v>
      </c>
    </row>
    <row r="547" spans="1:2" x14ac:dyDescent="0.35">
      <c r="A547" s="1012">
        <v>39363</v>
      </c>
      <c r="B547" s="1013">
        <v>2.8808503082615395</v>
      </c>
    </row>
    <row r="548" spans="1:2" x14ac:dyDescent="0.35">
      <c r="A548" s="1012">
        <v>39364</v>
      </c>
      <c r="B548" s="1013">
        <v>2.8447225356525614</v>
      </c>
    </row>
    <row r="549" spans="1:2" x14ac:dyDescent="0.35">
      <c r="A549" s="1012">
        <v>39365</v>
      </c>
      <c r="B549" s="1013">
        <v>3.3705442669562222</v>
      </c>
    </row>
    <row r="550" spans="1:2" x14ac:dyDescent="0.35">
      <c r="A550" s="1012">
        <v>39366</v>
      </c>
      <c r="B550" s="1013">
        <v>3.5936358541109974</v>
      </c>
    </row>
    <row r="551" spans="1:2" x14ac:dyDescent="0.35">
      <c r="A551" s="1012">
        <v>39367</v>
      </c>
      <c r="B551" s="1013">
        <v>3.4656006765897325</v>
      </c>
    </row>
    <row r="552" spans="1:2" x14ac:dyDescent="0.35">
      <c r="A552" s="1012">
        <v>39370</v>
      </c>
      <c r="B552" s="1013">
        <v>3.3823198239513323</v>
      </c>
    </row>
    <row r="553" spans="1:2" x14ac:dyDescent="0.35">
      <c r="A553" s="1012">
        <v>39371</v>
      </c>
      <c r="B553" s="1013">
        <v>3.2617633070737884</v>
      </c>
    </row>
    <row r="554" spans="1:2" x14ac:dyDescent="0.35">
      <c r="A554" s="1012">
        <v>39372</v>
      </c>
      <c r="B554" s="1013">
        <v>3.3145257679449291</v>
      </c>
    </row>
    <row r="555" spans="1:2" x14ac:dyDescent="0.35">
      <c r="A555" s="1012">
        <v>39373</v>
      </c>
      <c r="B555" s="1013">
        <v>3.300339950080434</v>
      </c>
    </row>
    <row r="556" spans="1:2" x14ac:dyDescent="0.35">
      <c r="A556" s="1012">
        <v>39374</v>
      </c>
      <c r="B556" s="1013">
        <v>3.2917695082121066</v>
      </c>
    </row>
    <row r="557" spans="1:2" x14ac:dyDescent="0.35">
      <c r="A557" s="1012">
        <v>39377</v>
      </c>
      <c r="B557" s="1013">
        <v>3.1343505362938546</v>
      </c>
    </row>
    <row r="558" spans="1:2" x14ac:dyDescent="0.35">
      <c r="A558" s="1012">
        <v>39378</v>
      </c>
      <c r="B558" s="1013">
        <v>3.1756573690089391</v>
      </c>
    </row>
    <row r="559" spans="1:2" x14ac:dyDescent="0.35">
      <c r="A559" s="1012">
        <v>39379</v>
      </c>
      <c r="B559" s="1013">
        <v>3.1893990805394323</v>
      </c>
    </row>
    <row r="560" spans="1:2" x14ac:dyDescent="0.35">
      <c r="A560" s="1012">
        <v>39380</v>
      </c>
      <c r="B560" s="1013">
        <v>3.0721102233672961</v>
      </c>
    </row>
    <row r="561" spans="1:2" x14ac:dyDescent="0.35">
      <c r="A561" s="1012">
        <v>39381</v>
      </c>
      <c r="B561" s="1013">
        <v>3.1731301220382444</v>
      </c>
    </row>
    <row r="562" spans="1:2" x14ac:dyDescent="0.35">
      <c r="A562" s="1012">
        <v>39384</v>
      </c>
      <c r="B562" s="1013">
        <v>3.2462613194827732</v>
      </c>
    </row>
    <row r="563" spans="1:2" x14ac:dyDescent="0.35">
      <c r="A563" s="1012">
        <v>39385</v>
      </c>
      <c r="B563" s="1013">
        <v>4.0408470401855308</v>
      </c>
    </row>
    <row r="564" spans="1:2" x14ac:dyDescent="0.35">
      <c r="A564" s="1012">
        <v>39386</v>
      </c>
      <c r="B564" s="1013">
        <v>4.3262532577982551</v>
      </c>
    </row>
    <row r="565" spans="1:2" x14ac:dyDescent="0.35">
      <c r="A565" s="1012">
        <v>39387</v>
      </c>
      <c r="B565" s="1013">
        <v>4.0955957441788966</v>
      </c>
    </row>
    <row r="566" spans="1:2" x14ac:dyDescent="0.35">
      <c r="A566" s="1012">
        <v>39388</v>
      </c>
      <c r="B566" s="1013">
        <v>4.010471125775088</v>
      </c>
    </row>
    <row r="567" spans="1:2" x14ac:dyDescent="0.35">
      <c r="A567" s="1012">
        <v>39391</v>
      </c>
      <c r="B567" s="1013">
        <v>3.8213265489775168</v>
      </c>
    </row>
    <row r="568" spans="1:2" x14ac:dyDescent="0.35">
      <c r="A568" s="1012">
        <v>39392</v>
      </c>
      <c r="B568" s="1013">
        <v>3.8859655589891471</v>
      </c>
    </row>
    <row r="569" spans="1:2" x14ac:dyDescent="0.35">
      <c r="A569" s="1012">
        <v>39393</v>
      </c>
      <c r="B569" s="1013">
        <v>3.8552243148420891</v>
      </c>
    </row>
    <row r="570" spans="1:2" x14ac:dyDescent="0.35">
      <c r="A570" s="1012">
        <v>39394</v>
      </c>
      <c r="B570" s="1013">
        <v>3.9089243210626372</v>
      </c>
    </row>
    <row r="571" spans="1:2" x14ac:dyDescent="0.35">
      <c r="A571" s="1012">
        <v>39395</v>
      </c>
      <c r="B571" s="1013">
        <v>3.9098086583018814</v>
      </c>
    </row>
    <row r="572" spans="1:2" x14ac:dyDescent="0.35">
      <c r="A572" s="1012">
        <v>39398</v>
      </c>
      <c r="B572" s="1013">
        <v>3.8863528241616971</v>
      </c>
    </row>
    <row r="573" spans="1:2" x14ac:dyDescent="0.35">
      <c r="A573" s="1012">
        <v>39399</v>
      </c>
      <c r="B573" s="1013">
        <v>3.9549337593697618</v>
      </c>
    </row>
    <row r="574" spans="1:2" x14ac:dyDescent="0.35">
      <c r="A574" s="1012">
        <v>39400</v>
      </c>
      <c r="B574" s="1013">
        <v>3.9453130155405365</v>
      </c>
    </row>
    <row r="575" spans="1:2" x14ac:dyDescent="0.35">
      <c r="A575" s="1012">
        <v>39401</v>
      </c>
      <c r="B575" s="1013">
        <v>3.852881302414918</v>
      </c>
    </row>
    <row r="576" spans="1:2" x14ac:dyDescent="0.35">
      <c r="A576" s="1012">
        <v>39402</v>
      </c>
      <c r="B576" s="1013">
        <v>3.7660631769388151</v>
      </c>
    </row>
    <row r="577" spans="1:2" x14ac:dyDescent="0.35">
      <c r="A577" s="1012">
        <v>39405</v>
      </c>
      <c r="B577" s="1013">
        <v>3.7696824678812448</v>
      </c>
    </row>
    <row r="578" spans="1:2" x14ac:dyDescent="0.35">
      <c r="A578" s="1012">
        <v>39406</v>
      </c>
      <c r="B578" s="1013">
        <v>3.7350616682204967</v>
      </c>
    </row>
    <row r="579" spans="1:2" x14ac:dyDescent="0.35">
      <c r="A579" s="1012">
        <v>39407</v>
      </c>
      <c r="B579" s="1013">
        <v>3.6087293585159426</v>
      </c>
    </row>
    <row r="580" spans="1:2" x14ac:dyDescent="0.35">
      <c r="A580" s="1012">
        <v>39408</v>
      </c>
      <c r="B580" s="1013">
        <v>3.3862499476394037</v>
      </c>
    </row>
    <row r="581" spans="1:2" x14ac:dyDescent="0.35">
      <c r="A581" s="1012">
        <v>39409</v>
      </c>
      <c r="B581" s="1013">
        <v>3.3019893065208894</v>
      </c>
    </row>
    <row r="582" spans="1:2" x14ac:dyDescent="0.35">
      <c r="A582" s="1012">
        <v>39412</v>
      </c>
      <c r="B582" s="1013">
        <v>3.2785755916192549</v>
      </c>
    </row>
    <row r="583" spans="1:2" x14ac:dyDescent="0.35">
      <c r="A583" s="1012">
        <v>39413</v>
      </c>
      <c r="B583" s="1013">
        <v>3.1198825734327977</v>
      </c>
    </row>
    <row r="584" spans="1:2" x14ac:dyDescent="0.35">
      <c r="A584" s="1012">
        <v>39414</v>
      </c>
      <c r="B584" s="1013">
        <v>3.2129477406004519</v>
      </c>
    </row>
    <row r="585" spans="1:2" x14ac:dyDescent="0.35">
      <c r="A585" s="1012">
        <v>39415</v>
      </c>
      <c r="B585" s="1013">
        <v>3.3556605541099338</v>
      </c>
    </row>
    <row r="586" spans="1:2" x14ac:dyDescent="0.35">
      <c r="A586" s="1012">
        <v>39416</v>
      </c>
      <c r="B586" s="1013">
        <v>3.3528001312771423</v>
      </c>
    </row>
    <row r="587" spans="1:2" x14ac:dyDescent="0.35">
      <c r="A587" s="1012">
        <v>39419</v>
      </c>
      <c r="B587" s="1013">
        <v>3.2252138537286905</v>
      </c>
    </row>
    <row r="588" spans="1:2" x14ac:dyDescent="0.35">
      <c r="A588" s="1012">
        <v>39420</v>
      </c>
      <c r="B588" s="1013">
        <v>3.2177322169036127</v>
      </c>
    </row>
    <row r="589" spans="1:2" x14ac:dyDescent="0.35">
      <c r="A589" s="1012">
        <v>39421</v>
      </c>
      <c r="B589" s="1013">
        <v>3.2004074099053064</v>
      </c>
    </row>
    <row r="590" spans="1:2" x14ac:dyDescent="0.35">
      <c r="A590" s="1012">
        <v>39422</v>
      </c>
      <c r="B590" s="1013">
        <v>3.1535976317930996</v>
      </c>
    </row>
    <row r="591" spans="1:2" x14ac:dyDescent="0.35">
      <c r="A591" s="1012">
        <v>39423</v>
      </c>
      <c r="B591" s="1013">
        <v>3.1954941319367687</v>
      </c>
    </row>
    <row r="592" spans="1:2" x14ac:dyDescent="0.35">
      <c r="A592" s="1012">
        <v>39426</v>
      </c>
      <c r="B592" s="1013">
        <v>3.154031708593084</v>
      </c>
    </row>
    <row r="593" spans="1:2" x14ac:dyDescent="0.35">
      <c r="A593" s="1012">
        <v>39427</v>
      </c>
      <c r="B593" s="1013">
        <v>3.0250506753821234</v>
      </c>
    </row>
    <row r="594" spans="1:2" x14ac:dyDescent="0.35">
      <c r="A594" s="1012">
        <v>39428</v>
      </c>
      <c r="B594" s="1013">
        <v>3.0473221954006977</v>
      </c>
    </row>
    <row r="595" spans="1:2" x14ac:dyDescent="0.35">
      <c r="A595" s="1012">
        <v>39429</v>
      </c>
      <c r="B595" s="1013">
        <v>2.9822083536225934</v>
      </c>
    </row>
    <row r="596" spans="1:2" x14ac:dyDescent="0.35">
      <c r="A596" s="1012">
        <v>39430</v>
      </c>
      <c r="B596" s="1013">
        <v>2.9173897564839009</v>
      </c>
    </row>
    <row r="597" spans="1:2" x14ac:dyDescent="0.35">
      <c r="A597" s="1012">
        <v>39433</v>
      </c>
      <c r="B597" s="1013">
        <v>2.6958528370514867</v>
      </c>
    </row>
    <row r="598" spans="1:2" x14ac:dyDescent="0.35">
      <c r="A598" s="1012">
        <v>39434</v>
      </c>
      <c r="B598" s="1013">
        <v>2.6466440783608367</v>
      </c>
    </row>
    <row r="599" spans="1:2" x14ac:dyDescent="0.35">
      <c r="A599" s="1012">
        <v>39435</v>
      </c>
      <c r="B599" s="1013">
        <v>2.7268211579465467</v>
      </c>
    </row>
    <row r="600" spans="1:2" x14ac:dyDescent="0.35">
      <c r="A600" s="1012">
        <v>39436</v>
      </c>
      <c r="B600" s="1013">
        <v>2.7970931776898689</v>
      </c>
    </row>
    <row r="601" spans="1:2" x14ac:dyDescent="0.35">
      <c r="A601" s="1012">
        <v>39437</v>
      </c>
      <c r="B601" s="1013">
        <v>2.9242020709363783</v>
      </c>
    </row>
    <row r="602" spans="1:2" x14ac:dyDescent="0.35">
      <c r="A602" s="1012">
        <v>39440</v>
      </c>
      <c r="B602" s="1013">
        <v>2.9047542376974786</v>
      </c>
    </row>
    <row r="603" spans="1:2" x14ac:dyDescent="0.35">
      <c r="A603" s="1012">
        <v>39441</v>
      </c>
      <c r="B603" s="1013">
        <v>2.8983289841993929</v>
      </c>
    </row>
    <row r="604" spans="1:2" x14ac:dyDescent="0.35">
      <c r="A604" s="1012">
        <v>39442</v>
      </c>
      <c r="B604" s="1013">
        <v>2.8919320930078167</v>
      </c>
    </row>
    <row r="605" spans="1:2" x14ac:dyDescent="0.35">
      <c r="A605" s="1012">
        <v>39443</v>
      </c>
      <c r="B605" s="1013">
        <v>2.8620653036407915</v>
      </c>
    </row>
    <row r="606" spans="1:2" x14ac:dyDescent="0.35">
      <c r="A606" s="1012">
        <v>39444</v>
      </c>
      <c r="B606" s="1013">
        <v>2.8135726218228316</v>
      </c>
    </row>
    <row r="607" spans="1:2" x14ac:dyDescent="0.35">
      <c r="A607" s="1012">
        <v>39449</v>
      </c>
      <c r="B607" s="1013">
        <v>2.8964480801977319</v>
      </c>
    </row>
    <row r="608" spans="1:2" x14ac:dyDescent="0.35">
      <c r="A608" s="1012">
        <v>39450</v>
      </c>
      <c r="B608" s="1013">
        <v>2.8644774107694819</v>
      </c>
    </row>
    <row r="609" spans="1:2" x14ac:dyDescent="0.35">
      <c r="A609" s="1012">
        <v>39451</v>
      </c>
      <c r="B609" s="1013">
        <v>2.8325984494641951</v>
      </c>
    </row>
    <row r="610" spans="1:2" x14ac:dyDescent="0.35">
      <c r="A610" s="1012">
        <v>39454</v>
      </c>
      <c r="B610" s="1013">
        <v>2.8481142644100328</v>
      </c>
    </row>
    <row r="611" spans="1:2" x14ac:dyDescent="0.35">
      <c r="A611" s="1012">
        <v>39455</v>
      </c>
      <c r="B611" s="1013">
        <v>2.9867154816384307</v>
      </c>
    </row>
    <row r="612" spans="1:2" x14ac:dyDescent="0.35">
      <c r="A612" s="1012">
        <v>39456</v>
      </c>
      <c r="B612" s="1013">
        <v>3.1708766855751147</v>
      </c>
    </row>
    <row r="613" spans="1:2" x14ac:dyDescent="0.35">
      <c r="A613" s="1012">
        <v>39457</v>
      </c>
      <c r="B613" s="1013">
        <v>3.1847234000288944</v>
      </c>
    </row>
    <row r="614" spans="1:2" x14ac:dyDescent="0.35">
      <c r="A614" s="1012">
        <v>39458</v>
      </c>
      <c r="B614" s="1013">
        <v>3.2764319695771675</v>
      </c>
    </row>
    <row r="615" spans="1:2" x14ac:dyDescent="0.35">
      <c r="A615" s="1012">
        <v>39461</v>
      </c>
      <c r="B615" s="1013">
        <v>3.308163440789464</v>
      </c>
    </row>
    <row r="616" spans="1:2" x14ac:dyDescent="0.35">
      <c r="A616" s="1012">
        <v>39462</v>
      </c>
      <c r="B616" s="1013">
        <v>3.1440134453938882</v>
      </c>
    </row>
    <row r="617" spans="1:2" x14ac:dyDescent="0.35">
      <c r="A617" s="1012">
        <v>39463</v>
      </c>
      <c r="B617" s="1013">
        <v>3.0212773976777445</v>
      </c>
    </row>
    <row r="618" spans="1:2" x14ac:dyDescent="0.35">
      <c r="A618" s="1012">
        <v>39464</v>
      </c>
      <c r="B618" s="1013">
        <v>3.0033923048405642</v>
      </c>
    </row>
    <row r="619" spans="1:2" x14ac:dyDescent="0.35">
      <c r="A619" s="1012">
        <v>39465</v>
      </c>
      <c r="B619" s="1013">
        <v>2.9447216127274101</v>
      </c>
    </row>
    <row r="620" spans="1:2" x14ac:dyDescent="0.35">
      <c r="A620" s="1012">
        <v>39468</v>
      </c>
      <c r="B620" s="1013">
        <v>2.9097614420256894</v>
      </c>
    </row>
    <row r="621" spans="1:2" x14ac:dyDescent="0.35">
      <c r="A621" s="1012">
        <v>39469</v>
      </c>
      <c r="B621" s="1013">
        <v>2.549249411655564</v>
      </c>
    </row>
    <row r="622" spans="1:2" x14ac:dyDescent="0.35">
      <c r="A622" s="1012">
        <v>39470</v>
      </c>
      <c r="B622" s="1013">
        <v>2.6448143512739208</v>
      </c>
    </row>
    <row r="623" spans="1:2" x14ac:dyDescent="0.35">
      <c r="A623" s="1012">
        <v>39471</v>
      </c>
      <c r="B623" s="1013">
        <v>2.6591242503777002</v>
      </c>
    </row>
    <row r="624" spans="1:2" x14ac:dyDescent="0.35">
      <c r="A624" s="1012">
        <v>39472</v>
      </c>
      <c r="B624" s="1013">
        <v>2.8306527899419818</v>
      </c>
    </row>
    <row r="625" spans="1:2" x14ac:dyDescent="0.35">
      <c r="A625" s="1012">
        <v>39475</v>
      </c>
      <c r="B625" s="1013">
        <v>2.7696599486771216</v>
      </c>
    </row>
    <row r="626" spans="1:2" x14ac:dyDescent="0.35">
      <c r="A626" s="1012">
        <v>39476</v>
      </c>
      <c r="B626" s="1013">
        <v>2.8775304318273709</v>
      </c>
    </row>
    <row r="627" spans="1:2" x14ac:dyDescent="0.35">
      <c r="A627" s="1012">
        <v>39477</v>
      </c>
      <c r="B627" s="1013">
        <v>2.6727600363438988</v>
      </c>
    </row>
    <row r="628" spans="1:2" x14ac:dyDescent="0.35">
      <c r="A628" s="1012">
        <v>39478</v>
      </c>
      <c r="B628" s="1013">
        <v>2.6646136580017403</v>
      </c>
    </row>
    <row r="629" spans="1:2" x14ac:dyDescent="0.35">
      <c r="A629" s="1012">
        <v>39479</v>
      </c>
      <c r="B629" s="1013">
        <v>2.674288671674419</v>
      </c>
    </row>
    <row r="630" spans="1:2" x14ac:dyDescent="0.35">
      <c r="A630" s="1012">
        <v>39482</v>
      </c>
      <c r="B630" s="1013">
        <v>2.8228020966332732</v>
      </c>
    </row>
    <row r="631" spans="1:2" x14ac:dyDescent="0.35">
      <c r="A631" s="1012">
        <v>39483</v>
      </c>
      <c r="B631" s="1013">
        <v>2.8233564667460165</v>
      </c>
    </row>
    <row r="632" spans="1:2" x14ac:dyDescent="0.35">
      <c r="A632" s="1012">
        <v>39491</v>
      </c>
      <c r="B632" s="1013">
        <v>2.6307586825020004</v>
      </c>
    </row>
    <row r="633" spans="1:2" x14ac:dyDescent="0.35">
      <c r="A633" s="1012">
        <v>39492</v>
      </c>
      <c r="B633" s="1013">
        <v>2.6883942822632947</v>
      </c>
    </row>
    <row r="634" spans="1:2" x14ac:dyDescent="0.35">
      <c r="A634" s="1012">
        <v>39493</v>
      </c>
      <c r="B634" s="1013">
        <v>2.806990378407495</v>
      </c>
    </row>
    <row r="635" spans="1:2" x14ac:dyDescent="0.35">
      <c r="A635" s="1012">
        <v>39496</v>
      </c>
      <c r="B635" s="1013">
        <v>2.8478186007733628</v>
      </c>
    </row>
    <row r="636" spans="1:2" x14ac:dyDescent="0.35">
      <c r="A636" s="1012">
        <v>39497</v>
      </c>
      <c r="B636" s="1013">
        <v>2.7788574331802698</v>
      </c>
    </row>
    <row r="637" spans="1:2" x14ac:dyDescent="0.35">
      <c r="A637" s="1012">
        <v>39498</v>
      </c>
      <c r="B637" s="1013">
        <v>2.7274261108040254</v>
      </c>
    </row>
    <row r="638" spans="1:2" x14ac:dyDescent="0.35">
      <c r="A638" s="1012">
        <v>39499</v>
      </c>
      <c r="B638" s="1013">
        <v>2.6588115691095937</v>
      </c>
    </row>
    <row r="639" spans="1:2" x14ac:dyDescent="0.35">
      <c r="A639" s="1012">
        <v>39500</v>
      </c>
      <c r="B639" s="1013">
        <v>2.698493651170188</v>
      </c>
    </row>
    <row r="640" spans="1:2" x14ac:dyDescent="0.35">
      <c r="A640" s="1012">
        <v>39503</v>
      </c>
      <c r="B640" s="1013">
        <v>2.6747669542252646</v>
      </c>
    </row>
    <row r="641" spans="1:2" x14ac:dyDescent="0.35">
      <c r="A641" s="1012">
        <v>39504</v>
      </c>
      <c r="B641" s="1013">
        <v>2.7873408785460296</v>
      </c>
    </row>
    <row r="642" spans="1:2" x14ac:dyDescent="0.35">
      <c r="A642" s="1012">
        <v>39505</v>
      </c>
      <c r="B642" s="1013">
        <v>2.873840739471214</v>
      </c>
    </row>
    <row r="643" spans="1:2" x14ac:dyDescent="0.35">
      <c r="A643" s="1012">
        <v>39506</v>
      </c>
      <c r="B643" s="1013">
        <v>2.8657302783539764</v>
      </c>
    </row>
    <row r="644" spans="1:2" x14ac:dyDescent="0.35">
      <c r="A644" s="1012">
        <v>39507</v>
      </c>
      <c r="B644" s="1013">
        <v>3.0461514267137719</v>
      </c>
    </row>
    <row r="645" spans="1:2" x14ac:dyDescent="0.35">
      <c r="A645" s="1012">
        <v>39510</v>
      </c>
      <c r="B645" s="1013">
        <v>3.0041958797827628</v>
      </c>
    </row>
    <row r="646" spans="1:2" x14ac:dyDescent="0.35">
      <c r="A646" s="1012">
        <v>39511</v>
      </c>
      <c r="B646" s="1013">
        <v>2.9405648772947526</v>
      </c>
    </row>
    <row r="647" spans="1:2" x14ac:dyDescent="0.35">
      <c r="A647" s="1012">
        <v>39512</v>
      </c>
      <c r="B647" s="1013">
        <v>2.8600774459563234</v>
      </c>
    </row>
    <row r="648" spans="1:2" x14ac:dyDescent="0.35">
      <c r="A648" s="1012">
        <v>39513</v>
      </c>
      <c r="B648" s="1013">
        <v>2.8265571195965404</v>
      </c>
    </row>
    <row r="649" spans="1:2" x14ac:dyDescent="0.35">
      <c r="A649" s="1012">
        <v>39514</v>
      </c>
      <c r="B649" s="1013">
        <v>2.8483082985744126</v>
      </c>
    </row>
    <row r="650" spans="1:2" x14ac:dyDescent="0.35">
      <c r="A650" s="1012">
        <v>39517</v>
      </c>
      <c r="B650" s="1013">
        <v>2.8667098066283634</v>
      </c>
    </row>
    <row r="651" spans="1:2" x14ac:dyDescent="0.35">
      <c r="A651" s="1012">
        <v>39518</v>
      </c>
      <c r="B651" s="1013">
        <v>2.8460680693368938</v>
      </c>
    </row>
    <row r="652" spans="1:2" x14ac:dyDescent="0.35">
      <c r="A652" s="1012">
        <v>39519</v>
      </c>
      <c r="B652" s="1013">
        <v>2.8803030331229409</v>
      </c>
    </row>
    <row r="653" spans="1:2" x14ac:dyDescent="0.35">
      <c r="A653" s="1012">
        <v>39520</v>
      </c>
      <c r="B653" s="1013">
        <v>2.7754648147250851</v>
      </c>
    </row>
    <row r="654" spans="1:2" x14ac:dyDescent="0.35">
      <c r="A654" s="1012">
        <v>39521</v>
      </c>
      <c r="B654" s="1013">
        <v>2.5657463488613823</v>
      </c>
    </row>
    <row r="655" spans="1:2" x14ac:dyDescent="0.35">
      <c r="A655" s="1012">
        <v>39524</v>
      </c>
      <c r="B655" s="1013">
        <v>2.4091113165027451</v>
      </c>
    </row>
    <row r="656" spans="1:2" x14ac:dyDescent="0.35">
      <c r="A656" s="1012">
        <v>39525</v>
      </c>
      <c r="B656" s="1013">
        <v>2.20932424407897</v>
      </c>
    </row>
    <row r="657" spans="1:2" x14ac:dyDescent="0.35">
      <c r="A657" s="1012">
        <v>39526</v>
      </c>
      <c r="B657" s="1013">
        <v>2.3401883110625672</v>
      </c>
    </row>
    <row r="658" spans="1:2" x14ac:dyDescent="0.35">
      <c r="A658" s="1012">
        <v>39527</v>
      </c>
      <c r="B658" s="1013">
        <v>2.2369977109968762</v>
      </c>
    </row>
    <row r="659" spans="1:2" x14ac:dyDescent="0.35">
      <c r="A659" s="1012">
        <v>39528</v>
      </c>
      <c r="B659" s="1013">
        <v>2.2341083788114942</v>
      </c>
    </row>
    <row r="660" spans="1:2" x14ac:dyDescent="0.35">
      <c r="A660" s="1012">
        <v>39531</v>
      </c>
      <c r="B660" s="1013">
        <v>2.2254849921389099</v>
      </c>
    </row>
    <row r="661" spans="1:2" x14ac:dyDescent="0.35">
      <c r="A661" s="1012">
        <v>39532</v>
      </c>
      <c r="B661" s="1013">
        <v>2.3179991513529412</v>
      </c>
    </row>
    <row r="662" spans="1:2" x14ac:dyDescent="0.35">
      <c r="A662" s="1012">
        <v>39533</v>
      </c>
      <c r="B662" s="1013">
        <v>2.4889618409807146</v>
      </c>
    </row>
    <row r="663" spans="1:2" x14ac:dyDescent="0.35">
      <c r="A663" s="1012">
        <v>39534</v>
      </c>
      <c r="B663" s="1013">
        <v>2.4857717908376391</v>
      </c>
    </row>
    <row r="664" spans="1:2" x14ac:dyDescent="0.35">
      <c r="A664" s="1012">
        <v>39535</v>
      </c>
      <c r="B664" s="1013">
        <v>2.4784591422309354</v>
      </c>
    </row>
    <row r="665" spans="1:2" x14ac:dyDescent="0.35">
      <c r="A665" s="1012">
        <v>39538</v>
      </c>
      <c r="B665" s="1013">
        <v>2.6212316245226823</v>
      </c>
    </row>
    <row r="666" spans="1:2" x14ac:dyDescent="0.35">
      <c r="A666" s="1012">
        <v>39539</v>
      </c>
      <c r="B666" s="1013">
        <v>2.6343323306828585</v>
      </c>
    </row>
    <row r="667" spans="1:2" x14ac:dyDescent="0.35">
      <c r="A667" s="1012">
        <v>39540</v>
      </c>
      <c r="B667" s="1013">
        <v>2.5488918150835258</v>
      </c>
    </row>
    <row r="668" spans="1:2" x14ac:dyDescent="0.35">
      <c r="A668" s="1012">
        <v>39541</v>
      </c>
      <c r="B668" s="1013">
        <v>2.6604338934284941</v>
      </c>
    </row>
    <row r="669" spans="1:2" x14ac:dyDescent="0.35">
      <c r="A669" s="1012">
        <v>39545</v>
      </c>
      <c r="B669" s="1013">
        <v>2.6510627822098995</v>
      </c>
    </row>
    <row r="670" spans="1:2" x14ac:dyDescent="0.35">
      <c r="A670" s="1012">
        <v>39546</v>
      </c>
      <c r="B670" s="1013">
        <v>2.5866152893949907</v>
      </c>
    </row>
    <row r="671" spans="1:2" x14ac:dyDescent="0.35">
      <c r="A671" s="1012">
        <v>39547</v>
      </c>
      <c r="B671" s="1013">
        <v>2.5833544110679214</v>
      </c>
    </row>
    <row r="672" spans="1:2" x14ac:dyDescent="0.35">
      <c r="A672" s="1012">
        <v>39548</v>
      </c>
      <c r="B672" s="1013">
        <v>2.6004175059624677</v>
      </c>
    </row>
    <row r="673" spans="1:2" x14ac:dyDescent="0.35">
      <c r="A673" s="1012">
        <v>39549</v>
      </c>
      <c r="B673" s="1013">
        <v>2.5890313865818624</v>
      </c>
    </row>
    <row r="674" spans="1:2" x14ac:dyDescent="0.35">
      <c r="A674" s="1012">
        <v>39552</v>
      </c>
      <c r="B674" s="1013">
        <v>2.4256748731174684</v>
      </c>
    </row>
    <row r="675" spans="1:2" x14ac:dyDescent="0.35">
      <c r="A675" s="1012">
        <v>39553</v>
      </c>
      <c r="B675" s="1013">
        <v>2.4832058413824458</v>
      </c>
    </row>
    <row r="676" spans="1:2" x14ac:dyDescent="0.35">
      <c r="A676" s="1012">
        <v>39554</v>
      </c>
      <c r="B676" s="1013">
        <v>2.4801027128765232</v>
      </c>
    </row>
    <row r="677" spans="1:2" x14ac:dyDescent="0.35">
      <c r="A677" s="1012">
        <v>39555</v>
      </c>
      <c r="B677" s="1013">
        <v>2.4488137509463592</v>
      </c>
    </row>
    <row r="678" spans="1:2" x14ac:dyDescent="0.35">
      <c r="A678" s="1012">
        <v>39556</v>
      </c>
      <c r="B678" s="1013">
        <v>2.5262139015491312</v>
      </c>
    </row>
    <row r="679" spans="1:2" x14ac:dyDescent="0.35">
      <c r="A679" s="1012">
        <v>39559</v>
      </c>
      <c r="B679" s="1013">
        <v>2.5208097352814658</v>
      </c>
    </row>
    <row r="680" spans="1:2" x14ac:dyDescent="0.35">
      <c r="A680" s="1012">
        <v>39560</v>
      </c>
      <c r="B680" s="1013">
        <v>2.5937338982611529</v>
      </c>
    </row>
    <row r="681" spans="1:2" x14ac:dyDescent="0.35">
      <c r="A681" s="1012">
        <v>39561</v>
      </c>
      <c r="B681" s="1013">
        <v>2.5945184730517297</v>
      </c>
    </row>
    <row r="682" spans="1:2" x14ac:dyDescent="0.35">
      <c r="A682" s="1012">
        <v>39562</v>
      </c>
      <c r="B682" s="1013">
        <v>2.5354095423767218</v>
      </c>
    </row>
    <row r="683" spans="1:2" x14ac:dyDescent="0.35">
      <c r="A683" s="1012">
        <v>39563</v>
      </c>
      <c r="B683" s="1013">
        <v>2.5203129047942787</v>
      </c>
    </row>
    <row r="684" spans="1:2" x14ac:dyDescent="0.35">
      <c r="A684" s="1012">
        <v>39566</v>
      </c>
      <c r="B684" s="1013">
        <v>2.4752460328344532</v>
      </c>
    </row>
    <row r="685" spans="1:2" x14ac:dyDescent="0.35">
      <c r="A685" s="1012">
        <v>39567</v>
      </c>
      <c r="B685" s="1013">
        <v>2.5356938497543666</v>
      </c>
    </row>
    <row r="686" spans="1:2" x14ac:dyDescent="0.35">
      <c r="A686" s="1012">
        <v>39568</v>
      </c>
      <c r="B686" s="1013">
        <v>2.5722130972974133</v>
      </c>
    </row>
    <row r="687" spans="1:2" x14ac:dyDescent="0.35">
      <c r="A687" s="1012">
        <v>39573</v>
      </c>
      <c r="B687" s="1013">
        <v>2.5131833165715705</v>
      </c>
    </row>
    <row r="688" spans="1:2" x14ac:dyDescent="0.35">
      <c r="A688" s="1012">
        <v>39574</v>
      </c>
      <c r="B688" s="1013">
        <v>2.5061849491443904</v>
      </c>
    </row>
    <row r="689" spans="1:2" x14ac:dyDescent="0.35">
      <c r="A689" s="1012">
        <v>39575</v>
      </c>
      <c r="B689" s="1013">
        <v>2.4206123164368467</v>
      </c>
    </row>
    <row r="690" spans="1:2" x14ac:dyDescent="0.35">
      <c r="A690" s="1012">
        <v>39576</v>
      </c>
      <c r="B690" s="1013">
        <v>2.4255179165519389</v>
      </c>
    </row>
    <row r="691" spans="1:2" x14ac:dyDescent="0.35">
      <c r="A691" s="1012">
        <v>39577</v>
      </c>
      <c r="B691" s="1013">
        <v>2.426491579976338</v>
      </c>
    </row>
    <row r="692" spans="1:2" x14ac:dyDescent="0.35">
      <c r="A692" s="1012">
        <v>39580</v>
      </c>
      <c r="B692" s="1013">
        <v>2.4176810731305296</v>
      </c>
    </row>
    <row r="693" spans="1:2" x14ac:dyDescent="0.35">
      <c r="A693" s="1012">
        <v>39581</v>
      </c>
      <c r="B693" s="1013">
        <v>2.4108573746790283</v>
      </c>
    </row>
    <row r="694" spans="1:2" x14ac:dyDescent="0.35">
      <c r="A694" s="1012">
        <v>39582</v>
      </c>
      <c r="B694" s="1013">
        <v>2.46639181123837</v>
      </c>
    </row>
    <row r="695" spans="1:2" x14ac:dyDescent="0.35">
      <c r="A695" s="1012">
        <v>39583</v>
      </c>
      <c r="B695" s="1013">
        <v>2.3972593517261789</v>
      </c>
    </row>
    <row r="696" spans="1:2" x14ac:dyDescent="0.35">
      <c r="A696" s="1012">
        <v>39584</v>
      </c>
      <c r="B696" s="1013">
        <v>2.3516152349784929</v>
      </c>
    </row>
    <row r="697" spans="1:2" x14ac:dyDescent="0.35">
      <c r="A697" s="1012">
        <v>39587</v>
      </c>
      <c r="B697" s="1013">
        <v>2.3896240047186401</v>
      </c>
    </row>
    <row r="698" spans="1:2" x14ac:dyDescent="0.35">
      <c r="A698" s="1012">
        <v>39588</v>
      </c>
      <c r="B698" s="1013">
        <v>2.3635495470725512</v>
      </c>
    </row>
    <row r="699" spans="1:2" x14ac:dyDescent="0.35">
      <c r="A699" s="1012">
        <v>39589</v>
      </c>
      <c r="B699" s="1013">
        <v>2.4302662876494296</v>
      </c>
    </row>
    <row r="700" spans="1:2" x14ac:dyDescent="0.35">
      <c r="A700" s="1012">
        <v>39590</v>
      </c>
      <c r="B700" s="1013">
        <v>2.3733329662375584</v>
      </c>
    </row>
    <row r="701" spans="1:2" x14ac:dyDescent="0.35">
      <c r="A701" s="1012">
        <v>39591</v>
      </c>
      <c r="B701" s="1013">
        <v>2.3319535239399798</v>
      </c>
    </row>
    <row r="702" spans="1:2" x14ac:dyDescent="0.35">
      <c r="A702" s="1012">
        <v>39594</v>
      </c>
      <c r="B702" s="1013">
        <v>2.2391318236407955</v>
      </c>
    </row>
    <row r="703" spans="1:2" x14ac:dyDescent="0.35">
      <c r="A703" s="1012">
        <v>39595</v>
      </c>
      <c r="B703" s="1013">
        <v>2.1482388391302378</v>
      </c>
    </row>
    <row r="704" spans="1:2" x14ac:dyDescent="0.35">
      <c r="A704" s="1012">
        <v>39596</v>
      </c>
      <c r="B704" s="1013">
        <v>2.0422353502768744</v>
      </c>
    </row>
    <row r="705" spans="1:2" x14ac:dyDescent="0.35">
      <c r="A705" s="1012">
        <v>39597</v>
      </c>
      <c r="B705" s="1013">
        <v>2.0474675048171505</v>
      </c>
    </row>
    <row r="706" spans="1:2" x14ac:dyDescent="0.35">
      <c r="A706" s="1012">
        <v>39598</v>
      </c>
      <c r="B706" s="1013">
        <v>2.1062023884209187</v>
      </c>
    </row>
    <row r="707" spans="1:2" x14ac:dyDescent="0.35">
      <c r="A707" s="1012">
        <v>39601</v>
      </c>
      <c r="B707" s="1013">
        <v>2.2282494974503302</v>
      </c>
    </row>
    <row r="708" spans="1:2" x14ac:dyDescent="0.35">
      <c r="A708" s="1012">
        <v>39602</v>
      </c>
      <c r="B708" s="1013">
        <v>2.2066001316469164</v>
      </c>
    </row>
    <row r="709" spans="1:2" x14ac:dyDescent="0.35">
      <c r="A709" s="1012">
        <v>39603</v>
      </c>
      <c r="B709" s="1013">
        <v>2.1615428822580083</v>
      </c>
    </row>
    <row r="710" spans="1:2" x14ac:dyDescent="0.35">
      <c r="A710" s="1012">
        <v>39604</v>
      </c>
      <c r="B710" s="1013">
        <v>2.1320130611521408</v>
      </c>
    </row>
    <row r="711" spans="1:2" x14ac:dyDescent="0.35">
      <c r="A711" s="1012">
        <v>39605</v>
      </c>
      <c r="B711" s="1013">
        <v>2.1102542798152584</v>
      </c>
    </row>
    <row r="712" spans="1:2" x14ac:dyDescent="0.35">
      <c r="A712" s="1012">
        <v>39609</v>
      </c>
      <c r="B712" s="1013">
        <v>1.985399815215255</v>
      </c>
    </row>
    <row r="713" spans="1:2" x14ac:dyDescent="0.35">
      <c r="A713" s="1012">
        <v>39610</v>
      </c>
      <c r="B713" s="1013">
        <v>1.9447976189231577</v>
      </c>
    </row>
    <row r="714" spans="1:2" x14ac:dyDescent="0.35">
      <c r="A714" s="1012">
        <v>39611</v>
      </c>
      <c r="B714" s="1013">
        <v>1.9100259655491001</v>
      </c>
    </row>
    <row r="715" spans="1:2" x14ac:dyDescent="0.35">
      <c r="A715" s="1012">
        <v>39612</v>
      </c>
      <c r="B715" s="1013">
        <v>1.8333217208148591</v>
      </c>
    </row>
    <row r="716" spans="1:2" x14ac:dyDescent="0.35">
      <c r="A716" s="1012">
        <v>39615</v>
      </c>
      <c r="B716" s="1013">
        <v>1.8117110580012172</v>
      </c>
    </row>
    <row r="717" spans="1:2" x14ac:dyDescent="0.35">
      <c r="A717" s="1012">
        <v>39616</v>
      </c>
      <c r="B717" s="1013">
        <v>1.8400234683340404</v>
      </c>
    </row>
    <row r="718" spans="1:2" x14ac:dyDescent="0.35">
      <c r="A718" s="1012">
        <v>39617</v>
      </c>
      <c r="B718" s="1013">
        <v>1.8530810926743646</v>
      </c>
    </row>
    <row r="719" spans="1:2" x14ac:dyDescent="0.35">
      <c r="A719" s="1012">
        <v>39618</v>
      </c>
      <c r="B719" s="1013">
        <v>1.7902504298929152</v>
      </c>
    </row>
    <row r="720" spans="1:2" x14ac:dyDescent="0.35">
      <c r="A720" s="1012">
        <v>39619</v>
      </c>
      <c r="B720" s="1013">
        <v>1.7048338838297252</v>
      </c>
    </row>
    <row r="721" spans="1:2" x14ac:dyDescent="0.35">
      <c r="A721" s="1012">
        <v>39622</v>
      </c>
      <c r="B721" s="1013">
        <v>1.5101716785504686</v>
      </c>
    </row>
    <row r="722" spans="1:2" x14ac:dyDescent="0.35">
      <c r="A722" s="1012">
        <v>39623</v>
      </c>
      <c r="B722" s="1013">
        <v>1.3877595601254031</v>
      </c>
    </row>
    <row r="723" spans="1:2" x14ac:dyDescent="0.35">
      <c r="A723" s="1012">
        <v>39624</v>
      </c>
      <c r="B723" s="1013">
        <v>1.4916339141079558</v>
      </c>
    </row>
    <row r="724" spans="1:2" x14ac:dyDescent="0.35">
      <c r="A724" s="1012">
        <v>39625</v>
      </c>
      <c r="B724" s="1013">
        <v>1.5576455246209082</v>
      </c>
    </row>
    <row r="725" spans="1:2" x14ac:dyDescent="0.35">
      <c r="A725" s="1012">
        <v>39626</v>
      </c>
      <c r="B725" s="1013">
        <v>1.5558596978635673</v>
      </c>
    </row>
    <row r="726" spans="1:2" x14ac:dyDescent="0.35">
      <c r="A726" s="1012">
        <v>39629</v>
      </c>
      <c r="B726" s="1013">
        <v>1.5055838996165802</v>
      </c>
    </row>
    <row r="727" spans="1:2" x14ac:dyDescent="0.35">
      <c r="A727" s="1012">
        <v>39630</v>
      </c>
      <c r="B727" s="1013">
        <v>1.5038656409231559</v>
      </c>
    </row>
    <row r="728" spans="1:2" x14ac:dyDescent="0.35">
      <c r="A728" s="1012">
        <v>39631</v>
      </c>
      <c r="B728" s="1013">
        <v>1.5021512997096091</v>
      </c>
    </row>
    <row r="729" spans="1:2" x14ac:dyDescent="0.35">
      <c r="A729" s="1012">
        <v>39632</v>
      </c>
      <c r="B729" s="1013">
        <v>1.5004408625939272</v>
      </c>
    </row>
    <row r="730" spans="1:2" x14ac:dyDescent="0.35">
      <c r="A730" s="1012">
        <v>39633</v>
      </c>
      <c r="B730" s="1013">
        <v>1.4838215369887582</v>
      </c>
    </row>
    <row r="731" spans="1:2" x14ac:dyDescent="0.35">
      <c r="A731" s="1012">
        <v>39636</v>
      </c>
      <c r="B731" s="1013">
        <v>1.411896512550745</v>
      </c>
    </row>
    <row r="732" spans="1:2" x14ac:dyDescent="0.35">
      <c r="A732" s="1012">
        <v>39637</v>
      </c>
      <c r="B732" s="1013">
        <v>1.3731848420683745</v>
      </c>
    </row>
    <row r="733" spans="1:2" x14ac:dyDescent="0.35">
      <c r="A733" s="1012">
        <v>39638</v>
      </c>
      <c r="B733" s="1013">
        <v>1.5199163893478473</v>
      </c>
    </row>
    <row r="734" spans="1:2" x14ac:dyDescent="0.35">
      <c r="A734" s="1012">
        <v>39639</v>
      </c>
      <c r="B734" s="1013">
        <v>1.5552286631245982</v>
      </c>
    </row>
    <row r="735" spans="1:2" x14ac:dyDescent="0.35">
      <c r="A735" s="1012">
        <v>39640</v>
      </c>
      <c r="B735" s="1013">
        <v>1.5608712689377771</v>
      </c>
    </row>
    <row r="736" spans="1:2" x14ac:dyDescent="0.35">
      <c r="A736" s="1012">
        <v>39643</v>
      </c>
      <c r="B736" s="1013">
        <v>1.5187426432979467</v>
      </c>
    </row>
    <row r="737" spans="1:2" x14ac:dyDescent="0.35">
      <c r="A737" s="1012">
        <v>39644</v>
      </c>
      <c r="B737" s="1013">
        <v>1.4949438587857571</v>
      </c>
    </row>
    <row r="738" spans="1:2" x14ac:dyDescent="0.35">
      <c r="A738" s="1012">
        <v>39645</v>
      </c>
      <c r="B738" s="1013">
        <v>1.4859104658962252</v>
      </c>
    </row>
    <row r="739" spans="1:2" x14ac:dyDescent="0.35">
      <c r="A739" s="1012">
        <v>39646</v>
      </c>
      <c r="B739" s="1013">
        <v>1.4181153391383445</v>
      </c>
    </row>
    <row r="740" spans="1:2" x14ac:dyDescent="0.35">
      <c r="A740" s="1012">
        <v>39647</v>
      </c>
      <c r="B740" s="1013">
        <v>1.4679043594116694</v>
      </c>
    </row>
    <row r="741" spans="1:2" x14ac:dyDescent="0.35">
      <c r="A741" s="1012">
        <v>39650</v>
      </c>
      <c r="B741" s="1013">
        <v>1.4191010211890869</v>
      </c>
    </row>
    <row r="742" spans="1:2" x14ac:dyDescent="0.35">
      <c r="A742" s="1012">
        <v>39651</v>
      </c>
      <c r="B742" s="1013">
        <v>1.454053372586692</v>
      </c>
    </row>
    <row r="743" spans="1:2" x14ac:dyDescent="0.35">
      <c r="A743" s="1012">
        <v>39652</v>
      </c>
      <c r="B743" s="1013">
        <v>1.4597332340571498</v>
      </c>
    </row>
    <row r="744" spans="1:2" x14ac:dyDescent="0.35">
      <c r="A744" s="1012">
        <v>39653</v>
      </c>
      <c r="B744" s="1013">
        <v>1.4435288140590059</v>
      </c>
    </row>
    <row r="745" spans="1:2" x14ac:dyDescent="0.35">
      <c r="A745" s="1012">
        <v>39654</v>
      </c>
      <c r="B745" s="1013">
        <v>1.441925296808559</v>
      </c>
    </row>
    <row r="746" spans="1:2" x14ac:dyDescent="0.35">
      <c r="A746" s="1012">
        <v>39657</v>
      </c>
      <c r="B746" s="1013">
        <v>1.4734273632780017</v>
      </c>
    </row>
    <row r="747" spans="1:2" x14ac:dyDescent="0.35">
      <c r="A747" s="1012">
        <v>39658</v>
      </c>
      <c r="B747" s="1013">
        <v>1.4500471666297763</v>
      </c>
    </row>
    <row r="748" spans="1:2" x14ac:dyDescent="0.35">
      <c r="A748" s="1012">
        <v>39659</v>
      </c>
      <c r="B748" s="1013">
        <v>1.4194763994649897</v>
      </c>
    </row>
    <row r="749" spans="1:2" x14ac:dyDescent="0.35">
      <c r="A749" s="1012">
        <v>39660</v>
      </c>
      <c r="B749" s="1013">
        <v>1.4106758052624386</v>
      </c>
    </row>
    <row r="750" spans="1:2" x14ac:dyDescent="0.35">
      <c r="A750" s="1012">
        <v>39661</v>
      </c>
      <c r="B750" s="1013">
        <v>1.3946683512672489</v>
      </c>
    </row>
    <row r="751" spans="1:2" x14ac:dyDescent="0.35">
      <c r="A751" s="1012">
        <v>39664</v>
      </c>
      <c r="B751" s="1013">
        <v>1.397274131899048</v>
      </c>
    </row>
    <row r="752" spans="1:2" x14ac:dyDescent="0.35">
      <c r="A752" s="1012">
        <v>39665</v>
      </c>
      <c r="B752" s="1013">
        <v>1.3453789536229881</v>
      </c>
    </row>
    <row r="753" spans="1:2" x14ac:dyDescent="0.35">
      <c r="A753" s="1012">
        <v>39666</v>
      </c>
      <c r="B753" s="1013">
        <v>1.3439041237764457</v>
      </c>
    </row>
    <row r="754" spans="1:2" x14ac:dyDescent="0.35">
      <c r="A754" s="1012">
        <v>39667</v>
      </c>
      <c r="B754" s="1013">
        <v>1.3208961732117257</v>
      </c>
    </row>
    <row r="755" spans="1:2" x14ac:dyDescent="0.35">
      <c r="A755" s="1012">
        <v>39668</v>
      </c>
      <c r="B755" s="1013">
        <v>1.2477420370631402</v>
      </c>
    </row>
    <row r="756" spans="1:2" x14ac:dyDescent="0.35">
      <c r="A756" s="1012">
        <v>39671</v>
      </c>
      <c r="B756" s="1013">
        <v>1.3008408268852631</v>
      </c>
    </row>
    <row r="757" spans="1:2" x14ac:dyDescent="0.35">
      <c r="A757" s="1012">
        <v>39672</v>
      </c>
      <c r="B757" s="1013">
        <v>1.228027207887276</v>
      </c>
    </row>
    <row r="758" spans="1:2" x14ac:dyDescent="0.35">
      <c r="A758" s="1012">
        <v>39673</v>
      </c>
      <c r="B758" s="1013">
        <v>1.2124274205791632</v>
      </c>
    </row>
    <row r="759" spans="1:2" x14ac:dyDescent="0.35">
      <c r="A759" s="1012">
        <v>39674</v>
      </c>
      <c r="B759" s="1013">
        <v>1.2111098891399059</v>
      </c>
    </row>
    <row r="760" spans="1:2" x14ac:dyDescent="0.35">
      <c r="A760" s="1012">
        <v>39675</v>
      </c>
      <c r="B760" s="1013">
        <v>1.2097952180859224</v>
      </c>
    </row>
    <row r="761" spans="1:2" x14ac:dyDescent="0.35">
      <c r="A761" s="1012">
        <v>39678</v>
      </c>
      <c r="B761" s="1013">
        <v>1.120748160902465</v>
      </c>
    </row>
    <row r="762" spans="1:2" x14ac:dyDescent="0.35">
      <c r="A762" s="1012">
        <v>39679</v>
      </c>
      <c r="B762" s="1013">
        <v>1.0982798093858612</v>
      </c>
    </row>
    <row r="763" spans="1:2" x14ac:dyDescent="0.35">
      <c r="A763" s="1012">
        <v>39680</v>
      </c>
      <c r="B763" s="1013">
        <v>1.2386545750483715</v>
      </c>
    </row>
    <row r="764" spans="1:2" x14ac:dyDescent="0.35">
      <c r="A764" s="1012">
        <v>39681</v>
      </c>
      <c r="B764" s="1013">
        <v>1.2726706675684847</v>
      </c>
    </row>
    <row r="765" spans="1:2" x14ac:dyDescent="0.35">
      <c r="A765" s="1012">
        <v>39682</v>
      </c>
      <c r="B765" s="1013">
        <v>1.2712995899393664</v>
      </c>
    </row>
    <row r="766" spans="1:2" x14ac:dyDescent="0.35">
      <c r="A766" s="1012">
        <v>39685</v>
      </c>
      <c r="B766" s="1013">
        <v>1.2460839579897052</v>
      </c>
    </row>
    <row r="767" spans="1:2" x14ac:dyDescent="0.35">
      <c r="A767" s="1012">
        <v>39686</v>
      </c>
      <c r="B767" s="1013">
        <v>1.2799096355896062</v>
      </c>
    </row>
    <row r="768" spans="1:2" x14ac:dyDescent="0.35">
      <c r="A768" s="1012">
        <v>39687</v>
      </c>
      <c r="B768" s="1013">
        <v>1.2644882771884884</v>
      </c>
    </row>
    <row r="769" spans="1:2" x14ac:dyDescent="0.35">
      <c r="A769" s="1012">
        <v>39688</v>
      </c>
      <c r="B769" s="1013">
        <v>1.2561173483136674</v>
      </c>
    </row>
    <row r="770" spans="1:2" x14ac:dyDescent="0.35">
      <c r="A770" s="1012">
        <v>39689</v>
      </c>
      <c r="B770" s="1013">
        <v>1.2828138804053371</v>
      </c>
    </row>
    <row r="771" spans="1:2" x14ac:dyDescent="0.35">
      <c r="A771" s="1012">
        <v>39692</v>
      </c>
      <c r="B771" s="1013">
        <v>1.2577495621774351</v>
      </c>
    </row>
    <row r="772" spans="1:2" x14ac:dyDescent="0.35">
      <c r="A772" s="1012">
        <v>39693</v>
      </c>
      <c r="B772" s="1013">
        <v>1.2284901971215281</v>
      </c>
    </row>
    <row r="773" spans="1:2" x14ac:dyDescent="0.35">
      <c r="A773" s="1012">
        <v>39694</v>
      </c>
      <c r="B773" s="1013">
        <v>1.1714025344974301</v>
      </c>
    </row>
    <row r="774" spans="1:2" x14ac:dyDescent="0.35">
      <c r="A774" s="1012">
        <v>39695</v>
      </c>
      <c r="B774" s="1013">
        <v>1.0308534634483364</v>
      </c>
    </row>
    <row r="775" spans="1:2" x14ac:dyDescent="0.35">
      <c r="A775" s="1012">
        <v>39696</v>
      </c>
      <c r="B775" s="1013">
        <v>1.0297594023062671</v>
      </c>
    </row>
    <row r="776" spans="1:2" x14ac:dyDescent="0.35">
      <c r="A776" s="1012">
        <v>39699</v>
      </c>
      <c r="B776" s="1013">
        <v>1.040362609854772</v>
      </c>
    </row>
    <row r="777" spans="1:2" x14ac:dyDescent="0.35">
      <c r="A777" s="1012">
        <v>39700</v>
      </c>
      <c r="B777" s="1013">
        <v>1.0392631241113761</v>
      </c>
    </row>
    <row r="778" spans="1:2" x14ac:dyDescent="0.35">
      <c r="A778" s="1012">
        <v>39701</v>
      </c>
      <c r="B778" s="1013">
        <v>1.0381659598521806</v>
      </c>
    </row>
    <row r="779" spans="1:2" x14ac:dyDescent="0.35">
      <c r="A779" s="1012">
        <v>39702</v>
      </c>
      <c r="B779" s="1013">
        <v>1.037071109732471</v>
      </c>
    </row>
    <row r="780" spans="1:2" x14ac:dyDescent="0.35">
      <c r="A780" s="1012">
        <v>39703</v>
      </c>
      <c r="B780" s="1013">
        <v>1.0566981377672542</v>
      </c>
    </row>
    <row r="781" spans="1:2" x14ac:dyDescent="0.35">
      <c r="A781" s="1012">
        <v>39707</v>
      </c>
      <c r="B781" s="1013">
        <v>1.0178762321010864</v>
      </c>
    </row>
    <row r="782" spans="1:2" x14ac:dyDescent="0.35">
      <c r="A782" s="1012">
        <v>39708</v>
      </c>
      <c r="B782" s="1013">
        <v>1.0030688598915967</v>
      </c>
    </row>
    <row r="783" spans="1:2" x14ac:dyDescent="0.35">
      <c r="A783" s="1012">
        <v>39709</v>
      </c>
      <c r="B783" s="1013">
        <v>0.97878151570533145</v>
      </c>
    </row>
    <row r="784" spans="1:2" x14ac:dyDescent="0.35">
      <c r="A784" s="1012">
        <v>39710</v>
      </c>
      <c r="B784" s="1013">
        <v>0.94962100944420436</v>
      </c>
    </row>
    <row r="785" spans="1:2" x14ac:dyDescent="0.35">
      <c r="A785" s="1012">
        <v>39713</v>
      </c>
      <c r="B785" s="1013">
        <v>0.96768774100692367</v>
      </c>
    </row>
    <row r="786" spans="1:2" x14ac:dyDescent="0.35">
      <c r="A786" s="1012">
        <v>39714</v>
      </c>
      <c r="B786" s="1013">
        <v>0.92465040682767985</v>
      </c>
    </row>
    <row r="787" spans="1:2" x14ac:dyDescent="0.35">
      <c r="A787" s="1012">
        <v>39715</v>
      </c>
      <c r="B787" s="1013">
        <v>0.89569789902295138</v>
      </c>
    </row>
    <row r="788" spans="1:2" x14ac:dyDescent="0.35">
      <c r="A788" s="1012">
        <v>39716</v>
      </c>
      <c r="B788" s="1013">
        <v>0.88078630435962335</v>
      </c>
    </row>
    <row r="789" spans="1:2" x14ac:dyDescent="0.35">
      <c r="A789" s="1012">
        <v>39717</v>
      </c>
      <c r="B789" s="1013">
        <v>0.87987189196347715</v>
      </c>
    </row>
    <row r="790" spans="1:2" x14ac:dyDescent="0.35">
      <c r="A790" s="1012">
        <v>39727</v>
      </c>
      <c r="B790" s="1013">
        <v>0.77407210708167118</v>
      </c>
    </row>
    <row r="791" spans="1:2" x14ac:dyDescent="0.35">
      <c r="A791" s="1012">
        <v>39728</v>
      </c>
      <c r="B791" s="1013">
        <v>0.77327755667527642</v>
      </c>
    </row>
    <row r="792" spans="1:2" x14ac:dyDescent="0.35">
      <c r="A792" s="1012">
        <v>39729</v>
      </c>
      <c r="B792" s="1013">
        <v>0.73799871449896604</v>
      </c>
    </row>
    <row r="793" spans="1:2" x14ac:dyDescent="0.35">
      <c r="A793" s="1012">
        <v>39730</v>
      </c>
      <c r="B793" s="1013">
        <v>0.70968226735526907</v>
      </c>
    </row>
    <row r="794" spans="1:2" x14ac:dyDescent="0.35">
      <c r="A794" s="1012">
        <v>39731</v>
      </c>
      <c r="B794" s="1013">
        <v>0.6883068413008151</v>
      </c>
    </row>
    <row r="795" spans="1:2" x14ac:dyDescent="0.35">
      <c r="A795" s="1012">
        <v>39734</v>
      </c>
      <c r="B795" s="1013">
        <v>0.67247626121094106</v>
      </c>
    </row>
    <row r="796" spans="1:2" x14ac:dyDescent="0.35">
      <c r="A796" s="1012">
        <v>39735</v>
      </c>
      <c r="B796" s="1013">
        <v>0.7334860030831174</v>
      </c>
    </row>
    <row r="797" spans="1:2" x14ac:dyDescent="0.35">
      <c r="A797" s="1012">
        <v>39736</v>
      </c>
      <c r="B797" s="1013">
        <v>0.664258941376488</v>
      </c>
    </row>
    <row r="798" spans="1:2" x14ac:dyDescent="0.35">
      <c r="A798" s="1012">
        <v>39737</v>
      </c>
      <c r="B798" s="1013">
        <v>0.6225369576381512</v>
      </c>
    </row>
    <row r="799" spans="1:2" x14ac:dyDescent="0.35">
      <c r="A799" s="1012">
        <v>39738</v>
      </c>
      <c r="B799" s="1013">
        <v>0.58773386992621268</v>
      </c>
    </row>
    <row r="800" spans="1:2" x14ac:dyDescent="0.35">
      <c r="A800" s="1012">
        <v>39741</v>
      </c>
      <c r="B800" s="1013">
        <v>0.59276120190240678</v>
      </c>
    </row>
    <row r="801" spans="1:2" x14ac:dyDescent="0.35">
      <c r="A801" s="1012">
        <v>39742</v>
      </c>
      <c r="B801" s="1013">
        <v>0.59896783134556775</v>
      </c>
    </row>
    <row r="802" spans="1:2" x14ac:dyDescent="0.35">
      <c r="A802" s="1012">
        <v>39743</v>
      </c>
      <c r="B802" s="1013">
        <v>0.52356704775470009</v>
      </c>
    </row>
    <row r="803" spans="1:2" x14ac:dyDescent="0.35">
      <c r="A803" s="1012">
        <v>39744</v>
      </c>
      <c r="B803" s="1013">
        <v>0.5094529024184592</v>
      </c>
    </row>
    <row r="804" spans="1:2" x14ac:dyDescent="0.35">
      <c r="A804" s="1012">
        <v>39745</v>
      </c>
      <c r="B804" s="1013">
        <v>0.49536723522423576</v>
      </c>
    </row>
    <row r="805" spans="1:2" x14ac:dyDescent="0.35">
      <c r="A805" s="1012">
        <v>39748</v>
      </c>
      <c r="B805" s="1013">
        <v>0.42621873613224459</v>
      </c>
    </row>
    <row r="806" spans="1:2" x14ac:dyDescent="0.35">
      <c r="A806" s="1012">
        <v>39749</v>
      </c>
      <c r="B806" s="1013">
        <v>0.40551473629250762</v>
      </c>
    </row>
    <row r="807" spans="1:2" x14ac:dyDescent="0.35">
      <c r="A807" s="1012">
        <v>39750</v>
      </c>
      <c r="B807" s="1013">
        <v>0.42536306985236566</v>
      </c>
    </row>
    <row r="808" spans="1:2" x14ac:dyDescent="0.35">
      <c r="A808" s="1012">
        <v>39751</v>
      </c>
      <c r="B808" s="1013">
        <v>0.49913178983853806</v>
      </c>
    </row>
    <row r="809" spans="1:2" x14ac:dyDescent="0.35">
      <c r="A809" s="1012">
        <v>39752</v>
      </c>
      <c r="B809" s="1013">
        <v>0.55927617591139822</v>
      </c>
    </row>
    <row r="810" spans="1:2" x14ac:dyDescent="0.35">
      <c r="A810" s="1012">
        <v>39755</v>
      </c>
      <c r="B810" s="1013">
        <v>0.55760040281551126</v>
      </c>
    </row>
    <row r="811" spans="1:2" x14ac:dyDescent="0.35">
      <c r="A811" s="1012">
        <v>39756</v>
      </c>
      <c r="B811" s="1013">
        <v>0.5369099192132909</v>
      </c>
    </row>
    <row r="812" spans="1:2" x14ac:dyDescent="0.35">
      <c r="A812" s="1012">
        <v>39757</v>
      </c>
      <c r="B812" s="1013">
        <v>0.5631934728977761</v>
      </c>
    </row>
    <row r="813" spans="1:2" x14ac:dyDescent="0.35">
      <c r="A813" s="1012">
        <v>39758</v>
      </c>
      <c r="B813" s="1013">
        <v>0.54923663430512237</v>
      </c>
    </row>
    <row r="814" spans="1:2" x14ac:dyDescent="0.35">
      <c r="A814" s="1012">
        <v>39759</v>
      </c>
      <c r="B814" s="1013">
        <v>0.58214697612814914</v>
      </c>
    </row>
    <row r="815" spans="1:2" x14ac:dyDescent="0.35">
      <c r="A815" s="1012">
        <v>39762</v>
      </c>
      <c r="B815" s="1013">
        <v>0.65380056260312436</v>
      </c>
    </row>
    <row r="816" spans="1:2" x14ac:dyDescent="0.35">
      <c r="A816" s="1012">
        <v>39763</v>
      </c>
      <c r="B816" s="1013">
        <v>0.68647685856809826</v>
      </c>
    </row>
    <row r="817" spans="1:2" x14ac:dyDescent="0.35">
      <c r="A817" s="1012">
        <v>39764</v>
      </c>
      <c r="B817" s="1013">
        <v>0.63918974534011164</v>
      </c>
    </row>
    <row r="818" spans="1:2" x14ac:dyDescent="0.35">
      <c r="A818" s="1012">
        <v>39765</v>
      </c>
      <c r="B818" s="1013">
        <v>0.60529944079608911</v>
      </c>
    </row>
    <row r="819" spans="1:2" x14ac:dyDescent="0.35">
      <c r="A819" s="1012">
        <v>39766</v>
      </c>
      <c r="B819" s="1013">
        <v>0.61799159450855501</v>
      </c>
    </row>
    <row r="820" spans="1:2" x14ac:dyDescent="0.35">
      <c r="A820" s="1012">
        <v>39769</v>
      </c>
      <c r="B820" s="1013">
        <v>0.60291455660881188</v>
      </c>
    </row>
    <row r="821" spans="1:2" x14ac:dyDescent="0.35">
      <c r="A821" s="1012">
        <v>39770</v>
      </c>
      <c r="B821" s="1013">
        <v>0.58246452393248471</v>
      </c>
    </row>
    <row r="822" spans="1:2" x14ac:dyDescent="0.35">
      <c r="A822" s="1012">
        <v>39771</v>
      </c>
      <c r="B822" s="1013">
        <v>0.56866710690574884</v>
      </c>
    </row>
    <row r="823" spans="1:2" x14ac:dyDescent="0.35">
      <c r="A823" s="1012">
        <v>39772</v>
      </c>
      <c r="B823" s="1013">
        <v>0.54829087658166986</v>
      </c>
    </row>
    <row r="824" spans="1:2" x14ac:dyDescent="0.35">
      <c r="A824" s="1012">
        <v>39773</v>
      </c>
      <c r="B824" s="1013">
        <v>0.57415066009141291</v>
      </c>
    </row>
    <row r="825" spans="1:2" x14ac:dyDescent="0.35">
      <c r="A825" s="1012">
        <v>39776</v>
      </c>
      <c r="B825" s="1013">
        <v>0.54614539964164432</v>
      </c>
    </row>
    <row r="826" spans="1:2" x14ac:dyDescent="0.35">
      <c r="A826" s="1012">
        <v>39777</v>
      </c>
      <c r="B826" s="1013">
        <v>0.54561165137670153</v>
      </c>
    </row>
    <row r="827" spans="1:2" x14ac:dyDescent="0.35">
      <c r="A827" s="1012">
        <v>39778</v>
      </c>
      <c r="B827" s="1013">
        <v>0.56478059398565061</v>
      </c>
    </row>
    <row r="828" spans="1:2" x14ac:dyDescent="0.35">
      <c r="A828" s="1012">
        <v>39779</v>
      </c>
      <c r="B828" s="1013">
        <v>0.58391214204512953</v>
      </c>
    </row>
    <row r="829" spans="1:2" x14ac:dyDescent="0.35">
      <c r="A829" s="1012">
        <v>39780</v>
      </c>
      <c r="B829" s="1013">
        <v>0.61611523976030447</v>
      </c>
    </row>
    <row r="830" spans="1:2" x14ac:dyDescent="0.35">
      <c r="A830" s="1012">
        <v>39783</v>
      </c>
      <c r="B830" s="1013">
        <v>0.67313719387231241</v>
      </c>
    </row>
    <row r="831" spans="1:2" x14ac:dyDescent="0.35">
      <c r="A831" s="1012">
        <v>39784</v>
      </c>
      <c r="B831" s="1013">
        <v>0.69207071331495584</v>
      </c>
    </row>
    <row r="832" spans="1:2" x14ac:dyDescent="0.35">
      <c r="A832" s="1012">
        <v>39785</v>
      </c>
      <c r="B832" s="1013">
        <v>0.74358070101082963</v>
      </c>
    </row>
    <row r="833" spans="1:2" x14ac:dyDescent="0.35">
      <c r="A833" s="1012">
        <v>39786</v>
      </c>
      <c r="B833" s="1013">
        <v>0.72331137902934639</v>
      </c>
    </row>
    <row r="834" spans="1:2" x14ac:dyDescent="0.35">
      <c r="A834" s="1012">
        <v>39787</v>
      </c>
      <c r="B834" s="1013">
        <v>0.74865137579168983</v>
      </c>
    </row>
    <row r="835" spans="1:2" x14ac:dyDescent="0.35">
      <c r="A835" s="1012">
        <v>39790</v>
      </c>
      <c r="B835" s="1013">
        <v>0.75297510508636412</v>
      </c>
    </row>
    <row r="836" spans="1:2" x14ac:dyDescent="0.35">
      <c r="A836" s="1012">
        <v>39791</v>
      </c>
      <c r="B836" s="1013">
        <v>0.81061331316598884</v>
      </c>
    </row>
    <row r="837" spans="1:2" x14ac:dyDescent="0.35">
      <c r="A837" s="1012">
        <v>39792</v>
      </c>
      <c r="B837" s="1013">
        <v>0.80983254589760301</v>
      </c>
    </row>
    <row r="838" spans="1:2" x14ac:dyDescent="0.35">
      <c r="A838" s="1012">
        <v>39793</v>
      </c>
      <c r="B838" s="1013">
        <v>0.78963600247287136</v>
      </c>
    </row>
    <row r="839" spans="1:2" x14ac:dyDescent="0.35">
      <c r="A839" s="1012">
        <v>39794</v>
      </c>
      <c r="B839" s="1013">
        <v>0.74361347362182662</v>
      </c>
    </row>
    <row r="840" spans="1:2" x14ac:dyDescent="0.35">
      <c r="A840" s="1012">
        <v>39797</v>
      </c>
      <c r="B840" s="1013">
        <v>0.77371311554931255</v>
      </c>
    </row>
    <row r="841" spans="1:2" x14ac:dyDescent="0.35">
      <c r="A841" s="1012">
        <v>39798</v>
      </c>
      <c r="B841" s="1013">
        <v>0.76008930229354477</v>
      </c>
    </row>
    <row r="842" spans="1:2" x14ac:dyDescent="0.35">
      <c r="A842" s="1012">
        <v>39799</v>
      </c>
      <c r="B842" s="1013">
        <v>0.78510318996307227</v>
      </c>
    </row>
    <row r="843" spans="1:2" x14ac:dyDescent="0.35">
      <c r="A843" s="1012">
        <v>39800</v>
      </c>
      <c r="B843" s="1013">
        <v>0.82935662362866458</v>
      </c>
    </row>
    <row r="844" spans="1:2" x14ac:dyDescent="0.35">
      <c r="A844" s="1012">
        <v>39801</v>
      </c>
      <c r="B844" s="1013">
        <v>0.82856466832750342</v>
      </c>
    </row>
    <row r="845" spans="1:2" x14ac:dyDescent="0.35">
      <c r="A845" s="1012">
        <v>39804</v>
      </c>
      <c r="B845" s="1013">
        <v>0.77496077533411423</v>
      </c>
    </row>
    <row r="846" spans="1:2" x14ac:dyDescent="0.35">
      <c r="A846" s="1012">
        <v>39805</v>
      </c>
      <c r="B846" s="1013">
        <v>0.79981774649701376</v>
      </c>
    </row>
    <row r="847" spans="1:2" x14ac:dyDescent="0.35">
      <c r="A847" s="1012">
        <v>39806</v>
      </c>
      <c r="B847" s="1013">
        <v>0.80545008818368125</v>
      </c>
    </row>
    <row r="848" spans="1:2" x14ac:dyDescent="0.35">
      <c r="A848" s="1012">
        <v>39807</v>
      </c>
      <c r="B848" s="1013">
        <v>0.80468534285652937</v>
      </c>
    </row>
    <row r="849" spans="1:2" x14ac:dyDescent="0.35">
      <c r="A849" s="1012">
        <v>39808</v>
      </c>
      <c r="B849" s="1013">
        <v>0.80392204834717729</v>
      </c>
    </row>
    <row r="850" spans="1:2" x14ac:dyDescent="0.35">
      <c r="A850" s="1012">
        <v>39811</v>
      </c>
      <c r="B850" s="1013">
        <v>0.85890088773998752</v>
      </c>
    </row>
    <row r="851" spans="1:2" x14ac:dyDescent="0.35">
      <c r="A851" s="1012">
        <v>39812</v>
      </c>
      <c r="B851" s="1013">
        <v>0.84537681268551035</v>
      </c>
    </row>
    <row r="852" spans="1:2" x14ac:dyDescent="0.35">
      <c r="A852" s="1012">
        <v>39813</v>
      </c>
      <c r="B852" s="1013">
        <v>0.85727913669577349</v>
      </c>
    </row>
    <row r="853" spans="1:2" x14ac:dyDescent="0.35">
      <c r="A853" s="1012">
        <v>39818</v>
      </c>
      <c r="B853" s="1013">
        <v>0.86910786774686999</v>
      </c>
    </row>
    <row r="854" spans="1:2" x14ac:dyDescent="0.35">
      <c r="A854" s="1012">
        <v>39819</v>
      </c>
      <c r="B854" s="1013">
        <v>0.86254795112641047</v>
      </c>
    </row>
    <row r="855" spans="1:2" x14ac:dyDescent="0.35">
      <c r="A855" s="1012">
        <v>39820</v>
      </c>
      <c r="B855" s="1013">
        <v>0.81160658423199494</v>
      </c>
    </row>
    <row r="856" spans="1:2" x14ac:dyDescent="0.35">
      <c r="A856" s="1012">
        <v>39821</v>
      </c>
      <c r="B856" s="1013">
        <v>0.79238616587925759</v>
      </c>
    </row>
    <row r="857" spans="1:2" x14ac:dyDescent="0.35">
      <c r="A857" s="1012">
        <v>39822</v>
      </c>
      <c r="B857" s="1013">
        <v>0.81120038516297621</v>
      </c>
    </row>
    <row r="858" spans="1:2" x14ac:dyDescent="0.35">
      <c r="A858" s="1012">
        <v>39825</v>
      </c>
      <c r="B858" s="1013">
        <v>0.76626260664676737</v>
      </c>
    </row>
    <row r="859" spans="1:2" x14ac:dyDescent="0.35">
      <c r="A859" s="1012">
        <v>39826</v>
      </c>
      <c r="B859" s="1013">
        <v>0.75973988024145001</v>
      </c>
    </row>
    <row r="860" spans="1:2" x14ac:dyDescent="0.35">
      <c r="A860" s="1012">
        <v>39827</v>
      </c>
      <c r="B860" s="1013">
        <v>0.8038570808081642</v>
      </c>
    </row>
    <row r="861" spans="1:2" x14ac:dyDescent="0.35">
      <c r="A861" s="1012">
        <v>39828</v>
      </c>
      <c r="B861" s="1013">
        <v>0.78467221687394328</v>
      </c>
    </row>
    <row r="862" spans="1:2" x14ac:dyDescent="0.35">
      <c r="A862" s="1012">
        <v>39829</v>
      </c>
      <c r="B862" s="1013">
        <v>0.77814977988638423</v>
      </c>
    </row>
    <row r="863" spans="1:2" x14ac:dyDescent="0.35">
      <c r="A863" s="1012">
        <v>39832</v>
      </c>
      <c r="B863" s="1013">
        <v>0.75228032304023273</v>
      </c>
    </row>
    <row r="864" spans="1:2" x14ac:dyDescent="0.35">
      <c r="A864" s="1012">
        <v>39833</v>
      </c>
      <c r="B864" s="1013">
        <v>0.76473279785036496</v>
      </c>
    </row>
    <row r="865" spans="1:2" x14ac:dyDescent="0.35">
      <c r="A865" s="1012">
        <v>39834</v>
      </c>
      <c r="B865" s="1013">
        <v>0.76454200113974358</v>
      </c>
    </row>
    <row r="866" spans="1:2" x14ac:dyDescent="0.35">
      <c r="A866" s="1012">
        <v>39835</v>
      </c>
      <c r="B866" s="1013">
        <v>0.73908348805349233</v>
      </c>
    </row>
    <row r="867" spans="1:2" x14ac:dyDescent="0.35">
      <c r="A867" s="1012">
        <v>39836</v>
      </c>
      <c r="B867" s="1013">
        <v>0.71363767215503271</v>
      </c>
    </row>
    <row r="868" spans="1:2" x14ac:dyDescent="0.35">
      <c r="A868" s="1012">
        <v>39846</v>
      </c>
      <c r="B868" s="1013">
        <v>0.75596017633856838</v>
      </c>
    </row>
    <row r="869" spans="1:2" x14ac:dyDescent="0.35">
      <c r="A869" s="1012">
        <v>39847</v>
      </c>
      <c r="B869" s="1013">
        <v>0.74947407662456711</v>
      </c>
    </row>
    <row r="870" spans="1:2" x14ac:dyDescent="0.35">
      <c r="A870" s="1012">
        <v>39848</v>
      </c>
      <c r="B870" s="1013">
        <v>0.76817734458430176</v>
      </c>
    </row>
    <row r="871" spans="1:2" x14ac:dyDescent="0.35">
      <c r="A871" s="1012">
        <v>39849</v>
      </c>
      <c r="B871" s="1013">
        <v>0.78057634409483767</v>
      </c>
    </row>
    <row r="872" spans="1:2" x14ac:dyDescent="0.35">
      <c r="A872" s="1012">
        <v>39850</v>
      </c>
      <c r="B872" s="1013">
        <v>0.78667577503763453</v>
      </c>
    </row>
    <row r="873" spans="1:2" x14ac:dyDescent="0.35">
      <c r="A873" s="1012">
        <v>39853</v>
      </c>
      <c r="B873" s="1013">
        <v>0.78608973898608836</v>
      </c>
    </row>
    <row r="874" spans="1:2" x14ac:dyDescent="0.35">
      <c r="A874" s="1012">
        <v>39854</v>
      </c>
      <c r="B874" s="1013">
        <v>0.80475605772090242</v>
      </c>
    </row>
    <row r="875" spans="1:2" x14ac:dyDescent="0.35">
      <c r="A875" s="1012">
        <v>39855</v>
      </c>
      <c r="B875" s="1013">
        <v>0.77941393685596649</v>
      </c>
    </row>
    <row r="876" spans="1:2" x14ac:dyDescent="0.35">
      <c r="A876" s="1012">
        <v>39856</v>
      </c>
      <c r="B876" s="1013">
        <v>0.7792205388191924</v>
      </c>
    </row>
    <row r="877" spans="1:2" x14ac:dyDescent="0.35">
      <c r="A877" s="1012">
        <v>39857</v>
      </c>
      <c r="B877" s="1013">
        <v>0.8167221030289854</v>
      </c>
    </row>
    <row r="878" spans="1:2" x14ac:dyDescent="0.35">
      <c r="A878" s="1012">
        <v>39860</v>
      </c>
      <c r="B878" s="1013">
        <v>0.84122596238191982</v>
      </c>
    </row>
    <row r="879" spans="1:2" x14ac:dyDescent="0.35">
      <c r="A879" s="1012">
        <v>39861</v>
      </c>
      <c r="B879" s="1013">
        <v>0.85984623508729541</v>
      </c>
    </row>
    <row r="880" spans="1:2" x14ac:dyDescent="0.35">
      <c r="A880" s="1012">
        <v>39862</v>
      </c>
      <c r="B880" s="1013">
        <v>0.8345344168880412</v>
      </c>
    </row>
    <row r="881" spans="1:2" x14ac:dyDescent="0.35">
      <c r="A881" s="1012">
        <v>39863</v>
      </c>
      <c r="B881" s="1013">
        <v>0.8280545601054633</v>
      </c>
    </row>
    <row r="882" spans="1:2" x14ac:dyDescent="0.35">
      <c r="A882" s="1012">
        <v>39864</v>
      </c>
      <c r="B882" s="1013">
        <v>0.81530632556034344</v>
      </c>
    </row>
    <row r="883" spans="1:2" x14ac:dyDescent="0.35">
      <c r="A883" s="1012">
        <v>39867</v>
      </c>
      <c r="B883" s="1013">
        <v>0.82096799653510821</v>
      </c>
    </row>
    <row r="884" spans="1:2" x14ac:dyDescent="0.35">
      <c r="A884" s="1012">
        <v>39868</v>
      </c>
      <c r="B884" s="1013">
        <v>0.82703027319877975</v>
      </c>
    </row>
    <row r="885" spans="1:2" x14ac:dyDescent="0.35">
      <c r="A885" s="1012">
        <v>39869</v>
      </c>
      <c r="B885" s="1013">
        <v>0.79550656377352946</v>
      </c>
    </row>
    <row r="886" spans="1:2" x14ac:dyDescent="0.35">
      <c r="A886" s="1012">
        <v>39870</v>
      </c>
      <c r="B886" s="1013">
        <v>0.76399844431337205</v>
      </c>
    </row>
    <row r="887" spans="1:2" x14ac:dyDescent="0.35">
      <c r="A887" s="1012">
        <v>39871</v>
      </c>
      <c r="B887" s="1013">
        <v>0.75128810590379869</v>
      </c>
    </row>
    <row r="888" spans="1:2" x14ac:dyDescent="0.35">
      <c r="A888" s="1012">
        <v>39874</v>
      </c>
      <c r="B888" s="1013">
        <v>0.70068257966600656</v>
      </c>
    </row>
    <row r="889" spans="1:2" x14ac:dyDescent="0.35">
      <c r="A889" s="1012">
        <v>39875</v>
      </c>
      <c r="B889" s="1013">
        <v>0.68800043447075387</v>
      </c>
    </row>
    <row r="890" spans="1:2" x14ac:dyDescent="0.35">
      <c r="A890" s="1012">
        <v>39876</v>
      </c>
      <c r="B890" s="1013">
        <v>0.73785460300682393</v>
      </c>
    </row>
    <row r="891" spans="1:2" x14ac:dyDescent="0.35">
      <c r="A891" s="1012">
        <v>39877</v>
      </c>
      <c r="B891" s="1013">
        <v>0.73767246627265692</v>
      </c>
    </row>
    <row r="892" spans="1:2" x14ac:dyDescent="0.35">
      <c r="A892" s="1012">
        <v>39878</v>
      </c>
      <c r="B892" s="1013">
        <v>0.72499058181832721</v>
      </c>
    </row>
    <row r="893" spans="1:2" x14ac:dyDescent="0.35">
      <c r="A893" s="1012">
        <v>39881</v>
      </c>
      <c r="B893" s="1013">
        <v>0.73694481764486497</v>
      </c>
    </row>
    <row r="894" spans="1:2" x14ac:dyDescent="0.35">
      <c r="A894" s="1012">
        <v>39882</v>
      </c>
      <c r="B894" s="1013">
        <v>0.73676312973292912</v>
      </c>
    </row>
    <row r="895" spans="1:2" x14ac:dyDescent="0.35">
      <c r="A895" s="1012">
        <v>39883</v>
      </c>
      <c r="B895" s="1013">
        <v>0.75530818048938786</v>
      </c>
    </row>
    <row r="896" spans="1:2" x14ac:dyDescent="0.35">
      <c r="A896" s="1012">
        <v>39884</v>
      </c>
      <c r="B896" s="1013">
        <v>0.73015934438179131</v>
      </c>
    </row>
    <row r="897" spans="1:2" x14ac:dyDescent="0.35">
      <c r="A897" s="1012">
        <v>39885</v>
      </c>
      <c r="B897" s="1013">
        <v>0.74245774382889296</v>
      </c>
    </row>
    <row r="898" spans="1:2" x14ac:dyDescent="0.35">
      <c r="A898" s="1012">
        <v>39888</v>
      </c>
      <c r="B898" s="1013">
        <v>0.76684754526001797</v>
      </c>
    </row>
    <row r="899" spans="1:2" x14ac:dyDescent="0.35">
      <c r="A899" s="1012">
        <v>39889</v>
      </c>
      <c r="B899" s="1013">
        <v>0.74795981539922407</v>
      </c>
    </row>
    <row r="900" spans="1:2" x14ac:dyDescent="0.35">
      <c r="A900" s="1012">
        <v>39890</v>
      </c>
      <c r="B900" s="1013">
        <v>0.76647016918718547</v>
      </c>
    </row>
    <row r="901" spans="1:2" x14ac:dyDescent="0.35">
      <c r="A901" s="1012">
        <v>39891</v>
      </c>
      <c r="B901" s="1013">
        <v>0.80989114351263591</v>
      </c>
    </row>
    <row r="902" spans="1:2" x14ac:dyDescent="0.35">
      <c r="A902" s="1012">
        <v>39892</v>
      </c>
      <c r="B902" s="1013">
        <v>0.8034635626166633</v>
      </c>
    </row>
    <row r="903" spans="1:2" x14ac:dyDescent="0.35">
      <c r="A903" s="1012">
        <v>39895</v>
      </c>
      <c r="B903" s="1013">
        <v>0.8588854680833542</v>
      </c>
    </row>
    <row r="904" spans="1:2" x14ac:dyDescent="0.35">
      <c r="A904" s="1012">
        <v>39896</v>
      </c>
      <c r="B904" s="1013">
        <v>0.8462298878596719</v>
      </c>
    </row>
    <row r="905" spans="1:2" x14ac:dyDescent="0.35">
      <c r="A905" s="1012">
        <v>39897</v>
      </c>
      <c r="B905" s="1013">
        <v>0.84602202528175718</v>
      </c>
    </row>
    <row r="906" spans="1:2" x14ac:dyDescent="0.35">
      <c r="A906" s="1012">
        <v>39898</v>
      </c>
      <c r="B906" s="1013">
        <v>0.85203348733012985</v>
      </c>
    </row>
    <row r="907" spans="1:2" x14ac:dyDescent="0.35">
      <c r="A907" s="1012">
        <v>39899</v>
      </c>
      <c r="B907" s="1013">
        <v>0.87669508449749656</v>
      </c>
    </row>
    <row r="908" spans="1:2" x14ac:dyDescent="0.35">
      <c r="A908" s="1012">
        <v>39902</v>
      </c>
      <c r="B908" s="1013">
        <v>0.83255800339818498</v>
      </c>
    </row>
    <row r="909" spans="1:2" x14ac:dyDescent="0.35">
      <c r="A909" s="1012">
        <v>39903</v>
      </c>
      <c r="B909" s="1013">
        <v>0.8323538000511701</v>
      </c>
    </row>
    <row r="910" spans="1:2" x14ac:dyDescent="0.35">
      <c r="A910" s="1012">
        <v>39904</v>
      </c>
      <c r="B910" s="1013">
        <v>0.83214969685040696</v>
      </c>
    </row>
    <row r="911" spans="1:2" x14ac:dyDescent="0.35">
      <c r="A911" s="1012">
        <v>39905</v>
      </c>
      <c r="B911" s="1013">
        <v>0.87540554339430043</v>
      </c>
    </row>
    <row r="912" spans="1:2" x14ac:dyDescent="0.35">
      <c r="A912" s="1012">
        <v>39906</v>
      </c>
      <c r="B912" s="1013">
        <v>0.93105424320122798</v>
      </c>
    </row>
    <row r="913" spans="1:2" x14ac:dyDescent="0.35">
      <c r="A913" s="1012">
        <v>39910</v>
      </c>
      <c r="B913" s="1013">
        <v>1.0231565980492787</v>
      </c>
    </row>
    <row r="914" spans="1:2" x14ac:dyDescent="0.35">
      <c r="A914" s="1012">
        <v>39911</v>
      </c>
      <c r="B914" s="1013">
        <v>0.94851296396596319</v>
      </c>
    </row>
    <row r="915" spans="1:2" x14ac:dyDescent="0.35">
      <c r="A915" s="1012">
        <v>39912</v>
      </c>
      <c r="B915" s="1013">
        <v>1.0536453694525671</v>
      </c>
    </row>
    <row r="916" spans="1:2" x14ac:dyDescent="0.35">
      <c r="A916" s="1012">
        <v>39913</v>
      </c>
      <c r="B916" s="1013">
        <v>1.0533875718231587</v>
      </c>
    </row>
    <row r="917" spans="1:2" x14ac:dyDescent="0.35">
      <c r="A917" s="1012">
        <v>39916</v>
      </c>
      <c r="B917" s="1013">
        <v>1.0526149352904159</v>
      </c>
    </row>
    <row r="918" spans="1:2" x14ac:dyDescent="0.35">
      <c r="A918" s="1012">
        <v>39917</v>
      </c>
      <c r="B918" s="1013">
        <v>1.0647383197262177</v>
      </c>
    </row>
    <row r="919" spans="1:2" x14ac:dyDescent="0.35">
      <c r="A919" s="1012">
        <v>39918</v>
      </c>
      <c r="B919" s="1013">
        <v>1.1139887367959922</v>
      </c>
    </row>
    <row r="920" spans="1:2" x14ac:dyDescent="0.35">
      <c r="A920" s="1012">
        <v>39919</v>
      </c>
      <c r="B920" s="1013">
        <v>1.0951546314650644</v>
      </c>
    </row>
    <row r="921" spans="1:2" x14ac:dyDescent="0.35">
      <c r="A921" s="1012">
        <v>39920</v>
      </c>
      <c r="B921" s="1013">
        <v>1.1258161509543514</v>
      </c>
    </row>
    <row r="922" spans="1:2" x14ac:dyDescent="0.35">
      <c r="A922" s="1012">
        <v>39923</v>
      </c>
      <c r="B922" s="1013">
        <v>1.0755416114583116</v>
      </c>
    </row>
    <row r="923" spans="1:2" x14ac:dyDescent="0.35">
      <c r="A923" s="1012">
        <v>39924</v>
      </c>
      <c r="B923" s="1013">
        <v>1.04438033626515</v>
      </c>
    </row>
    <row r="924" spans="1:2" x14ac:dyDescent="0.35">
      <c r="A924" s="1012">
        <v>39925</v>
      </c>
      <c r="B924" s="1013">
        <v>1.0379472958759173</v>
      </c>
    </row>
    <row r="925" spans="1:2" x14ac:dyDescent="0.35">
      <c r="A925" s="1012">
        <v>39926</v>
      </c>
      <c r="B925" s="1013">
        <v>1.037694144335759</v>
      </c>
    </row>
    <row r="926" spans="1:2" x14ac:dyDescent="0.35">
      <c r="A926" s="1012">
        <v>39927</v>
      </c>
      <c r="B926" s="1013">
        <v>1.1362450320843795</v>
      </c>
    </row>
    <row r="927" spans="1:2" x14ac:dyDescent="0.35">
      <c r="A927" s="1012">
        <v>39930</v>
      </c>
      <c r="B927" s="1013">
        <v>1.1107315412424044</v>
      </c>
    </row>
    <row r="928" spans="1:2" x14ac:dyDescent="0.35">
      <c r="A928" s="1012">
        <v>39931</v>
      </c>
      <c r="B928" s="1013">
        <v>1.1536455610451353</v>
      </c>
    </row>
    <row r="929" spans="1:2" x14ac:dyDescent="0.35">
      <c r="A929" s="1012">
        <v>39932</v>
      </c>
      <c r="B929" s="1013">
        <v>1.1657000525628327</v>
      </c>
    </row>
    <row r="930" spans="1:2" x14ac:dyDescent="0.35">
      <c r="A930" s="1012">
        <v>39933</v>
      </c>
      <c r="B930" s="1013">
        <v>1.1654162271615072</v>
      </c>
    </row>
    <row r="931" spans="1:2" x14ac:dyDescent="0.35">
      <c r="A931" s="1012">
        <v>39937</v>
      </c>
      <c r="B931" s="1013">
        <v>1.2443652162905698</v>
      </c>
    </row>
    <row r="932" spans="1:2" x14ac:dyDescent="0.35">
      <c r="A932" s="1012">
        <v>39938</v>
      </c>
      <c r="B932" s="1013">
        <v>1.1947927996713192</v>
      </c>
    </row>
    <row r="933" spans="1:2" x14ac:dyDescent="0.35">
      <c r="A933" s="1012">
        <v>39939</v>
      </c>
      <c r="B933" s="1013">
        <v>1.2376029141122882</v>
      </c>
    </row>
    <row r="934" spans="1:2" x14ac:dyDescent="0.35">
      <c r="A934" s="1012">
        <v>39940</v>
      </c>
      <c r="B934" s="1013">
        <v>1.2249906308356642</v>
      </c>
    </row>
    <row r="935" spans="1:2" x14ac:dyDescent="0.35">
      <c r="A935" s="1012">
        <v>39941</v>
      </c>
      <c r="B935" s="1013">
        <v>1.2370014210147635</v>
      </c>
    </row>
    <row r="936" spans="1:2" x14ac:dyDescent="0.35">
      <c r="A936" s="1012">
        <v>39944</v>
      </c>
      <c r="B936" s="1013">
        <v>1.1377042348877515</v>
      </c>
    </row>
    <row r="937" spans="1:2" x14ac:dyDescent="0.35">
      <c r="A937" s="1012">
        <v>39945</v>
      </c>
      <c r="B937" s="1013">
        <v>1.1743175907487429</v>
      </c>
    </row>
    <row r="938" spans="1:2" x14ac:dyDescent="0.35">
      <c r="A938" s="1012">
        <v>39946</v>
      </c>
      <c r="B938" s="1013">
        <v>1.1986196388216055</v>
      </c>
    </row>
    <row r="939" spans="1:2" x14ac:dyDescent="0.35">
      <c r="A939" s="1012">
        <v>39947</v>
      </c>
      <c r="B939" s="1013">
        <v>1.1860382378766336</v>
      </c>
    </row>
    <row r="940" spans="1:2" x14ac:dyDescent="0.35">
      <c r="A940" s="1012">
        <v>39948</v>
      </c>
      <c r="B940" s="1013">
        <v>1.2226132215560648</v>
      </c>
    </row>
    <row r="941" spans="1:2" x14ac:dyDescent="0.35">
      <c r="A941" s="1012">
        <v>39951</v>
      </c>
      <c r="B941" s="1013">
        <v>1.2769779228576881</v>
      </c>
    </row>
    <row r="942" spans="1:2" x14ac:dyDescent="0.35">
      <c r="A942" s="1012">
        <v>39952</v>
      </c>
      <c r="B942" s="1013">
        <v>1.3564602123783249</v>
      </c>
    </row>
    <row r="943" spans="1:2" x14ac:dyDescent="0.35">
      <c r="A943" s="1012">
        <v>39953</v>
      </c>
      <c r="B943" s="1013">
        <v>1.4113586174054324</v>
      </c>
    </row>
    <row r="944" spans="1:2" x14ac:dyDescent="0.35">
      <c r="A944" s="1012">
        <v>39954</v>
      </c>
      <c r="B944" s="1013">
        <v>1.5275789783778677</v>
      </c>
    </row>
    <row r="945" spans="1:2" x14ac:dyDescent="0.35">
      <c r="A945" s="1012">
        <v>39955</v>
      </c>
      <c r="B945" s="1013">
        <v>1.5104265066404328</v>
      </c>
    </row>
    <row r="946" spans="1:2" x14ac:dyDescent="0.35">
      <c r="A946" s="1012">
        <v>39958</v>
      </c>
      <c r="B946" s="1013">
        <v>1.5528085419988189</v>
      </c>
    </row>
    <row r="947" spans="1:2" x14ac:dyDescent="0.35">
      <c r="A947" s="1012">
        <v>39959</v>
      </c>
      <c r="B947" s="1013">
        <v>1.5338036474445942</v>
      </c>
    </row>
    <row r="948" spans="1:2" x14ac:dyDescent="0.35">
      <c r="A948" s="1012">
        <v>39960</v>
      </c>
      <c r="B948" s="1013">
        <v>1.5520573228441177</v>
      </c>
    </row>
    <row r="949" spans="1:2" x14ac:dyDescent="0.35">
      <c r="A949" s="1012">
        <v>39965</v>
      </c>
      <c r="B949" s="1013">
        <v>1.8478174816982031</v>
      </c>
    </row>
    <row r="950" spans="1:2" x14ac:dyDescent="0.35">
      <c r="A950" s="1012">
        <v>39966</v>
      </c>
      <c r="B950" s="1013">
        <v>1.7047888221822802</v>
      </c>
    </row>
    <row r="951" spans="1:2" x14ac:dyDescent="0.35">
      <c r="A951" s="1012">
        <v>39967</v>
      </c>
      <c r="B951" s="1013">
        <v>1.6733884716849556</v>
      </c>
    </row>
    <row r="952" spans="1:2" x14ac:dyDescent="0.35">
      <c r="A952" s="1012">
        <v>39968</v>
      </c>
      <c r="B952" s="1013">
        <v>1.7473393423861958</v>
      </c>
    </row>
    <row r="953" spans="1:2" x14ac:dyDescent="0.35">
      <c r="A953" s="1012">
        <v>39969</v>
      </c>
      <c r="B953" s="1013">
        <v>1.7840860552970736</v>
      </c>
    </row>
    <row r="954" spans="1:2" x14ac:dyDescent="0.35">
      <c r="A954" s="1012">
        <v>39972</v>
      </c>
      <c r="B954" s="1013">
        <v>1.7951756640262819</v>
      </c>
    </row>
    <row r="955" spans="1:2" x14ac:dyDescent="0.35">
      <c r="A955" s="1012">
        <v>39973</v>
      </c>
      <c r="B955" s="1013">
        <v>1.7514214116866063</v>
      </c>
    </row>
    <row r="956" spans="1:2" x14ac:dyDescent="0.35">
      <c r="A956" s="1012">
        <v>39974</v>
      </c>
      <c r="B956" s="1013">
        <v>1.7819355708298952</v>
      </c>
    </row>
    <row r="957" spans="1:2" x14ac:dyDescent="0.35">
      <c r="A957" s="1012">
        <v>39975</v>
      </c>
      <c r="B957" s="1013">
        <v>1.7629487407321804</v>
      </c>
    </row>
    <row r="958" spans="1:2" x14ac:dyDescent="0.35">
      <c r="A958" s="1012">
        <v>39976</v>
      </c>
      <c r="B958" s="1013">
        <v>1.9294998969311234</v>
      </c>
    </row>
    <row r="959" spans="1:2" x14ac:dyDescent="0.35">
      <c r="A959" s="1012">
        <v>39979</v>
      </c>
      <c r="B959" s="1013">
        <v>1.8724876739850169</v>
      </c>
    </row>
    <row r="960" spans="1:2" x14ac:dyDescent="0.35">
      <c r="A960" s="1012">
        <v>39980</v>
      </c>
      <c r="B960" s="1013">
        <v>1.9091069557222753</v>
      </c>
    </row>
    <row r="961" spans="1:2" x14ac:dyDescent="0.35">
      <c r="A961" s="1012">
        <v>39981</v>
      </c>
      <c r="B961" s="1013">
        <v>1.8345252620688746</v>
      </c>
    </row>
    <row r="962" spans="1:2" x14ac:dyDescent="0.35">
      <c r="A962" s="1012">
        <v>39982</v>
      </c>
      <c r="B962" s="1013">
        <v>1.7476287255803602</v>
      </c>
    </row>
    <row r="963" spans="1:2" x14ac:dyDescent="0.35">
      <c r="A963" s="1012">
        <v>39983</v>
      </c>
      <c r="B963" s="1013">
        <v>1.7719038538178209</v>
      </c>
    </row>
    <row r="964" spans="1:2" x14ac:dyDescent="0.35">
      <c r="A964" s="1012">
        <v>39986</v>
      </c>
      <c r="B964" s="1013">
        <v>1.7274400683539066</v>
      </c>
    </row>
    <row r="965" spans="1:2" x14ac:dyDescent="0.35">
      <c r="A965" s="1012">
        <v>39987</v>
      </c>
      <c r="B965" s="1013">
        <v>1.6468416281267626</v>
      </c>
    </row>
    <row r="966" spans="1:2" x14ac:dyDescent="0.35">
      <c r="A966" s="1012">
        <v>39988</v>
      </c>
      <c r="B966" s="1013">
        <v>1.7081105951498106</v>
      </c>
    </row>
    <row r="967" spans="1:2" x14ac:dyDescent="0.35">
      <c r="A967" s="1012">
        <v>39989</v>
      </c>
      <c r="B967" s="1013">
        <v>1.7508551788194915</v>
      </c>
    </row>
    <row r="968" spans="1:2" x14ac:dyDescent="0.35">
      <c r="A968" s="1012">
        <v>39990</v>
      </c>
      <c r="B968" s="1013">
        <v>1.7257807047681548</v>
      </c>
    </row>
    <row r="969" spans="1:2" x14ac:dyDescent="0.35">
      <c r="A969" s="1012">
        <v>39993</v>
      </c>
      <c r="B969" s="1013">
        <v>1.730697337917712</v>
      </c>
    </row>
    <row r="970" spans="1:2" x14ac:dyDescent="0.35">
      <c r="A970" s="1012">
        <v>39994</v>
      </c>
      <c r="B970" s="1013">
        <v>1.6502334749458967</v>
      </c>
    </row>
    <row r="971" spans="1:2" x14ac:dyDescent="0.35">
      <c r="A971" s="1012">
        <v>39995</v>
      </c>
      <c r="B971" s="1013">
        <v>1.6498376503234402</v>
      </c>
    </row>
    <row r="972" spans="1:2" x14ac:dyDescent="0.35">
      <c r="A972" s="1012">
        <v>39996</v>
      </c>
      <c r="B972" s="1013">
        <v>1.6802151874719757</v>
      </c>
    </row>
    <row r="973" spans="1:2" x14ac:dyDescent="0.35">
      <c r="A973" s="1012">
        <v>39997</v>
      </c>
      <c r="B973" s="1013">
        <v>1.6675060469947998</v>
      </c>
    </row>
    <row r="974" spans="1:2" x14ac:dyDescent="0.35">
      <c r="A974" s="1012">
        <v>40000</v>
      </c>
      <c r="B974" s="1013">
        <v>1.7032000002379888</v>
      </c>
    </row>
    <row r="975" spans="1:2" x14ac:dyDescent="0.35">
      <c r="A975" s="1012">
        <v>40001</v>
      </c>
      <c r="B975" s="1013">
        <v>1.7396756406577221</v>
      </c>
    </row>
    <row r="976" spans="1:2" x14ac:dyDescent="0.35">
      <c r="A976" s="1012">
        <v>40002</v>
      </c>
      <c r="B976" s="1013">
        <v>1.7208216866868233</v>
      </c>
    </row>
    <row r="977" spans="1:2" x14ac:dyDescent="0.35">
      <c r="A977" s="1012">
        <v>40003</v>
      </c>
      <c r="B977" s="1013">
        <v>1.8187188482351098</v>
      </c>
    </row>
    <row r="978" spans="1:2" x14ac:dyDescent="0.35">
      <c r="A978" s="1012">
        <v>40004</v>
      </c>
      <c r="B978" s="1013">
        <v>1.8735691989367658</v>
      </c>
    </row>
    <row r="979" spans="1:2" x14ac:dyDescent="0.35">
      <c r="A979" s="1012">
        <v>40007</v>
      </c>
      <c r="B979" s="1013">
        <v>1.9765784049330097</v>
      </c>
    </row>
    <row r="980" spans="1:2" x14ac:dyDescent="0.35">
      <c r="A980" s="1012">
        <v>40008</v>
      </c>
      <c r="B980" s="1013">
        <v>1.957694853639576</v>
      </c>
    </row>
    <row r="981" spans="1:2" x14ac:dyDescent="0.35">
      <c r="A981" s="1012">
        <v>40009</v>
      </c>
      <c r="B981" s="1013">
        <v>1.9204138087084981</v>
      </c>
    </row>
    <row r="982" spans="1:2" x14ac:dyDescent="0.35">
      <c r="A982" s="1012">
        <v>40010</v>
      </c>
      <c r="B982" s="1013">
        <v>1.9015527070792078</v>
      </c>
    </row>
    <row r="983" spans="1:2" x14ac:dyDescent="0.35">
      <c r="A983" s="1012">
        <v>40011</v>
      </c>
      <c r="B983" s="1013">
        <v>1.9685566731794866</v>
      </c>
    </row>
    <row r="984" spans="1:2" x14ac:dyDescent="0.35">
      <c r="A984" s="1012">
        <v>40014</v>
      </c>
      <c r="B984" s="1013">
        <v>1.9855311142059424</v>
      </c>
    </row>
    <row r="985" spans="1:2" x14ac:dyDescent="0.35">
      <c r="A985" s="1012">
        <v>40015</v>
      </c>
      <c r="B985" s="1013">
        <v>1.9973105780499092</v>
      </c>
    </row>
    <row r="986" spans="1:2" x14ac:dyDescent="0.35">
      <c r="A986" s="1012">
        <v>40016</v>
      </c>
      <c r="B986" s="1013">
        <v>2.0825875078895733</v>
      </c>
    </row>
    <row r="987" spans="1:2" x14ac:dyDescent="0.35">
      <c r="A987" s="1012">
        <v>40017</v>
      </c>
      <c r="B987" s="1013">
        <v>2.2719282735129607</v>
      </c>
    </row>
    <row r="988" spans="1:2" x14ac:dyDescent="0.35">
      <c r="A988" s="1012">
        <v>40018</v>
      </c>
      <c r="B988" s="1013">
        <v>2.4305670315528087</v>
      </c>
    </row>
    <row r="989" spans="1:2" x14ac:dyDescent="0.35">
      <c r="A989" s="1012">
        <v>40021</v>
      </c>
      <c r="B989" s="1013">
        <v>2.447182756167622</v>
      </c>
    </row>
    <row r="990" spans="1:2" x14ac:dyDescent="0.35">
      <c r="A990" s="1012">
        <v>40022</v>
      </c>
      <c r="B990" s="1013">
        <v>2.5505800334037403</v>
      </c>
    </row>
    <row r="991" spans="1:2" x14ac:dyDescent="0.35">
      <c r="A991" s="1012">
        <v>40023</v>
      </c>
      <c r="B991" s="1013">
        <v>2.3114857121289298</v>
      </c>
    </row>
    <row r="992" spans="1:2" x14ac:dyDescent="0.35">
      <c r="A992" s="1012">
        <v>40024</v>
      </c>
      <c r="B992" s="1013">
        <v>2.3781845440586298</v>
      </c>
    </row>
    <row r="993" spans="1:2" x14ac:dyDescent="0.35">
      <c r="A993" s="1012">
        <v>40025</v>
      </c>
      <c r="B993" s="1013">
        <v>2.4876365109896494</v>
      </c>
    </row>
    <row r="994" spans="1:2" x14ac:dyDescent="0.35">
      <c r="A994" s="1012">
        <v>40028</v>
      </c>
      <c r="B994" s="1013">
        <v>2.5073242435582053</v>
      </c>
    </row>
    <row r="995" spans="1:2" x14ac:dyDescent="0.35">
      <c r="A995" s="1012">
        <v>40029</v>
      </c>
      <c r="B995" s="1013">
        <v>2.4036232209459998</v>
      </c>
    </row>
    <row r="996" spans="1:2" x14ac:dyDescent="0.35">
      <c r="A996" s="1012">
        <v>40030</v>
      </c>
      <c r="B996" s="1013">
        <v>2.3772814990317679</v>
      </c>
    </row>
    <row r="997" spans="1:2" x14ac:dyDescent="0.35">
      <c r="A997" s="1012">
        <v>40031</v>
      </c>
      <c r="B997" s="1013">
        <v>2.3831571316774127</v>
      </c>
    </row>
    <row r="998" spans="1:2" x14ac:dyDescent="0.35">
      <c r="A998" s="1012">
        <v>40032</v>
      </c>
      <c r="B998" s="1013">
        <v>2.2924384622225369</v>
      </c>
    </row>
    <row r="999" spans="1:2" x14ac:dyDescent="0.35">
      <c r="A999" s="1012">
        <v>40035</v>
      </c>
      <c r="B999" s="1013">
        <v>2.1942818838385976</v>
      </c>
    </row>
    <row r="1000" spans="1:2" x14ac:dyDescent="0.35">
      <c r="A1000" s="1012">
        <v>40036</v>
      </c>
      <c r="B1000" s="1013">
        <v>2.1229942155928478</v>
      </c>
    </row>
    <row r="1001" spans="1:2" x14ac:dyDescent="0.35">
      <c r="A1001" s="1012">
        <v>40037</v>
      </c>
      <c r="B1001" s="1013">
        <v>2.0646039805581964</v>
      </c>
    </row>
    <row r="1002" spans="1:2" x14ac:dyDescent="0.35">
      <c r="A1002" s="1012">
        <v>40038</v>
      </c>
      <c r="B1002" s="1013">
        <v>2.1412769540973744</v>
      </c>
    </row>
    <row r="1003" spans="1:2" x14ac:dyDescent="0.35">
      <c r="A1003" s="1012">
        <v>40039</v>
      </c>
      <c r="B1003" s="1013">
        <v>2.1986273256339484</v>
      </c>
    </row>
    <row r="1004" spans="1:2" x14ac:dyDescent="0.35">
      <c r="A1004" s="1012">
        <v>40042</v>
      </c>
      <c r="B1004" s="1013">
        <v>2.126397110578675</v>
      </c>
    </row>
    <row r="1005" spans="1:2" x14ac:dyDescent="0.35">
      <c r="A1005" s="1012">
        <v>40043</v>
      </c>
      <c r="B1005" s="1013">
        <v>2.2928814433106637</v>
      </c>
    </row>
    <row r="1006" spans="1:2" x14ac:dyDescent="0.35">
      <c r="A1006" s="1012">
        <v>40044</v>
      </c>
      <c r="B1006" s="1013">
        <v>2.2217056030187949</v>
      </c>
    </row>
    <row r="1007" spans="1:2" x14ac:dyDescent="0.35">
      <c r="A1007" s="1012">
        <v>40045</v>
      </c>
      <c r="B1007" s="1013">
        <v>2.2725357608796073</v>
      </c>
    </row>
    <row r="1008" spans="1:2" x14ac:dyDescent="0.35">
      <c r="A1008" s="1012">
        <v>40046</v>
      </c>
      <c r="B1008" s="1013">
        <v>2.3361779719068574</v>
      </c>
    </row>
    <row r="1009" spans="1:2" x14ac:dyDescent="0.35">
      <c r="A1009" s="1012">
        <v>40049</v>
      </c>
      <c r="B1009" s="1013">
        <v>2.2960373294685454</v>
      </c>
    </row>
    <row r="1010" spans="1:2" x14ac:dyDescent="0.35">
      <c r="A1010" s="1012">
        <v>40050</v>
      </c>
      <c r="B1010" s="1013">
        <v>2.2377858292120818</v>
      </c>
    </row>
    <row r="1011" spans="1:2" x14ac:dyDescent="0.35">
      <c r="A1011" s="1012">
        <v>40051</v>
      </c>
      <c r="B1011" s="1013">
        <v>2.1987933315160193</v>
      </c>
    </row>
    <row r="1012" spans="1:2" x14ac:dyDescent="0.35">
      <c r="A1012" s="1012">
        <v>40052</v>
      </c>
      <c r="B1012" s="1013">
        <v>2.1213655311396891</v>
      </c>
    </row>
    <row r="1013" spans="1:2" x14ac:dyDescent="0.35">
      <c r="A1013" s="1012">
        <v>40053</v>
      </c>
      <c r="B1013" s="1013">
        <v>2.0824190236431619</v>
      </c>
    </row>
    <row r="1014" spans="1:2" x14ac:dyDescent="0.35">
      <c r="A1014" s="1012">
        <v>40056</v>
      </c>
      <c r="B1014" s="1013">
        <v>2.0233160757850679</v>
      </c>
    </row>
    <row r="1015" spans="1:2" x14ac:dyDescent="0.35">
      <c r="A1015" s="1012">
        <v>40057</v>
      </c>
      <c r="B1015" s="1013">
        <v>2.048443417846959</v>
      </c>
    </row>
    <row r="1016" spans="1:2" x14ac:dyDescent="0.35">
      <c r="A1016" s="1012">
        <v>40058</v>
      </c>
      <c r="B1016" s="1013">
        <v>1.9519612963203612</v>
      </c>
    </row>
    <row r="1017" spans="1:2" x14ac:dyDescent="0.35">
      <c r="A1017" s="1012">
        <v>40059</v>
      </c>
      <c r="B1017" s="1013">
        <v>2.0346788740816382</v>
      </c>
    </row>
    <row r="1018" spans="1:2" x14ac:dyDescent="0.35">
      <c r="A1018" s="1012">
        <v>40060</v>
      </c>
      <c r="B1018" s="1013">
        <v>2.1493416302223856</v>
      </c>
    </row>
    <row r="1019" spans="1:2" x14ac:dyDescent="0.35">
      <c r="A1019" s="1012">
        <v>40063</v>
      </c>
      <c r="B1019" s="1013">
        <v>2.2373123226304155</v>
      </c>
    </row>
    <row r="1020" spans="1:2" x14ac:dyDescent="0.35">
      <c r="A1020" s="1012">
        <v>40064</v>
      </c>
      <c r="B1020" s="1013">
        <v>2.2048303552765751</v>
      </c>
    </row>
    <row r="1021" spans="1:2" x14ac:dyDescent="0.35">
      <c r="A1021" s="1012">
        <v>40065</v>
      </c>
      <c r="B1021" s="1013">
        <v>2.1723637128488709</v>
      </c>
    </row>
    <row r="1022" spans="1:2" x14ac:dyDescent="0.35">
      <c r="A1022" s="1012">
        <v>40066</v>
      </c>
      <c r="B1022" s="1013">
        <v>2.1526879808298571</v>
      </c>
    </row>
    <row r="1023" spans="1:2" x14ac:dyDescent="0.35">
      <c r="A1023" s="1012">
        <v>40067</v>
      </c>
      <c r="B1023" s="1013">
        <v>2.1713392793928592</v>
      </c>
    </row>
    <row r="1024" spans="1:2" x14ac:dyDescent="0.35">
      <c r="A1024" s="1012">
        <v>40070</v>
      </c>
      <c r="B1024" s="1013">
        <v>2.1889497728347389</v>
      </c>
    </row>
    <row r="1025" spans="1:2" x14ac:dyDescent="0.35">
      <c r="A1025" s="1012">
        <v>40071</v>
      </c>
      <c r="B1025" s="1013">
        <v>2.192302901632035</v>
      </c>
    </row>
    <row r="1026" spans="1:2" x14ac:dyDescent="0.35">
      <c r="A1026" s="1012">
        <v>40072</v>
      </c>
      <c r="B1026" s="1013">
        <v>2.1402151429570933</v>
      </c>
    </row>
    <row r="1027" spans="1:2" x14ac:dyDescent="0.35">
      <c r="A1027" s="1012">
        <v>40073</v>
      </c>
      <c r="B1027" s="1013">
        <v>2.0817069995791795</v>
      </c>
    </row>
    <row r="1028" spans="1:2" x14ac:dyDescent="0.35">
      <c r="A1028" s="1012">
        <v>40074</v>
      </c>
      <c r="B1028" s="1013">
        <v>2.1263207406849323</v>
      </c>
    </row>
    <row r="1029" spans="1:2" x14ac:dyDescent="0.35">
      <c r="A1029" s="1012">
        <v>40077</v>
      </c>
      <c r="B1029" s="1013">
        <v>2.0861871031985109</v>
      </c>
    </row>
    <row r="1030" spans="1:2" x14ac:dyDescent="0.35">
      <c r="A1030" s="1012">
        <v>40078</v>
      </c>
      <c r="B1030" s="1013">
        <v>2.0792591435651411</v>
      </c>
    </row>
    <row r="1031" spans="1:2" x14ac:dyDescent="0.35">
      <c r="A1031" s="1012">
        <v>40079</v>
      </c>
      <c r="B1031" s="1013">
        <v>2.0723344417697467</v>
      </c>
    </row>
    <row r="1032" spans="1:2" x14ac:dyDescent="0.35">
      <c r="A1032" s="1012">
        <v>40080</v>
      </c>
      <c r="B1032" s="1013">
        <v>1.9882012947479832</v>
      </c>
    </row>
    <row r="1033" spans="1:2" x14ac:dyDescent="0.35">
      <c r="A1033" s="1012">
        <v>40081</v>
      </c>
      <c r="B1033" s="1013">
        <v>2.0327636174739987</v>
      </c>
    </row>
    <row r="1034" spans="1:2" x14ac:dyDescent="0.35">
      <c r="A1034" s="1012">
        <v>40084</v>
      </c>
      <c r="B1034" s="1013">
        <v>1.9799053431185021</v>
      </c>
    </row>
    <row r="1035" spans="1:2" x14ac:dyDescent="0.35">
      <c r="A1035" s="1012">
        <v>40085</v>
      </c>
      <c r="B1035" s="1013">
        <v>1.9344531950759352</v>
      </c>
    </row>
    <row r="1036" spans="1:2" x14ac:dyDescent="0.35">
      <c r="A1036" s="1012">
        <v>40086</v>
      </c>
      <c r="B1036" s="1013">
        <v>1.9468496014402898</v>
      </c>
    </row>
    <row r="1037" spans="1:2" x14ac:dyDescent="0.35">
      <c r="A1037" s="1012">
        <v>40095</v>
      </c>
      <c r="B1037" s="1013">
        <v>1.9235102067550736</v>
      </c>
    </row>
    <row r="1038" spans="1:2" x14ac:dyDescent="0.35">
      <c r="A1038" s="1012">
        <v>40098</v>
      </c>
      <c r="B1038" s="1013">
        <v>1.9477882523602494</v>
      </c>
    </row>
    <row r="1039" spans="1:2" x14ac:dyDescent="0.35">
      <c r="A1039" s="1012">
        <v>40099</v>
      </c>
      <c r="B1039" s="1013">
        <v>1.9409267282955152</v>
      </c>
    </row>
    <row r="1040" spans="1:2" x14ac:dyDescent="0.35">
      <c r="A1040" s="1012">
        <v>40100</v>
      </c>
      <c r="B1040" s="1013">
        <v>2.100577616263684</v>
      </c>
    </row>
    <row r="1041" spans="1:2" x14ac:dyDescent="0.35">
      <c r="A1041" s="1012">
        <v>40101</v>
      </c>
      <c r="B1041" s="1013">
        <v>2.0424619466310925</v>
      </c>
    </row>
    <row r="1042" spans="1:2" x14ac:dyDescent="0.35">
      <c r="A1042" s="1012">
        <v>40102</v>
      </c>
      <c r="B1042" s="1013">
        <v>2.0035770727205793</v>
      </c>
    </row>
    <row r="1043" spans="1:2" x14ac:dyDescent="0.35">
      <c r="A1043" s="1012">
        <v>40105</v>
      </c>
      <c r="B1043" s="1013">
        <v>2.0341559864491168</v>
      </c>
    </row>
    <row r="1044" spans="1:2" x14ac:dyDescent="0.35">
      <c r="A1044" s="1012">
        <v>40106</v>
      </c>
      <c r="B1044" s="1013">
        <v>2.0784472846554349</v>
      </c>
    </row>
    <row r="1045" spans="1:2" x14ac:dyDescent="0.35">
      <c r="A1045" s="1012">
        <v>40107</v>
      </c>
      <c r="B1045" s="1013">
        <v>2.2314112773256047</v>
      </c>
    </row>
    <row r="1046" spans="1:2" x14ac:dyDescent="0.35">
      <c r="A1046" s="1012">
        <v>40108</v>
      </c>
      <c r="B1046" s="1013">
        <v>2.1861445273314182</v>
      </c>
    </row>
    <row r="1047" spans="1:2" x14ac:dyDescent="0.35">
      <c r="A1047" s="1012">
        <v>40109</v>
      </c>
      <c r="B1047" s="1013">
        <v>2.153680400759296</v>
      </c>
    </row>
    <row r="1048" spans="1:2" x14ac:dyDescent="0.35">
      <c r="A1048" s="1012">
        <v>40112</v>
      </c>
      <c r="B1048" s="1013">
        <v>2.1521729610737959</v>
      </c>
    </row>
    <row r="1049" spans="1:2" x14ac:dyDescent="0.35">
      <c r="A1049" s="1012">
        <v>40113</v>
      </c>
      <c r="B1049" s="1013">
        <v>2.0942079276042143</v>
      </c>
    </row>
    <row r="1050" spans="1:2" x14ac:dyDescent="0.35">
      <c r="A1050" s="1012">
        <v>40114</v>
      </c>
      <c r="B1050" s="1013">
        <v>2.0681863859912863</v>
      </c>
    </row>
    <row r="1051" spans="1:2" x14ac:dyDescent="0.35">
      <c r="A1051" s="1012">
        <v>40115</v>
      </c>
      <c r="B1051" s="1013">
        <v>2.0166497659441576</v>
      </c>
    </row>
    <row r="1052" spans="1:2" x14ac:dyDescent="0.35">
      <c r="A1052" s="1012">
        <v>40116</v>
      </c>
      <c r="B1052" s="1013">
        <v>2.0225600111518771</v>
      </c>
    </row>
    <row r="1053" spans="1:2" x14ac:dyDescent="0.35">
      <c r="A1053" s="1012">
        <v>40119</v>
      </c>
      <c r="B1053" s="1013">
        <v>1.9956432278622358</v>
      </c>
    </row>
    <row r="1054" spans="1:2" x14ac:dyDescent="0.35">
      <c r="A1054" s="1012">
        <v>40120</v>
      </c>
      <c r="B1054" s="1013">
        <v>1.9888041152389893</v>
      </c>
    </row>
    <row r="1055" spans="1:2" x14ac:dyDescent="0.35">
      <c r="A1055" s="1012">
        <v>40121</v>
      </c>
      <c r="B1055" s="1013">
        <v>2.0138326275344731</v>
      </c>
    </row>
    <row r="1056" spans="1:2" x14ac:dyDescent="0.35">
      <c r="A1056" s="1012">
        <v>40122</v>
      </c>
      <c r="B1056" s="1013">
        <v>2.0707065113523031</v>
      </c>
    </row>
    <row r="1057" spans="1:2" x14ac:dyDescent="0.35">
      <c r="A1057" s="1012">
        <v>40123</v>
      </c>
      <c r="B1057" s="1013">
        <v>2.019265251567703</v>
      </c>
    </row>
    <row r="1058" spans="1:2" x14ac:dyDescent="0.35">
      <c r="A1058" s="1012">
        <v>40126</v>
      </c>
      <c r="B1058" s="1013">
        <v>2.0624148408071585</v>
      </c>
    </row>
    <row r="1059" spans="1:2" x14ac:dyDescent="0.35">
      <c r="A1059" s="1012">
        <v>40127</v>
      </c>
      <c r="B1059" s="1013">
        <v>2.0110233488909492</v>
      </c>
    </row>
    <row r="1060" spans="1:2" x14ac:dyDescent="0.35">
      <c r="A1060" s="1012">
        <v>40128</v>
      </c>
      <c r="B1060" s="1013">
        <v>2.0232809349452543</v>
      </c>
    </row>
    <row r="1061" spans="1:2" x14ac:dyDescent="0.35">
      <c r="A1061" s="1012">
        <v>40129</v>
      </c>
      <c r="B1061" s="1013">
        <v>2.0864211445051213</v>
      </c>
    </row>
    <row r="1062" spans="1:2" x14ac:dyDescent="0.35">
      <c r="A1062" s="1012">
        <v>40130</v>
      </c>
      <c r="B1062" s="1013">
        <v>2.2004085119035803</v>
      </c>
    </row>
    <row r="1063" spans="1:2" x14ac:dyDescent="0.35">
      <c r="A1063" s="1012">
        <v>40133</v>
      </c>
      <c r="B1063" s="1013">
        <v>2.3196233938790232</v>
      </c>
    </row>
    <row r="1064" spans="1:2" x14ac:dyDescent="0.35">
      <c r="A1064" s="1012">
        <v>40134</v>
      </c>
      <c r="B1064" s="1013">
        <v>2.185658155179746</v>
      </c>
    </row>
    <row r="1065" spans="1:2" x14ac:dyDescent="0.35">
      <c r="A1065" s="1012">
        <v>40135</v>
      </c>
      <c r="B1065" s="1013">
        <v>2.1597422044949641</v>
      </c>
    </row>
    <row r="1066" spans="1:2" x14ac:dyDescent="0.35">
      <c r="A1066" s="1012">
        <v>40136</v>
      </c>
      <c r="B1066" s="1013">
        <v>2.0893833153310375</v>
      </c>
    </row>
    <row r="1067" spans="1:2" x14ac:dyDescent="0.35">
      <c r="A1067" s="1012">
        <v>40137</v>
      </c>
      <c r="B1067" s="1013">
        <v>2.0952478996683053</v>
      </c>
    </row>
    <row r="1068" spans="1:2" x14ac:dyDescent="0.35">
      <c r="A1068" s="1012">
        <v>40140</v>
      </c>
      <c r="B1068" s="1013">
        <v>2.1572390857827251</v>
      </c>
    </row>
    <row r="1069" spans="1:2" x14ac:dyDescent="0.35">
      <c r="A1069" s="1012">
        <v>40141</v>
      </c>
      <c r="B1069" s="1013">
        <v>2.2265160132564636</v>
      </c>
    </row>
    <row r="1070" spans="1:2" x14ac:dyDescent="0.35">
      <c r="A1070" s="1012">
        <v>40142</v>
      </c>
      <c r="B1070" s="1013">
        <v>2.2957608391175239</v>
      </c>
    </row>
    <row r="1071" spans="1:2" x14ac:dyDescent="0.35">
      <c r="A1071" s="1012">
        <v>40143</v>
      </c>
      <c r="B1071" s="1013">
        <v>2.1684208211806677</v>
      </c>
    </row>
    <row r="1072" spans="1:2" x14ac:dyDescent="0.35">
      <c r="A1072" s="1012">
        <v>40144</v>
      </c>
      <c r="B1072" s="1013">
        <v>2.0157840091598827</v>
      </c>
    </row>
    <row r="1073" spans="1:2" x14ac:dyDescent="0.35">
      <c r="A1073" s="1012">
        <v>40147</v>
      </c>
      <c r="B1073" s="1013">
        <v>2.1030681114180205</v>
      </c>
    </row>
    <row r="1074" spans="1:2" x14ac:dyDescent="0.35">
      <c r="A1074" s="1012">
        <v>40148</v>
      </c>
      <c r="B1074" s="1013">
        <v>2.1849115264747416</v>
      </c>
    </row>
    <row r="1075" spans="1:2" x14ac:dyDescent="0.35">
      <c r="A1075" s="1012">
        <v>40149</v>
      </c>
      <c r="B1075" s="1013">
        <v>2.273048690205429</v>
      </c>
    </row>
    <row r="1076" spans="1:2" x14ac:dyDescent="0.35">
      <c r="A1076" s="1012">
        <v>40150</v>
      </c>
      <c r="B1076" s="1013">
        <v>2.2851833161267612</v>
      </c>
    </row>
    <row r="1077" spans="1:2" x14ac:dyDescent="0.35">
      <c r="A1077" s="1012">
        <v>40151</v>
      </c>
      <c r="B1077" s="1013">
        <v>2.2593402261523221</v>
      </c>
    </row>
    <row r="1078" spans="1:2" x14ac:dyDescent="0.35">
      <c r="A1078" s="1012">
        <v>40154</v>
      </c>
      <c r="B1078" s="1013">
        <v>2.2261526901044477</v>
      </c>
    </row>
    <row r="1079" spans="1:2" x14ac:dyDescent="0.35">
      <c r="A1079" s="1012">
        <v>40155</v>
      </c>
      <c r="B1079" s="1013">
        <v>2.2698983162588302</v>
      </c>
    </row>
    <row r="1080" spans="1:2" x14ac:dyDescent="0.35">
      <c r="A1080" s="1012">
        <v>40156</v>
      </c>
      <c r="B1080" s="1013">
        <v>2.2188030920987014</v>
      </c>
    </row>
    <row r="1081" spans="1:2" x14ac:dyDescent="0.35">
      <c r="A1081" s="1012">
        <v>40157</v>
      </c>
      <c r="B1081" s="1013">
        <v>2.1487717120948324</v>
      </c>
    </row>
    <row r="1082" spans="1:2" x14ac:dyDescent="0.35">
      <c r="A1082" s="1012">
        <v>40158</v>
      </c>
      <c r="B1082" s="1013">
        <v>2.1482757008284654</v>
      </c>
    </row>
    <row r="1083" spans="1:2" x14ac:dyDescent="0.35">
      <c r="A1083" s="1012">
        <v>40161</v>
      </c>
      <c r="B1083" s="1013">
        <v>2.1531031254503028</v>
      </c>
    </row>
    <row r="1084" spans="1:2" x14ac:dyDescent="0.35">
      <c r="A1084" s="1012">
        <v>40162</v>
      </c>
      <c r="B1084" s="1013">
        <v>2.1084181681086829</v>
      </c>
    </row>
    <row r="1085" spans="1:2" x14ac:dyDescent="0.35">
      <c r="A1085" s="1012">
        <v>40163</v>
      </c>
      <c r="B1085" s="1013">
        <v>2.0574426429184487</v>
      </c>
    </row>
    <row r="1086" spans="1:2" x14ac:dyDescent="0.35">
      <c r="A1086" s="1012">
        <v>40164</v>
      </c>
      <c r="B1086" s="1013">
        <v>2.0443489325945534</v>
      </c>
    </row>
    <row r="1087" spans="1:2" x14ac:dyDescent="0.35">
      <c r="A1087" s="1012">
        <v>40165</v>
      </c>
      <c r="B1087" s="1013">
        <v>2.075419110910051</v>
      </c>
    </row>
    <row r="1088" spans="1:2" x14ac:dyDescent="0.35">
      <c r="A1088" s="1012">
        <v>40168</v>
      </c>
      <c r="B1088" s="1013">
        <v>1.9920344017588401</v>
      </c>
    </row>
    <row r="1089" spans="1:2" x14ac:dyDescent="0.35">
      <c r="A1089" s="1012">
        <v>40169</v>
      </c>
      <c r="B1089" s="1013">
        <v>2.0293904647099219</v>
      </c>
    </row>
    <row r="1090" spans="1:2" x14ac:dyDescent="0.35">
      <c r="A1090" s="1012">
        <v>40170</v>
      </c>
      <c r="B1090" s="1013">
        <v>2.0352243088819923</v>
      </c>
    </row>
    <row r="1091" spans="1:2" x14ac:dyDescent="0.35">
      <c r="A1091" s="1012">
        <v>40171</v>
      </c>
      <c r="B1091" s="1013">
        <v>2.0599541295426405</v>
      </c>
    </row>
    <row r="1092" spans="1:2" x14ac:dyDescent="0.35">
      <c r="A1092" s="1012">
        <v>40172</v>
      </c>
      <c r="B1092" s="1013">
        <v>2.0594801522106763</v>
      </c>
    </row>
    <row r="1093" spans="1:2" x14ac:dyDescent="0.35">
      <c r="A1093" s="1012">
        <v>40175</v>
      </c>
      <c r="B1093" s="1013">
        <v>2.0391782479347733</v>
      </c>
    </row>
    <row r="1094" spans="1:2" x14ac:dyDescent="0.35">
      <c r="A1094" s="1012">
        <v>40176</v>
      </c>
      <c r="B1094" s="1013">
        <v>2.12680186742717</v>
      </c>
    </row>
    <row r="1095" spans="1:2" x14ac:dyDescent="0.35">
      <c r="A1095" s="1012">
        <v>40177</v>
      </c>
      <c r="B1095" s="1013">
        <v>2.0948587359817989</v>
      </c>
    </row>
    <row r="1096" spans="1:2" x14ac:dyDescent="0.35">
      <c r="A1096" s="1012">
        <v>40178</v>
      </c>
      <c r="B1096" s="1013">
        <v>2.0755091271329023</v>
      </c>
    </row>
    <row r="1097" spans="1:2" x14ac:dyDescent="0.35">
      <c r="A1097" s="1012">
        <v>40182</v>
      </c>
      <c r="B1097" s="1013">
        <v>2.0987786765088052</v>
      </c>
    </row>
    <row r="1098" spans="1:2" x14ac:dyDescent="0.35">
      <c r="A1098" s="1012">
        <v>40183</v>
      </c>
      <c r="B1098" s="1013">
        <v>2.0816939672300463</v>
      </c>
    </row>
    <row r="1099" spans="1:2" x14ac:dyDescent="0.35">
      <c r="A1099" s="1012">
        <v>40184</v>
      </c>
      <c r="B1099" s="1013">
        <v>2.0895600151797291</v>
      </c>
    </row>
    <row r="1100" spans="1:2" x14ac:dyDescent="0.35">
      <c r="A1100" s="1012">
        <v>40185</v>
      </c>
      <c r="B1100" s="1013">
        <v>2.0539544841724831</v>
      </c>
    </row>
    <row r="1101" spans="1:2" x14ac:dyDescent="0.35">
      <c r="A1101" s="1012">
        <v>40186</v>
      </c>
      <c r="B1101" s="1013">
        <v>2.0185046627223171</v>
      </c>
    </row>
    <row r="1102" spans="1:2" x14ac:dyDescent="0.35">
      <c r="A1102" s="1012">
        <v>40189</v>
      </c>
      <c r="B1102" s="1013">
        <v>1.980744492611324</v>
      </c>
    </row>
    <row r="1103" spans="1:2" x14ac:dyDescent="0.35">
      <c r="A1103" s="1012">
        <v>40190</v>
      </c>
      <c r="B1103" s="1013">
        <v>1.9825890112865139</v>
      </c>
    </row>
    <row r="1104" spans="1:2" x14ac:dyDescent="0.35">
      <c r="A1104" s="1012">
        <v>40191</v>
      </c>
      <c r="B1104" s="1013">
        <v>1.8986787677190202</v>
      </c>
    </row>
    <row r="1105" spans="1:2" x14ac:dyDescent="0.35">
      <c r="A1105" s="1012">
        <v>40192</v>
      </c>
      <c r="B1105" s="1013">
        <v>1.9618079576675691</v>
      </c>
    </row>
    <row r="1106" spans="1:2" x14ac:dyDescent="0.35">
      <c r="A1106" s="1012">
        <v>40193</v>
      </c>
      <c r="B1106" s="1013">
        <v>1.8844022810139753</v>
      </c>
    </row>
    <row r="1107" spans="1:2" x14ac:dyDescent="0.35">
      <c r="A1107" s="1012">
        <v>40196</v>
      </c>
      <c r="B1107" s="1013">
        <v>1.8844240117094964</v>
      </c>
    </row>
    <row r="1108" spans="1:2" x14ac:dyDescent="0.35">
      <c r="A1108" s="1012">
        <v>40197</v>
      </c>
      <c r="B1108" s="1013">
        <v>1.8924929311336376</v>
      </c>
    </row>
    <row r="1109" spans="1:2" x14ac:dyDescent="0.35">
      <c r="A1109" s="1012">
        <v>40198</v>
      </c>
      <c r="B1109" s="1013">
        <v>1.894494045380102</v>
      </c>
    </row>
    <row r="1110" spans="1:2" x14ac:dyDescent="0.35">
      <c r="A1110" s="1012">
        <v>40199</v>
      </c>
      <c r="B1110" s="1013">
        <v>1.8121983547016349</v>
      </c>
    </row>
    <row r="1111" spans="1:2" x14ac:dyDescent="0.35">
      <c r="A1111" s="1012">
        <v>40200</v>
      </c>
      <c r="B1111" s="1013">
        <v>1.7482753252817105</v>
      </c>
    </row>
    <row r="1112" spans="1:2" x14ac:dyDescent="0.35">
      <c r="A1112" s="1012">
        <v>40203</v>
      </c>
      <c r="B1112" s="1013">
        <v>1.6775198363290029</v>
      </c>
    </row>
    <row r="1113" spans="1:2" x14ac:dyDescent="0.35">
      <c r="A1113" s="1012">
        <v>40204</v>
      </c>
      <c r="B1113" s="1013">
        <v>1.6739906870275691</v>
      </c>
    </row>
    <row r="1114" spans="1:2" x14ac:dyDescent="0.35">
      <c r="A1114" s="1012">
        <v>40205</v>
      </c>
      <c r="B1114" s="1013">
        <v>1.6645316000151946</v>
      </c>
    </row>
    <row r="1115" spans="1:2" x14ac:dyDescent="0.35">
      <c r="A1115" s="1012">
        <v>40206</v>
      </c>
      <c r="B1115" s="1013">
        <v>1.6432475429090552</v>
      </c>
    </row>
    <row r="1116" spans="1:2" x14ac:dyDescent="0.35">
      <c r="A1116" s="1012">
        <v>40207</v>
      </c>
      <c r="B1116" s="1013">
        <v>1.6042927798363527</v>
      </c>
    </row>
    <row r="1117" spans="1:2" x14ac:dyDescent="0.35">
      <c r="A1117" s="1012">
        <v>40210</v>
      </c>
      <c r="B1117" s="1013">
        <v>1.5766447027384158</v>
      </c>
    </row>
    <row r="1118" spans="1:2" x14ac:dyDescent="0.35">
      <c r="A1118" s="1012">
        <v>40211</v>
      </c>
      <c r="B1118" s="1013">
        <v>1.5851175227551066</v>
      </c>
    </row>
    <row r="1119" spans="1:2" x14ac:dyDescent="0.35">
      <c r="A1119" s="1012">
        <v>40212</v>
      </c>
      <c r="B1119" s="1013">
        <v>1.6111312601597971</v>
      </c>
    </row>
    <row r="1120" spans="1:2" x14ac:dyDescent="0.35">
      <c r="A1120" s="1012">
        <v>40213</v>
      </c>
      <c r="B1120" s="1013">
        <v>1.5551856977777718</v>
      </c>
    </row>
    <row r="1121" spans="1:2" x14ac:dyDescent="0.35">
      <c r="A1121" s="1012">
        <v>40214</v>
      </c>
      <c r="B1121" s="1013">
        <v>1.5344777782296533</v>
      </c>
    </row>
    <row r="1122" spans="1:2" x14ac:dyDescent="0.35">
      <c r="A1122" s="1012">
        <v>40217</v>
      </c>
      <c r="B1122" s="1013">
        <v>1.4844602294073985</v>
      </c>
    </row>
    <row r="1123" spans="1:2" x14ac:dyDescent="0.35">
      <c r="A1123" s="1012">
        <v>40218</v>
      </c>
      <c r="B1123" s="1013">
        <v>1.4467056513733405</v>
      </c>
    </row>
    <row r="1124" spans="1:2" x14ac:dyDescent="0.35">
      <c r="A1124" s="1012">
        <v>40219</v>
      </c>
      <c r="B1124" s="1013">
        <v>1.5592556092702106</v>
      </c>
    </row>
    <row r="1125" spans="1:2" x14ac:dyDescent="0.35">
      <c r="A1125" s="1012">
        <v>40220</v>
      </c>
      <c r="B1125" s="1013">
        <v>1.5503188188950348</v>
      </c>
    </row>
    <row r="1126" spans="1:2" x14ac:dyDescent="0.35">
      <c r="A1126" s="1012">
        <v>40221</v>
      </c>
      <c r="B1126" s="1013">
        <v>1.5184120886244015</v>
      </c>
    </row>
    <row r="1127" spans="1:2" x14ac:dyDescent="0.35">
      <c r="A1127" s="1012">
        <v>40231</v>
      </c>
      <c r="B1127" s="1013">
        <v>1.3754435873522632</v>
      </c>
    </row>
    <row r="1128" spans="1:2" x14ac:dyDescent="0.35">
      <c r="A1128" s="1012">
        <v>40232</v>
      </c>
      <c r="B1128" s="1013">
        <v>1.4570988802171405</v>
      </c>
    </row>
    <row r="1129" spans="1:2" x14ac:dyDescent="0.35">
      <c r="A1129" s="1012">
        <v>40233</v>
      </c>
      <c r="B1129" s="1013">
        <v>1.4373655898224451</v>
      </c>
    </row>
    <row r="1130" spans="1:2" x14ac:dyDescent="0.35">
      <c r="A1130" s="1012">
        <v>40234</v>
      </c>
      <c r="B1130" s="1013">
        <v>1.4849535806397069</v>
      </c>
    </row>
    <row r="1131" spans="1:2" x14ac:dyDescent="0.35">
      <c r="A1131" s="1012">
        <v>40235</v>
      </c>
      <c r="B1131" s="1013">
        <v>1.5770938513011121</v>
      </c>
    </row>
    <row r="1132" spans="1:2" x14ac:dyDescent="0.35">
      <c r="A1132" s="1012">
        <v>40238</v>
      </c>
      <c r="B1132" s="1013">
        <v>1.5956026284069516</v>
      </c>
    </row>
    <row r="1133" spans="1:2" x14ac:dyDescent="0.35">
      <c r="A1133" s="1012">
        <v>40239</v>
      </c>
      <c r="B1133" s="1013">
        <v>1.6035734290178147</v>
      </c>
    </row>
    <row r="1134" spans="1:2" x14ac:dyDescent="0.35">
      <c r="A1134" s="1012">
        <v>40240</v>
      </c>
      <c r="B1134" s="1013">
        <v>1.6115130530517607</v>
      </c>
    </row>
    <row r="1135" spans="1:2" x14ac:dyDescent="0.35">
      <c r="A1135" s="1012">
        <v>40241</v>
      </c>
      <c r="B1135" s="1013">
        <v>1.5752053913776474</v>
      </c>
    </row>
    <row r="1136" spans="1:2" x14ac:dyDescent="0.35">
      <c r="A1136" s="1012">
        <v>40242</v>
      </c>
      <c r="B1136" s="1013">
        <v>1.6438483086695264</v>
      </c>
    </row>
    <row r="1137" spans="1:2" x14ac:dyDescent="0.35">
      <c r="A1137" s="1012">
        <v>40245</v>
      </c>
      <c r="B1137" s="1013">
        <v>1.705592052742678</v>
      </c>
    </row>
    <row r="1138" spans="1:2" x14ac:dyDescent="0.35">
      <c r="A1138" s="1012">
        <v>40246</v>
      </c>
      <c r="B1138" s="1013">
        <v>1.7460840993678433</v>
      </c>
    </row>
    <row r="1139" spans="1:2" x14ac:dyDescent="0.35">
      <c r="A1139" s="1012">
        <v>40247</v>
      </c>
      <c r="B1139" s="1013">
        <v>1.7208632125623755</v>
      </c>
    </row>
    <row r="1140" spans="1:2" x14ac:dyDescent="0.35">
      <c r="A1140" s="1012">
        <v>40248</v>
      </c>
      <c r="B1140" s="1013">
        <v>1.6902869153845934</v>
      </c>
    </row>
    <row r="1141" spans="1:2" x14ac:dyDescent="0.35">
      <c r="A1141" s="1012">
        <v>40249</v>
      </c>
      <c r="B1141" s="1013">
        <v>1.654386084681422</v>
      </c>
    </row>
    <row r="1142" spans="1:2" x14ac:dyDescent="0.35">
      <c r="A1142" s="1012">
        <v>40252</v>
      </c>
      <c r="B1142" s="1013">
        <v>1.67195664477785</v>
      </c>
    </row>
    <row r="1143" spans="1:2" x14ac:dyDescent="0.35">
      <c r="A1143" s="1012">
        <v>40253</v>
      </c>
      <c r="B1143" s="1013">
        <v>1.6471657384092764</v>
      </c>
    </row>
    <row r="1144" spans="1:2" x14ac:dyDescent="0.35">
      <c r="A1144" s="1012">
        <v>40254</v>
      </c>
      <c r="B1144" s="1013">
        <v>1.6602010559705676</v>
      </c>
    </row>
    <row r="1145" spans="1:2" x14ac:dyDescent="0.35">
      <c r="A1145" s="1012">
        <v>40255</v>
      </c>
      <c r="B1145" s="1013">
        <v>1.6839468849034731</v>
      </c>
    </row>
    <row r="1146" spans="1:2" x14ac:dyDescent="0.35">
      <c r="A1146" s="1012">
        <v>40256</v>
      </c>
      <c r="B1146" s="1013">
        <v>1.6592742766921804</v>
      </c>
    </row>
    <row r="1147" spans="1:2" x14ac:dyDescent="0.35">
      <c r="A1147" s="1012">
        <v>40259</v>
      </c>
      <c r="B1147" s="1013">
        <v>1.6338697184897093</v>
      </c>
    </row>
    <row r="1148" spans="1:2" x14ac:dyDescent="0.35">
      <c r="A1148" s="1012">
        <v>40260</v>
      </c>
      <c r="B1148" s="1013">
        <v>1.6521122548176488</v>
      </c>
    </row>
    <row r="1149" spans="1:2" x14ac:dyDescent="0.35">
      <c r="A1149" s="1012">
        <v>40261</v>
      </c>
      <c r="B1149" s="1013">
        <v>1.6383699552069384</v>
      </c>
    </row>
    <row r="1150" spans="1:2" x14ac:dyDescent="0.35">
      <c r="A1150" s="1012">
        <v>40262</v>
      </c>
      <c r="B1150" s="1013">
        <v>1.5928227345953494</v>
      </c>
    </row>
    <row r="1151" spans="1:2" x14ac:dyDescent="0.35">
      <c r="A1151" s="1012">
        <v>40263</v>
      </c>
      <c r="B1151" s="1013">
        <v>1.5686438869941439</v>
      </c>
    </row>
    <row r="1152" spans="1:2" x14ac:dyDescent="0.35">
      <c r="A1152" s="1012">
        <v>40266</v>
      </c>
      <c r="B1152" s="1013">
        <v>1.5809654779821793</v>
      </c>
    </row>
    <row r="1153" spans="1:2" x14ac:dyDescent="0.35">
      <c r="A1153" s="1012">
        <v>40267</v>
      </c>
      <c r="B1153" s="1013">
        <v>1.5727686005402253</v>
      </c>
    </row>
    <row r="1154" spans="1:2" x14ac:dyDescent="0.35">
      <c r="A1154" s="1012">
        <v>40268</v>
      </c>
      <c r="B1154" s="1013">
        <v>1.5908538328832256</v>
      </c>
    </row>
    <row r="1155" spans="1:2" x14ac:dyDescent="0.35">
      <c r="A1155" s="1012">
        <v>40269</v>
      </c>
      <c r="B1155" s="1013">
        <v>1.566947117627594</v>
      </c>
    </row>
    <row r="1156" spans="1:2" x14ac:dyDescent="0.35">
      <c r="A1156" s="1012">
        <v>40270</v>
      </c>
      <c r="B1156" s="1013">
        <v>1.5640525071484379</v>
      </c>
    </row>
    <row r="1157" spans="1:2" x14ac:dyDescent="0.35">
      <c r="A1157" s="1012">
        <v>40274</v>
      </c>
      <c r="B1157" s="1013">
        <v>1.5525802246763074</v>
      </c>
    </row>
    <row r="1158" spans="1:2" x14ac:dyDescent="0.35">
      <c r="A1158" s="1012">
        <v>40275</v>
      </c>
      <c r="B1158" s="1013">
        <v>1.5808368319307466</v>
      </c>
    </row>
    <row r="1159" spans="1:2" x14ac:dyDescent="0.35">
      <c r="A1159" s="1012">
        <v>40276</v>
      </c>
      <c r="B1159" s="1013">
        <v>1.5520805663720025</v>
      </c>
    </row>
    <row r="1160" spans="1:2" x14ac:dyDescent="0.35">
      <c r="A1160" s="1012">
        <v>40277</v>
      </c>
      <c r="B1160" s="1013">
        <v>1.5234291870218466</v>
      </c>
    </row>
    <row r="1161" spans="1:2" x14ac:dyDescent="0.35">
      <c r="A1161" s="1012">
        <v>40280</v>
      </c>
      <c r="B1161" s="1013">
        <v>1.5254117918524375</v>
      </c>
    </row>
    <row r="1162" spans="1:2" x14ac:dyDescent="0.35">
      <c r="A1162" s="1012">
        <v>40281</v>
      </c>
      <c r="B1162" s="1013">
        <v>1.4970161900591354</v>
      </c>
    </row>
    <row r="1163" spans="1:2" x14ac:dyDescent="0.35">
      <c r="A1163" s="1012">
        <v>40282</v>
      </c>
      <c r="B1163" s="1013">
        <v>1.4584882180616345</v>
      </c>
    </row>
    <row r="1164" spans="1:2" x14ac:dyDescent="0.35">
      <c r="A1164" s="1012">
        <v>40283</v>
      </c>
      <c r="B1164" s="1013">
        <v>1.4200992527528016</v>
      </c>
    </row>
    <row r="1165" spans="1:2" x14ac:dyDescent="0.35">
      <c r="A1165" s="1012">
        <v>40284</v>
      </c>
      <c r="B1165" s="1013">
        <v>1.4022448316556446</v>
      </c>
    </row>
    <row r="1166" spans="1:2" x14ac:dyDescent="0.35">
      <c r="A1166" s="1012">
        <v>40287</v>
      </c>
      <c r="B1166" s="1013">
        <v>1.37442367606292</v>
      </c>
    </row>
    <row r="1167" spans="1:2" x14ac:dyDescent="0.35">
      <c r="A1167" s="1012">
        <v>40288</v>
      </c>
      <c r="B1167" s="1013">
        <v>1.3314655659818848</v>
      </c>
    </row>
    <row r="1168" spans="1:2" x14ac:dyDescent="0.35">
      <c r="A1168" s="1012">
        <v>40289</v>
      </c>
      <c r="B1168" s="1013">
        <v>1.3139286452071843</v>
      </c>
    </row>
    <row r="1169" spans="1:2" x14ac:dyDescent="0.35">
      <c r="A1169" s="1012">
        <v>40290</v>
      </c>
      <c r="B1169" s="1013">
        <v>1.3519444655137542</v>
      </c>
    </row>
    <row r="1170" spans="1:2" x14ac:dyDescent="0.35">
      <c r="A1170" s="1012">
        <v>40291</v>
      </c>
      <c r="B1170" s="1013">
        <v>1.3596114895726685</v>
      </c>
    </row>
    <row r="1171" spans="1:2" x14ac:dyDescent="0.35">
      <c r="A1171" s="1012">
        <v>40294</v>
      </c>
      <c r="B1171" s="1013">
        <v>1.3624143135027975</v>
      </c>
    </row>
    <row r="1172" spans="1:2" x14ac:dyDescent="0.35">
      <c r="A1172" s="1012">
        <v>40295</v>
      </c>
      <c r="B1172" s="1013">
        <v>1.3200083809122833</v>
      </c>
    </row>
    <row r="1173" spans="1:2" x14ac:dyDescent="0.35">
      <c r="A1173" s="1012">
        <v>40296</v>
      </c>
      <c r="B1173" s="1013">
        <v>1.3376465628471395</v>
      </c>
    </row>
    <row r="1174" spans="1:2" x14ac:dyDescent="0.35">
      <c r="A1174" s="1012">
        <v>40297</v>
      </c>
      <c r="B1174" s="1013">
        <v>1.3452578022480186</v>
      </c>
    </row>
    <row r="1175" spans="1:2" x14ac:dyDescent="0.35">
      <c r="A1175" s="1012">
        <v>40298</v>
      </c>
      <c r="B1175" s="1013">
        <v>1.3528423042411517</v>
      </c>
    </row>
    <row r="1176" spans="1:2" x14ac:dyDescent="0.35">
      <c r="A1176" s="1012">
        <v>40302</v>
      </c>
      <c r="B1176" s="1013">
        <v>1.3285869037452853</v>
      </c>
    </row>
    <row r="1177" spans="1:2" x14ac:dyDescent="0.35">
      <c r="A1177" s="1012">
        <v>40303</v>
      </c>
      <c r="B1177" s="1013">
        <v>1.2572482394256137</v>
      </c>
    </row>
    <row r="1178" spans="1:2" x14ac:dyDescent="0.35">
      <c r="A1178" s="1012">
        <v>40304</v>
      </c>
      <c r="B1178" s="1013">
        <v>1.2452193536539446</v>
      </c>
    </row>
    <row r="1179" spans="1:2" x14ac:dyDescent="0.35">
      <c r="A1179" s="1012">
        <v>40305</v>
      </c>
      <c r="B1179" s="1013">
        <v>1.2479720379606387</v>
      </c>
    </row>
    <row r="1180" spans="1:2" x14ac:dyDescent="0.35">
      <c r="A1180" s="1012">
        <v>40308</v>
      </c>
      <c r="B1180" s="1013">
        <v>1.2855000710029305</v>
      </c>
    </row>
    <row r="1181" spans="1:2" x14ac:dyDescent="0.35">
      <c r="A1181" s="1012">
        <v>40309</v>
      </c>
      <c r="B1181" s="1013">
        <v>1.3174408354659166</v>
      </c>
    </row>
    <row r="1182" spans="1:2" x14ac:dyDescent="0.35">
      <c r="A1182" s="1012">
        <v>40310</v>
      </c>
      <c r="B1182" s="1013">
        <v>1.3103035757635535</v>
      </c>
    </row>
    <row r="1183" spans="1:2" x14ac:dyDescent="0.35">
      <c r="A1183" s="1012">
        <v>40311</v>
      </c>
      <c r="B1183" s="1013">
        <v>1.3372293951386407</v>
      </c>
    </row>
    <row r="1184" spans="1:2" x14ac:dyDescent="0.35">
      <c r="A1184" s="1012">
        <v>40312</v>
      </c>
      <c r="B1184" s="1013">
        <v>1.3349369991450275</v>
      </c>
    </row>
    <row r="1185" spans="1:2" x14ac:dyDescent="0.35">
      <c r="A1185" s="1012">
        <v>40315</v>
      </c>
      <c r="B1185" s="1013">
        <v>1.2749824586834613</v>
      </c>
    </row>
    <row r="1186" spans="1:2" x14ac:dyDescent="0.35">
      <c r="A1186" s="1012">
        <v>40316</v>
      </c>
      <c r="B1186" s="1013">
        <v>1.3017391950314903</v>
      </c>
    </row>
    <row r="1187" spans="1:2" x14ac:dyDescent="0.35">
      <c r="A1187" s="1012">
        <v>40317</v>
      </c>
      <c r="B1187" s="1013">
        <v>1.2706482355481172</v>
      </c>
    </row>
    <row r="1188" spans="1:2" x14ac:dyDescent="0.35">
      <c r="A1188" s="1012">
        <v>40318</v>
      </c>
      <c r="B1188" s="1013">
        <v>1.2252481049085728</v>
      </c>
    </row>
    <row r="1189" spans="1:2" x14ac:dyDescent="0.35">
      <c r="A1189" s="1012">
        <v>40319</v>
      </c>
      <c r="B1189" s="1013">
        <v>1.2231725833593341</v>
      </c>
    </row>
    <row r="1190" spans="1:2" x14ac:dyDescent="0.35">
      <c r="A1190" s="1012">
        <v>40322</v>
      </c>
      <c r="B1190" s="1013">
        <v>1.2408505053190271</v>
      </c>
    </row>
    <row r="1191" spans="1:2" x14ac:dyDescent="0.35">
      <c r="A1191" s="1012">
        <v>40323</v>
      </c>
      <c r="B1191" s="1013">
        <v>1.1911179813048203</v>
      </c>
    </row>
    <row r="1192" spans="1:2" x14ac:dyDescent="0.35">
      <c r="A1192" s="1012">
        <v>40324</v>
      </c>
      <c r="B1192" s="1013">
        <v>1.1653348764527922</v>
      </c>
    </row>
    <row r="1193" spans="1:2" x14ac:dyDescent="0.35">
      <c r="A1193" s="1012">
        <v>40325</v>
      </c>
      <c r="B1193" s="1013">
        <v>1.1823746779691018</v>
      </c>
    </row>
    <row r="1194" spans="1:2" x14ac:dyDescent="0.35">
      <c r="A1194" s="1012">
        <v>40326</v>
      </c>
      <c r="B1194" s="1013">
        <v>1.2040979696996308</v>
      </c>
    </row>
    <row r="1195" spans="1:2" x14ac:dyDescent="0.35">
      <c r="A1195" s="1012">
        <v>40329</v>
      </c>
      <c r="B1195" s="1013">
        <v>1.1980808157099401</v>
      </c>
    </row>
    <row r="1196" spans="1:2" x14ac:dyDescent="0.35">
      <c r="A1196" s="1012">
        <v>40330</v>
      </c>
      <c r="B1196" s="1013">
        <v>1.1395803242801663</v>
      </c>
    </row>
    <row r="1197" spans="1:2" x14ac:dyDescent="0.35">
      <c r="A1197" s="1012">
        <v>40331</v>
      </c>
      <c r="B1197" s="1013">
        <v>1.1423895707510647</v>
      </c>
    </row>
    <row r="1198" spans="1:2" x14ac:dyDescent="0.35">
      <c r="A1198" s="1012">
        <v>40332</v>
      </c>
      <c r="B1198" s="1013">
        <v>1.1639631032311542</v>
      </c>
    </row>
    <row r="1199" spans="1:2" x14ac:dyDescent="0.35">
      <c r="A1199" s="1012">
        <v>40333</v>
      </c>
      <c r="B1199" s="1013">
        <v>1.1596607177251939</v>
      </c>
    </row>
    <row r="1200" spans="1:2" x14ac:dyDescent="0.35">
      <c r="A1200" s="1012">
        <v>40336</v>
      </c>
      <c r="B1200" s="1013">
        <v>1.1208278013896575</v>
      </c>
    </row>
    <row r="1201" spans="1:2" x14ac:dyDescent="0.35">
      <c r="A1201" s="1012">
        <v>40337</v>
      </c>
      <c r="B1201" s="1013">
        <v>1.1189853426144281</v>
      </c>
    </row>
    <row r="1202" spans="1:2" x14ac:dyDescent="0.35">
      <c r="A1202" s="1012">
        <v>40338</v>
      </c>
      <c r="B1202" s="1013">
        <v>1.0794392627366001</v>
      </c>
    </row>
    <row r="1203" spans="1:2" x14ac:dyDescent="0.35">
      <c r="A1203" s="1012">
        <v>40339</v>
      </c>
      <c r="B1203" s="1013">
        <v>1.0917886107760257</v>
      </c>
    </row>
    <row r="1204" spans="1:2" x14ac:dyDescent="0.35">
      <c r="A1204" s="1012">
        <v>40340</v>
      </c>
      <c r="B1204" s="1013">
        <v>1.0993992699342148</v>
      </c>
    </row>
    <row r="1205" spans="1:2" x14ac:dyDescent="0.35">
      <c r="A1205" s="1012">
        <v>40346</v>
      </c>
      <c r="B1205" s="1013">
        <v>1.0747560805890182</v>
      </c>
    </row>
    <row r="1206" spans="1:2" x14ac:dyDescent="0.35">
      <c r="A1206" s="1012">
        <v>40347</v>
      </c>
      <c r="B1206" s="1013">
        <v>1.1101787226951907</v>
      </c>
    </row>
    <row r="1207" spans="1:2" x14ac:dyDescent="0.35">
      <c r="A1207" s="1012">
        <v>40350</v>
      </c>
      <c r="B1207" s="1013">
        <v>1.1510451234636772</v>
      </c>
    </row>
    <row r="1208" spans="1:2" x14ac:dyDescent="0.35">
      <c r="A1208" s="1012">
        <v>40351</v>
      </c>
      <c r="B1208" s="1013">
        <v>1.1999632329592658</v>
      </c>
    </row>
    <row r="1209" spans="1:2" x14ac:dyDescent="0.35">
      <c r="A1209" s="1012">
        <v>40352</v>
      </c>
      <c r="B1209" s="1013">
        <v>1.1842146389111698</v>
      </c>
    </row>
    <row r="1210" spans="1:2" x14ac:dyDescent="0.35">
      <c r="A1210" s="1012">
        <v>40353</v>
      </c>
      <c r="B1210" s="1013">
        <v>1.1731169528717806</v>
      </c>
    </row>
    <row r="1211" spans="1:2" x14ac:dyDescent="0.35">
      <c r="A1211" s="1012">
        <v>40354</v>
      </c>
      <c r="B1211" s="1013">
        <v>1.1712409641780188</v>
      </c>
    </row>
    <row r="1212" spans="1:2" x14ac:dyDescent="0.35">
      <c r="A1212" s="1012">
        <v>40357</v>
      </c>
      <c r="B1212" s="1013">
        <v>1.1702199979041557</v>
      </c>
    </row>
    <row r="1213" spans="1:2" x14ac:dyDescent="0.35">
      <c r="A1213" s="1012">
        <v>40358</v>
      </c>
      <c r="B1213" s="1013">
        <v>1.1135936359684353</v>
      </c>
    </row>
    <row r="1214" spans="1:2" x14ac:dyDescent="0.35">
      <c r="A1214" s="1012">
        <v>40359</v>
      </c>
      <c r="B1214" s="1013">
        <v>1.0890436204726686</v>
      </c>
    </row>
    <row r="1215" spans="1:2" x14ac:dyDescent="0.35">
      <c r="A1215" s="1012">
        <v>40360</v>
      </c>
      <c r="B1215" s="1013">
        <v>1.0873186286691279</v>
      </c>
    </row>
    <row r="1216" spans="1:2" x14ac:dyDescent="0.35">
      <c r="A1216" s="1012">
        <v>40361</v>
      </c>
      <c r="B1216" s="1013">
        <v>1.0810568372102896</v>
      </c>
    </row>
    <row r="1217" spans="1:2" x14ac:dyDescent="0.35">
      <c r="A1217" s="1012">
        <v>40364</v>
      </c>
      <c r="B1217" s="1013">
        <v>1.0759521560817138</v>
      </c>
    </row>
    <row r="1218" spans="1:2" x14ac:dyDescent="0.35">
      <c r="A1218" s="1012">
        <v>40365</v>
      </c>
      <c r="B1218" s="1013">
        <v>1.0742612917489618</v>
      </c>
    </row>
    <row r="1219" spans="1:2" x14ac:dyDescent="0.35">
      <c r="A1219" s="1012">
        <v>40366</v>
      </c>
      <c r="B1219" s="1013">
        <v>1.1266551822286199</v>
      </c>
    </row>
    <row r="1220" spans="1:2" x14ac:dyDescent="0.35">
      <c r="A1220" s="1012">
        <v>40367</v>
      </c>
      <c r="B1220" s="1013">
        <v>1.2733756896847095</v>
      </c>
    </row>
    <row r="1221" spans="1:2" x14ac:dyDescent="0.35">
      <c r="A1221" s="1012">
        <v>40368</v>
      </c>
      <c r="B1221" s="1013">
        <v>1.2983391003116211</v>
      </c>
    </row>
    <row r="1222" spans="1:2" x14ac:dyDescent="0.35">
      <c r="A1222" s="1012">
        <v>40371</v>
      </c>
      <c r="B1222" s="1013">
        <v>1.2565029120966522</v>
      </c>
    </row>
    <row r="1223" spans="1:2" x14ac:dyDescent="0.35">
      <c r="A1223" s="1012">
        <v>40372</v>
      </c>
      <c r="B1223" s="1013">
        <v>1.2322268465231525</v>
      </c>
    </row>
    <row r="1224" spans="1:2" x14ac:dyDescent="0.35">
      <c r="A1224" s="1012">
        <v>40373</v>
      </c>
      <c r="B1224" s="1013">
        <v>1.2436874216118876</v>
      </c>
    </row>
    <row r="1225" spans="1:2" x14ac:dyDescent="0.35">
      <c r="A1225" s="1012">
        <v>40374</v>
      </c>
      <c r="B1225" s="1013">
        <v>1.2284079575349776</v>
      </c>
    </row>
    <row r="1226" spans="1:2" x14ac:dyDescent="0.35">
      <c r="A1226" s="1012">
        <v>40375</v>
      </c>
      <c r="B1226" s="1013">
        <v>1.2353951104743113</v>
      </c>
    </row>
    <row r="1227" spans="1:2" x14ac:dyDescent="0.35">
      <c r="A1227" s="1012">
        <v>40378</v>
      </c>
      <c r="B1227" s="1013">
        <v>1.2031474103156934</v>
      </c>
    </row>
    <row r="1228" spans="1:2" x14ac:dyDescent="0.35">
      <c r="A1228" s="1012">
        <v>40379</v>
      </c>
      <c r="B1228" s="1013">
        <v>1.2454627052115061</v>
      </c>
    </row>
    <row r="1229" spans="1:2" x14ac:dyDescent="0.35">
      <c r="A1229" s="1012">
        <v>40380</v>
      </c>
      <c r="B1229" s="1013">
        <v>1.305287080189824</v>
      </c>
    </row>
    <row r="1230" spans="1:2" x14ac:dyDescent="0.35">
      <c r="A1230" s="1012">
        <v>40381</v>
      </c>
      <c r="B1230" s="1013">
        <v>1.3913460004236826</v>
      </c>
    </row>
    <row r="1231" spans="1:2" x14ac:dyDescent="0.35">
      <c r="A1231" s="1012">
        <v>40382</v>
      </c>
      <c r="B1231" s="1013">
        <v>1.389216386921851</v>
      </c>
    </row>
    <row r="1232" spans="1:2" x14ac:dyDescent="0.35">
      <c r="A1232" s="1012">
        <v>40385</v>
      </c>
      <c r="B1232" s="1013">
        <v>1.3741141635047318</v>
      </c>
    </row>
    <row r="1233" spans="1:2" x14ac:dyDescent="0.35">
      <c r="A1233" s="1012">
        <v>40386</v>
      </c>
      <c r="B1233" s="1013">
        <v>1.4506747654134204</v>
      </c>
    </row>
    <row r="1234" spans="1:2" x14ac:dyDescent="0.35">
      <c r="A1234" s="1012">
        <v>40387</v>
      </c>
      <c r="B1234" s="1013">
        <v>1.448471206469875</v>
      </c>
    </row>
    <row r="1235" spans="1:2" x14ac:dyDescent="0.35">
      <c r="A1235" s="1012">
        <v>40388</v>
      </c>
      <c r="B1235" s="1013">
        <v>1.4244930918006851</v>
      </c>
    </row>
    <row r="1236" spans="1:2" x14ac:dyDescent="0.35">
      <c r="A1236" s="1012">
        <v>40389</v>
      </c>
      <c r="B1236" s="1013">
        <v>1.4745316673997291</v>
      </c>
    </row>
    <row r="1237" spans="1:2" x14ac:dyDescent="0.35">
      <c r="A1237" s="1012">
        <v>40392</v>
      </c>
      <c r="B1237" s="1013">
        <v>1.4895128198307477</v>
      </c>
    </row>
    <row r="1238" spans="1:2" x14ac:dyDescent="0.35">
      <c r="A1238" s="1012">
        <v>40393</v>
      </c>
      <c r="B1238" s="1013">
        <v>1.4613299327976603</v>
      </c>
    </row>
    <row r="1239" spans="1:2" x14ac:dyDescent="0.35">
      <c r="A1239" s="1012">
        <v>40394</v>
      </c>
      <c r="B1239" s="1013">
        <v>1.4764013953951043</v>
      </c>
    </row>
    <row r="1240" spans="1:2" x14ac:dyDescent="0.35">
      <c r="A1240" s="1012">
        <v>40395</v>
      </c>
      <c r="B1240" s="1013">
        <v>1.4397018074958694</v>
      </c>
    </row>
    <row r="1241" spans="1:2" x14ac:dyDescent="0.35">
      <c r="A1241" s="1012">
        <v>40396</v>
      </c>
      <c r="B1241" s="1013">
        <v>1.4805846617160008</v>
      </c>
    </row>
    <row r="1242" spans="1:2" x14ac:dyDescent="0.35">
      <c r="A1242" s="1012">
        <v>40399</v>
      </c>
      <c r="B1242" s="1013">
        <v>1.5639384906097347</v>
      </c>
    </row>
    <row r="1243" spans="1:2" x14ac:dyDescent="0.35">
      <c r="A1243" s="1012">
        <v>40400</v>
      </c>
      <c r="B1243" s="1013">
        <v>1.5359386045691064</v>
      </c>
    </row>
    <row r="1244" spans="1:2" x14ac:dyDescent="0.35">
      <c r="A1244" s="1012">
        <v>40401</v>
      </c>
      <c r="B1244" s="1013">
        <v>1.5421981465044832</v>
      </c>
    </row>
    <row r="1245" spans="1:2" x14ac:dyDescent="0.35">
      <c r="A1245" s="1012">
        <v>40402</v>
      </c>
      <c r="B1245" s="1013">
        <v>1.5484390957217558</v>
      </c>
    </row>
    <row r="1246" spans="1:2" x14ac:dyDescent="0.35">
      <c r="A1246" s="1012">
        <v>40403</v>
      </c>
      <c r="B1246" s="1013">
        <v>1.6355891216871523</v>
      </c>
    </row>
    <row r="1247" spans="1:2" x14ac:dyDescent="0.35">
      <c r="A1247" s="1012">
        <v>40406</v>
      </c>
      <c r="B1247" s="1013">
        <v>1.6537877596702308</v>
      </c>
    </row>
    <row r="1248" spans="1:2" x14ac:dyDescent="0.35">
      <c r="A1248" s="1012">
        <v>40407</v>
      </c>
      <c r="B1248" s="1013">
        <v>1.5793678290278217</v>
      </c>
    </row>
    <row r="1249" spans="1:2" x14ac:dyDescent="0.35">
      <c r="A1249" s="1012">
        <v>40408</v>
      </c>
      <c r="B1249" s="1013">
        <v>1.61932291938116</v>
      </c>
    </row>
    <row r="1250" spans="1:2" x14ac:dyDescent="0.35">
      <c r="A1250" s="1012">
        <v>40409</v>
      </c>
      <c r="B1250" s="1013">
        <v>1.6676041173706826</v>
      </c>
    </row>
    <row r="1251" spans="1:2" x14ac:dyDescent="0.35">
      <c r="A1251" s="1012">
        <v>40410</v>
      </c>
      <c r="B1251" s="1013">
        <v>1.6567253825720669</v>
      </c>
    </row>
    <row r="1252" spans="1:2" x14ac:dyDescent="0.35">
      <c r="A1252" s="1012">
        <v>40413</v>
      </c>
      <c r="B1252" s="1013">
        <v>1.6788423156624608</v>
      </c>
    </row>
    <row r="1253" spans="1:2" x14ac:dyDescent="0.35">
      <c r="A1253" s="1012">
        <v>40414</v>
      </c>
      <c r="B1253" s="1013">
        <v>1.63448282451314</v>
      </c>
    </row>
    <row r="1254" spans="1:2" x14ac:dyDescent="0.35">
      <c r="A1254" s="1012">
        <v>40415</v>
      </c>
      <c r="B1254" s="1013">
        <v>1.6321013512428162</v>
      </c>
    </row>
    <row r="1255" spans="1:2" x14ac:dyDescent="0.35">
      <c r="A1255" s="1012">
        <v>40416</v>
      </c>
      <c r="B1255" s="1013">
        <v>1.6171904475233581</v>
      </c>
    </row>
    <row r="1256" spans="1:2" x14ac:dyDescent="0.35">
      <c r="A1256" s="1012">
        <v>40417</v>
      </c>
      <c r="B1256" s="1013">
        <v>1.585632005293959</v>
      </c>
    </row>
    <row r="1257" spans="1:2" x14ac:dyDescent="0.35">
      <c r="A1257" s="1012">
        <v>40420</v>
      </c>
      <c r="B1257" s="1013">
        <v>1.6161427190834743</v>
      </c>
    </row>
    <row r="1258" spans="1:2" x14ac:dyDescent="0.35">
      <c r="A1258" s="1012">
        <v>40421</v>
      </c>
      <c r="B1258" s="1013">
        <v>1.6760374895236227</v>
      </c>
    </row>
    <row r="1259" spans="1:2" x14ac:dyDescent="0.35">
      <c r="A1259" s="1012">
        <v>40422</v>
      </c>
      <c r="B1259" s="1013">
        <v>1.7233316141956947</v>
      </c>
    </row>
    <row r="1260" spans="1:2" x14ac:dyDescent="0.35">
      <c r="A1260" s="1012">
        <v>40423</v>
      </c>
      <c r="B1260" s="1013">
        <v>1.7291229325219912</v>
      </c>
    </row>
    <row r="1261" spans="1:2" x14ac:dyDescent="0.35">
      <c r="A1261" s="1012">
        <v>40424</v>
      </c>
      <c r="B1261" s="1013">
        <v>1.7142440503809255</v>
      </c>
    </row>
    <row r="1262" spans="1:2" x14ac:dyDescent="0.35">
      <c r="A1262" s="1012">
        <v>40427</v>
      </c>
      <c r="B1262" s="1013">
        <v>1.7315575282657167</v>
      </c>
    </row>
    <row r="1263" spans="1:2" x14ac:dyDescent="0.35">
      <c r="A1263" s="1012">
        <v>40428</v>
      </c>
      <c r="B1263" s="1013">
        <v>1.7126531861499061</v>
      </c>
    </row>
    <row r="1264" spans="1:2" x14ac:dyDescent="0.35">
      <c r="A1264" s="1012">
        <v>40429</v>
      </c>
      <c r="B1264" s="1013">
        <v>1.6897016132780747</v>
      </c>
    </row>
    <row r="1265" spans="1:2" x14ac:dyDescent="0.35">
      <c r="A1265" s="1012">
        <v>40430</v>
      </c>
      <c r="B1265" s="1013">
        <v>1.777390475205382</v>
      </c>
    </row>
    <row r="1266" spans="1:2" x14ac:dyDescent="0.35">
      <c r="A1266" s="1012">
        <v>40431</v>
      </c>
      <c r="B1266" s="1013">
        <v>1.795307472391132</v>
      </c>
    </row>
    <row r="1267" spans="1:2" x14ac:dyDescent="0.35">
      <c r="A1267" s="1012">
        <v>40434</v>
      </c>
      <c r="B1267" s="1013">
        <v>1.8161764809976302</v>
      </c>
    </row>
    <row r="1268" spans="1:2" x14ac:dyDescent="0.35">
      <c r="A1268" s="1012">
        <v>40435</v>
      </c>
      <c r="B1268" s="1013">
        <v>1.838003480826111</v>
      </c>
    </row>
    <row r="1269" spans="1:2" x14ac:dyDescent="0.35">
      <c r="A1269" s="1012">
        <v>40436</v>
      </c>
      <c r="B1269" s="1013">
        <v>1.8232230898813417</v>
      </c>
    </row>
    <row r="1270" spans="1:2" x14ac:dyDescent="0.35">
      <c r="A1270" s="1012">
        <v>40437</v>
      </c>
      <c r="B1270" s="1013">
        <v>1.8493530523258659</v>
      </c>
    </row>
    <row r="1271" spans="1:2" x14ac:dyDescent="0.35">
      <c r="A1271" s="1012">
        <v>40438</v>
      </c>
      <c r="B1271" s="1013">
        <v>1.8835989010798506</v>
      </c>
    </row>
    <row r="1272" spans="1:2" x14ac:dyDescent="0.35">
      <c r="A1272" s="1012">
        <v>40441</v>
      </c>
      <c r="B1272" s="1013">
        <v>1.859355954978904</v>
      </c>
    </row>
    <row r="1273" spans="1:2" x14ac:dyDescent="0.35">
      <c r="A1273" s="1012">
        <v>40442</v>
      </c>
      <c r="B1273" s="1013">
        <v>1.840462103406646</v>
      </c>
    </row>
    <row r="1274" spans="1:2" x14ac:dyDescent="0.35">
      <c r="A1274" s="1012">
        <v>40448</v>
      </c>
      <c r="B1274" s="1013">
        <v>1.8977920892091156</v>
      </c>
    </row>
    <row r="1275" spans="1:2" x14ac:dyDescent="0.35">
      <c r="A1275" s="1012">
        <v>40449</v>
      </c>
      <c r="B1275" s="1013">
        <v>1.8830607341337664</v>
      </c>
    </row>
    <row r="1276" spans="1:2" x14ac:dyDescent="0.35">
      <c r="A1276" s="1012">
        <v>40450</v>
      </c>
      <c r="B1276" s="1013">
        <v>1.8844768637513498</v>
      </c>
    </row>
    <row r="1277" spans="1:2" x14ac:dyDescent="0.35">
      <c r="A1277" s="1012">
        <v>40451</v>
      </c>
      <c r="B1277" s="1013">
        <v>1.8818679869364887</v>
      </c>
    </row>
    <row r="1278" spans="1:2" x14ac:dyDescent="0.35">
      <c r="A1278" s="1012">
        <v>40459</v>
      </c>
      <c r="B1278" s="1013">
        <v>2.2708891678547971</v>
      </c>
    </row>
    <row r="1279" spans="1:2" x14ac:dyDescent="0.35">
      <c r="A1279" s="1012">
        <v>40462</v>
      </c>
      <c r="B1279" s="1013">
        <v>2.3328930017210587</v>
      </c>
    </row>
    <row r="1280" spans="1:2" x14ac:dyDescent="0.35">
      <c r="A1280" s="1012">
        <v>40463</v>
      </c>
      <c r="B1280" s="1013">
        <v>2.4681542522342679</v>
      </c>
    </row>
    <row r="1281" spans="1:2" x14ac:dyDescent="0.35">
      <c r="A1281" s="1012">
        <v>40464</v>
      </c>
      <c r="B1281" s="1013">
        <v>2.4055477926452999</v>
      </c>
    </row>
    <row r="1282" spans="1:2" x14ac:dyDescent="0.35">
      <c r="A1282" s="1012">
        <v>40465</v>
      </c>
      <c r="B1282" s="1013">
        <v>2.3273328546235099</v>
      </c>
    </row>
    <row r="1283" spans="1:2" x14ac:dyDescent="0.35">
      <c r="A1283" s="1012">
        <v>40466</v>
      </c>
      <c r="B1283" s="1013">
        <v>2.2690264835011629</v>
      </c>
    </row>
    <row r="1284" spans="1:2" x14ac:dyDescent="0.35">
      <c r="A1284" s="1012">
        <v>40469</v>
      </c>
      <c r="B1284" s="1013">
        <v>2.2284453069121257</v>
      </c>
    </row>
    <row r="1285" spans="1:2" x14ac:dyDescent="0.35">
      <c r="A1285" s="1012">
        <v>40470</v>
      </c>
      <c r="B1285" s="1013">
        <v>2.3233899814677166</v>
      </c>
    </row>
    <row r="1286" spans="1:2" x14ac:dyDescent="0.35">
      <c r="A1286" s="1012">
        <v>40471</v>
      </c>
      <c r="B1286" s="1013">
        <v>2.3515621228717913</v>
      </c>
    </row>
    <row r="1287" spans="1:2" x14ac:dyDescent="0.35">
      <c r="A1287" s="1012">
        <v>40472</v>
      </c>
      <c r="B1287" s="1013">
        <v>2.4382707421772278</v>
      </c>
    </row>
    <row r="1288" spans="1:2" x14ac:dyDescent="0.35">
      <c r="A1288" s="1012">
        <v>40473</v>
      </c>
      <c r="B1288" s="1013">
        <v>2.3647547218614022</v>
      </c>
    </row>
    <row r="1289" spans="1:2" x14ac:dyDescent="0.35">
      <c r="A1289" s="1012">
        <v>40476</v>
      </c>
      <c r="B1289" s="1013">
        <v>2.3552619420275058</v>
      </c>
    </row>
    <row r="1290" spans="1:2" x14ac:dyDescent="0.35">
      <c r="A1290" s="1012">
        <v>40477</v>
      </c>
      <c r="B1290" s="1013">
        <v>2.3559959729582518</v>
      </c>
    </row>
    <row r="1291" spans="1:2" x14ac:dyDescent="0.35">
      <c r="A1291" s="1012">
        <v>40478</v>
      </c>
      <c r="B1291" s="1013">
        <v>2.3489756498459031</v>
      </c>
    </row>
    <row r="1292" spans="1:2" x14ac:dyDescent="0.35">
      <c r="A1292" s="1012">
        <v>40479</v>
      </c>
      <c r="B1292" s="1013">
        <v>2.2568113469578859</v>
      </c>
    </row>
    <row r="1293" spans="1:2" x14ac:dyDescent="0.35">
      <c r="A1293" s="1012">
        <v>40480</v>
      </c>
      <c r="B1293" s="1013">
        <v>2.280868757100297</v>
      </c>
    </row>
    <row r="1294" spans="1:2" x14ac:dyDescent="0.35">
      <c r="A1294" s="1012">
        <v>40483</v>
      </c>
      <c r="B1294" s="1013">
        <v>2.3103027297633365</v>
      </c>
    </row>
    <row r="1295" spans="1:2" x14ac:dyDescent="0.35">
      <c r="A1295" s="1012">
        <v>40484</v>
      </c>
      <c r="B1295" s="1013">
        <v>2.2880170397705428</v>
      </c>
    </row>
    <row r="1296" spans="1:2" x14ac:dyDescent="0.35">
      <c r="A1296" s="1012">
        <v>40485</v>
      </c>
      <c r="B1296" s="1013">
        <v>2.3041935057969911</v>
      </c>
    </row>
    <row r="1297" spans="1:2" x14ac:dyDescent="0.35">
      <c r="A1297" s="1012">
        <v>40486</v>
      </c>
      <c r="B1297" s="1013">
        <v>2.339503510526483</v>
      </c>
    </row>
    <row r="1298" spans="1:2" x14ac:dyDescent="0.35">
      <c r="A1298" s="1012">
        <v>40487</v>
      </c>
      <c r="B1298" s="1013">
        <v>2.386210972414696</v>
      </c>
    </row>
    <row r="1299" spans="1:2" x14ac:dyDescent="0.35">
      <c r="A1299" s="1012">
        <v>40490</v>
      </c>
      <c r="B1299" s="1013">
        <v>2.3958837132876867</v>
      </c>
    </row>
    <row r="1300" spans="1:2" x14ac:dyDescent="0.35">
      <c r="A1300" s="1012">
        <v>40491</v>
      </c>
      <c r="B1300" s="1013">
        <v>2.3393995236591389</v>
      </c>
    </row>
    <row r="1301" spans="1:2" x14ac:dyDescent="0.35">
      <c r="A1301" s="1012">
        <v>40492</v>
      </c>
      <c r="B1301" s="1013">
        <v>2.557030926997065</v>
      </c>
    </row>
    <row r="1302" spans="1:2" x14ac:dyDescent="0.35">
      <c r="A1302" s="1012">
        <v>40493</v>
      </c>
      <c r="B1302" s="1013">
        <v>2.5498853572277178</v>
      </c>
    </row>
    <row r="1303" spans="1:2" x14ac:dyDescent="0.35">
      <c r="A1303" s="1012">
        <v>40494</v>
      </c>
      <c r="B1303" s="1013">
        <v>2.4820358704640477</v>
      </c>
    </row>
    <row r="1304" spans="1:2" x14ac:dyDescent="0.35">
      <c r="A1304" s="1012">
        <v>40497</v>
      </c>
      <c r="B1304" s="1013">
        <v>2.4080787766811627</v>
      </c>
    </row>
    <row r="1305" spans="1:2" x14ac:dyDescent="0.35">
      <c r="A1305" s="1012">
        <v>40498</v>
      </c>
      <c r="B1305" s="1013">
        <v>2.3747452515527803</v>
      </c>
    </row>
    <row r="1306" spans="1:2" x14ac:dyDescent="0.35">
      <c r="A1306" s="1012">
        <v>40499</v>
      </c>
      <c r="B1306" s="1013">
        <v>2.2321529398016939</v>
      </c>
    </row>
    <row r="1307" spans="1:2" x14ac:dyDescent="0.35">
      <c r="A1307" s="1012">
        <v>40500</v>
      </c>
      <c r="B1307" s="1013">
        <v>2.4363692639604237</v>
      </c>
    </row>
    <row r="1308" spans="1:2" x14ac:dyDescent="0.35">
      <c r="A1308" s="1012">
        <v>40501</v>
      </c>
      <c r="B1308" s="1013">
        <v>2.4595400567321972</v>
      </c>
    </row>
    <row r="1309" spans="1:2" x14ac:dyDescent="0.35">
      <c r="A1309" s="1012">
        <v>40504</v>
      </c>
      <c r="B1309" s="1013">
        <v>2.4500233411468209</v>
      </c>
    </row>
    <row r="1310" spans="1:2" x14ac:dyDescent="0.35">
      <c r="A1310" s="1012">
        <v>40505</v>
      </c>
      <c r="B1310" s="1013">
        <v>2.4244191221520182</v>
      </c>
    </row>
    <row r="1311" spans="1:2" x14ac:dyDescent="0.35">
      <c r="A1311" s="1012">
        <v>40506</v>
      </c>
      <c r="B1311" s="1013">
        <v>2.4026173547048302</v>
      </c>
    </row>
    <row r="1312" spans="1:2" x14ac:dyDescent="0.35">
      <c r="A1312" s="1012">
        <v>40507</v>
      </c>
      <c r="B1312" s="1013">
        <v>2.4443117615705359</v>
      </c>
    </row>
    <row r="1313" spans="1:2" x14ac:dyDescent="0.35">
      <c r="A1313" s="1012">
        <v>40508</v>
      </c>
      <c r="B1313" s="1013">
        <v>2.4188134334788822</v>
      </c>
    </row>
    <row r="1314" spans="1:2" x14ac:dyDescent="0.35">
      <c r="A1314" s="1012">
        <v>40511</v>
      </c>
      <c r="B1314" s="1013">
        <v>2.4466649778901677</v>
      </c>
    </row>
    <row r="1315" spans="1:2" x14ac:dyDescent="0.35">
      <c r="A1315" s="1012">
        <v>40512</v>
      </c>
      <c r="B1315" s="1013">
        <v>2.3767984040921029</v>
      </c>
    </row>
    <row r="1316" spans="1:2" x14ac:dyDescent="0.35">
      <c r="A1316" s="1012">
        <v>40513</v>
      </c>
      <c r="B1316" s="1013">
        <v>2.4589422641187166</v>
      </c>
    </row>
    <row r="1317" spans="1:2" x14ac:dyDescent="0.35">
      <c r="A1317" s="1012">
        <v>40514</v>
      </c>
      <c r="B1317" s="1013">
        <v>2.5667665047660546</v>
      </c>
    </row>
    <row r="1318" spans="1:2" x14ac:dyDescent="0.35">
      <c r="A1318" s="1012">
        <v>40515</v>
      </c>
      <c r="B1318" s="1013">
        <v>2.6853979214980588</v>
      </c>
    </row>
    <row r="1319" spans="1:2" x14ac:dyDescent="0.35">
      <c r="A1319" s="1012">
        <v>40518</v>
      </c>
      <c r="B1319" s="1013">
        <v>2.6531129758445537</v>
      </c>
    </row>
    <row r="1320" spans="1:2" x14ac:dyDescent="0.35">
      <c r="A1320" s="1012">
        <v>40519</v>
      </c>
      <c r="B1320" s="1013">
        <v>2.6901822545240677</v>
      </c>
    </row>
    <row r="1321" spans="1:2" x14ac:dyDescent="0.35">
      <c r="A1321" s="1012">
        <v>40520</v>
      </c>
      <c r="B1321" s="1013">
        <v>2.7014645678295306</v>
      </c>
    </row>
    <row r="1322" spans="1:2" x14ac:dyDescent="0.35">
      <c r="A1322" s="1012">
        <v>40521</v>
      </c>
      <c r="B1322" s="1013">
        <v>2.6980550596900046</v>
      </c>
    </row>
    <row r="1323" spans="1:2" x14ac:dyDescent="0.35">
      <c r="A1323" s="1012">
        <v>40522</v>
      </c>
      <c r="B1323" s="1013">
        <v>2.658041998220892</v>
      </c>
    </row>
    <row r="1324" spans="1:2" x14ac:dyDescent="0.35">
      <c r="A1324" s="1012">
        <v>40525</v>
      </c>
      <c r="B1324" s="1013">
        <v>2.604259371427772</v>
      </c>
    </row>
    <row r="1325" spans="1:2" x14ac:dyDescent="0.35">
      <c r="A1325" s="1012">
        <v>40526</v>
      </c>
      <c r="B1325" s="1013">
        <v>2.5754932240687931</v>
      </c>
    </row>
    <row r="1326" spans="1:2" x14ac:dyDescent="0.35">
      <c r="A1326" s="1012">
        <v>40527</v>
      </c>
      <c r="B1326" s="1013">
        <v>2.5104162973880482</v>
      </c>
    </row>
    <row r="1327" spans="1:2" x14ac:dyDescent="0.35">
      <c r="A1327" s="1012">
        <v>40528</v>
      </c>
      <c r="B1327" s="1013">
        <v>2.5690491152918224</v>
      </c>
    </row>
    <row r="1328" spans="1:2" x14ac:dyDescent="0.35">
      <c r="A1328" s="1012">
        <v>40529</v>
      </c>
      <c r="B1328" s="1013">
        <v>2.5985018716084829</v>
      </c>
    </row>
    <row r="1329" spans="1:2" x14ac:dyDescent="0.35">
      <c r="A1329" s="1012">
        <v>40532</v>
      </c>
      <c r="B1329" s="1013">
        <v>2.56348843745777</v>
      </c>
    </row>
    <row r="1330" spans="1:2" x14ac:dyDescent="0.35">
      <c r="A1330" s="1012">
        <v>40533</v>
      </c>
      <c r="B1330" s="1013">
        <v>2.6036350696749309</v>
      </c>
    </row>
    <row r="1331" spans="1:2" x14ac:dyDescent="0.35">
      <c r="A1331" s="1012">
        <v>40534</v>
      </c>
      <c r="B1331" s="1013">
        <v>2.6833552632044873</v>
      </c>
    </row>
    <row r="1332" spans="1:2" x14ac:dyDescent="0.35">
      <c r="A1332" s="1012">
        <v>40535</v>
      </c>
      <c r="B1332" s="1013">
        <v>2.6151880388470516</v>
      </c>
    </row>
    <row r="1333" spans="1:2" x14ac:dyDescent="0.35">
      <c r="A1333" s="1012">
        <v>40536</v>
      </c>
      <c r="B1333" s="1013">
        <v>2.6191441955886448</v>
      </c>
    </row>
    <row r="1334" spans="1:2" x14ac:dyDescent="0.35">
      <c r="A1334" s="1012">
        <v>40539</v>
      </c>
      <c r="B1334" s="1013">
        <v>2.6094476435203124</v>
      </c>
    </row>
    <row r="1335" spans="1:2" x14ac:dyDescent="0.35">
      <c r="A1335" s="1012">
        <v>40540</v>
      </c>
      <c r="B1335" s="1013">
        <v>2.5382116192724129</v>
      </c>
    </row>
    <row r="1336" spans="1:2" x14ac:dyDescent="0.35">
      <c r="A1336" s="1012">
        <v>40541</v>
      </c>
      <c r="B1336" s="1013">
        <v>2.5815695776027425</v>
      </c>
    </row>
    <row r="1337" spans="1:2" x14ac:dyDescent="0.35">
      <c r="A1337" s="1012">
        <v>40542</v>
      </c>
      <c r="B1337" s="1013">
        <v>2.6033938083772235</v>
      </c>
    </row>
    <row r="1338" spans="1:2" x14ac:dyDescent="0.35">
      <c r="A1338" s="1012">
        <v>40543</v>
      </c>
      <c r="B1338" s="1013">
        <v>2.6180308398477568</v>
      </c>
    </row>
    <row r="1339" spans="1:2" x14ac:dyDescent="0.35">
      <c r="A1339" s="1012">
        <v>40547</v>
      </c>
      <c r="B1339" s="1013">
        <v>2.8029842309489976</v>
      </c>
    </row>
    <row r="1340" spans="1:2" x14ac:dyDescent="0.35">
      <c r="A1340" s="1012">
        <v>40548</v>
      </c>
      <c r="B1340" s="1013">
        <v>2.7933054902154622</v>
      </c>
    </row>
    <row r="1341" spans="1:2" x14ac:dyDescent="0.35">
      <c r="A1341" s="1012">
        <v>40549</v>
      </c>
      <c r="B1341" s="1013">
        <v>2.8120129036188963</v>
      </c>
    </row>
    <row r="1342" spans="1:2" x14ac:dyDescent="0.35">
      <c r="A1342" s="1012">
        <v>40550</v>
      </c>
      <c r="B1342" s="1013">
        <v>2.7208595771224693</v>
      </c>
    </row>
    <row r="1343" spans="1:2" x14ac:dyDescent="0.35">
      <c r="A1343" s="1012">
        <v>40553</v>
      </c>
      <c r="B1343" s="1013">
        <v>2.6639177477043008</v>
      </c>
    </row>
    <row r="1344" spans="1:2" x14ac:dyDescent="0.35">
      <c r="A1344" s="1012">
        <v>40554</v>
      </c>
      <c r="B1344" s="1013">
        <v>2.8273803185097277</v>
      </c>
    </row>
    <row r="1345" spans="1:2" x14ac:dyDescent="0.35">
      <c r="A1345" s="1012">
        <v>40555</v>
      </c>
      <c r="B1345" s="1013">
        <v>2.8001083064526879</v>
      </c>
    </row>
    <row r="1346" spans="1:2" x14ac:dyDescent="0.35">
      <c r="A1346" s="1012">
        <v>40556</v>
      </c>
      <c r="B1346" s="1013">
        <v>2.8151664823816245</v>
      </c>
    </row>
    <row r="1347" spans="1:2" x14ac:dyDescent="0.35">
      <c r="A1347" s="1012">
        <v>40557</v>
      </c>
      <c r="B1347" s="1013">
        <v>2.9780432847422214</v>
      </c>
    </row>
    <row r="1348" spans="1:2" x14ac:dyDescent="0.35">
      <c r="A1348" s="1012">
        <v>40560</v>
      </c>
      <c r="B1348" s="1013">
        <v>2.9523566810493316</v>
      </c>
    </row>
    <row r="1349" spans="1:2" x14ac:dyDescent="0.35">
      <c r="A1349" s="1012">
        <v>40561</v>
      </c>
      <c r="B1349" s="1013">
        <v>2.9040758029488103</v>
      </c>
    </row>
    <row r="1350" spans="1:2" x14ac:dyDescent="0.35">
      <c r="A1350" s="1012">
        <v>40562</v>
      </c>
      <c r="B1350" s="1013">
        <v>2.9715196456434501</v>
      </c>
    </row>
    <row r="1351" spans="1:2" x14ac:dyDescent="0.35">
      <c r="A1351" s="1012">
        <v>40563</v>
      </c>
      <c r="B1351" s="1013">
        <v>2.9058041976366189</v>
      </c>
    </row>
    <row r="1352" spans="1:2" x14ac:dyDescent="0.35">
      <c r="A1352" s="1012">
        <v>40564</v>
      </c>
      <c r="B1352" s="1013">
        <v>2.9381461808092308</v>
      </c>
    </row>
    <row r="1353" spans="1:2" x14ac:dyDescent="0.35">
      <c r="A1353" s="1012">
        <v>40567</v>
      </c>
      <c r="B1353" s="1013">
        <v>2.8499411230137794</v>
      </c>
    </row>
    <row r="1354" spans="1:2" x14ac:dyDescent="0.35">
      <c r="A1354" s="1012">
        <v>40568</v>
      </c>
      <c r="B1354" s="1013">
        <v>2.7358404895972961</v>
      </c>
    </row>
    <row r="1355" spans="1:2" x14ac:dyDescent="0.35">
      <c r="A1355" s="1012">
        <v>40569</v>
      </c>
      <c r="B1355" s="1013">
        <v>2.7438159268907558</v>
      </c>
    </row>
    <row r="1356" spans="1:2" x14ac:dyDescent="0.35">
      <c r="A1356" s="1012">
        <v>40570</v>
      </c>
      <c r="B1356" s="1013">
        <v>2.8143964236784123</v>
      </c>
    </row>
    <row r="1357" spans="1:2" x14ac:dyDescent="0.35">
      <c r="A1357" s="1012">
        <v>40571</v>
      </c>
      <c r="B1357" s="1013">
        <v>2.7110635517098967</v>
      </c>
    </row>
    <row r="1358" spans="1:2" x14ac:dyDescent="0.35">
      <c r="A1358" s="1012">
        <v>40574</v>
      </c>
      <c r="B1358" s="1013">
        <v>2.6621558161658223</v>
      </c>
    </row>
    <row r="1359" spans="1:2" x14ac:dyDescent="0.35">
      <c r="A1359" s="1012">
        <v>40575</v>
      </c>
      <c r="B1359" s="1013">
        <v>2.5697206298624513</v>
      </c>
    </row>
    <row r="1360" spans="1:2" x14ac:dyDescent="0.35">
      <c r="A1360" s="1012">
        <v>40583</v>
      </c>
      <c r="B1360" s="1013">
        <v>2.5617035833969961</v>
      </c>
    </row>
    <row r="1361" spans="1:2" x14ac:dyDescent="0.35">
      <c r="A1361" s="1012">
        <v>40584</v>
      </c>
      <c r="B1361" s="1013">
        <v>2.4220026017895089</v>
      </c>
    </row>
    <row r="1362" spans="1:2" x14ac:dyDescent="0.35">
      <c r="A1362" s="1012">
        <v>40585</v>
      </c>
      <c r="B1362" s="1013">
        <v>2.4129817844190278</v>
      </c>
    </row>
    <row r="1363" spans="1:2" x14ac:dyDescent="0.35">
      <c r="A1363" s="1012">
        <v>40588</v>
      </c>
      <c r="B1363" s="1013">
        <v>2.5503321383826871</v>
      </c>
    </row>
    <row r="1364" spans="1:2" x14ac:dyDescent="0.35">
      <c r="A1364" s="1012">
        <v>40589</v>
      </c>
      <c r="B1364" s="1013">
        <v>2.4967665314823613</v>
      </c>
    </row>
    <row r="1365" spans="1:2" x14ac:dyDescent="0.35">
      <c r="A1365" s="1012">
        <v>40590</v>
      </c>
      <c r="B1365" s="1013">
        <v>2.46379904955498</v>
      </c>
    </row>
    <row r="1366" spans="1:2" x14ac:dyDescent="0.35">
      <c r="A1366" s="1012">
        <v>40591</v>
      </c>
      <c r="B1366" s="1013">
        <v>2.4889308611277792</v>
      </c>
    </row>
    <row r="1367" spans="1:2" x14ac:dyDescent="0.35">
      <c r="A1367" s="1012">
        <v>40592</v>
      </c>
      <c r="B1367" s="1013">
        <v>2.4492063394752455</v>
      </c>
    </row>
    <row r="1368" spans="1:2" x14ac:dyDescent="0.35">
      <c r="A1368" s="1012">
        <v>40595</v>
      </c>
      <c r="B1368" s="1013">
        <v>2.3984958056254633</v>
      </c>
    </row>
    <row r="1369" spans="1:2" x14ac:dyDescent="0.35">
      <c r="A1369" s="1012">
        <v>40596</v>
      </c>
      <c r="B1369" s="1013">
        <v>2.2740130167709829</v>
      </c>
    </row>
    <row r="1370" spans="1:2" x14ac:dyDescent="0.35">
      <c r="A1370" s="1012">
        <v>40597</v>
      </c>
      <c r="B1370" s="1013">
        <v>2.2448411137097426</v>
      </c>
    </row>
    <row r="1371" spans="1:2" x14ac:dyDescent="0.35">
      <c r="A1371" s="1012">
        <v>40598</v>
      </c>
      <c r="B1371" s="1013">
        <v>2.1580371692048987</v>
      </c>
    </row>
    <row r="1372" spans="1:2" x14ac:dyDescent="0.35">
      <c r="A1372" s="1012">
        <v>40599</v>
      </c>
      <c r="B1372" s="1013">
        <v>2.3188673171555321</v>
      </c>
    </row>
    <row r="1373" spans="1:2" x14ac:dyDescent="0.35">
      <c r="A1373" s="1012">
        <v>40602</v>
      </c>
      <c r="B1373" s="1013">
        <v>2.4209666722999805</v>
      </c>
    </row>
    <row r="1374" spans="1:2" x14ac:dyDescent="0.35">
      <c r="A1374" s="1012">
        <v>40603</v>
      </c>
      <c r="B1374" s="1013">
        <v>2.4830328196911511</v>
      </c>
    </row>
    <row r="1375" spans="1:2" x14ac:dyDescent="0.35">
      <c r="A1375" s="1012">
        <v>40604</v>
      </c>
      <c r="B1375" s="1013">
        <v>2.4234788320635343</v>
      </c>
    </row>
    <row r="1376" spans="1:2" x14ac:dyDescent="0.35">
      <c r="A1376" s="1012">
        <v>40605</v>
      </c>
      <c r="B1376" s="1013">
        <v>2.4382210828021691</v>
      </c>
    </row>
    <row r="1377" spans="1:2" x14ac:dyDescent="0.35">
      <c r="A1377" s="1012">
        <v>40606</v>
      </c>
      <c r="B1377" s="1013">
        <v>2.5607590004308141</v>
      </c>
    </row>
    <row r="1378" spans="1:2" x14ac:dyDescent="0.35">
      <c r="A1378" s="1012">
        <v>40609</v>
      </c>
      <c r="B1378" s="1013">
        <v>2.5305392107625981</v>
      </c>
    </row>
    <row r="1379" spans="1:2" x14ac:dyDescent="0.35">
      <c r="A1379" s="1012">
        <v>40610</v>
      </c>
      <c r="B1379" s="1013">
        <v>2.5551970967374293</v>
      </c>
    </row>
    <row r="1380" spans="1:2" x14ac:dyDescent="0.35">
      <c r="A1380" s="1012">
        <v>40611</v>
      </c>
      <c r="B1380" s="1013">
        <v>2.5965858867730351</v>
      </c>
    </row>
    <row r="1381" spans="1:2" x14ac:dyDescent="0.35">
      <c r="A1381" s="1012">
        <v>40612</v>
      </c>
      <c r="B1381" s="1013">
        <v>2.6278471821177765</v>
      </c>
    </row>
    <row r="1382" spans="1:2" x14ac:dyDescent="0.35">
      <c r="A1382" s="1012">
        <v>40613</v>
      </c>
      <c r="B1382" s="1013">
        <v>2.5585861330718784</v>
      </c>
    </row>
    <row r="1383" spans="1:2" x14ac:dyDescent="0.35">
      <c r="A1383" s="1012">
        <v>40616</v>
      </c>
      <c r="B1383" s="1013">
        <v>2.5519368600231349</v>
      </c>
    </row>
    <row r="1384" spans="1:2" x14ac:dyDescent="0.35">
      <c r="A1384" s="1012">
        <v>40617</v>
      </c>
      <c r="B1384" s="1013">
        <v>2.4729692785970823</v>
      </c>
    </row>
    <row r="1385" spans="1:2" x14ac:dyDescent="0.35">
      <c r="A1385" s="1012">
        <v>40618</v>
      </c>
      <c r="B1385" s="1013">
        <v>2.4841685443020327</v>
      </c>
    </row>
    <row r="1386" spans="1:2" x14ac:dyDescent="0.35">
      <c r="A1386" s="1012">
        <v>40619</v>
      </c>
      <c r="B1386" s="1013">
        <v>2.3987328292968995</v>
      </c>
    </row>
    <row r="1387" spans="1:2" x14ac:dyDescent="0.35">
      <c r="A1387" s="1012">
        <v>40620</v>
      </c>
      <c r="B1387" s="1013">
        <v>2.3300881103183197</v>
      </c>
    </row>
    <row r="1388" spans="1:2" x14ac:dyDescent="0.35">
      <c r="A1388" s="1012">
        <v>40623</v>
      </c>
      <c r="B1388" s="1013">
        <v>2.4402726157904673</v>
      </c>
    </row>
    <row r="1389" spans="1:2" x14ac:dyDescent="0.35">
      <c r="A1389" s="1012">
        <v>40624</v>
      </c>
      <c r="B1389" s="1013">
        <v>2.3651938970184752</v>
      </c>
    </row>
    <row r="1390" spans="1:2" x14ac:dyDescent="0.35">
      <c r="A1390" s="1012">
        <v>40625</v>
      </c>
      <c r="B1390" s="1013">
        <v>2.4228198926412023</v>
      </c>
    </row>
    <row r="1391" spans="1:2" x14ac:dyDescent="0.35">
      <c r="A1391" s="1012">
        <v>40626</v>
      </c>
      <c r="B1391" s="1013">
        <v>2.3942467468262087</v>
      </c>
    </row>
    <row r="1392" spans="1:2" x14ac:dyDescent="0.35">
      <c r="A1392" s="1012">
        <v>40627</v>
      </c>
      <c r="B1392" s="1013">
        <v>2.3624139348235245</v>
      </c>
    </row>
    <row r="1393" spans="1:2" x14ac:dyDescent="0.35">
      <c r="A1393" s="1012">
        <v>40630</v>
      </c>
      <c r="B1393" s="1013">
        <v>2.3893501147328924</v>
      </c>
    </row>
    <row r="1394" spans="1:2" x14ac:dyDescent="0.35">
      <c r="A1394" s="1012">
        <v>40631</v>
      </c>
      <c r="B1394" s="1013">
        <v>2.3708199189386625</v>
      </c>
    </row>
    <row r="1395" spans="1:2" x14ac:dyDescent="0.35">
      <c r="A1395" s="1012">
        <v>40632</v>
      </c>
      <c r="B1395" s="1013">
        <v>2.3687942273833125</v>
      </c>
    </row>
    <row r="1396" spans="1:2" x14ac:dyDescent="0.35">
      <c r="A1396" s="1012">
        <v>40633</v>
      </c>
      <c r="B1396" s="1013">
        <v>2.3371461976110854</v>
      </c>
    </row>
    <row r="1397" spans="1:2" x14ac:dyDescent="0.35">
      <c r="A1397" s="1012">
        <v>40634</v>
      </c>
      <c r="B1397" s="1013">
        <v>2.4568437397838467</v>
      </c>
    </row>
    <row r="1398" spans="1:2" x14ac:dyDescent="0.35">
      <c r="A1398" s="1012">
        <v>40639</v>
      </c>
      <c r="B1398" s="1013">
        <v>2.5643094655616867</v>
      </c>
    </row>
    <row r="1399" spans="1:2" x14ac:dyDescent="0.35">
      <c r="A1399" s="1012">
        <v>40640</v>
      </c>
      <c r="B1399" s="1013">
        <v>2.5944791939545859</v>
      </c>
    </row>
    <row r="1400" spans="1:2" x14ac:dyDescent="0.35">
      <c r="A1400" s="1012">
        <v>40641</v>
      </c>
      <c r="B1400" s="1013">
        <v>2.5412501982111149</v>
      </c>
    </row>
    <row r="1401" spans="1:2" x14ac:dyDescent="0.35">
      <c r="A1401" s="1012">
        <v>40644</v>
      </c>
      <c r="B1401" s="1013">
        <v>2.5653421610091924</v>
      </c>
    </row>
    <row r="1402" spans="1:2" x14ac:dyDescent="0.35">
      <c r="A1402" s="1012">
        <v>40645</v>
      </c>
      <c r="B1402" s="1013">
        <v>2.515708152061944</v>
      </c>
    </row>
    <row r="1403" spans="1:2" x14ac:dyDescent="0.35">
      <c r="A1403" s="1012">
        <v>40646</v>
      </c>
      <c r="B1403" s="1013">
        <v>2.557622607291576</v>
      </c>
    </row>
    <row r="1404" spans="1:2" x14ac:dyDescent="0.35">
      <c r="A1404" s="1012">
        <v>40647</v>
      </c>
      <c r="B1404" s="1013">
        <v>2.5960816214373637</v>
      </c>
    </row>
    <row r="1405" spans="1:2" x14ac:dyDescent="0.35">
      <c r="A1405" s="1012">
        <v>40648</v>
      </c>
      <c r="B1405" s="1013">
        <v>2.5871296378096438</v>
      </c>
    </row>
    <row r="1406" spans="1:2" x14ac:dyDescent="0.35">
      <c r="A1406" s="1012">
        <v>40651</v>
      </c>
      <c r="B1406" s="1013">
        <v>2.5165106044688095</v>
      </c>
    </row>
    <row r="1407" spans="1:2" x14ac:dyDescent="0.35">
      <c r="A1407" s="1012">
        <v>40652</v>
      </c>
      <c r="B1407" s="1013">
        <v>2.4672094901369088</v>
      </c>
    </row>
    <row r="1408" spans="1:2" x14ac:dyDescent="0.35">
      <c r="A1408" s="1012">
        <v>40653</v>
      </c>
      <c r="B1408" s="1013">
        <v>2.4920800041386881</v>
      </c>
    </row>
    <row r="1409" spans="1:2" x14ac:dyDescent="0.35">
      <c r="A1409" s="1012">
        <v>40654</v>
      </c>
      <c r="B1409" s="1013">
        <v>2.5909355317114358</v>
      </c>
    </row>
    <row r="1410" spans="1:2" x14ac:dyDescent="0.35">
      <c r="A1410" s="1012">
        <v>40655</v>
      </c>
      <c r="B1410" s="1013">
        <v>2.5887644335375581</v>
      </c>
    </row>
    <row r="1411" spans="1:2" x14ac:dyDescent="0.35">
      <c r="A1411" s="1012">
        <v>40658</v>
      </c>
      <c r="B1411" s="1013">
        <v>2.5822729157711763</v>
      </c>
    </row>
    <row r="1412" spans="1:2" x14ac:dyDescent="0.35">
      <c r="A1412" s="1012">
        <v>40659</v>
      </c>
      <c r="B1412" s="1013">
        <v>2.5432575007634566</v>
      </c>
    </row>
    <row r="1413" spans="1:2" x14ac:dyDescent="0.35">
      <c r="A1413" s="1012">
        <v>40660</v>
      </c>
      <c r="B1413" s="1013">
        <v>2.5511792594765965</v>
      </c>
    </row>
    <row r="1414" spans="1:2" x14ac:dyDescent="0.35">
      <c r="A1414" s="1012">
        <v>40661</v>
      </c>
      <c r="B1414" s="1013">
        <v>2.5289808929920081</v>
      </c>
    </row>
    <row r="1415" spans="1:2" x14ac:dyDescent="0.35">
      <c r="A1415" s="1012">
        <v>40662</v>
      </c>
      <c r="B1415" s="1013">
        <v>2.5369013463556502</v>
      </c>
    </row>
    <row r="1416" spans="1:2" x14ac:dyDescent="0.35">
      <c r="A1416" s="1012">
        <v>40666</v>
      </c>
      <c r="B1416" s="1013">
        <v>2.5384697061826418</v>
      </c>
    </row>
    <row r="1417" spans="1:2" x14ac:dyDescent="0.35">
      <c r="A1417" s="1012">
        <v>40667</v>
      </c>
      <c r="B1417" s="1013">
        <v>2.579635046254606</v>
      </c>
    </row>
    <row r="1418" spans="1:2" x14ac:dyDescent="0.35">
      <c r="A1418" s="1012">
        <v>40668</v>
      </c>
      <c r="B1418" s="1013">
        <v>2.5907999201443719</v>
      </c>
    </row>
    <row r="1419" spans="1:2" x14ac:dyDescent="0.35">
      <c r="A1419" s="1012">
        <v>40669</v>
      </c>
      <c r="B1419" s="1013">
        <v>2.5354853468484446</v>
      </c>
    </row>
    <row r="1420" spans="1:2" x14ac:dyDescent="0.35">
      <c r="A1420" s="1012">
        <v>40672</v>
      </c>
      <c r="B1420" s="1013">
        <v>2.5822379498813253</v>
      </c>
    </row>
    <row r="1421" spans="1:2" x14ac:dyDescent="0.35">
      <c r="A1421" s="1012">
        <v>40673</v>
      </c>
      <c r="B1421" s="1013">
        <v>2.5801062922822324</v>
      </c>
    </row>
    <row r="1422" spans="1:2" x14ac:dyDescent="0.35">
      <c r="A1422" s="1012">
        <v>40674</v>
      </c>
      <c r="B1422" s="1013">
        <v>2.7235892405922217</v>
      </c>
    </row>
    <row r="1423" spans="1:2" x14ac:dyDescent="0.35">
      <c r="A1423" s="1012">
        <v>40675</v>
      </c>
      <c r="B1423" s="1013">
        <v>2.7048115245528606</v>
      </c>
    </row>
    <row r="1424" spans="1:2" x14ac:dyDescent="0.35">
      <c r="A1424" s="1012">
        <v>40676</v>
      </c>
      <c r="B1424" s="1013">
        <v>2.6431141296214449</v>
      </c>
    </row>
    <row r="1425" spans="1:2" x14ac:dyDescent="0.35">
      <c r="A1425" s="1012">
        <v>40679</v>
      </c>
      <c r="B1425" s="1013">
        <v>2.5838686439317673</v>
      </c>
    </row>
    <row r="1426" spans="1:2" x14ac:dyDescent="0.35">
      <c r="A1426" s="1012">
        <v>40680</v>
      </c>
      <c r="B1426" s="1013">
        <v>2.6377296733818461</v>
      </c>
    </row>
    <row r="1427" spans="1:2" x14ac:dyDescent="0.35">
      <c r="A1427" s="1012">
        <v>40681</v>
      </c>
      <c r="B1427" s="1013">
        <v>2.6980830512156282</v>
      </c>
    </row>
    <row r="1428" spans="1:2" x14ac:dyDescent="0.35">
      <c r="A1428" s="1012">
        <v>40682</v>
      </c>
      <c r="B1428" s="1013">
        <v>2.7155980824026384</v>
      </c>
    </row>
    <row r="1429" spans="1:2" x14ac:dyDescent="0.35">
      <c r="A1429" s="1012">
        <v>40683</v>
      </c>
      <c r="B1429" s="1013">
        <v>2.6838100739982527</v>
      </c>
    </row>
    <row r="1430" spans="1:2" x14ac:dyDescent="0.35">
      <c r="A1430" s="1012">
        <v>40686</v>
      </c>
      <c r="B1430" s="1013">
        <v>2.6739572175551265</v>
      </c>
    </row>
    <row r="1431" spans="1:2" x14ac:dyDescent="0.35">
      <c r="A1431" s="1012">
        <v>40687</v>
      </c>
      <c r="B1431" s="1013">
        <v>2.5866449765319053</v>
      </c>
    </row>
    <row r="1432" spans="1:2" x14ac:dyDescent="0.35">
      <c r="A1432" s="1012">
        <v>40688</v>
      </c>
      <c r="B1432" s="1013">
        <v>2.6499670840741314</v>
      </c>
    </row>
    <row r="1433" spans="1:2" x14ac:dyDescent="0.35">
      <c r="A1433" s="1012">
        <v>40689</v>
      </c>
      <c r="B1433" s="1013">
        <v>2.7131860086806214</v>
      </c>
    </row>
    <row r="1434" spans="1:2" x14ac:dyDescent="0.35">
      <c r="A1434" s="1012">
        <v>40690</v>
      </c>
      <c r="B1434" s="1013">
        <v>2.7240421999527022</v>
      </c>
    </row>
    <row r="1435" spans="1:2" x14ac:dyDescent="0.35">
      <c r="A1435" s="1012">
        <v>40693</v>
      </c>
      <c r="B1435" s="1013">
        <v>2.7532466979089478</v>
      </c>
    </row>
    <row r="1436" spans="1:2" x14ac:dyDescent="0.35">
      <c r="A1436" s="1012">
        <v>40694</v>
      </c>
      <c r="B1436" s="1013">
        <v>2.7282231473114367</v>
      </c>
    </row>
    <row r="1437" spans="1:2" x14ac:dyDescent="0.35">
      <c r="A1437" s="1012">
        <v>40695</v>
      </c>
      <c r="B1437" s="1013">
        <v>2.6670349489694645</v>
      </c>
    </row>
    <row r="1438" spans="1:2" x14ac:dyDescent="0.35">
      <c r="A1438" s="1012">
        <v>40696</v>
      </c>
      <c r="B1438" s="1013">
        <v>2.6681481154366091</v>
      </c>
    </row>
    <row r="1439" spans="1:2" x14ac:dyDescent="0.35">
      <c r="A1439" s="1012">
        <v>40697</v>
      </c>
      <c r="B1439" s="1013">
        <v>2.679072933722753</v>
      </c>
    </row>
    <row r="1440" spans="1:2" x14ac:dyDescent="0.35">
      <c r="A1440" s="1012">
        <v>40701</v>
      </c>
      <c r="B1440" s="1013">
        <v>2.6541234393220772</v>
      </c>
    </row>
    <row r="1441" spans="1:2" x14ac:dyDescent="0.35">
      <c r="A1441" s="1012">
        <v>40702</v>
      </c>
      <c r="B1441" s="1013">
        <v>2.5151491272822057</v>
      </c>
    </row>
    <row r="1442" spans="1:2" x14ac:dyDescent="0.35">
      <c r="A1442" s="1012">
        <v>40703</v>
      </c>
      <c r="B1442" s="1013">
        <v>2.3601220154197287</v>
      </c>
    </row>
    <row r="1443" spans="1:2" x14ac:dyDescent="0.35">
      <c r="A1443" s="1012">
        <v>40704</v>
      </c>
      <c r="B1443" s="1013">
        <v>2.3777386533399594</v>
      </c>
    </row>
    <row r="1444" spans="1:2" x14ac:dyDescent="0.35">
      <c r="A1444" s="1012">
        <v>40707</v>
      </c>
      <c r="B1444" s="1013">
        <v>2.3428069260323872</v>
      </c>
    </row>
    <row r="1445" spans="1:2" x14ac:dyDescent="0.35">
      <c r="A1445" s="1012">
        <v>40708</v>
      </c>
      <c r="B1445" s="1013">
        <v>2.3474117932031233</v>
      </c>
    </row>
    <row r="1446" spans="1:2" x14ac:dyDescent="0.35">
      <c r="A1446" s="1012">
        <v>40709</v>
      </c>
      <c r="B1446" s="1013">
        <v>2.3746870524837651</v>
      </c>
    </row>
    <row r="1447" spans="1:2" x14ac:dyDescent="0.35">
      <c r="A1447" s="1012">
        <v>40710</v>
      </c>
      <c r="B1447" s="1013">
        <v>2.3501252212573518</v>
      </c>
    </row>
    <row r="1448" spans="1:2" x14ac:dyDescent="0.35">
      <c r="A1448" s="1012">
        <v>40711</v>
      </c>
      <c r="B1448" s="1013">
        <v>2.3773546464847604</v>
      </c>
    </row>
    <row r="1449" spans="1:2" x14ac:dyDescent="0.35">
      <c r="A1449" s="1012">
        <v>40714</v>
      </c>
      <c r="B1449" s="1013">
        <v>2.3071248570893976</v>
      </c>
    </row>
    <row r="1450" spans="1:2" x14ac:dyDescent="0.35">
      <c r="A1450" s="1012">
        <v>40715</v>
      </c>
      <c r="B1450" s="1013">
        <v>2.3826642945539085</v>
      </c>
    </row>
    <row r="1451" spans="1:2" x14ac:dyDescent="0.35">
      <c r="A1451" s="1012">
        <v>40716</v>
      </c>
      <c r="B1451" s="1013">
        <v>2.4162024480856457</v>
      </c>
    </row>
    <row r="1452" spans="1:2" x14ac:dyDescent="0.35">
      <c r="A1452" s="1012">
        <v>40717</v>
      </c>
      <c r="B1452" s="1013">
        <v>2.4818775405261948</v>
      </c>
    </row>
    <row r="1453" spans="1:2" x14ac:dyDescent="0.35">
      <c r="A1453" s="1012">
        <v>40718</v>
      </c>
      <c r="B1453" s="1013">
        <v>2.5152833374948638</v>
      </c>
    </row>
    <row r="1454" spans="1:2" x14ac:dyDescent="0.35">
      <c r="A1454" s="1012">
        <v>40721</v>
      </c>
      <c r="B1454" s="1013">
        <v>2.5285444749985073</v>
      </c>
    </row>
    <row r="1455" spans="1:2" x14ac:dyDescent="0.35">
      <c r="A1455" s="1012">
        <v>40722</v>
      </c>
      <c r="B1455" s="1013">
        <v>2.5201257579279104</v>
      </c>
    </row>
    <row r="1456" spans="1:2" x14ac:dyDescent="0.35">
      <c r="A1456" s="1012">
        <v>40723</v>
      </c>
      <c r="B1456" s="1013">
        <v>2.5309427392457282</v>
      </c>
    </row>
    <row r="1457" spans="1:2" x14ac:dyDescent="0.35">
      <c r="A1457" s="1012">
        <v>40724</v>
      </c>
      <c r="B1457" s="1013">
        <v>2.5225354602686574</v>
      </c>
    </row>
    <row r="1458" spans="1:2" x14ac:dyDescent="0.35">
      <c r="A1458" s="1012">
        <v>40725</v>
      </c>
      <c r="B1458" s="1013">
        <v>2.5205387971147126</v>
      </c>
    </row>
    <row r="1459" spans="1:2" x14ac:dyDescent="0.35">
      <c r="A1459" s="1012">
        <v>40728</v>
      </c>
      <c r="B1459" s="1013">
        <v>2.5783892436900087</v>
      </c>
    </row>
    <row r="1460" spans="1:2" x14ac:dyDescent="0.35">
      <c r="A1460" s="1012">
        <v>40729</v>
      </c>
      <c r="B1460" s="1013">
        <v>2.6273717388007607</v>
      </c>
    </row>
    <row r="1461" spans="1:2" x14ac:dyDescent="0.35">
      <c r="A1461" s="1012">
        <v>40730</v>
      </c>
      <c r="B1461" s="1013">
        <v>2.6093700723992632</v>
      </c>
    </row>
    <row r="1462" spans="1:2" x14ac:dyDescent="0.35">
      <c r="A1462" s="1012">
        <v>40731</v>
      </c>
      <c r="B1462" s="1013">
        <v>2.5850297007954919</v>
      </c>
    </row>
    <row r="1463" spans="1:2" x14ac:dyDescent="0.35">
      <c r="A1463" s="1012">
        <v>40732</v>
      </c>
      <c r="B1463" s="1013">
        <v>2.5988999867804154</v>
      </c>
    </row>
    <row r="1464" spans="1:2" x14ac:dyDescent="0.35">
      <c r="A1464" s="1012">
        <v>40735</v>
      </c>
      <c r="B1464" s="1013">
        <v>2.5451741198751843</v>
      </c>
    </row>
    <row r="1465" spans="1:2" x14ac:dyDescent="0.35">
      <c r="A1465" s="1012">
        <v>40736</v>
      </c>
      <c r="B1465" s="1013">
        <v>2.479756055772111</v>
      </c>
    </row>
    <row r="1466" spans="1:2" x14ac:dyDescent="0.35">
      <c r="A1466" s="1012">
        <v>40737</v>
      </c>
      <c r="B1466" s="1013">
        <v>2.5190029652586041</v>
      </c>
    </row>
    <row r="1467" spans="1:2" x14ac:dyDescent="0.35">
      <c r="A1467" s="1012">
        <v>40738</v>
      </c>
      <c r="B1467" s="1013">
        <v>2.5708526762116004</v>
      </c>
    </row>
    <row r="1468" spans="1:2" x14ac:dyDescent="0.35">
      <c r="A1468" s="1012">
        <v>40739</v>
      </c>
      <c r="B1468" s="1013">
        <v>2.5245497249969588</v>
      </c>
    </row>
    <row r="1469" spans="1:2" x14ac:dyDescent="0.35">
      <c r="A1469" s="1012">
        <v>40742</v>
      </c>
      <c r="B1469" s="1013">
        <v>2.4965412616968767</v>
      </c>
    </row>
    <row r="1470" spans="1:2" x14ac:dyDescent="0.35">
      <c r="A1470" s="1012">
        <v>40743</v>
      </c>
      <c r="B1470" s="1013">
        <v>2.4535945658613132</v>
      </c>
    </row>
    <row r="1471" spans="1:2" x14ac:dyDescent="0.35">
      <c r="A1471" s="1012">
        <v>40744</v>
      </c>
      <c r="B1471" s="1013">
        <v>2.4264711561374708</v>
      </c>
    </row>
    <row r="1472" spans="1:2" x14ac:dyDescent="0.35">
      <c r="A1472" s="1012">
        <v>40745</v>
      </c>
      <c r="B1472" s="1013">
        <v>2.3867947920939661</v>
      </c>
    </row>
    <row r="1473" spans="1:2" x14ac:dyDescent="0.35">
      <c r="A1473" s="1012">
        <v>40746</v>
      </c>
      <c r="B1473" s="1013">
        <v>2.4698880238169885</v>
      </c>
    </row>
    <row r="1474" spans="1:2" x14ac:dyDescent="0.35">
      <c r="A1474" s="1012">
        <v>40749</v>
      </c>
      <c r="B1474" s="1013">
        <v>2.4107690121271323</v>
      </c>
    </row>
    <row r="1475" spans="1:2" x14ac:dyDescent="0.35">
      <c r="A1475" s="1012">
        <v>40750</v>
      </c>
      <c r="B1475" s="1013">
        <v>2.4465368714721212</v>
      </c>
    </row>
    <row r="1476" spans="1:2" x14ac:dyDescent="0.35">
      <c r="A1476" s="1012">
        <v>40751</v>
      </c>
      <c r="B1476" s="1013">
        <v>2.4415052597027951</v>
      </c>
    </row>
    <row r="1477" spans="1:2" x14ac:dyDescent="0.35">
      <c r="A1477" s="1012">
        <v>40752</v>
      </c>
      <c r="B1477" s="1013">
        <v>2.442744895060287</v>
      </c>
    </row>
    <row r="1478" spans="1:2" x14ac:dyDescent="0.35">
      <c r="A1478" s="1012">
        <v>40753</v>
      </c>
      <c r="B1478" s="1013">
        <v>2.4439826105497229</v>
      </c>
    </row>
    <row r="1479" spans="1:2" x14ac:dyDescent="0.35">
      <c r="A1479" s="1012">
        <v>40756</v>
      </c>
      <c r="B1479" s="1013">
        <v>2.5101252078759093</v>
      </c>
    </row>
    <row r="1480" spans="1:2" x14ac:dyDescent="0.35">
      <c r="A1480" s="1012">
        <v>40757</v>
      </c>
      <c r="B1480" s="1013">
        <v>2.4925892685850601</v>
      </c>
    </row>
    <row r="1481" spans="1:2" x14ac:dyDescent="0.35">
      <c r="A1481" s="1012">
        <v>40758</v>
      </c>
      <c r="B1481" s="1013">
        <v>2.4096185593547612</v>
      </c>
    </row>
    <row r="1482" spans="1:2" x14ac:dyDescent="0.35">
      <c r="A1482" s="1012">
        <v>40759</v>
      </c>
      <c r="B1482" s="1013">
        <v>2.4015316031524403</v>
      </c>
    </row>
    <row r="1483" spans="1:2" x14ac:dyDescent="0.35">
      <c r="A1483" s="1012">
        <v>40760</v>
      </c>
      <c r="B1483" s="1013">
        <v>2.2969718371162497</v>
      </c>
    </row>
    <row r="1484" spans="1:2" x14ac:dyDescent="0.35">
      <c r="A1484" s="1012">
        <v>40763</v>
      </c>
      <c r="B1484" s="1013">
        <v>2.2295716752159129</v>
      </c>
    </row>
    <row r="1485" spans="1:2" x14ac:dyDescent="0.35">
      <c r="A1485" s="1012">
        <v>40764</v>
      </c>
      <c r="B1485" s="1013">
        <v>2.1751109799809045</v>
      </c>
    </row>
    <row r="1486" spans="1:2" x14ac:dyDescent="0.35">
      <c r="A1486" s="1012">
        <v>40765</v>
      </c>
      <c r="B1486" s="1013">
        <v>2.1424372700654679</v>
      </c>
    </row>
    <row r="1487" spans="1:2" x14ac:dyDescent="0.35">
      <c r="A1487" s="1012">
        <v>40766</v>
      </c>
      <c r="B1487" s="1013">
        <v>2.0819306588770847</v>
      </c>
    </row>
    <row r="1488" spans="1:2" x14ac:dyDescent="0.35">
      <c r="A1488" s="1012">
        <v>40767</v>
      </c>
      <c r="B1488" s="1013">
        <v>2.0865272442198743</v>
      </c>
    </row>
    <row r="1489" spans="1:2" x14ac:dyDescent="0.35">
      <c r="A1489" s="1012">
        <v>40770</v>
      </c>
      <c r="B1489" s="1013">
        <v>2.1867567470982139</v>
      </c>
    </row>
    <row r="1490" spans="1:2" x14ac:dyDescent="0.35">
      <c r="A1490" s="1012">
        <v>40771</v>
      </c>
      <c r="B1490" s="1013">
        <v>2.1820003904708281</v>
      </c>
    </row>
    <row r="1491" spans="1:2" x14ac:dyDescent="0.35">
      <c r="A1491" s="1012">
        <v>40772</v>
      </c>
      <c r="B1491" s="1013">
        <v>2.1741673680305933</v>
      </c>
    </row>
    <row r="1492" spans="1:2" x14ac:dyDescent="0.35">
      <c r="A1492" s="1012">
        <v>40773</v>
      </c>
      <c r="B1492" s="1013">
        <v>2.1478568498231976</v>
      </c>
    </row>
    <row r="1493" spans="1:2" x14ac:dyDescent="0.35">
      <c r="A1493" s="1012">
        <v>40774</v>
      </c>
      <c r="B1493" s="1013">
        <v>1.9861005019225755</v>
      </c>
    </row>
    <row r="1494" spans="1:2" x14ac:dyDescent="0.35">
      <c r="A1494" s="1012">
        <v>40777</v>
      </c>
      <c r="B1494" s="1013">
        <v>1.7757331842501387</v>
      </c>
    </row>
    <row r="1495" spans="1:2" x14ac:dyDescent="0.35">
      <c r="A1495" s="1012">
        <v>40778</v>
      </c>
      <c r="B1495" s="1013">
        <v>1.8020130480629069</v>
      </c>
    </row>
    <row r="1496" spans="1:2" x14ac:dyDescent="0.35">
      <c r="A1496" s="1012">
        <v>40779</v>
      </c>
      <c r="B1496" s="1013">
        <v>1.766902242275141</v>
      </c>
    </row>
    <row r="1497" spans="1:2" x14ac:dyDescent="0.35">
      <c r="A1497" s="1012">
        <v>40780</v>
      </c>
      <c r="B1497" s="1013">
        <v>1.7379751239432626</v>
      </c>
    </row>
    <row r="1498" spans="1:2" x14ac:dyDescent="0.35">
      <c r="A1498" s="1012">
        <v>40781</v>
      </c>
      <c r="B1498" s="1013">
        <v>1.7580980733953631</v>
      </c>
    </row>
    <row r="1499" spans="1:2" x14ac:dyDescent="0.35">
      <c r="A1499" s="1012">
        <v>40784</v>
      </c>
      <c r="B1499" s="1013">
        <v>1.7938367942871358</v>
      </c>
    </row>
    <row r="1500" spans="1:2" x14ac:dyDescent="0.35">
      <c r="A1500" s="1012">
        <v>40785</v>
      </c>
      <c r="B1500" s="1013">
        <v>1.8199639707898625</v>
      </c>
    </row>
    <row r="1501" spans="1:2" x14ac:dyDescent="0.35">
      <c r="A1501" s="1012">
        <v>40786</v>
      </c>
      <c r="B1501" s="1013">
        <v>1.8918215680984594</v>
      </c>
    </row>
    <row r="1502" spans="1:2" x14ac:dyDescent="0.35">
      <c r="A1502" s="1012">
        <v>40787</v>
      </c>
      <c r="B1502" s="1013">
        <v>1.9391785488407483</v>
      </c>
    </row>
    <row r="1503" spans="1:2" x14ac:dyDescent="0.35">
      <c r="A1503" s="1012">
        <v>40788</v>
      </c>
      <c r="B1503" s="1013">
        <v>1.9072492945514399</v>
      </c>
    </row>
    <row r="1504" spans="1:2" x14ac:dyDescent="0.35">
      <c r="A1504" s="1012">
        <v>40791</v>
      </c>
      <c r="B1504" s="1013">
        <v>1.8117497504974207</v>
      </c>
    </row>
    <row r="1505" spans="1:2" x14ac:dyDescent="0.35">
      <c r="A1505" s="1012">
        <v>40792</v>
      </c>
      <c r="B1505" s="1013">
        <v>1.7162234450006795</v>
      </c>
    </row>
    <row r="1506" spans="1:2" x14ac:dyDescent="0.35">
      <c r="A1506" s="1012">
        <v>40793</v>
      </c>
      <c r="B1506" s="1013">
        <v>1.7604636161167999</v>
      </c>
    </row>
    <row r="1507" spans="1:2" x14ac:dyDescent="0.35">
      <c r="A1507" s="1012">
        <v>40794</v>
      </c>
      <c r="B1507" s="1013">
        <v>1.719713267308324</v>
      </c>
    </row>
    <row r="1508" spans="1:2" x14ac:dyDescent="0.35">
      <c r="A1508" s="1012">
        <v>40795</v>
      </c>
      <c r="B1508" s="1013">
        <v>1.7275157111721202</v>
      </c>
    </row>
    <row r="1509" spans="1:2" x14ac:dyDescent="0.35">
      <c r="A1509" s="1012">
        <v>40799</v>
      </c>
      <c r="B1509" s="1013">
        <v>1.6135689023774504</v>
      </c>
    </row>
    <row r="1510" spans="1:2" x14ac:dyDescent="0.35">
      <c r="A1510" s="1012">
        <v>40800</v>
      </c>
      <c r="B1510" s="1013">
        <v>1.5731109952526769</v>
      </c>
    </row>
    <row r="1511" spans="1:2" x14ac:dyDescent="0.35">
      <c r="A1511" s="1012">
        <v>40801</v>
      </c>
      <c r="B1511" s="1013">
        <v>1.6262452306206281</v>
      </c>
    </row>
    <row r="1512" spans="1:2" x14ac:dyDescent="0.35">
      <c r="A1512" s="1012">
        <v>40802</v>
      </c>
      <c r="B1512" s="1013">
        <v>1.6310617580055955</v>
      </c>
    </row>
    <row r="1513" spans="1:2" x14ac:dyDescent="0.35">
      <c r="A1513" s="1012">
        <v>40805</v>
      </c>
      <c r="B1513" s="1013">
        <v>1.4890435395865831</v>
      </c>
    </row>
    <row r="1514" spans="1:2" x14ac:dyDescent="0.35">
      <c r="A1514" s="1012">
        <v>40806</v>
      </c>
      <c r="B1514" s="1013">
        <v>1.4788074873760324</v>
      </c>
    </row>
    <row r="1515" spans="1:2" x14ac:dyDescent="0.35">
      <c r="A1515" s="1012">
        <v>40807</v>
      </c>
      <c r="B1515" s="1013">
        <v>1.5081138299527415</v>
      </c>
    </row>
    <row r="1516" spans="1:2" x14ac:dyDescent="0.35">
      <c r="A1516" s="1012">
        <v>40808</v>
      </c>
      <c r="B1516" s="1013">
        <v>1.3641938949463106</v>
      </c>
    </row>
    <row r="1517" spans="1:2" x14ac:dyDescent="0.35">
      <c r="A1517" s="1012">
        <v>40809</v>
      </c>
      <c r="B1517" s="1013">
        <v>1.3783616065707425</v>
      </c>
    </row>
    <row r="1518" spans="1:2" x14ac:dyDescent="0.35">
      <c r="A1518" s="1012">
        <v>40812</v>
      </c>
      <c r="B1518" s="1013">
        <v>1.2480690886935315</v>
      </c>
    </row>
    <row r="1519" spans="1:2" x14ac:dyDescent="0.35">
      <c r="A1519" s="1012">
        <v>40813</v>
      </c>
      <c r="B1519" s="1013">
        <v>1.2986054226670145</v>
      </c>
    </row>
    <row r="1520" spans="1:2" x14ac:dyDescent="0.35">
      <c r="A1520" s="1012">
        <v>40814</v>
      </c>
      <c r="B1520" s="1013">
        <v>1.352091833456488</v>
      </c>
    </row>
    <row r="1521" spans="1:2" x14ac:dyDescent="0.35">
      <c r="A1521" s="1012">
        <v>40815</v>
      </c>
      <c r="B1521" s="1013">
        <v>1.3510927820044025</v>
      </c>
    </row>
    <row r="1522" spans="1:2" x14ac:dyDescent="0.35">
      <c r="A1522" s="1012">
        <v>40816</v>
      </c>
      <c r="B1522" s="1013">
        <v>1.2564644421304181</v>
      </c>
    </row>
    <row r="1523" spans="1:2" x14ac:dyDescent="0.35">
      <c r="A1523" s="1012">
        <v>40826</v>
      </c>
      <c r="B1523" s="1013">
        <v>1.4811157420070022</v>
      </c>
    </row>
    <row r="1524" spans="1:2" x14ac:dyDescent="0.35">
      <c r="A1524" s="1012">
        <v>40827</v>
      </c>
      <c r="B1524" s="1013">
        <v>1.6208436375176849</v>
      </c>
    </row>
    <row r="1525" spans="1:2" x14ac:dyDescent="0.35">
      <c r="A1525" s="1012">
        <v>40828</v>
      </c>
      <c r="B1525" s="1013">
        <v>1.6765400091609952</v>
      </c>
    </row>
    <row r="1526" spans="1:2" x14ac:dyDescent="0.35">
      <c r="A1526" s="1012">
        <v>40829</v>
      </c>
      <c r="B1526" s="1013">
        <v>1.7740377638898668</v>
      </c>
    </row>
    <row r="1527" spans="1:2" x14ac:dyDescent="0.35">
      <c r="A1527" s="1012">
        <v>40830</v>
      </c>
      <c r="B1527" s="1013">
        <v>1.6441951428761119</v>
      </c>
    </row>
    <row r="1528" spans="1:2" x14ac:dyDescent="0.35">
      <c r="A1528" s="1012">
        <v>40833</v>
      </c>
      <c r="B1528" s="1013">
        <v>1.7420171326782075</v>
      </c>
    </row>
    <row r="1529" spans="1:2" x14ac:dyDescent="0.35">
      <c r="A1529" s="1012">
        <v>40834</v>
      </c>
      <c r="B1529" s="1013">
        <v>1.5917111626482048</v>
      </c>
    </row>
    <row r="1530" spans="1:2" x14ac:dyDescent="0.35">
      <c r="A1530" s="1012">
        <v>40835</v>
      </c>
      <c r="B1530" s="1013">
        <v>1.5339595045632461</v>
      </c>
    </row>
    <row r="1531" spans="1:2" x14ac:dyDescent="0.35">
      <c r="A1531" s="1012">
        <v>40836</v>
      </c>
      <c r="B1531" s="1013">
        <v>1.5239142059924264</v>
      </c>
    </row>
    <row r="1532" spans="1:2" x14ac:dyDescent="0.35">
      <c r="A1532" s="1012">
        <v>40837</v>
      </c>
      <c r="B1532" s="1013">
        <v>1.5941877483682259</v>
      </c>
    </row>
    <row r="1533" spans="1:2" x14ac:dyDescent="0.35">
      <c r="A1533" s="1012">
        <v>40840</v>
      </c>
      <c r="B1533" s="1013">
        <v>1.7183316125544543</v>
      </c>
    </row>
    <row r="1534" spans="1:2" x14ac:dyDescent="0.35">
      <c r="A1534" s="1012">
        <v>40841</v>
      </c>
      <c r="B1534" s="1013">
        <v>1.7052234569996705</v>
      </c>
    </row>
    <row r="1535" spans="1:2" x14ac:dyDescent="0.35">
      <c r="A1535" s="1012">
        <v>40842</v>
      </c>
      <c r="B1535" s="1013">
        <v>1.8403071739534722</v>
      </c>
    </row>
    <row r="1536" spans="1:2" x14ac:dyDescent="0.35">
      <c r="A1536" s="1012">
        <v>40843</v>
      </c>
      <c r="B1536" s="1013">
        <v>1.9337369399825859</v>
      </c>
    </row>
    <row r="1537" spans="1:2" x14ac:dyDescent="0.35">
      <c r="A1537" s="1012">
        <v>40844</v>
      </c>
      <c r="B1537" s="1013">
        <v>1.8406038155882574</v>
      </c>
    </row>
    <row r="1538" spans="1:2" x14ac:dyDescent="0.35">
      <c r="A1538" s="1012">
        <v>40847</v>
      </c>
      <c r="B1538" s="1013">
        <v>1.8041376458078775</v>
      </c>
    </row>
    <row r="1539" spans="1:2" x14ac:dyDescent="0.35">
      <c r="A1539" s="1012">
        <v>40848</v>
      </c>
      <c r="B1539" s="1013">
        <v>1.7821818859960963</v>
      </c>
    </row>
    <row r="1540" spans="1:2" x14ac:dyDescent="0.35">
      <c r="A1540" s="1012">
        <v>40849</v>
      </c>
      <c r="B1540" s="1013">
        <v>1.8428159306581771</v>
      </c>
    </row>
    <row r="1541" spans="1:2" x14ac:dyDescent="0.35">
      <c r="A1541" s="1012">
        <v>40850</v>
      </c>
      <c r="B1541" s="1013">
        <v>1.8473813761903932</v>
      </c>
    </row>
    <row r="1542" spans="1:2" x14ac:dyDescent="0.35">
      <c r="A1542" s="1012">
        <v>40851</v>
      </c>
      <c r="B1542" s="1013">
        <v>1.9019926889672918</v>
      </c>
    </row>
    <row r="1543" spans="1:2" x14ac:dyDescent="0.35">
      <c r="A1543" s="1012">
        <v>40854</v>
      </c>
      <c r="B1543" s="1013">
        <v>1.8567638281820271</v>
      </c>
    </row>
    <row r="1544" spans="1:2" x14ac:dyDescent="0.35">
      <c r="A1544" s="1012">
        <v>40855</v>
      </c>
      <c r="B1544" s="1013">
        <v>1.8554312629631098</v>
      </c>
    </row>
    <row r="1545" spans="1:2" x14ac:dyDescent="0.35">
      <c r="A1545" s="1012">
        <v>40856</v>
      </c>
      <c r="B1545" s="1013">
        <v>1.8658354230690766</v>
      </c>
    </row>
    <row r="1546" spans="1:2" x14ac:dyDescent="0.35">
      <c r="A1546" s="1012">
        <v>40857</v>
      </c>
      <c r="B1546" s="1013">
        <v>1.7237814163262666</v>
      </c>
    </row>
    <row r="1547" spans="1:2" x14ac:dyDescent="0.35">
      <c r="A1547" s="1012">
        <v>40858</v>
      </c>
      <c r="B1547" s="1013">
        <v>1.7928549866958365</v>
      </c>
    </row>
    <row r="1548" spans="1:2" x14ac:dyDescent="0.35">
      <c r="A1548" s="1012">
        <v>40861</v>
      </c>
      <c r="B1548" s="1013">
        <v>1.7247005715226169</v>
      </c>
    </row>
    <row r="1549" spans="1:2" x14ac:dyDescent="0.35">
      <c r="A1549" s="1012">
        <v>40862</v>
      </c>
      <c r="B1549" s="1013">
        <v>1.6942576344168727</v>
      </c>
    </row>
    <row r="1550" spans="1:2" x14ac:dyDescent="0.35">
      <c r="A1550" s="1012">
        <v>40863</v>
      </c>
      <c r="B1550" s="1013">
        <v>1.6842914901666608</v>
      </c>
    </row>
    <row r="1551" spans="1:2" x14ac:dyDescent="0.35">
      <c r="A1551" s="1012">
        <v>40864</v>
      </c>
      <c r="B1551" s="1013">
        <v>1.6772565270208886</v>
      </c>
    </row>
    <row r="1552" spans="1:2" x14ac:dyDescent="0.35">
      <c r="A1552" s="1012">
        <v>40865</v>
      </c>
      <c r="B1552" s="1013">
        <v>1.5915295775713674</v>
      </c>
    </row>
    <row r="1553" spans="1:2" x14ac:dyDescent="0.35">
      <c r="A1553" s="1012">
        <v>40868</v>
      </c>
      <c r="B1553" s="1013">
        <v>1.4456097160523846</v>
      </c>
    </row>
    <row r="1554" spans="1:2" x14ac:dyDescent="0.35">
      <c r="A1554" s="1012">
        <v>40869</v>
      </c>
      <c r="B1554" s="1013">
        <v>1.4910882246987067</v>
      </c>
    </row>
    <row r="1555" spans="1:2" x14ac:dyDescent="0.35">
      <c r="A1555" s="1012">
        <v>40870</v>
      </c>
      <c r="B1555" s="1013">
        <v>1.4232250542622218</v>
      </c>
    </row>
    <row r="1556" spans="1:2" x14ac:dyDescent="0.35">
      <c r="A1556" s="1012">
        <v>40871</v>
      </c>
      <c r="B1556" s="1013">
        <v>1.4541425082039896</v>
      </c>
    </row>
    <row r="1557" spans="1:2" x14ac:dyDescent="0.35">
      <c r="A1557" s="1012">
        <v>40872</v>
      </c>
      <c r="B1557" s="1013">
        <v>1.3922026118244151</v>
      </c>
    </row>
    <row r="1558" spans="1:2" x14ac:dyDescent="0.35">
      <c r="A1558" s="1012">
        <v>40875</v>
      </c>
      <c r="B1558" s="1013">
        <v>1.4297672733903128</v>
      </c>
    </row>
    <row r="1559" spans="1:2" x14ac:dyDescent="0.35">
      <c r="A1559" s="1012">
        <v>40876</v>
      </c>
      <c r="B1559" s="1013">
        <v>1.4923852181950625</v>
      </c>
    </row>
    <row r="1560" spans="1:2" x14ac:dyDescent="0.35">
      <c r="A1560" s="1012">
        <v>40877</v>
      </c>
      <c r="B1560" s="1013">
        <v>1.5028915128051799</v>
      </c>
    </row>
    <row r="1561" spans="1:2" x14ac:dyDescent="0.35">
      <c r="A1561" s="1012">
        <v>40878</v>
      </c>
      <c r="B1561" s="1013">
        <v>1.6462372023131528</v>
      </c>
    </row>
    <row r="1562" spans="1:2" x14ac:dyDescent="0.35">
      <c r="A1562" s="1012">
        <v>40879</v>
      </c>
      <c r="B1562" s="1013">
        <v>1.6652784181783296</v>
      </c>
    </row>
    <row r="1563" spans="1:2" x14ac:dyDescent="0.35">
      <c r="A1563" s="1012">
        <v>40882</v>
      </c>
      <c r="B1563" s="1013">
        <v>1.6704011606194598</v>
      </c>
    </row>
    <row r="1564" spans="1:2" x14ac:dyDescent="0.35">
      <c r="A1564" s="1012">
        <v>40883</v>
      </c>
      <c r="B1564" s="1013">
        <v>1.6289342990995324</v>
      </c>
    </row>
    <row r="1565" spans="1:2" x14ac:dyDescent="0.35">
      <c r="A1565" s="1012">
        <v>40884</v>
      </c>
      <c r="B1565" s="1013">
        <v>1.6565486025043308</v>
      </c>
    </row>
    <row r="1566" spans="1:2" x14ac:dyDescent="0.35">
      <c r="A1566" s="1012">
        <v>40885</v>
      </c>
      <c r="B1566" s="1013">
        <v>1.641015125969999</v>
      </c>
    </row>
    <row r="1567" spans="1:2" x14ac:dyDescent="0.35">
      <c r="A1567" s="1012">
        <v>40886</v>
      </c>
      <c r="B1567" s="1013">
        <v>1.5709370897860584</v>
      </c>
    </row>
    <row r="1568" spans="1:2" x14ac:dyDescent="0.35">
      <c r="A1568" s="1012">
        <v>40889</v>
      </c>
      <c r="B1568" s="1013">
        <v>1.5790988706991413</v>
      </c>
    </row>
    <row r="1569" spans="1:2" x14ac:dyDescent="0.35">
      <c r="A1569" s="1012">
        <v>40890</v>
      </c>
      <c r="B1569" s="1013">
        <v>1.514988170799662</v>
      </c>
    </row>
    <row r="1570" spans="1:2" x14ac:dyDescent="0.35">
      <c r="A1570" s="1012">
        <v>40891</v>
      </c>
      <c r="B1570" s="1013">
        <v>1.4681383845613165</v>
      </c>
    </row>
    <row r="1571" spans="1:2" x14ac:dyDescent="0.35">
      <c r="A1571" s="1012">
        <v>40892</v>
      </c>
      <c r="B1571" s="1013">
        <v>1.4213541052947847</v>
      </c>
    </row>
    <row r="1572" spans="1:2" x14ac:dyDescent="0.35">
      <c r="A1572" s="1012">
        <v>40893</v>
      </c>
      <c r="B1572" s="1013">
        <v>1.5032393200432206</v>
      </c>
    </row>
    <row r="1573" spans="1:2" x14ac:dyDescent="0.35">
      <c r="A1573" s="1012">
        <v>40896</v>
      </c>
      <c r="B1573" s="1013">
        <v>1.4630206928977361</v>
      </c>
    </row>
    <row r="1574" spans="1:2" x14ac:dyDescent="0.35">
      <c r="A1574" s="1012">
        <v>40897</v>
      </c>
      <c r="B1574" s="1013">
        <v>1.4591515277204405</v>
      </c>
    </row>
    <row r="1575" spans="1:2" x14ac:dyDescent="0.35">
      <c r="A1575" s="1012">
        <v>40898</v>
      </c>
      <c r="B1575" s="1013">
        <v>1.5093982533661088</v>
      </c>
    </row>
    <row r="1576" spans="1:2" x14ac:dyDescent="0.35">
      <c r="A1576" s="1012">
        <v>40899</v>
      </c>
      <c r="B1576" s="1013">
        <v>1.5197319058909542</v>
      </c>
    </row>
    <row r="1577" spans="1:2" x14ac:dyDescent="0.35">
      <c r="A1577" s="1012">
        <v>40900</v>
      </c>
      <c r="B1577" s="1013">
        <v>1.5584908031072948</v>
      </c>
    </row>
    <row r="1578" spans="1:2" x14ac:dyDescent="0.35">
      <c r="A1578" s="1012">
        <v>40903</v>
      </c>
      <c r="B1578" s="1013">
        <v>1.5552470459004306</v>
      </c>
    </row>
    <row r="1579" spans="1:2" x14ac:dyDescent="0.35">
      <c r="A1579" s="1012">
        <v>40904</v>
      </c>
      <c r="B1579" s="1013">
        <v>1.5541687920303446</v>
      </c>
    </row>
    <row r="1580" spans="1:2" x14ac:dyDescent="0.35">
      <c r="A1580" s="1012">
        <v>40905</v>
      </c>
      <c r="B1580" s="1013">
        <v>1.5474238131370086</v>
      </c>
    </row>
    <row r="1581" spans="1:2" x14ac:dyDescent="0.35">
      <c r="A1581" s="1012">
        <v>40906</v>
      </c>
      <c r="B1581" s="1013">
        <v>1.5463524686474717</v>
      </c>
    </row>
    <row r="1582" spans="1:2" x14ac:dyDescent="0.35">
      <c r="A1582" s="1012">
        <v>40907</v>
      </c>
      <c r="B1582" s="1013">
        <v>1.5594335462232716</v>
      </c>
    </row>
    <row r="1583" spans="1:2" x14ac:dyDescent="0.35">
      <c r="A1583" s="1012">
        <v>40912</v>
      </c>
      <c r="B1583" s="1013">
        <v>1.5491238253404598</v>
      </c>
    </row>
    <row r="1584" spans="1:2" x14ac:dyDescent="0.35">
      <c r="A1584" s="1012">
        <v>40913</v>
      </c>
      <c r="B1584" s="1013">
        <v>1.5511117131811489</v>
      </c>
    </row>
    <row r="1585" spans="1:2" x14ac:dyDescent="0.35">
      <c r="A1585" s="1012">
        <v>40914</v>
      </c>
      <c r="B1585" s="1013">
        <v>1.5108171357669717</v>
      </c>
    </row>
    <row r="1586" spans="1:2" x14ac:dyDescent="0.35">
      <c r="A1586" s="1012">
        <v>40917</v>
      </c>
      <c r="B1586" s="1013">
        <v>1.5309003978230047</v>
      </c>
    </row>
    <row r="1587" spans="1:2" x14ac:dyDescent="0.35">
      <c r="A1587" s="1012">
        <v>40918</v>
      </c>
      <c r="B1587" s="1013">
        <v>1.5750824325867729</v>
      </c>
    </row>
    <row r="1588" spans="1:2" x14ac:dyDescent="0.35">
      <c r="A1588" s="1012">
        <v>40919</v>
      </c>
      <c r="B1588" s="1013">
        <v>1.6107837209222868</v>
      </c>
    </row>
    <row r="1589" spans="1:2" x14ac:dyDescent="0.35">
      <c r="A1589" s="1012">
        <v>40920</v>
      </c>
      <c r="B1589" s="1013">
        <v>1.5930637026914745</v>
      </c>
    </row>
    <row r="1590" spans="1:2" x14ac:dyDescent="0.35">
      <c r="A1590" s="1012">
        <v>40921</v>
      </c>
      <c r="B1590" s="1013">
        <v>1.5809789103472818</v>
      </c>
    </row>
    <row r="1591" spans="1:2" x14ac:dyDescent="0.35">
      <c r="A1591" s="1012">
        <v>40924</v>
      </c>
      <c r="B1591" s="1013">
        <v>1.5644274243694716</v>
      </c>
    </row>
    <row r="1592" spans="1:2" x14ac:dyDescent="0.35">
      <c r="A1592" s="1012">
        <v>40925</v>
      </c>
      <c r="B1592" s="1013">
        <v>1.6252392784154794</v>
      </c>
    </row>
    <row r="1593" spans="1:2" x14ac:dyDescent="0.35">
      <c r="A1593" s="1012">
        <v>40926</v>
      </c>
      <c r="B1593" s="1013">
        <v>1.6383753324736494</v>
      </c>
    </row>
    <row r="1594" spans="1:2" x14ac:dyDescent="0.35">
      <c r="A1594" s="1012">
        <v>40927</v>
      </c>
      <c r="B1594" s="1013">
        <v>1.6682922649761358</v>
      </c>
    </row>
    <row r="1595" spans="1:2" x14ac:dyDescent="0.35">
      <c r="A1595" s="1012">
        <v>40928</v>
      </c>
      <c r="B1595" s="1013">
        <v>1.6785937135500362</v>
      </c>
    </row>
    <row r="1596" spans="1:2" x14ac:dyDescent="0.35">
      <c r="A1596" s="1012">
        <v>40938</v>
      </c>
      <c r="B1596" s="1013">
        <v>1.6780429505118881</v>
      </c>
    </row>
    <row r="1597" spans="1:2" x14ac:dyDescent="0.35">
      <c r="A1597" s="1012">
        <v>40939</v>
      </c>
      <c r="B1597" s="1013">
        <v>1.7105299851919624</v>
      </c>
    </row>
    <row r="1598" spans="1:2" x14ac:dyDescent="0.35">
      <c r="A1598" s="1012">
        <v>40940</v>
      </c>
      <c r="B1598" s="1013">
        <v>1.7040643377068574</v>
      </c>
    </row>
    <row r="1599" spans="1:2" x14ac:dyDescent="0.35">
      <c r="A1599" s="1012">
        <v>40941</v>
      </c>
      <c r="B1599" s="1013">
        <v>1.7754008786587239</v>
      </c>
    </row>
    <row r="1600" spans="1:2" x14ac:dyDescent="0.35">
      <c r="A1600" s="1012">
        <v>40942</v>
      </c>
      <c r="B1600" s="1013">
        <v>1.8605466163302324</v>
      </c>
    </row>
    <row r="1601" spans="1:2" x14ac:dyDescent="0.35">
      <c r="A1601" s="1012">
        <v>40945</v>
      </c>
      <c r="B1601" s="1013">
        <v>1.8298730451909737</v>
      </c>
    </row>
    <row r="1602" spans="1:2" x14ac:dyDescent="0.35">
      <c r="A1602" s="1012">
        <v>40946</v>
      </c>
      <c r="B1602" s="1013">
        <v>1.7984252329603778</v>
      </c>
    </row>
    <row r="1603" spans="1:2" x14ac:dyDescent="0.35">
      <c r="A1603" s="1012">
        <v>40947</v>
      </c>
      <c r="B1603" s="1013">
        <v>1.8279420073844128</v>
      </c>
    </row>
    <row r="1604" spans="1:2" x14ac:dyDescent="0.35">
      <c r="A1604" s="1012">
        <v>40948</v>
      </c>
      <c r="B1604" s="1013">
        <v>1.8380506100582377</v>
      </c>
    </row>
    <row r="1605" spans="1:2" x14ac:dyDescent="0.35">
      <c r="A1605" s="1012">
        <v>40949</v>
      </c>
      <c r="B1605" s="1013">
        <v>1.8426151776076278</v>
      </c>
    </row>
    <row r="1606" spans="1:2" x14ac:dyDescent="0.35">
      <c r="A1606" s="1012">
        <v>40952</v>
      </c>
      <c r="B1606" s="1013">
        <v>1.8258945181710733</v>
      </c>
    </row>
    <row r="1607" spans="1:2" x14ac:dyDescent="0.35">
      <c r="A1607" s="1012">
        <v>40953</v>
      </c>
      <c r="B1607" s="1013">
        <v>1.7835211100584454</v>
      </c>
    </row>
    <row r="1608" spans="1:2" x14ac:dyDescent="0.35">
      <c r="A1608" s="1012">
        <v>40954</v>
      </c>
      <c r="B1608" s="1013">
        <v>1.8405312726350227</v>
      </c>
    </row>
    <row r="1609" spans="1:2" x14ac:dyDescent="0.35">
      <c r="A1609" s="1012">
        <v>40955</v>
      </c>
      <c r="B1609" s="1013">
        <v>1.8092265714164693</v>
      </c>
    </row>
    <row r="1610" spans="1:2" x14ac:dyDescent="0.35">
      <c r="A1610" s="1012">
        <v>40956</v>
      </c>
      <c r="B1610" s="1013">
        <v>1.8827024711199059</v>
      </c>
    </row>
    <row r="1611" spans="1:2" x14ac:dyDescent="0.35">
      <c r="A1611" s="1012">
        <v>40959</v>
      </c>
      <c r="B1611" s="1013">
        <v>1.9320325185967206</v>
      </c>
    </row>
    <row r="1612" spans="1:2" x14ac:dyDescent="0.35">
      <c r="A1612" s="1012">
        <v>40960</v>
      </c>
      <c r="B1612" s="1013">
        <v>1.9145155961545473</v>
      </c>
    </row>
    <row r="1613" spans="1:2" x14ac:dyDescent="0.35">
      <c r="A1613" s="1012">
        <v>40961</v>
      </c>
      <c r="B1613" s="1013">
        <v>1.8832705233398308</v>
      </c>
    </row>
    <row r="1614" spans="1:2" x14ac:dyDescent="0.35">
      <c r="A1614" s="1012">
        <v>40962</v>
      </c>
      <c r="B1614" s="1013">
        <v>1.8822846326228981</v>
      </c>
    </row>
    <row r="1615" spans="1:2" x14ac:dyDescent="0.35">
      <c r="A1615" s="1012">
        <v>40963</v>
      </c>
      <c r="B1615" s="1013">
        <v>1.8648212354291416</v>
      </c>
    </row>
    <row r="1616" spans="1:2" x14ac:dyDescent="0.35">
      <c r="A1616" s="1012">
        <v>40966</v>
      </c>
      <c r="B1616" s="1013">
        <v>1.8454459449789979</v>
      </c>
    </row>
    <row r="1617" spans="1:2" x14ac:dyDescent="0.35">
      <c r="A1617" s="1012">
        <v>40967</v>
      </c>
      <c r="B1617" s="1013">
        <v>1.8910740572051481</v>
      </c>
    </row>
    <row r="1618" spans="1:2" x14ac:dyDescent="0.35">
      <c r="A1618" s="1012">
        <v>40968</v>
      </c>
      <c r="B1618" s="1013">
        <v>1.9421330600177644</v>
      </c>
    </row>
    <row r="1619" spans="1:2" x14ac:dyDescent="0.35">
      <c r="A1619" s="1012">
        <v>40969</v>
      </c>
      <c r="B1619" s="1013">
        <v>1.8836256784728898</v>
      </c>
    </row>
    <row r="1620" spans="1:2" x14ac:dyDescent="0.35">
      <c r="A1620" s="1012">
        <v>40970</v>
      </c>
      <c r="B1620" s="1013">
        <v>2.0057817479309747</v>
      </c>
    </row>
    <row r="1621" spans="1:2" x14ac:dyDescent="0.35">
      <c r="A1621" s="1012">
        <v>40973</v>
      </c>
      <c r="B1621" s="1013">
        <v>2.0190424750523492</v>
      </c>
    </row>
    <row r="1622" spans="1:2" x14ac:dyDescent="0.35">
      <c r="A1622" s="1012">
        <v>40974</v>
      </c>
      <c r="B1622" s="1013">
        <v>1.9497244436350831</v>
      </c>
    </row>
    <row r="1623" spans="1:2" x14ac:dyDescent="0.35">
      <c r="A1623" s="1012">
        <v>40975</v>
      </c>
      <c r="B1623" s="1013">
        <v>1.9841913899787529</v>
      </c>
    </row>
    <row r="1624" spans="1:2" x14ac:dyDescent="0.35">
      <c r="A1624" s="1012">
        <v>40976</v>
      </c>
      <c r="B1624" s="1013">
        <v>2.0459011946318273</v>
      </c>
    </row>
    <row r="1625" spans="1:2" x14ac:dyDescent="0.35">
      <c r="A1625" s="1012">
        <v>40977</v>
      </c>
      <c r="B1625" s="1013">
        <v>2.0748294764228934</v>
      </c>
    </row>
    <row r="1626" spans="1:2" x14ac:dyDescent="0.35">
      <c r="A1626" s="1012">
        <v>40980</v>
      </c>
      <c r="B1626" s="1013">
        <v>2.0498237042002594</v>
      </c>
    </row>
    <row r="1627" spans="1:2" x14ac:dyDescent="0.35">
      <c r="A1627" s="1012">
        <v>40981</v>
      </c>
      <c r="B1627" s="1013">
        <v>2.0351571993127888</v>
      </c>
    </row>
    <row r="1628" spans="1:2" x14ac:dyDescent="0.35">
      <c r="A1628" s="1012">
        <v>40982</v>
      </c>
      <c r="B1628" s="1013">
        <v>2.0177865023077524</v>
      </c>
    </row>
    <row r="1629" spans="1:2" x14ac:dyDescent="0.35">
      <c r="A1629" s="1012">
        <v>40983</v>
      </c>
      <c r="B1629" s="1013">
        <v>2.0031517753304433</v>
      </c>
    </row>
    <row r="1630" spans="1:2" x14ac:dyDescent="0.35">
      <c r="A1630" s="1012">
        <v>40984</v>
      </c>
      <c r="B1630" s="1013">
        <v>1.996681918546849</v>
      </c>
    </row>
    <row r="1631" spans="1:2" x14ac:dyDescent="0.35">
      <c r="A1631" s="1012">
        <v>40987</v>
      </c>
      <c r="B1631" s="1013">
        <v>1.9881619178486338</v>
      </c>
    </row>
    <row r="1632" spans="1:2" x14ac:dyDescent="0.35">
      <c r="A1632" s="1012">
        <v>40988</v>
      </c>
      <c r="B1632" s="1013">
        <v>1.9844241307352637</v>
      </c>
    </row>
    <row r="1633" spans="1:2" x14ac:dyDescent="0.35">
      <c r="A1633" s="1012">
        <v>40989</v>
      </c>
      <c r="B1633" s="1013">
        <v>1.9264989521243225</v>
      </c>
    </row>
    <row r="1634" spans="1:2" x14ac:dyDescent="0.35">
      <c r="A1634" s="1012">
        <v>40990</v>
      </c>
      <c r="B1634" s="1013">
        <v>1.9444621525820998</v>
      </c>
    </row>
    <row r="1635" spans="1:2" x14ac:dyDescent="0.35">
      <c r="A1635" s="1012">
        <v>40991</v>
      </c>
      <c r="B1635" s="1013">
        <v>1.9705271309617918</v>
      </c>
    </row>
    <row r="1636" spans="1:2" x14ac:dyDescent="0.35">
      <c r="A1636" s="1012">
        <v>40994</v>
      </c>
      <c r="B1636" s="1013">
        <v>1.970185997933517</v>
      </c>
    </row>
    <row r="1637" spans="1:2" x14ac:dyDescent="0.35">
      <c r="A1637" s="1012">
        <v>40995</v>
      </c>
      <c r="B1637" s="1013">
        <v>2.0258972450775721</v>
      </c>
    </row>
    <row r="1638" spans="1:2" x14ac:dyDescent="0.35">
      <c r="A1638" s="1012">
        <v>40996</v>
      </c>
      <c r="B1638" s="1013">
        <v>1.9708590964414108</v>
      </c>
    </row>
    <row r="1639" spans="1:2" x14ac:dyDescent="0.35">
      <c r="A1639" s="1012">
        <v>40997</v>
      </c>
      <c r="B1639" s="1013">
        <v>1.9293696311550348</v>
      </c>
    </row>
    <row r="1640" spans="1:2" x14ac:dyDescent="0.35">
      <c r="A1640" s="1012">
        <v>40998</v>
      </c>
      <c r="B1640" s="1013">
        <v>1.9499545509628879</v>
      </c>
    </row>
    <row r="1641" spans="1:2" x14ac:dyDescent="0.35">
      <c r="A1641" s="1012">
        <v>41004</v>
      </c>
      <c r="B1641" s="1013">
        <v>1.9681602121236645</v>
      </c>
    </row>
    <row r="1642" spans="1:2" x14ac:dyDescent="0.35">
      <c r="A1642" s="1012">
        <v>41005</v>
      </c>
      <c r="B1642" s="1013">
        <v>1.9671525643410057</v>
      </c>
    </row>
    <row r="1643" spans="1:2" x14ac:dyDescent="0.35">
      <c r="A1643" s="1012">
        <v>41008</v>
      </c>
      <c r="B1643" s="1013">
        <v>1.9641358021784825</v>
      </c>
    </row>
    <row r="1644" spans="1:2" x14ac:dyDescent="0.35">
      <c r="A1644" s="1012">
        <v>41009</v>
      </c>
      <c r="B1644" s="1013">
        <v>1.901449152151766</v>
      </c>
    </row>
    <row r="1645" spans="1:2" x14ac:dyDescent="0.35">
      <c r="A1645" s="1012">
        <v>41010</v>
      </c>
      <c r="B1645" s="1013">
        <v>1.9085196598051846</v>
      </c>
    </row>
    <row r="1646" spans="1:2" x14ac:dyDescent="0.35">
      <c r="A1646" s="1012">
        <v>41011</v>
      </c>
      <c r="B1646" s="1013">
        <v>1.9262994977622065</v>
      </c>
    </row>
    <row r="1647" spans="1:2" x14ac:dyDescent="0.35">
      <c r="A1647" s="1012">
        <v>41012</v>
      </c>
      <c r="B1647" s="1013">
        <v>1.9520945058092609</v>
      </c>
    </row>
    <row r="1648" spans="1:2" x14ac:dyDescent="0.35">
      <c r="A1648" s="1012">
        <v>41015</v>
      </c>
      <c r="B1648" s="1013">
        <v>1.959806223693632</v>
      </c>
    </row>
    <row r="1649" spans="1:2" x14ac:dyDescent="0.35">
      <c r="A1649" s="1012">
        <v>41016</v>
      </c>
      <c r="B1649" s="1013">
        <v>1.9588084719971397</v>
      </c>
    </row>
    <row r="1650" spans="1:2" x14ac:dyDescent="0.35">
      <c r="A1650" s="1012">
        <v>41017</v>
      </c>
      <c r="B1650" s="1013">
        <v>1.9604826930565709</v>
      </c>
    </row>
    <row r="1651" spans="1:2" x14ac:dyDescent="0.35">
      <c r="A1651" s="1012">
        <v>41018</v>
      </c>
      <c r="B1651" s="1013">
        <v>1.9808424036205932</v>
      </c>
    </row>
    <row r="1652" spans="1:2" x14ac:dyDescent="0.35">
      <c r="A1652" s="1012">
        <v>41019</v>
      </c>
      <c r="B1652" s="1013">
        <v>1.9691625125992642</v>
      </c>
    </row>
    <row r="1653" spans="1:2" x14ac:dyDescent="0.35">
      <c r="A1653" s="1012">
        <v>41022</v>
      </c>
      <c r="B1653" s="1013">
        <v>1.9315297990156723</v>
      </c>
    </row>
    <row r="1654" spans="1:2" x14ac:dyDescent="0.35">
      <c r="A1654" s="1012">
        <v>41023</v>
      </c>
      <c r="B1654" s="1013">
        <v>1.9225614525556025</v>
      </c>
    </row>
    <row r="1655" spans="1:2" x14ac:dyDescent="0.35">
      <c r="A1655" s="1012">
        <v>41024</v>
      </c>
      <c r="B1655" s="1013">
        <v>1.9136022007559499</v>
      </c>
    </row>
    <row r="1656" spans="1:2" x14ac:dyDescent="0.35">
      <c r="A1656" s="1012">
        <v>41025</v>
      </c>
      <c r="B1656" s="1013">
        <v>1.9126324153892722</v>
      </c>
    </row>
    <row r="1657" spans="1:2" x14ac:dyDescent="0.35">
      <c r="A1657" s="1012">
        <v>41026</v>
      </c>
      <c r="B1657" s="1013">
        <v>1.9010284880618029</v>
      </c>
    </row>
    <row r="1658" spans="1:2" x14ac:dyDescent="0.35">
      <c r="A1658" s="1012">
        <v>41031</v>
      </c>
      <c r="B1658" s="1013">
        <v>1.9307028618116695</v>
      </c>
    </row>
    <row r="1659" spans="1:2" x14ac:dyDescent="0.35">
      <c r="A1659" s="1012">
        <v>41032</v>
      </c>
      <c r="B1659" s="1013">
        <v>1.8793640920691832</v>
      </c>
    </row>
    <row r="1660" spans="1:2" x14ac:dyDescent="0.35">
      <c r="A1660" s="1012">
        <v>41033</v>
      </c>
      <c r="B1660" s="1013">
        <v>1.88901305259696</v>
      </c>
    </row>
    <row r="1661" spans="1:2" x14ac:dyDescent="0.35">
      <c r="A1661" s="1012">
        <v>41036</v>
      </c>
      <c r="B1661" s="1013">
        <v>1.8438308983598384</v>
      </c>
    </row>
    <row r="1662" spans="1:2" x14ac:dyDescent="0.35">
      <c r="A1662" s="1012">
        <v>41037</v>
      </c>
      <c r="B1662" s="1013">
        <v>1.8693426098834909</v>
      </c>
    </row>
    <row r="1663" spans="1:2" x14ac:dyDescent="0.35">
      <c r="A1663" s="1012">
        <v>41038</v>
      </c>
      <c r="B1663" s="1013">
        <v>1.8076189467060713</v>
      </c>
    </row>
    <row r="1664" spans="1:2" x14ac:dyDescent="0.35">
      <c r="A1664" s="1012">
        <v>41039</v>
      </c>
      <c r="B1664" s="1013">
        <v>1.7829368347136982</v>
      </c>
    </row>
    <row r="1665" spans="1:2" x14ac:dyDescent="0.35">
      <c r="A1665" s="1012">
        <v>41040</v>
      </c>
      <c r="B1665" s="1013">
        <v>1.8031605606035799</v>
      </c>
    </row>
    <row r="1666" spans="1:2" x14ac:dyDescent="0.35">
      <c r="A1666" s="1012">
        <v>41043</v>
      </c>
      <c r="B1666" s="1013">
        <v>1.7925356513370658</v>
      </c>
    </row>
    <row r="1667" spans="1:2" x14ac:dyDescent="0.35">
      <c r="A1667" s="1012">
        <v>41044</v>
      </c>
      <c r="B1667" s="1013">
        <v>1.7784620912260634</v>
      </c>
    </row>
    <row r="1668" spans="1:2" x14ac:dyDescent="0.35">
      <c r="A1668" s="1012">
        <v>41045</v>
      </c>
      <c r="B1668" s="1013">
        <v>1.6590651807370518</v>
      </c>
    </row>
    <row r="1669" spans="1:2" x14ac:dyDescent="0.35">
      <c r="A1669" s="1012">
        <v>41046</v>
      </c>
      <c r="B1669" s="1013">
        <v>1.642440547276897</v>
      </c>
    </row>
    <row r="1670" spans="1:2" x14ac:dyDescent="0.35">
      <c r="A1670" s="1012">
        <v>41047</v>
      </c>
      <c r="B1670" s="1013">
        <v>1.6442481576236743</v>
      </c>
    </row>
    <row r="1671" spans="1:2" x14ac:dyDescent="0.35">
      <c r="A1671" s="1012">
        <v>41050</v>
      </c>
      <c r="B1671" s="1013">
        <v>1.6207648125465299</v>
      </c>
    </row>
    <row r="1672" spans="1:2" x14ac:dyDescent="0.35">
      <c r="A1672" s="1012">
        <v>41051</v>
      </c>
      <c r="B1672" s="1013">
        <v>1.7013456506963174</v>
      </c>
    </row>
    <row r="1673" spans="1:2" x14ac:dyDescent="0.35">
      <c r="A1673" s="1012">
        <v>41052</v>
      </c>
      <c r="B1673" s="1013">
        <v>1.7424826051049069</v>
      </c>
    </row>
    <row r="1674" spans="1:2" x14ac:dyDescent="0.35">
      <c r="A1674" s="1012">
        <v>41053</v>
      </c>
      <c r="B1674" s="1013">
        <v>1.7206286201210641</v>
      </c>
    </row>
    <row r="1675" spans="1:2" x14ac:dyDescent="0.35">
      <c r="A1675" s="1012">
        <v>41054</v>
      </c>
      <c r="B1675" s="1013">
        <v>1.7119044622791828</v>
      </c>
    </row>
    <row r="1676" spans="1:2" x14ac:dyDescent="0.35">
      <c r="A1676" s="1012">
        <v>41057</v>
      </c>
      <c r="B1676" s="1013">
        <v>1.7302847119006004</v>
      </c>
    </row>
    <row r="1677" spans="1:2" x14ac:dyDescent="0.35">
      <c r="A1677" s="1012">
        <v>41058</v>
      </c>
      <c r="B1677" s="1013">
        <v>1.8209952919294354</v>
      </c>
    </row>
    <row r="1678" spans="1:2" x14ac:dyDescent="0.35">
      <c r="A1678" s="1012">
        <v>41059</v>
      </c>
      <c r="B1678" s="1013">
        <v>1.8280129807614172</v>
      </c>
    </row>
    <row r="1679" spans="1:2" x14ac:dyDescent="0.35">
      <c r="A1679" s="1012">
        <v>41060</v>
      </c>
      <c r="B1679" s="1013">
        <v>1.8719881879057654</v>
      </c>
    </row>
    <row r="1680" spans="1:2" x14ac:dyDescent="0.35">
      <c r="A1680" s="1012">
        <v>41061</v>
      </c>
      <c r="B1680" s="1013">
        <v>1.8182763351856175</v>
      </c>
    </row>
    <row r="1681" spans="1:2" x14ac:dyDescent="0.35">
      <c r="A1681" s="1012">
        <v>41064</v>
      </c>
      <c r="B1681" s="1013">
        <v>1.6785416768507202</v>
      </c>
    </row>
    <row r="1682" spans="1:2" x14ac:dyDescent="0.35">
      <c r="A1682" s="1012">
        <v>41065</v>
      </c>
      <c r="B1682" s="1013">
        <v>1.6645390961908291</v>
      </c>
    </row>
    <row r="1683" spans="1:2" x14ac:dyDescent="0.35">
      <c r="A1683" s="1012">
        <v>41066</v>
      </c>
      <c r="B1683" s="1013">
        <v>1.7163618394644664</v>
      </c>
    </row>
    <row r="1684" spans="1:2" x14ac:dyDescent="0.35">
      <c r="A1684" s="1012">
        <v>41067</v>
      </c>
      <c r="B1684" s="1013">
        <v>1.7312970441266082</v>
      </c>
    </row>
    <row r="1685" spans="1:2" x14ac:dyDescent="0.35">
      <c r="A1685" s="1012">
        <v>41068</v>
      </c>
      <c r="B1685" s="1013">
        <v>1.7356980516207206</v>
      </c>
    </row>
    <row r="1686" spans="1:2" x14ac:dyDescent="0.35">
      <c r="A1686" s="1012">
        <v>41071</v>
      </c>
      <c r="B1686" s="1013">
        <v>1.8539124521345658</v>
      </c>
    </row>
    <row r="1687" spans="1:2" x14ac:dyDescent="0.35">
      <c r="A1687" s="1012">
        <v>41072</v>
      </c>
      <c r="B1687" s="1013">
        <v>1.8766165211445598</v>
      </c>
    </row>
    <row r="1688" spans="1:2" x14ac:dyDescent="0.35">
      <c r="A1688" s="1012">
        <v>41073</v>
      </c>
      <c r="B1688" s="1013">
        <v>1.8992981244732883</v>
      </c>
    </row>
    <row r="1689" spans="1:2" x14ac:dyDescent="0.35">
      <c r="A1689" s="1012">
        <v>41074</v>
      </c>
      <c r="B1689" s="1013">
        <v>1.83280784381831</v>
      </c>
    </row>
    <row r="1690" spans="1:2" x14ac:dyDescent="0.35">
      <c r="A1690" s="1012">
        <v>41075</v>
      </c>
      <c r="B1690" s="1013">
        <v>1.8476264386393346</v>
      </c>
    </row>
    <row r="1691" spans="1:2" x14ac:dyDescent="0.35">
      <c r="A1691" s="1012">
        <v>41078</v>
      </c>
      <c r="B1691" s="1013">
        <v>1.8919944621840745</v>
      </c>
    </row>
    <row r="1692" spans="1:2" x14ac:dyDescent="0.35">
      <c r="A1692" s="1012">
        <v>41079</v>
      </c>
      <c r="B1692" s="1013">
        <v>1.9407571048472549</v>
      </c>
    </row>
    <row r="1693" spans="1:2" x14ac:dyDescent="0.35">
      <c r="A1693" s="1012">
        <v>41080</v>
      </c>
      <c r="B1693" s="1013">
        <v>1.9842430913464753</v>
      </c>
    </row>
    <row r="1694" spans="1:2" x14ac:dyDescent="0.35">
      <c r="A1694" s="1012">
        <v>41081</v>
      </c>
      <c r="B1694" s="1013">
        <v>1.933618300757322</v>
      </c>
    </row>
    <row r="1695" spans="1:2" x14ac:dyDescent="0.35">
      <c r="A1695" s="1012">
        <v>41085</v>
      </c>
      <c r="B1695" s="1013">
        <v>1.9428535394224402</v>
      </c>
    </row>
    <row r="1696" spans="1:2" x14ac:dyDescent="0.35">
      <c r="A1696" s="1012">
        <v>41086</v>
      </c>
      <c r="B1696" s="1013">
        <v>1.8637012020515746</v>
      </c>
    </row>
    <row r="1697" spans="1:2" x14ac:dyDescent="0.35">
      <c r="A1697" s="1012">
        <v>41087</v>
      </c>
      <c r="B1697" s="1013">
        <v>1.9435496040770748</v>
      </c>
    </row>
    <row r="1698" spans="1:2" x14ac:dyDescent="0.35">
      <c r="A1698" s="1012">
        <v>41088</v>
      </c>
      <c r="B1698" s="1013">
        <v>1.8827027734676778</v>
      </c>
    </row>
    <row r="1699" spans="1:2" x14ac:dyDescent="0.35">
      <c r="A1699" s="1012">
        <v>41089</v>
      </c>
      <c r="B1699" s="1013">
        <v>1.8869840950169958</v>
      </c>
    </row>
    <row r="1700" spans="1:2" x14ac:dyDescent="0.35">
      <c r="A1700" s="1012">
        <v>41092</v>
      </c>
      <c r="B1700" s="1013">
        <v>1.8842094208893911</v>
      </c>
    </row>
    <row r="1701" spans="1:2" x14ac:dyDescent="0.35">
      <c r="A1701" s="1012">
        <v>41093</v>
      </c>
      <c r="B1701" s="1013">
        <v>1.9066650689433904</v>
      </c>
    </row>
    <row r="1702" spans="1:2" x14ac:dyDescent="0.35">
      <c r="A1702" s="1012">
        <v>41094</v>
      </c>
      <c r="B1702" s="1013">
        <v>1.9472732761915315</v>
      </c>
    </row>
    <row r="1703" spans="1:2" x14ac:dyDescent="0.35">
      <c r="A1703" s="1012">
        <v>41095</v>
      </c>
      <c r="B1703" s="1013">
        <v>2.0423387008647707</v>
      </c>
    </row>
    <row r="1704" spans="1:2" x14ac:dyDescent="0.35">
      <c r="A1704" s="1012">
        <v>41096</v>
      </c>
      <c r="B1704" s="1013">
        <v>2.0491210948474934</v>
      </c>
    </row>
    <row r="1705" spans="1:2" x14ac:dyDescent="0.35">
      <c r="A1705" s="1012">
        <v>41099</v>
      </c>
      <c r="B1705" s="1013">
        <v>2.0694285211110213</v>
      </c>
    </row>
    <row r="1706" spans="1:2" x14ac:dyDescent="0.35">
      <c r="A1706" s="1012">
        <v>41100</v>
      </c>
      <c r="B1706" s="1013">
        <v>2.0710069263378861</v>
      </c>
    </row>
    <row r="1707" spans="1:2" x14ac:dyDescent="0.35">
      <c r="A1707" s="1012">
        <v>41101</v>
      </c>
      <c r="B1707" s="1013">
        <v>2.1062212308780488</v>
      </c>
    </row>
    <row r="1708" spans="1:2" x14ac:dyDescent="0.35">
      <c r="A1708" s="1012">
        <v>41102</v>
      </c>
      <c r="B1708" s="1013">
        <v>2.0793315841974676</v>
      </c>
    </row>
    <row r="1709" spans="1:2" x14ac:dyDescent="0.35">
      <c r="A1709" s="1012">
        <v>41103</v>
      </c>
      <c r="B1709" s="1013">
        <v>2.1403572202860475</v>
      </c>
    </row>
    <row r="1710" spans="1:2" x14ac:dyDescent="0.35">
      <c r="A1710" s="1012">
        <v>41106</v>
      </c>
      <c r="B1710" s="1013">
        <v>2.1862741785803146</v>
      </c>
    </row>
    <row r="1711" spans="1:2" x14ac:dyDescent="0.35">
      <c r="A1711" s="1012">
        <v>41107</v>
      </c>
      <c r="B1711" s="1013">
        <v>2.1671508231292136</v>
      </c>
    </row>
    <row r="1712" spans="1:2" x14ac:dyDescent="0.35">
      <c r="A1712" s="1012">
        <v>41108</v>
      </c>
      <c r="B1712" s="1013">
        <v>1.9907461760064151</v>
      </c>
    </row>
    <row r="1713" spans="1:2" x14ac:dyDescent="0.35">
      <c r="A1713" s="1012">
        <v>41109</v>
      </c>
      <c r="B1713" s="1013">
        <v>2.0310174220108168</v>
      </c>
    </row>
    <row r="1714" spans="1:2" x14ac:dyDescent="0.35">
      <c r="A1714" s="1012">
        <v>41110</v>
      </c>
      <c r="B1714" s="1013">
        <v>1.9862355624599159</v>
      </c>
    </row>
    <row r="1715" spans="1:2" x14ac:dyDescent="0.35">
      <c r="A1715" s="1012">
        <v>41113</v>
      </c>
      <c r="B1715" s="1013">
        <v>1.9035993247017629</v>
      </c>
    </row>
    <row r="1716" spans="1:2" x14ac:dyDescent="0.35">
      <c r="A1716" s="1012">
        <v>41114</v>
      </c>
      <c r="B1716" s="1013">
        <v>1.9181033478832359</v>
      </c>
    </row>
    <row r="1717" spans="1:2" x14ac:dyDescent="0.35">
      <c r="A1717" s="1012">
        <v>41115</v>
      </c>
      <c r="B1717" s="1013">
        <v>1.9017540565113054</v>
      </c>
    </row>
    <row r="1718" spans="1:2" x14ac:dyDescent="0.35">
      <c r="A1718" s="1012">
        <v>41116</v>
      </c>
      <c r="B1718" s="1013">
        <v>1.939363157160396</v>
      </c>
    </row>
    <row r="1719" spans="1:2" x14ac:dyDescent="0.35">
      <c r="A1719" s="1012">
        <v>41117</v>
      </c>
      <c r="B1719" s="1013">
        <v>1.9872056330058363</v>
      </c>
    </row>
    <row r="1720" spans="1:2" x14ac:dyDescent="0.35">
      <c r="A1720" s="1012">
        <v>41120</v>
      </c>
      <c r="B1720" s="1013">
        <v>2.0048329495103223</v>
      </c>
    </row>
    <row r="1721" spans="1:2" x14ac:dyDescent="0.35">
      <c r="A1721" s="1012">
        <v>41121</v>
      </c>
      <c r="B1721" s="1013">
        <v>2.0756136757552652</v>
      </c>
    </row>
    <row r="1722" spans="1:2" x14ac:dyDescent="0.35">
      <c r="A1722" s="1012">
        <v>41122</v>
      </c>
      <c r="B1722" s="1013">
        <v>2.0361923480028179</v>
      </c>
    </row>
    <row r="1723" spans="1:2" x14ac:dyDescent="0.35">
      <c r="A1723" s="1012">
        <v>41123</v>
      </c>
      <c r="B1723" s="1013">
        <v>2.0147291675519923</v>
      </c>
    </row>
    <row r="1724" spans="1:2" x14ac:dyDescent="0.35">
      <c r="A1724" s="1012">
        <v>41124</v>
      </c>
      <c r="B1724" s="1013">
        <v>2.0444622273228519</v>
      </c>
    </row>
    <row r="1725" spans="1:2" x14ac:dyDescent="0.35">
      <c r="A1725" s="1012">
        <v>41127</v>
      </c>
      <c r="B1725" s="1013">
        <v>2.0874980849606102</v>
      </c>
    </row>
    <row r="1726" spans="1:2" x14ac:dyDescent="0.35">
      <c r="A1726" s="1012">
        <v>41128</v>
      </c>
      <c r="B1726" s="1013">
        <v>2.1477849719589939</v>
      </c>
    </row>
    <row r="1727" spans="1:2" x14ac:dyDescent="0.35">
      <c r="A1727" s="1012">
        <v>41129</v>
      </c>
      <c r="B1727" s="1013">
        <v>2.1441983851536981</v>
      </c>
    </row>
    <row r="1728" spans="1:2" x14ac:dyDescent="0.35">
      <c r="A1728" s="1012">
        <v>41130</v>
      </c>
      <c r="B1728" s="1013">
        <v>2.1635777496407331</v>
      </c>
    </row>
    <row r="1729" spans="1:2" x14ac:dyDescent="0.35">
      <c r="A1729" s="1012">
        <v>41131</v>
      </c>
      <c r="B1729" s="1013">
        <v>2.1599870172451894</v>
      </c>
    </row>
    <row r="1730" spans="1:2" x14ac:dyDescent="0.35">
      <c r="A1730" s="1012">
        <v>41134</v>
      </c>
      <c r="B1730" s="1013">
        <v>2.2103512155238052</v>
      </c>
    </row>
    <row r="1731" spans="1:2" x14ac:dyDescent="0.35">
      <c r="A1731" s="1012">
        <v>41135</v>
      </c>
      <c r="B1731" s="1013">
        <v>2.2500144335804344</v>
      </c>
    </row>
    <row r="1732" spans="1:2" x14ac:dyDescent="0.35">
      <c r="A1732" s="1012">
        <v>41136</v>
      </c>
      <c r="B1732" s="1013">
        <v>2.289639591189951</v>
      </c>
    </row>
    <row r="1733" spans="1:2" x14ac:dyDescent="0.35">
      <c r="A1733" s="1012">
        <v>41137</v>
      </c>
      <c r="B1733" s="1013">
        <v>2.196999897431029</v>
      </c>
    </row>
    <row r="1734" spans="1:2" x14ac:dyDescent="0.35">
      <c r="A1734" s="1012">
        <v>41138</v>
      </c>
      <c r="B1734" s="1013">
        <v>2.1705307469628368</v>
      </c>
    </row>
    <row r="1735" spans="1:2" x14ac:dyDescent="0.35">
      <c r="A1735" s="1012">
        <v>41141</v>
      </c>
      <c r="B1735" s="1013">
        <v>2.1344205715269338</v>
      </c>
    </row>
    <row r="1736" spans="1:2" x14ac:dyDescent="0.35">
      <c r="A1736" s="1012">
        <v>41142</v>
      </c>
      <c r="B1736" s="1013">
        <v>2.163840321822962</v>
      </c>
    </row>
    <row r="1737" spans="1:2" x14ac:dyDescent="0.35">
      <c r="A1737" s="1012">
        <v>41143</v>
      </c>
      <c r="B1737" s="1013">
        <v>2.1273082012206261</v>
      </c>
    </row>
    <row r="1738" spans="1:2" x14ac:dyDescent="0.35">
      <c r="A1738" s="1012">
        <v>41144</v>
      </c>
      <c r="B1738" s="1013">
        <v>2.1364286970503437</v>
      </c>
    </row>
    <row r="1739" spans="1:2" x14ac:dyDescent="0.35">
      <c r="A1739" s="1012">
        <v>41145</v>
      </c>
      <c r="B1739" s="1013">
        <v>2.1328749503599171</v>
      </c>
    </row>
    <row r="1740" spans="1:2" x14ac:dyDescent="0.35">
      <c r="A1740" s="1012">
        <v>41148</v>
      </c>
      <c r="B1740" s="1013">
        <v>2.1070571716194921</v>
      </c>
    </row>
    <row r="1741" spans="1:2" x14ac:dyDescent="0.35">
      <c r="A1741" s="1012">
        <v>41149</v>
      </c>
      <c r="B1741" s="1013">
        <v>2.0934111107467204</v>
      </c>
    </row>
    <row r="1742" spans="1:2" x14ac:dyDescent="0.35">
      <c r="A1742" s="1012">
        <v>41150</v>
      </c>
      <c r="B1742" s="1013">
        <v>2.1050487504150794</v>
      </c>
    </row>
    <row r="1743" spans="1:2" x14ac:dyDescent="0.35">
      <c r="A1743" s="1012">
        <v>41151</v>
      </c>
      <c r="B1743" s="1013">
        <v>2.0737355887373754</v>
      </c>
    </row>
    <row r="1744" spans="1:2" x14ac:dyDescent="0.35">
      <c r="A1744" s="1012">
        <v>41152</v>
      </c>
      <c r="B1744" s="1013">
        <v>2.0853715144170897</v>
      </c>
    </row>
    <row r="1745" spans="1:2" x14ac:dyDescent="0.35">
      <c r="A1745" s="1012">
        <v>41155</v>
      </c>
      <c r="B1745" s="1013">
        <v>2.1202129023246346</v>
      </c>
    </row>
    <row r="1746" spans="1:2" x14ac:dyDescent="0.35">
      <c r="A1746" s="1012">
        <v>41156</v>
      </c>
      <c r="B1746" s="1013">
        <v>2.1066059849833287</v>
      </c>
    </row>
    <row r="1747" spans="1:2" x14ac:dyDescent="0.35">
      <c r="A1747" s="1012">
        <v>41157</v>
      </c>
      <c r="B1747" s="1013">
        <v>2.0778999945037842</v>
      </c>
    </row>
    <row r="1748" spans="1:2" x14ac:dyDescent="0.35">
      <c r="A1748" s="1012">
        <v>41158</v>
      </c>
      <c r="B1748" s="1013">
        <v>2.0492212622953421</v>
      </c>
    </row>
    <row r="1749" spans="1:2" x14ac:dyDescent="0.35">
      <c r="A1749" s="1012">
        <v>41159</v>
      </c>
      <c r="B1749" s="1013">
        <v>2.1388347286655294</v>
      </c>
    </row>
    <row r="1750" spans="1:2" x14ac:dyDescent="0.35">
      <c r="A1750" s="1012">
        <v>41162</v>
      </c>
      <c r="B1750" s="1013">
        <v>2.1332813530205281</v>
      </c>
    </row>
    <row r="1751" spans="1:2" x14ac:dyDescent="0.35">
      <c r="A1751" s="1012">
        <v>41163</v>
      </c>
      <c r="B1751" s="1013">
        <v>2.1322709045896477</v>
      </c>
    </row>
    <row r="1752" spans="1:2" x14ac:dyDescent="0.35">
      <c r="A1752" s="1012">
        <v>41164</v>
      </c>
      <c r="B1752" s="1013">
        <v>2.1889987656867391</v>
      </c>
    </row>
    <row r="1753" spans="1:2" x14ac:dyDescent="0.35">
      <c r="A1753" s="1012">
        <v>41165</v>
      </c>
      <c r="B1753" s="1013">
        <v>2.2481820700670645</v>
      </c>
    </row>
    <row r="1754" spans="1:2" x14ac:dyDescent="0.35">
      <c r="A1754" s="1012">
        <v>41166</v>
      </c>
      <c r="B1754" s="1013">
        <v>2.2997855536010681</v>
      </c>
    </row>
    <row r="1755" spans="1:2" x14ac:dyDescent="0.35">
      <c r="A1755" s="1012">
        <v>41169</v>
      </c>
      <c r="B1755" s="1013">
        <v>2.2414302608165055</v>
      </c>
    </row>
    <row r="1756" spans="1:2" x14ac:dyDescent="0.35">
      <c r="A1756" s="1012">
        <v>41170</v>
      </c>
      <c r="B1756" s="1013">
        <v>2.2227115050779984</v>
      </c>
    </row>
    <row r="1757" spans="1:2" x14ac:dyDescent="0.35">
      <c r="A1757" s="1012">
        <v>41171</v>
      </c>
      <c r="B1757" s="1013">
        <v>2.2166191694545145</v>
      </c>
    </row>
    <row r="1758" spans="1:2" x14ac:dyDescent="0.35">
      <c r="A1758" s="1012">
        <v>41172</v>
      </c>
      <c r="B1758" s="1013">
        <v>2.2407793207015834</v>
      </c>
    </row>
    <row r="1759" spans="1:2" x14ac:dyDescent="0.35">
      <c r="A1759" s="1012">
        <v>41173</v>
      </c>
      <c r="B1759" s="1013">
        <v>2.2145292243567853</v>
      </c>
    </row>
    <row r="1760" spans="1:2" x14ac:dyDescent="0.35">
      <c r="A1760" s="1012">
        <v>41176</v>
      </c>
      <c r="B1760" s="1013">
        <v>2.2239807623976136</v>
      </c>
    </row>
    <row r="1761" spans="1:2" x14ac:dyDescent="0.35">
      <c r="A1761" s="1012">
        <v>41177</v>
      </c>
      <c r="B1761" s="1013">
        <v>2.2707122922380023</v>
      </c>
    </row>
    <row r="1762" spans="1:2" x14ac:dyDescent="0.35">
      <c r="A1762" s="1012">
        <v>41178</v>
      </c>
      <c r="B1762" s="1013">
        <v>2.2344560518017058</v>
      </c>
    </row>
    <row r="1763" spans="1:2" x14ac:dyDescent="0.35">
      <c r="A1763" s="1012">
        <v>41179</v>
      </c>
      <c r="B1763" s="1013">
        <v>2.223356572369775</v>
      </c>
    </row>
    <row r="1764" spans="1:2" x14ac:dyDescent="0.35">
      <c r="A1764" s="1012">
        <v>41180</v>
      </c>
      <c r="B1764" s="1013">
        <v>2.2901112163503567</v>
      </c>
    </row>
    <row r="1765" spans="1:2" x14ac:dyDescent="0.35">
      <c r="A1765" s="1012">
        <v>41190</v>
      </c>
      <c r="B1765" s="1013">
        <v>2.2494087487788206</v>
      </c>
    </row>
    <row r="1766" spans="1:2" x14ac:dyDescent="0.35">
      <c r="A1766" s="1012">
        <v>41191</v>
      </c>
      <c r="B1766" s="1013">
        <v>2.2108846204255217</v>
      </c>
    </row>
    <row r="1767" spans="1:2" x14ac:dyDescent="0.35">
      <c r="A1767" s="1012">
        <v>41192</v>
      </c>
      <c r="B1767" s="1013">
        <v>2.2373186862087659</v>
      </c>
    </row>
    <row r="1768" spans="1:2" x14ac:dyDescent="0.35">
      <c r="A1768" s="1012">
        <v>41193</v>
      </c>
      <c r="B1768" s="1013">
        <v>2.2886864743861257</v>
      </c>
    </row>
    <row r="1769" spans="1:2" x14ac:dyDescent="0.35">
      <c r="A1769" s="1012">
        <v>41194</v>
      </c>
      <c r="B1769" s="1013">
        <v>2.2252511984425527</v>
      </c>
    </row>
    <row r="1770" spans="1:2" x14ac:dyDescent="0.35">
      <c r="A1770" s="1012">
        <v>41197</v>
      </c>
      <c r="B1770" s="1013">
        <v>2.1797890935419733</v>
      </c>
    </row>
    <row r="1771" spans="1:2" x14ac:dyDescent="0.35">
      <c r="A1771" s="1012">
        <v>41198</v>
      </c>
      <c r="B1771" s="1013">
        <v>2.1538731856011939</v>
      </c>
    </row>
    <row r="1772" spans="1:2" x14ac:dyDescent="0.35">
      <c r="A1772" s="1012">
        <v>41199</v>
      </c>
      <c r="B1772" s="1013">
        <v>2.2126028999030867</v>
      </c>
    </row>
    <row r="1773" spans="1:2" x14ac:dyDescent="0.35">
      <c r="A1773" s="1012">
        <v>41200</v>
      </c>
      <c r="B1773" s="1013">
        <v>2.3558600285434337</v>
      </c>
    </row>
    <row r="1774" spans="1:2" x14ac:dyDescent="0.35">
      <c r="A1774" s="1012">
        <v>41201</v>
      </c>
      <c r="B1774" s="1013">
        <v>2.2428690841430021</v>
      </c>
    </row>
    <row r="1775" spans="1:2" x14ac:dyDescent="0.35">
      <c r="A1775" s="1012">
        <v>41204</v>
      </c>
      <c r="B1775" s="1013">
        <v>2.2993367726166558</v>
      </c>
    </row>
    <row r="1776" spans="1:2" x14ac:dyDescent="0.35">
      <c r="A1776" s="1012">
        <v>41205</v>
      </c>
      <c r="B1776" s="1013">
        <v>2.2982689141449129</v>
      </c>
    </row>
    <row r="1777" spans="1:2" x14ac:dyDescent="0.35">
      <c r="A1777" s="1012">
        <v>41206</v>
      </c>
      <c r="B1777" s="1013">
        <v>2.2972020470828549</v>
      </c>
    </row>
    <row r="1778" spans="1:2" x14ac:dyDescent="0.35">
      <c r="A1778" s="1012">
        <v>41207</v>
      </c>
      <c r="B1778" s="1013">
        <v>2.2267065666364192</v>
      </c>
    </row>
    <row r="1779" spans="1:2" x14ac:dyDescent="0.35">
      <c r="A1779" s="1012">
        <v>41208</v>
      </c>
      <c r="B1779" s="1013">
        <v>2.2628510584935171</v>
      </c>
    </row>
    <row r="1780" spans="1:2" x14ac:dyDescent="0.35">
      <c r="A1780" s="1012">
        <v>41211</v>
      </c>
      <c r="B1780" s="1013">
        <v>2.2300066563401439</v>
      </c>
    </row>
    <row r="1781" spans="1:2" x14ac:dyDescent="0.35">
      <c r="A1781" s="1012">
        <v>41212</v>
      </c>
      <c r="B1781" s="1013">
        <v>2.2091832369119766</v>
      </c>
    </row>
    <row r="1782" spans="1:2" x14ac:dyDescent="0.35">
      <c r="A1782" s="1012">
        <v>41213</v>
      </c>
      <c r="B1782" s="1013">
        <v>2.282343387325604</v>
      </c>
    </row>
    <row r="1783" spans="1:2" x14ac:dyDescent="0.35">
      <c r="A1783" s="1012">
        <v>41214</v>
      </c>
      <c r="B1783" s="1013">
        <v>2.2862310351508661</v>
      </c>
    </row>
    <row r="1784" spans="1:2" x14ac:dyDescent="0.35">
      <c r="A1784" s="1012">
        <v>41215</v>
      </c>
      <c r="B1784" s="1013">
        <v>2.3419947185046768</v>
      </c>
    </row>
    <row r="1785" spans="1:2" x14ac:dyDescent="0.35">
      <c r="A1785" s="1012">
        <v>41218</v>
      </c>
      <c r="B1785" s="1013">
        <v>2.3782238871597303</v>
      </c>
    </row>
    <row r="1786" spans="1:2" x14ac:dyDescent="0.35">
      <c r="A1786" s="1012">
        <v>41219</v>
      </c>
      <c r="B1786" s="1013">
        <v>2.3795924257127306</v>
      </c>
    </row>
    <row r="1787" spans="1:2" x14ac:dyDescent="0.35">
      <c r="A1787" s="1012">
        <v>41220</v>
      </c>
      <c r="B1787" s="1013">
        <v>2.3760301787134308</v>
      </c>
    </row>
    <row r="1788" spans="1:2" x14ac:dyDescent="0.35">
      <c r="A1788" s="1012">
        <v>41221</v>
      </c>
      <c r="B1788" s="1013">
        <v>2.3182714582762265</v>
      </c>
    </row>
    <row r="1789" spans="1:2" x14ac:dyDescent="0.35">
      <c r="A1789" s="1012">
        <v>41222</v>
      </c>
      <c r="B1789" s="1013">
        <v>2.2654909465462278</v>
      </c>
    </row>
    <row r="1790" spans="1:2" x14ac:dyDescent="0.35">
      <c r="A1790" s="1012">
        <v>41225</v>
      </c>
      <c r="B1790" s="1013">
        <v>2.3164635740188642</v>
      </c>
    </row>
    <row r="1791" spans="1:2" x14ac:dyDescent="0.35">
      <c r="A1791" s="1012">
        <v>41226</v>
      </c>
      <c r="B1791" s="1013">
        <v>2.2711548755873938</v>
      </c>
    </row>
    <row r="1792" spans="1:2" x14ac:dyDescent="0.35">
      <c r="A1792" s="1012">
        <v>41227</v>
      </c>
      <c r="B1792" s="1013">
        <v>2.3143337103481287</v>
      </c>
    </row>
    <row r="1793" spans="1:2" x14ac:dyDescent="0.35">
      <c r="A1793" s="1012">
        <v>41228</v>
      </c>
      <c r="B1793" s="1013">
        <v>2.3108145456605045</v>
      </c>
    </row>
    <row r="1794" spans="1:2" x14ac:dyDescent="0.35">
      <c r="A1794" s="1012">
        <v>41229</v>
      </c>
      <c r="B1794" s="1013">
        <v>2.270480018784037</v>
      </c>
    </row>
    <row r="1795" spans="1:2" x14ac:dyDescent="0.35">
      <c r="A1795" s="1012">
        <v>41232</v>
      </c>
      <c r="B1795" s="1013">
        <v>2.2575510417698035</v>
      </c>
    </row>
    <row r="1796" spans="1:2" x14ac:dyDescent="0.35">
      <c r="A1796" s="1012">
        <v>41233</v>
      </c>
      <c r="B1796" s="1013">
        <v>2.2761166219585398</v>
      </c>
    </row>
    <row r="1797" spans="1:2" x14ac:dyDescent="0.35">
      <c r="A1797" s="1012">
        <v>41234</v>
      </c>
      <c r="B1797" s="1013">
        <v>2.2922162378789808</v>
      </c>
    </row>
    <row r="1798" spans="1:2" x14ac:dyDescent="0.35">
      <c r="A1798" s="1012">
        <v>41235</v>
      </c>
      <c r="B1798" s="1013">
        <v>2.3180924143465438</v>
      </c>
    </row>
    <row r="1799" spans="1:2" x14ac:dyDescent="0.35">
      <c r="A1799" s="1012">
        <v>41236</v>
      </c>
      <c r="B1799" s="1013">
        <v>2.3243712445091482</v>
      </c>
    </row>
    <row r="1800" spans="1:2" x14ac:dyDescent="0.35">
      <c r="A1800" s="1012">
        <v>41239</v>
      </c>
      <c r="B1800" s="1013">
        <v>2.3382865854289712</v>
      </c>
    </row>
    <row r="1801" spans="1:2" x14ac:dyDescent="0.35">
      <c r="A1801" s="1012">
        <v>41240</v>
      </c>
      <c r="B1801" s="1013">
        <v>2.3469869435913799</v>
      </c>
    </row>
    <row r="1802" spans="1:2" x14ac:dyDescent="0.35">
      <c r="A1802" s="1012">
        <v>41241</v>
      </c>
      <c r="B1802" s="1013">
        <v>2.3361504053915283</v>
      </c>
    </row>
    <row r="1803" spans="1:2" x14ac:dyDescent="0.35">
      <c r="A1803" s="1012">
        <v>41242</v>
      </c>
      <c r="B1803" s="1013">
        <v>2.4082838968051807</v>
      </c>
    </row>
    <row r="1804" spans="1:2" x14ac:dyDescent="0.35">
      <c r="A1804" s="1012">
        <v>41243</v>
      </c>
      <c r="B1804" s="1013">
        <v>2.3876737139538022</v>
      </c>
    </row>
    <row r="1805" spans="1:2" x14ac:dyDescent="0.35">
      <c r="A1805" s="1012">
        <v>41246</v>
      </c>
      <c r="B1805" s="1013">
        <v>2.3576181072366329</v>
      </c>
    </row>
    <row r="1806" spans="1:2" x14ac:dyDescent="0.35">
      <c r="A1806" s="1012">
        <v>41247</v>
      </c>
      <c r="B1806" s="1013">
        <v>2.2932485235442144</v>
      </c>
    </row>
    <row r="1807" spans="1:2" x14ac:dyDescent="0.35">
      <c r="A1807" s="1012">
        <v>41248</v>
      </c>
      <c r="B1807" s="1013">
        <v>2.3311377520301635</v>
      </c>
    </row>
    <row r="1808" spans="1:2" x14ac:dyDescent="0.35">
      <c r="A1808" s="1012">
        <v>41249</v>
      </c>
      <c r="B1808" s="1013">
        <v>2.3154834215536173</v>
      </c>
    </row>
    <row r="1809" spans="1:2" x14ac:dyDescent="0.35">
      <c r="A1809" s="1012">
        <v>41250</v>
      </c>
      <c r="B1809" s="1013">
        <v>2.3727770547396303</v>
      </c>
    </row>
    <row r="1810" spans="1:2" x14ac:dyDescent="0.35">
      <c r="A1810" s="1012">
        <v>41253</v>
      </c>
      <c r="B1810" s="1013">
        <v>2.3549763822542489</v>
      </c>
    </row>
    <row r="1811" spans="1:2" x14ac:dyDescent="0.35">
      <c r="A1811" s="1012">
        <v>41254</v>
      </c>
      <c r="B1811" s="1013">
        <v>2.2883858954910705</v>
      </c>
    </row>
    <row r="1812" spans="1:2" x14ac:dyDescent="0.35">
      <c r="A1812" s="1012">
        <v>41255</v>
      </c>
      <c r="B1812" s="1013">
        <v>2.3237313438867817</v>
      </c>
    </row>
    <row r="1813" spans="1:2" x14ac:dyDescent="0.35">
      <c r="A1813" s="1012">
        <v>41256</v>
      </c>
      <c r="B1813" s="1013">
        <v>2.3105545937238521</v>
      </c>
    </row>
    <row r="1814" spans="1:2" x14ac:dyDescent="0.35">
      <c r="A1814" s="1012">
        <v>41257</v>
      </c>
      <c r="B1814" s="1013">
        <v>2.3313174914370292</v>
      </c>
    </row>
    <row r="1815" spans="1:2" x14ac:dyDescent="0.35">
      <c r="A1815" s="1012">
        <v>41260</v>
      </c>
      <c r="B1815" s="1013">
        <v>2.2966887695107858</v>
      </c>
    </row>
    <row r="1816" spans="1:2" x14ac:dyDescent="0.35">
      <c r="A1816" s="1012">
        <v>41261</v>
      </c>
      <c r="B1816" s="1013">
        <v>2.2811350631040779</v>
      </c>
    </row>
    <row r="1817" spans="1:2" x14ac:dyDescent="0.35">
      <c r="A1817" s="1012">
        <v>41262</v>
      </c>
      <c r="B1817" s="1013">
        <v>2.2921926025824297</v>
      </c>
    </row>
    <row r="1818" spans="1:2" x14ac:dyDescent="0.35">
      <c r="A1818" s="1012">
        <v>41263</v>
      </c>
      <c r="B1818" s="1013">
        <v>2.2452361917890644</v>
      </c>
    </row>
    <row r="1819" spans="1:2" x14ac:dyDescent="0.35">
      <c r="A1819" s="1012">
        <v>41264</v>
      </c>
      <c r="B1819" s="1013">
        <v>2.2104009263820603</v>
      </c>
    </row>
    <row r="1820" spans="1:2" x14ac:dyDescent="0.35">
      <c r="A1820" s="1012">
        <v>41267</v>
      </c>
      <c r="B1820" s="1013">
        <v>2.2411819962372075</v>
      </c>
    </row>
    <row r="1821" spans="1:2" x14ac:dyDescent="0.35">
      <c r="A1821" s="1012">
        <v>41268</v>
      </c>
      <c r="B1821" s="1013">
        <v>2.2401707340080459</v>
      </c>
    </row>
    <row r="1822" spans="1:2" x14ac:dyDescent="0.35">
      <c r="A1822" s="1012">
        <v>41269</v>
      </c>
      <c r="B1822" s="1013">
        <v>2.2391603839672443</v>
      </c>
    </row>
    <row r="1823" spans="1:2" x14ac:dyDescent="0.35">
      <c r="A1823" s="1012">
        <v>41270</v>
      </c>
      <c r="B1823" s="1013">
        <v>2.1827392422629734</v>
      </c>
    </row>
    <row r="1824" spans="1:2" x14ac:dyDescent="0.35">
      <c r="A1824" s="1012">
        <v>41271</v>
      </c>
      <c r="B1824" s="1013">
        <v>2.1600826121850027</v>
      </c>
    </row>
    <row r="1825" spans="1:2" x14ac:dyDescent="0.35">
      <c r="A1825" s="1012">
        <v>41274</v>
      </c>
      <c r="B1825" s="1013">
        <v>2.2365271413817056</v>
      </c>
    </row>
    <row r="1826" spans="1:2" x14ac:dyDescent="0.35">
      <c r="A1826" s="1012">
        <v>41278</v>
      </c>
      <c r="B1826" s="1013">
        <v>2.2268725749032705</v>
      </c>
    </row>
    <row r="1827" spans="1:2" x14ac:dyDescent="0.35">
      <c r="A1827" s="1012">
        <v>41281</v>
      </c>
      <c r="B1827" s="1013">
        <v>2.1693708544443258</v>
      </c>
    </row>
    <row r="1828" spans="1:2" x14ac:dyDescent="0.35">
      <c r="A1828" s="1012">
        <v>41282</v>
      </c>
      <c r="B1828" s="1013">
        <v>2.1534492294831602</v>
      </c>
    </row>
    <row r="1829" spans="1:2" x14ac:dyDescent="0.35">
      <c r="A1829" s="1012">
        <v>41283</v>
      </c>
      <c r="B1829" s="1013">
        <v>2.1542875373632562</v>
      </c>
    </row>
    <row r="1830" spans="1:2" x14ac:dyDescent="0.35">
      <c r="A1830" s="1012">
        <v>41284</v>
      </c>
      <c r="B1830" s="1013">
        <v>2.2220242933791354</v>
      </c>
    </row>
    <row r="1831" spans="1:2" x14ac:dyDescent="0.35">
      <c r="A1831" s="1012">
        <v>41285</v>
      </c>
      <c r="B1831" s="1013">
        <v>2.335027021050136</v>
      </c>
    </row>
    <row r="1832" spans="1:2" x14ac:dyDescent="0.35">
      <c r="A1832" s="1012">
        <v>41288</v>
      </c>
      <c r="B1832" s="1013">
        <v>2.3276119266022013</v>
      </c>
    </row>
    <row r="1833" spans="1:2" x14ac:dyDescent="0.35">
      <c r="A1833" s="1012">
        <v>41289</v>
      </c>
      <c r="B1833" s="1013">
        <v>2.3497478612119647</v>
      </c>
    </row>
    <row r="1834" spans="1:2" x14ac:dyDescent="0.35">
      <c r="A1834" s="1012">
        <v>41290</v>
      </c>
      <c r="B1834" s="1013">
        <v>2.40277889207632</v>
      </c>
    </row>
    <row r="1835" spans="1:2" x14ac:dyDescent="0.35">
      <c r="A1835" s="1012">
        <v>41291</v>
      </c>
      <c r="B1835" s="1013">
        <v>2.3725289646366075</v>
      </c>
    </row>
    <row r="1836" spans="1:2" x14ac:dyDescent="0.35">
      <c r="A1836" s="1012">
        <v>41292</v>
      </c>
      <c r="B1836" s="1013">
        <v>2.4040874709156994</v>
      </c>
    </row>
    <row r="1837" spans="1:2" x14ac:dyDescent="0.35">
      <c r="A1837" s="1012">
        <v>41295</v>
      </c>
      <c r="B1837" s="1013">
        <v>2.4842693625913612</v>
      </c>
    </row>
    <row r="1838" spans="1:2" x14ac:dyDescent="0.35">
      <c r="A1838" s="1012">
        <v>41296</v>
      </c>
      <c r="B1838" s="1013">
        <v>2.4398565097270897</v>
      </c>
    </row>
    <row r="1839" spans="1:2" x14ac:dyDescent="0.35">
      <c r="A1839" s="1012">
        <v>41297</v>
      </c>
      <c r="B1839" s="1013">
        <v>2.4097096733217946</v>
      </c>
    </row>
    <row r="1840" spans="1:2" x14ac:dyDescent="0.35">
      <c r="A1840" s="1012">
        <v>41298</v>
      </c>
      <c r="B1840" s="1013">
        <v>2.3937983251345445</v>
      </c>
    </row>
    <row r="1841" spans="1:2" x14ac:dyDescent="0.35">
      <c r="A1841" s="1012">
        <v>41299</v>
      </c>
      <c r="B1841" s="1013">
        <v>2.4015469331522565</v>
      </c>
    </row>
    <row r="1842" spans="1:2" x14ac:dyDescent="0.35">
      <c r="A1842" s="1012">
        <v>41302</v>
      </c>
      <c r="B1842" s="1013">
        <v>2.3586834825610503</v>
      </c>
    </row>
    <row r="1843" spans="1:2" x14ac:dyDescent="0.35">
      <c r="A1843" s="1012">
        <v>41303</v>
      </c>
      <c r="B1843" s="1013">
        <v>2.3947191031556065</v>
      </c>
    </row>
    <row r="1844" spans="1:2" x14ac:dyDescent="0.35">
      <c r="A1844" s="1012">
        <v>41304</v>
      </c>
      <c r="B1844" s="1013">
        <v>2.3788862103648327</v>
      </c>
    </row>
    <row r="1845" spans="1:2" x14ac:dyDescent="0.35">
      <c r="A1845" s="1012">
        <v>41305</v>
      </c>
      <c r="B1845" s="1013">
        <v>2.3960270489220026</v>
      </c>
    </row>
    <row r="1846" spans="1:2" x14ac:dyDescent="0.35">
      <c r="A1846" s="1012">
        <v>41306</v>
      </c>
      <c r="B1846" s="1013">
        <v>2.4413674742319427</v>
      </c>
    </row>
    <row r="1847" spans="1:2" x14ac:dyDescent="0.35">
      <c r="A1847" s="1012">
        <v>41309</v>
      </c>
      <c r="B1847" s="1013">
        <v>2.4878177513685715</v>
      </c>
    </row>
    <row r="1848" spans="1:2" x14ac:dyDescent="0.35">
      <c r="A1848" s="1012">
        <v>41310</v>
      </c>
      <c r="B1848" s="1013">
        <v>2.4063167387923059</v>
      </c>
    </row>
    <row r="1849" spans="1:2" x14ac:dyDescent="0.35">
      <c r="A1849" s="1012">
        <v>41311</v>
      </c>
      <c r="B1849" s="1013">
        <v>2.4702391118278704</v>
      </c>
    </row>
    <row r="1850" spans="1:2" x14ac:dyDescent="0.35">
      <c r="A1850" s="1012">
        <v>41312</v>
      </c>
      <c r="B1850" s="1013">
        <v>2.4357061381328178</v>
      </c>
    </row>
    <row r="1851" spans="1:2" x14ac:dyDescent="0.35">
      <c r="A1851" s="1012">
        <v>41313</v>
      </c>
      <c r="B1851" s="1013">
        <v>2.3824989304275421</v>
      </c>
    </row>
    <row r="1852" spans="1:2" x14ac:dyDescent="0.35">
      <c r="A1852" s="1012">
        <v>41323</v>
      </c>
      <c r="B1852" s="1013">
        <v>2.5238320998354435</v>
      </c>
    </row>
    <row r="1853" spans="1:2" x14ac:dyDescent="0.35">
      <c r="A1853" s="1012">
        <v>41324</v>
      </c>
      <c r="B1853" s="1013">
        <v>2.512775234846663</v>
      </c>
    </row>
    <row r="1854" spans="1:2" x14ac:dyDescent="0.35">
      <c r="A1854" s="1012">
        <v>41325</v>
      </c>
      <c r="B1854" s="1013">
        <v>2.4831681029035551</v>
      </c>
    </row>
    <row r="1855" spans="1:2" x14ac:dyDescent="0.35">
      <c r="A1855" s="1012">
        <v>41326</v>
      </c>
      <c r="B1855" s="1013">
        <v>2.4118586741287285</v>
      </c>
    </row>
    <row r="1856" spans="1:2" x14ac:dyDescent="0.35">
      <c r="A1856" s="1012">
        <v>41327</v>
      </c>
      <c r="B1856" s="1013">
        <v>2.4379828302052036</v>
      </c>
    </row>
    <row r="1857" spans="1:2" x14ac:dyDescent="0.35">
      <c r="A1857" s="1012">
        <v>41330</v>
      </c>
      <c r="B1857" s="1013">
        <v>2.4375074024948886</v>
      </c>
    </row>
    <row r="1858" spans="1:2" x14ac:dyDescent="0.35">
      <c r="A1858" s="1012">
        <v>41331</v>
      </c>
      <c r="B1858" s="1013">
        <v>2.338746106936278</v>
      </c>
    </row>
    <row r="1859" spans="1:2" x14ac:dyDescent="0.35">
      <c r="A1859" s="1012">
        <v>41332</v>
      </c>
      <c r="B1859" s="1013">
        <v>2.3648302131860239</v>
      </c>
    </row>
    <row r="1860" spans="1:2" x14ac:dyDescent="0.35">
      <c r="A1860" s="1012">
        <v>41333</v>
      </c>
      <c r="B1860" s="1013">
        <v>2.5108834739230126</v>
      </c>
    </row>
    <row r="1861" spans="1:2" x14ac:dyDescent="0.35">
      <c r="A1861" s="1012">
        <v>41334</v>
      </c>
      <c r="B1861" s="1013">
        <v>2.5183620479103497</v>
      </c>
    </row>
    <row r="1862" spans="1:2" x14ac:dyDescent="0.35">
      <c r="A1862" s="1012">
        <v>41337</v>
      </c>
      <c r="B1862" s="1013">
        <v>2.4578854178057821</v>
      </c>
    </row>
    <row r="1863" spans="1:2" x14ac:dyDescent="0.35">
      <c r="A1863" s="1012">
        <v>41338</v>
      </c>
      <c r="B1863" s="1013">
        <v>2.4469816426584061</v>
      </c>
    </row>
    <row r="1864" spans="1:2" x14ac:dyDescent="0.35">
      <c r="A1864" s="1012">
        <v>41339</v>
      </c>
      <c r="B1864" s="1013">
        <v>2.4314965791804353</v>
      </c>
    </row>
    <row r="1865" spans="1:2" x14ac:dyDescent="0.35">
      <c r="A1865" s="1012">
        <v>41340</v>
      </c>
      <c r="B1865" s="1013">
        <v>2.4389990572142581</v>
      </c>
    </row>
    <row r="1866" spans="1:2" x14ac:dyDescent="0.35">
      <c r="A1866" s="1012">
        <v>41341</v>
      </c>
      <c r="B1866" s="1013">
        <v>2.4281309918677856</v>
      </c>
    </row>
    <row r="1867" spans="1:2" x14ac:dyDescent="0.35">
      <c r="A1867" s="1012">
        <v>41344</v>
      </c>
      <c r="B1867" s="1013">
        <v>2.4780663967654637</v>
      </c>
    </row>
    <row r="1868" spans="1:2" x14ac:dyDescent="0.35">
      <c r="A1868" s="1012">
        <v>41345</v>
      </c>
      <c r="B1868" s="1013">
        <v>2.4214276912044865</v>
      </c>
    </row>
    <row r="1869" spans="1:2" x14ac:dyDescent="0.35">
      <c r="A1869" s="1012">
        <v>41346</v>
      </c>
      <c r="B1869" s="1013">
        <v>2.3831639566839304</v>
      </c>
    </row>
    <row r="1870" spans="1:2" x14ac:dyDescent="0.35">
      <c r="A1870" s="1012">
        <v>41347</v>
      </c>
      <c r="B1870" s="1013">
        <v>2.4043767257667121</v>
      </c>
    </row>
    <row r="1871" spans="1:2" x14ac:dyDescent="0.35">
      <c r="A1871" s="1012">
        <v>41348</v>
      </c>
      <c r="B1871" s="1013">
        <v>2.375313263146237</v>
      </c>
    </row>
    <row r="1872" spans="1:2" x14ac:dyDescent="0.35">
      <c r="A1872" s="1012">
        <v>41351</v>
      </c>
      <c r="B1872" s="1013">
        <v>2.3658569382556283</v>
      </c>
    </row>
    <row r="1873" spans="1:2" x14ac:dyDescent="0.35">
      <c r="A1873" s="1012">
        <v>41352</v>
      </c>
      <c r="B1873" s="1013">
        <v>2.3778980240906944</v>
      </c>
    </row>
    <row r="1874" spans="1:2" x14ac:dyDescent="0.35">
      <c r="A1874" s="1012">
        <v>41353</v>
      </c>
      <c r="B1874" s="1013">
        <v>2.4445493822164366</v>
      </c>
    </row>
    <row r="1875" spans="1:2" x14ac:dyDescent="0.35">
      <c r="A1875" s="1012">
        <v>41354</v>
      </c>
      <c r="B1875" s="1013">
        <v>2.4519708628247976</v>
      </c>
    </row>
    <row r="1876" spans="1:2" x14ac:dyDescent="0.35">
      <c r="A1876" s="1012">
        <v>41355</v>
      </c>
      <c r="B1876" s="1013">
        <v>2.4093762473571454</v>
      </c>
    </row>
    <row r="1877" spans="1:2" x14ac:dyDescent="0.35">
      <c r="A1877" s="1012">
        <v>41358</v>
      </c>
      <c r="B1877" s="1013">
        <v>2.3862853086452098</v>
      </c>
    </row>
    <row r="1878" spans="1:2" x14ac:dyDescent="0.35">
      <c r="A1878" s="1012">
        <v>41359</v>
      </c>
      <c r="B1878" s="1013">
        <v>2.3937212512329813</v>
      </c>
    </row>
    <row r="1879" spans="1:2" x14ac:dyDescent="0.35">
      <c r="A1879" s="1012">
        <v>41360</v>
      </c>
      <c r="B1879" s="1013">
        <v>2.4192688992648548</v>
      </c>
    </row>
    <row r="1880" spans="1:2" x14ac:dyDescent="0.35">
      <c r="A1880" s="1012">
        <v>41361</v>
      </c>
      <c r="B1880" s="1013">
        <v>2.404035306844241</v>
      </c>
    </row>
    <row r="1881" spans="1:2" x14ac:dyDescent="0.35">
      <c r="A1881" s="1012">
        <v>41362</v>
      </c>
      <c r="B1881" s="1013">
        <v>2.4023953532354385</v>
      </c>
    </row>
    <row r="1882" spans="1:2" x14ac:dyDescent="0.35">
      <c r="A1882" s="1012">
        <v>41365</v>
      </c>
      <c r="B1882" s="1013">
        <v>2.3974888896588036</v>
      </c>
    </row>
    <row r="1883" spans="1:2" x14ac:dyDescent="0.35">
      <c r="A1883" s="1012">
        <v>41366</v>
      </c>
      <c r="B1883" s="1013">
        <v>2.3823219322895346</v>
      </c>
    </row>
    <row r="1884" spans="1:2" x14ac:dyDescent="0.35">
      <c r="A1884" s="1012">
        <v>41367</v>
      </c>
      <c r="B1884" s="1013">
        <v>2.3130687265796008</v>
      </c>
    </row>
    <row r="1885" spans="1:2" x14ac:dyDescent="0.35">
      <c r="A1885" s="1012">
        <v>41372</v>
      </c>
      <c r="B1885" s="1013">
        <v>2.3007390544648012</v>
      </c>
    </row>
    <row r="1886" spans="1:2" x14ac:dyDescent="0.35">
      <c r="A1886" s="1012">
        <v>41373</v>
      </c>
      <c r="B1886" s="1013">
        <v>2.3306153743511855</v>
      </c>
    </row>
    <row r="1887" spans="1:2" x14ac:dyDescent="0.35">
      <c r="A1887" s="1012">
        <v>41374</v>
      </c>
      <c r="B1887" s="1013">
        <v>2.3559637139885168</v>
      </c>
    </row>
    <row r="1888" spans="1:2" x14ac:dyDescent="0.35">
      <c r="A1888" s="1012">
        <v>41375</v>
      </c>
      <c r="B1888" s="1013">
        <v>2.3947313207663559</v>
      </c>
    </row>
    <row r="1889" spans="1:2" x14ac:dyDescent="0.35">
      <c r="A1889" s="1012">
        <v>41376</v>
      </c>
      <c r="B1889" s="1013">
        <v>2.3841501972705892</v>
      </c>
    </row>
    <row r="1890" spans="1:2" x14ac:dyDescent="0.35">
      <c r="A1890" s="1012">
        <v>41379</v>
      </c>
      <c r="B1890" s="1013">
        <v>2.3659097082606717</v>
      </c>
    </row>
    <row r="1891" spans="1:2" x14ac:dyDescent="0.35">
      <c r="A1891" s="1012">
        <v>41380</v>
      </c>
      <c r="B1891" s="1013">
        <v>2.3330295036805864</v>
      </c>
    </row>
    <row r="1892" spans="1:2" x14ac:dyDescent="0.35">
      <c r="A1892" s="1012">
        <v>41381</v>
      </c>
      <c r="B1892" s="1013">
        <v>2.3225255612402416</v>
      </c>
    </row>
    <row r="1893" spans="1:2" x14ac:dyDescent="0.35">
      <c r="A1893" s="1012">
        <v>41382</v>
      </c>
      <c r="B1893" s="1013">
        <v>2.3522062622236537</v>
      </c>
    </row>
    <row r="1894" spans="1:2" x14ac:dyDescent="0.35">
      <c r="A1894" s="1012">
        <v>41383</v>
      </c>
      <c r="B1894" s="1013">
        <v>2.5335002230943195</v>
      </c>
    </row>
    <row r="1895" spans="1:2" x14ac:dyDescent="0.35">
      <c r="A1895" s="1012">
        <v>41386</v>
      </c>
      <c r="B1895" s="1013">
        <v>2.528398930582993</v>
      </c>
    </row>
    <row r="1896" spans="1:2" x14ac:dyDescent="0.35">
      <c r="A1896" s="1012">
        <v>41387</v>
      </c>
      <c r="B1896" s="1013">
        <v>2.4955641156694326</v>
      </c>
    </row>
    <row r="1897" spans="1:2" x14ac:dyDescent="0.35">
      <c r="A1897" s="1012">
        <v>41388</v>
      </c>
      <c r="B1897" s="1013">
        <v>2.5561275409465165</v>
      </c>
    </row>
    <row r="1898" spans="1:2" x14ac:dyDescent="0.35">
      <c r="A1898" s="1012">
        <v>41389</v>
      </c>
      <c r="B1898" s="1013">
        <v>2.5410879861135536</v>
      </c>
    </row>
    <row r="1899" spans="1:2" x14ac:dyDescent="0.35">
      <c r="A1899" s="1012">
        <v>41390</v>
      </c>
      <c r="B1899" s="1013">
        <v>2.4994316387978599</v>
      </c>
    </row>
    <row r="1900" spans="1:2" x14ac:dyDescent="0.35">
      <c r="A1900" s="1012">
        <v>41396</v>
      </c>
      <c r="B1900" s="1013">
        <v>2.5336506454490642</v>
      </c>
    </row>
    <row r="1901" spans="1:2" x14ac:dyDescent="0.35">
      <c r="A1901" s="1012">
        <v>41397</v>
      </c>
      <c r="B1901" s="1013">
        <v>2.6070818851574642</v>
      </c>
    </row>
    <row r="1902" spans="1:2" x14ac:dyDescent="0.35">
      <c r="A1902" s="1012">
        <v>41400</v>
      </c>
      <c r="B1902" s="1013">
        <v>2.5533716492790544</v>
      </c>
    </row>
    <row r="1903" spans="1:2" x14ac:dyDescent="0.35">
      <c r="A1903" s="1012">
        <v>41401</v>
      </c>
      <c r="B1903" s="1013">
        <v>2.5208256973327243</v>
      </c>
    </row>
    <row r="1904" spans="1:2" x14ac:dyDescent="0.35">
      <c r="A1904" s="1012">
        <v>41402</v>
      </c>
      <c r="B1904" s="1013">
        <v>2.5455764183498837</v>
      </c>
    </row>
    <row r="1905" spans="1:2" x14ac:dyDescent="0.35">
      <c r="A1905" s="1012">
        <v>41403</v>
      </c>
      <c r="B1905" s="1013">
        <v>2.5130788347951496</v>
      </c>
    </row>
    <row r="1906" spans="1:2" x14ac:dyDescent="0.35">
      <c r="A1906" s="1012">
        <v>41404</v>
      </c>
      <c r="B1906" s="1013">
        <v>2.4982174343899812</v>
      </c>
    </row>
    <row r="1907" spans="1:2" x14ac:dyDescent="0.35">
      <c r="A1907" s="1012">
        <v>41407</v>
      </c>
      <c r="B1907" s="1013">
        <v>2.576658305492352</v>
      </c>
    </row>
    <row r="1908" spans="1:2" x14ac:dyDescent="0.35">
      <c r="A1908" s="1012">
        <v>41408</v>
      </c>
      <c r="B1908" s="1013">
        <v>2.5925006078759902</v>
      </c>
    </row>
    <row r="1909" spans="1:2" x14ac:dyDescent="0.35">
      <c r="A1909" s="1012">
        <v>41409</v>
      </c>
      <c r="B1909" s="1013">
        <v>2.6872291867155549</v>
      </c>
    </row>
    <row r="1910" spans="1:2" x14ac:dyDescent="0.35">
      <c r="A1910" s="1012">
        <v>41410</v>
      </c>
      <c r="B1910" s="1013">
        <v>2.7161200402196539</v>
      </c>
    </row>
    <row r="1911" spans="1:2" x14ac:dyDescent="0.35">
      <c r="A1911" s="1012">
        <v>41411</v>
      </c>
      <c r="B1911" s="1013">
        <v>2.714327123075901</v>
      </c>
    </row>
    <row r="1912" spans="1:2" x14ac:dyDescent="0.35">
      <c r="A1912" s="1012">
        <v>41414</v>
      </c>
      <c r="B1912" s="1013">
        <v>2.7745019621086855</v>
      </c>
    </row>
    <row r="1913" spans="1:2" x14ac:dyDescent="0.35">
      <c r="A1913" s="1012">
        <v>41415</v>
      </c>
      <c r="B1913" s="1013">
        <v>2.7028126444994114</v>
      </c>
    </row>
    <row r="1914" spans="1:2" x14ac:dyDescent="0.35">
      <c r="A1914" s="1012">
        <v>41416</v>
      </c>
      <c r="B1914" s="1013">
        <v>2.7010343807785158</v>
      </c>
    </row>
    <row r="1915" spans="1:2" x14ac:dyDescent="0.35">
      <c r="A1915" s="1012">
        <v>41417</v>
      </c>
      <c r="B1915" s="1013">
        <v>2.6730943993569389</v>
      </c>
    </row>
    <row r="1916" spans="1:2" x14ac:dyDescent="0.35">
      <c r="A1916" s="1012">
        <v>41418</v>
      </c>
      <c r="B1916" s="1013">
        <v>2.6408333240047939</v>
      </c>
    </row>
    <row r="1917" spans="1:2" x14ac:dyDescent="0.35">
      <c r="A1917" s="1012">
        <v>41421</v>
      </c>
      <c r="B1917" s="1013">
        <v>2.6791303336592405</v>
      </c>
    </row>
    <row r="1918" spans="1:2" x14ac:dyDescent="0.35">
      <c r="A1918" s="1012">
        <v>41422</v>
      </c>
      <c r="B1918" s="1013">
        <v>2.7164920680175868</v>
      </c>
    </row>
    <row r="1919" spans="1:2" x14ac:dyDescent="0.35">
      <c r="A1919" s="1012">
        <v>41423</v>
      </c>
      <c r="B1919" s="1013">
        <v>2.7364307017003804</v>
      </c>
    </row>
    <row r="1920" spans="1:2" x14ac:dyDescent="0.35">
      <c r="A1920" s="1012">
        <v>41424</v>
      </c>
      <c r="B1920" s="1013">
        <v>2.7476618402517574</v>
      </c>
    </row>
    <row r="1921" spans="1:2" x14ac:dyDescent="0.35">
      <c r="A1921" s="1012">
        <v>41425</v>
      </c>
      <c r="B1921" s="1013">
        <v>2.7111618388105128</v>
      </c>
    </row>
    <row r="1922" spans="1:2" x14ac:dyDescent="0.35">
      <c r="A1922" s="1012">
        <v>41428</v>
      </c>
      <c r="B1922" s="1013">
        <v>2.7274993062009933</v>
      </c>
    </row>
    <row r="1923" spans="1:2" x14ac:dyDescent="0.35">
      <c r="A1923" s="1012">
        <v>41429</v>
      </c>
      <c r="B1923" s="1013">
        <v>2.6867811613776023</v>
      </c>
    </row>
    <row r="1924" spans="1:2" x14ac:dyDescent="0.35">
      <c r="A1924" s="1012">
        <v>41430</v>
      </c>
      <c r="B1924" s="1013">
        <v>2.6763821408842645</v>
      </c>
    </row>
    <row r="1925" spans="1:2" x14ac:dyDescent="0.35">
      <c r="A1925" s="1012">
        <v>41431</v>
      </c>
      <c r="B1925" s="1013">
        <v>2.661675768118049</v>
      </c>
    </row>
    <row r="1926" spans="1:2" x14ac:dyDescent="0.35">
      <c r="A1926" s="1012">
        <v>41432</v>
      </c>
      <c r="B1926" s="1013">
        <v>2.6599428122566242</v>
      </c>
    </row>
    <row r="1927" spans="1:2" x14ac:dyDescent="0.35">
      <c r="A1927" s="1012">
        <v>41438</v>
      </c>
      <c r="B1927" s="1013">
        <v>2.5607364859055135</v>
      </c>
    </row>
    <row r="1928" spans="1:2" x14ac:dyDescent="0.35">
      <c r="A1928" s="1012">
        <v>41439</v>
      </c>
      <c r="B1928" s="1013">
        <v>2.61969792225594</v>
      </c>
    </row>
    <row r="1929" spans="1:2" x14ac:dyDescent="0.35">
      <c r="A1929" s="1012">
        <v>41442</v>
      </c>
      <c r="B1929" s="1013">
        <v>2.6794392905215534</v>
      </c>
    </row>
    <row r="1930" spans="1:2" x14ac:dyDescent="0.35">
      <c r="A1930" s="1012">
        <v>41443</v>
      </c>
      <c r="B1930" s="1013">
        <v>2.6863449394686447</v>
      </c>
    </row>
    <row r="1931" spans="1:2" x14ac:dyDescent="0.35">
      <c r="A1931" s="1012">
        <v>41444</v>
      </c>
      <c r="B1931" s="1013">
        <v>2.6457646493618148</v>
      </c>
    </row>
    <row r="1932" spans="1:2" x14ac:dyDescent="0.35">
      <c r="A1932" s="1012">
        <v>41445</v>
      </c>
      <c r="B1932" s="1013">
        <v>2.5577903927528456</v>
      </c>
    </row>
    <row r="1933" spans="1:2" x14ac:dyDescent="0.35">
      <c r="A1933" s="1012">
        <v>41446</v>
      </c>
      <c r="B1933" s="1013">
        <v>2.5001033181542658</v>
      </c>
    </row>
    <row r="1934" spans="1:2" x14ac:dyDescent="0.35">
      <c r="A1934" s="1012">
        <v>41449</v>
      </c>
      <c r="B1934" s="1013">
        <v>2.3662076263138241</v>
      </c>
    </row>
    <row r="1935" spans="1:2" x14ac:dyDescent="0.35">
      <c r="A1935" s="1012">
        <v>41450</v>
      </c>
      <c r="B1935" s="1013">
        <v>2.2915946283238346</v>
      </c>
    </row>
    <row r="1936" spans="1:2" x14ac:dyDescent="0.35">
      <c r="A1936" s="1012">
        <v>41451</v>
      </c>
      <c r="B1936" s="1013">
        <v>2.3502741232740507</v>
      </c>
    </row>
    <row r="1937" spans="1:2" x14ac:dyDescent="0.35">
      <c r="A1937" s="1012">
        <v>41452</v>
      </c>
      <c r="B1937" s="1013">
        <v>2.4818744994768256</v>
      </c>
    </row>
    <row r="1938" spans="1:2" x14ac:dyDescent="0.35">
      <c r="A1938" s="1012">
        <v>41453</v>
      </c>
      <c r="B1938" s="1013">
        <v>2.5918501102820612</v>
      </c>
    </row>
    <row r="1939" spans="1:2" x14ac:dyDescent="0.35">
      <c r="A1939" s="1012">
        <v>41456</v>
      </c>
      <c r="B1939" s="1013">
        <v>2.5868655168352448</v>
      </c>
    </row>
    <row r="1940" spans="1:2" x14ac:dyDescent="0.35">
      <c r="A1940" s="1012">
        <v>41457</v>
      </c>
      <c r="B1940" s="1013">
        <v>2.623729558407585</v>
      </c>
    </row>
    <row r="1941" spans="1:2" x14ac:dyDescent="0.35">
      <c r="A1941" s="1012">
        <v>41458</v>
      </c>
      <c r="B1941" s="1013">
        <v>2.4466761072852883</v>
      </c>
    </row>
    <row r="1942" spans="1:2" x14ac:dyDescent="0.35">
      <c r="A1942" s="1012">
        <v>41459</v>
      </c>
      <c r="B1942" s="1013">
        <v>2.4536599899627416</v>
      </c>
    </row>
    <row r="1943" spans="1:2" x14ac:dyDescent="0.35">
      <c r="A1943" s="1012">
        <v>41460</v>
      </c>
      <c r="B1943" s="1013">
        <v>2.4990823623268557</v>
      </c>
    </row>
    <row r="1944" spans="1:2" x14ac:dyDescent="0.35">
      <c r="A1944" s="1012">
        <v>41463</v>
      </c>
      <c r="B1944" s="1013">
        <v>2.4516600822934911</v>
      </c>
    </row>
    <row r="1945" spans="1:2" x14ac:dyDescent="0.35">
      <c r="A1945" s="1012">
        <v>41464</v>
      </c>
      <c r="B1945" s="1013">
        <v>2.4714016268918639</v>
      </c>
    </row>
    <row r="1946" spans="1:2" x14ac:dyDescent="0.35">
      <c r="A1946" s="1012">
        <v>41465</v>
      </c>
      <c r="B1946" s="1013">
        <v>2.4826013629062249</v>
      </c>
    </row>
    <row r="1947" spans="1:2" x14ac:dyDescent="0.35">
      <c r="A1947" s="1012">
        <v>41466</v>
      </c>
      <c r="B1947" s="1013">
        <v>2.6342219255610826</v>
      </c>
    </row>
    <row r="1948" spans="1:2" x14ac:dyDescent="0.35">
      <c r="A1948" s="1012">
        <v>41467</v>
      </c>
      <c r="B1948" s="1013">
        <v>2.5942689568871806</v>
      </c>
    </row>
    <row r="1949" spans="1:2" x14ac:dyDescent="0.35">
      <c r="A1949" s="1012">
        <v>41470</v>
      </c>
      <c r="B1949" s="1013">
        <v>2.6275272332622133</v>
      </c>
    </row>
    <row r="1950" spans="1:2" x14ac:dyDescent="0.35">
      <c r="A1950" s="1012">
        <v>41471</v>
      </c>
      <c r="B1950" s="1013">
        <v>2.6216167753745037</v>
      </c>
    </row>
    <row r="1951" spans="1:2" x14ac:dyDescent="0.35">
      <c r="A1951" s="1012">
        <v>41472</v>
      </c>
      <c r="B1951" s="1013">
        <v>2.6665866966194587</v>
      </c>
    </row>
    <row r="1952" spans="1:2" x14ac:dyDescent="0.35">
      <c r="A1952" s="1012">
        <v>41473</v>
      </c>
      <c r="B1952" s="1013">
        <v>2.5971081939686749</v>
      </c>
    </row>
    <row r="1953" spans="1:2" x14ac:dyDescent="0.35">
      <c r="A1953" s="1012">
        <v>41474</v>
      </c>
      <c r="B1953" s="1013">
        <v>2.6081643836235751</v>
      </c>
    </row>
    <row r="1954" spans="1:2" x14ac:dyDescent="0.35">
      <c r="A1954" s="1012">
        <v>41477</v>
      </c>
      <c r="B1954" s="1013">
        <v>2.5947630472842675</v>
      </c>
    </row>
    <row r="1955" spans="1:2" x14ac:dyDescent="0.35">
      <c r="A1955" s="1012">
        <v>41478</v>
      </c>
      <c r="B1955" s="1013">
        <v>2.6353560520155441</v>
      </c>
    </row>
    <row r="1956" spans="1:2" x14ac:dyDescent="0.35">
      <c r="A1956" s="1012">
        <v>41479</v>
      </c>
      <c r="B1956" s="1013">
        <v>2.6716771089350742</v>
      </c>
    </row>
    <row r="1957" spans="1:2" x14ac:dyDescent="0.35">
      <c r="A1957" s="1012">
        <v>41480</v>
      </c>
      <c r="B1957" s="1013">
        <v>2.7037343092788468</v>
      </c>
    </row>
    <row r="1958" spans="1:2" x14ac:dyDescent="0.35">
      <c r="A1958" s="1012">
        <v>41481</v>
      </c>
      <c r="B1958" s="1013">
        <v>2.6809517289759173</v>
      </c>
    </row>
    <row r="1959" spans="1:2" x14ac:dyDescent="0.35">
      <c r="A1959" s="1012">
        <v>41484</v>
      </c>
      <c r="B1959" s="1013">
        <v>2.6043614196319917</v>
      </c>
    </row>
    <row r="1960" spans="1:2" x14ac:dyDescent="0.35">
      <c r="A1960" s="1012">
        <v>41485</v>
      </c>
      <c r="B1960" s="1013">
        <v>2.5354468026366139</v>
      </c>
    </row>
    <row r="1961" spans="1:2" x14ac:dyDescent="0.35">
      <c r="A1961" s="1012">
        <v>41486</v>
      </c>
      <c r="B1961" s="1013">
        <v>2.596883245140083</v>
      </c>
    </row>
    <row r="1962" spans="1:2" x14ac:dyDescent="0.35">
      <c r="A1962" s="1012">
        <v>41487</v>
      </c>
      <c r="B1962" s="1013">
        <v>2.6414447130026262</v>
      </c>
    </row>
    <row r="1963" spans="1:2" x14ac:dyDescent="0.35">
      <c r="A1963" s="1012">
        <v>41488</v>
      </c>
      <c r="B1963" s="1013">
        <v>2.6313918328305324</v>
      </c>
    </row>
    <row r="1964" spans="1:2" x14ac:dyDescent="0.35">
      <c r="A1964" s="1012">
        <v>41491</v>
      </c>
      <c r="B1964" s="1013">
        <v>2.6473867633938934</v>
      </c>
    </row>
    <row r="1965" spans="1:2" x14ac:dyDescent="0.35">
      <c r="A1965" s="1012">
        <v>41492</v>
      </c>
      <c r="B1965" s="1013">
        <v>2.6122376863809986</v>
      </c>
    </row>
    <row r="1966" spans="1:2" x14ac:dyDescent="0.35">
      <c r="A1966" s="1012">
        <v>41493</v>
      </c>
      <c r="B1966" s="1013">
        <v>2.5269287481339431</v>
      </c>
    </row>
    <row r="1967" spans="1:2" x14ac:dyDescent="0.35">
      <c r="A1967" s="1012">
        <v>41494</v>
      </c>
      <c r="B1967" s="1013">
        <v>2.5880629386492808</v>
      </c>
    </row>
    <row r="1968" spans="1:2" x14ac:dyDescent="0.35">
      <c r="A1968" s="1012">
        <v>41495</v>
      </c>
      <c r="B1968" s="1013">
        <v>2.5321247945546941</v>
      </c>
    </row>
    <row r="1969" spans="1:2" x14ac:dyDescent="0.35">
      <c r="A1969" s="1012">
        <v>41498</v>
      </c>
      <c r="B1969" s="1013">
        <v>2.6191359099313112</v>
      </c>
    </row>
    <row r="1970" spans="1:2" x14ac:dyDescent="0.35">
      <c r="A1970" s="1012">
        <v>41499</v>
      </c>
      <c r="B1970" s="1013">
        <v>2.6133339318848701</v>
      </c>
    </row>
    <row r="1971" spans="1:2" x14ac:dyDescent="0.35">
      <c r="A1971" s="1012">
        <v>41500</v>
      </c>
      <c r="B1971" s="1013">
        <v>2.6117045866658066</v>
      </c>
    </row>
    <row r="1972" spans="1:2" x14ac:dyDescent="0.35">
      <c r="A1972" s="1012">
        <v>41501</v>
      </c>
      <c r="B1972" s="1013">
        <v>2.6683565092197568</v>
      </c>
    </row>
    <row r="1973" spans="1:2" x14ac:dyDescent="0.35">
      <c r="A1973" s="1012">
        <v>41502</v>
      </c>
      <c r="B1973" s="1013">
        <v>2.7457389302748516</v>
      </c>
    </row>
    <row r="1974" spans="1:2" x14ac:dyDescent="0.35">
      <c r="A1974" s="1012">
        <v>41505</v>
      </c>
      <c r="B1974" s="1013">
        <v>2.6783324015258776</v>
      </c>
    </row>
    <row r="1975" spans="1:2" x14ac:dyDescent="0.35">
      <c r="A1975" s="1012">
        <v>41506</v>
      </c>
      <c r="B1975" s="1013">
        <v>2.5978211481711884</v>
      </c>
    </row>
    <row r="1976" spans="1:2" x14ac:dyDescent="0.35">
      <c r="A1976" s="1012">
        <v>41507</v>
      </c>
      <c r="B1976" s="1013">
        <v>2.538146341604226</v>
      </c>
    </row>
    <row r="1977" spans="1:2" x14ac:dyDescent="0.35">
      <c r="A1977" s="1012">
        <v>41508</v>
      </c>
      <c r="B1977" s="1013">
        <v>2.5945978783553341</v>
      </c>
    </row>
    <row r="1978" spans="1:2" x14ac:dyDescent="0.35">
      <c r="A1978" s="1012">
        <v>41509</v>
      </c>
      <c r="B1978" s="1013">
        <v>2.5722784643775691</v>
      </c>
    </row>
    <row r="1979" spans="1:2" x14ac:dyDescent="0.35">
      <c r="A1979" s="1012">
        <v>41512</v>
      </c>
      <c r="B1979" s="1013">
        <v>2.6129820669044665</v>
      </c>
    </row>
    <row r="1980" spans="1:2" x14ac:dyDescent="0.35">
      <c r="A1980" s="1012">
        <v>41513</v>
      </c>
      <c r="B1980" s="1013">
        <v>2.5617831397468116</v>
      </c>
    </row>
    <row r="1981" spans="1:2" x14ac:dyDescent="0.35">
      <c r="A1981" s="1012">
        <v>41514</v>
      </c>
      <c r="B1981" s="1013">
        <v>2.5230355658679566</v>
      </c>
    </row>
    <row r="1982" spans="1:2" x14ac:dyDescent="0.35">
      <c r="A1982" s="1012">
        <v>41515</v>
      </c>
      <c r="B1982" s="1013">
        <v>2.5462379168363132</v>
      </c>
    </row>
    <row r="1983" spans="1:2" x14ac:dyDescent="0.35">
      <c r="A1983" s="1012">
        <v>41516</v>
      </c>
      <c r="B1983" s="1013">
        <v>2.5817843900957604</v>
      </c>
    </row>
    <row r="1984" spans="1:2" x14ac:dyDescent="0.35">
      <c r="A1984" s="1012">
        <v>41519</v>
      </c>
      <c r="B1984" s="1013">
        <v>2.5317289435854917</v>
      </c>
    </row>
    <row r="1985" spans="1:2" x14ac:dyDescent="0.35">
      <c r="A1985" s="1012">
        <v>41520</v>
      </c>
      <c r="B1985" s="1013">
        <v>2.5260558197538359</v>
      </c>
    </row>
    <row r="1986" spans="1:2" x14ac:dyDescent="0.35">
      <c r="A1986" s="1012">
        <v>41521</v>
      </c>
      <c r="B1986" s="1013">
        <v>2.499831850865641</v>
      </c>
    </row>
    <row r="1987" spans="1:2" x14ac:dyDescent="0.35">
      <c r="A1987" s="1012">
        <v>41522</v>
      </c>
      <c r="B1987" s="1013">
        <v>2.5352756910822558</v>
      </c>
    </row>
    <row r="1988" spans="1:2" x14ac:dyDescent="0.35">
      <c r="A1988" s="1012">
        <v>41523</v>
      </c>
      <c r="B1988" s="1013">
        <v>2.5090782927416928</v>
      </c>
    </row>
    <row r="1989" spans="1:2" x14ac:dyDescent="0.35">
      <c r="A1989" s="1012">
        <v>41526</v>
      </c>
      <c r="B1989" s="1013">
        <v>2.5577465066499041</v>
      </c>
    </row>
    <row r="1990" spans="1:2" x14ac:dyDescent="0.35">
      <c r="A1990" s="1012">
        <v>41527</v>
      </c>
      <c r="B1990" s="1013">
        <v>2.5438889006026635</v>
      </c>
    </row>
    <row r="1991" spans="1:2" x14ac:dyDescent="0.35">
      <c r="A1991" s="1012">
        <v>41528</v>
      </c>
      <c r="B1991" s="1013">
        <v>2.5587057825476403</v>
      </c>
    </row>
    <row r="1992" spans="1:2" x14ac:dyDescent="0.35">
      <c r="A1992" s="1012">
        <v>41529</v>
      </c>
      <c r="B1992" s="1013">
        <v>2.5407731397407081</v>
      </c>
    </row>
    <row r="1993" spans="1:2" x14ac:dyDescent="0.35">
      <c r="A1993" s="1012">
        <v>41530</v>
      </c>
      <c r="B1993" s="1013">
        <v>2.5269513654997651</v>
      </c>
    </row>
    <row r="1994" spans="1:2" x14ac:dyDescent="0.35">
      <c r="A1994" s="1012">
        <v>41533</v>
      </c>
      <c r="B1994" s="1013">
        <v>2.5572667598067738</v>
      </c>
    </row>
    <row r="1995" spans="1:2" x14ac:dyDescent="0.35">
      <c r="A1995" s="1012">
        <v>41534</v>
      </c>
      <c r="B1995" s="1013">
        <v>2.5474877649780758</v>
      </c>
    </row>
    <row r="1996" spans="1:2" x14ac:dyDescent="0.35">
      <c r="A1996" s="1012">
        <v>41535</v>
      </c>
      <c r="B1996" s="1013">
        <v>2.5336143594551719</v>
      </c>
    </row>
    <row r="1997" spans="1:2" x14ac:dyDescent="0.35">
      <c r="A1997" s="1012">
        <v>41540</v>
      </c>
      <c r="B1997" s="1013">
        <v>2.575034584995878</v>
      </c>
    </row>
    <row r="1998" spans="1:2" x14ac:dyDescent="0.35">
      <c r="A1998" s="1012">
        <v>41541</v>
      </c>
      <c r="B1998" s="1013">
        <v>2.5611950374882029</v>
      </c>
    </row>
    <row r="1999" spans="1:2" x14ac:dyDescent="0.35">
      <c r="A1999" s="1012">
        <v>41542</v>
      </c>
      <c r="B1999" s="1013">
        <v>2.5432834266999222</v>
      </c>
    </row>
    <row r="2000" spans="1:2" x14ac:dyDescent="0.35">
      <c r="A2000" s="1012">
        <v>41543</v>
      </c>
      <c r="B2000" s="1013">
        <v>2.4191472362792146</v>
      </c>
    </row>
    <row r="2001" spans="1:2" x14ac:dyDescent="0.35">
      <c r="A2001" s="1012">
        <v>41544</v>
      </c>
      <c r="B2001" s="1013">
        <v>2.4871058324811637</v>
      </c>
    </row>
    <row r="2002" spans="1:2" x14ac:dyDescent="0.35">
      <c r="A2002" s="1012">
        <v>41547</v>
      </c>
      <c r="B2002" s="1013">
        <v>2.5437337792926513</v>
      </c>
    </row>
    <row r="2003" spans="1:2" x14ac:dyDescent="0.35">
      <c r="A2003" s="1012">
        <v>41555</v>
      </c>
      <c r="B2003" s="1013">
        <v>2.4827847615299738</v>
      </c>
    </row>
    <row r="2004" spans="1:2" x14ac:dyDescent="0.35">
      <c r="A2004" s="1012">
        <v>41556</v>
      </c>
      <c r="B2004" s="1013">
        <v>2.4691258514268144</v>
      </c>
    </row>
    <row r="2005" spans="1:2" x14ac:dyDescent="0.35">
      <c r="A2005" s="1012">
        <v>41557</v>
      </c>
      <c r="B2005" s="1013">
        <v>2.4514314359728258</v>
      </c>
    </row>
    <row r="2006" spans="1:2" x14ac:dyDescent="0.35">
      <c r="A2006" s="1012">
        <v>41558</v>
      </c>
      <c r="B2006" s="1013">
        <v>2.5309466664989677</v>
      </c>
    </row>
    <row r="2007" spans="1:2" x14ac:dyDescent="0.35">
      <c r="A2007" s="1012">
        <v>41561</v>
      </c>
      <c r="B2007" s="1013">
        <v>2.5263861739472864</v>
      </c>
    </row>
    <row r="2008" spans="1:2" x14ac:dyDescent="0.35">
      <c r="A2008" s="1012">
        <v>41562</v>
      </c>
      <c r="B2008" s="1013">
        <v>2.6501031949260572</v>
      </c>
    </row>
    <row r="2009" spans="1:2" x14ac:dyDescent="0.35">
      <c r="A2009" s="1012">
        <v>41563</v>
      </c>
      <c r="B2009" s="1013">
        <v>2.6323638996932277</v>
      </c>
    </row>
    <row r="2010" spans="1:2" x14ac:dyDescent="0.35">
      <c r="A2010" s="1012">
        <v>41564</v>
      </c>
      <c r="B2010" s="1013">
        <v>2.6590302963902608</v>
      </c>
    </row>
    <row r="2011" spans="1:2" x14ac:dyDescent="0.35">
      <c r="A2011" s="1012">
        <v>41565</v>
      </c>
      <c r="B2011" s="1013">
        <v>2.6775996772834092</v>
      </c>
    </row>
    <row r="2012" spans="1:2" x14ac:dyDescent="0.35">
      <c r="A2012" s="1012">
        <v>41568</v>
      </c>
      <c r="B2012" s="1013">
        <v>2.709022777008228</v>
      </c>
    </row>
    <row r="2013" spans="1:2" x14ac:dyDescent="0.35">
      <c r="A2013" s="1012">
        <v>41569</v>
      </c>
      <c r="B2013" s="1013">
        <v>2.6993576604180864</v>
      </c>
    </row>
    <row r="2014" spans="1:2" x14ac:dyDescent="0.35">
      <c r="A2014" s="1012">
        <v>41570</v>
      </c>
      <c r="B2014" s="1013">
        <v>2.6374377939878366</v>
      </c>
    </row>
    <row r="2015" spans="1:2" x14ac:dyDescent="0.35">
      <c r="A2015" s="1012">
        <v>41571</v>
      </c>
      <c r="B2015" s="1013">
        <v>2.6077365376726727</v>
      </c>
    </row>
    <row r="2016" spans="1:2" x14ac:dyDescent="0.35">
      <c r="A2016" s="1012">
        <v>41572</v>
      </c>
      <c r="B2016" s="1013">
        <v>2.610196218061378</v>
      </c>
    </row>
    <row r="2017" spans="1:2" x14ac:dyDescent="0.35">
      <c r="A2017" s="1012">
        <v>41575</v>
      </c>
      <c r="B2017" s="1013">
        <v>2.6335917227190428</v>
      </c>
    </row>
    <row r="2018" spans="1:2" x14ac:dyDescent="0.35">
      <c r="A2018" s="1012">
        <v>41576</v>
      </c>
      <c r="B2018" s="1013">
        <v>2.5879566574007802</v>
      </c>
    </row>
    <row r="2019" spans="1:2" x14ac:dyDescent="0.35">
      <c r="A2019" s="1012">
        <v>41577</v>
      </c>
      <c r="B2019" s="1013">
        <v>2.6184469795343461</v>
      </c>
    </row>
    <row r="2020" spans="1:2" x14ac:dyDescent="0.35">
      <c r="A2020" s="1012">
        <v>41578</v>
      </c>
      <c r="B2020" s="1013">
        <v>2.6128887951724251</v>
      </c>
    </row>
    <row r="2021" spans="1:2" x14ac:dyDescent="0.35">
      <c r="A2021" s="1012">
        <v>41579</v>
      </c>
      <c r="B2021" s="1013">
        <v>2.6233331500708528</v>
      </c>
    </row>
    <row r="2022" spans="1:2" x14ac:dyDescent="0.35">
      <c r="A2022" s="1012">
        <v>41582</v>
      </c>
      <c r="B2022" s="1013">
        <v>2.5747545244502676</v>
      </c>
    </row>
    <row r="2023" spans="1:2" x14ac:dyDescent="0.35">
      <c r="A2023" s="1012">
        <v>41583</v>
      </c>
      <c r="B2023" s="1013">
        <v>2.5732282163671591</v>
      </c>
    </row>
    <row r="2024" spans="1:2" x14ac:dyDescent="0.35">
      <c r="A2024" s="1012">
        <v>41584</v>
      </c>
      <c r="B2024" s="1013">
        <v>2.5637294417044085</v>
      </c>
    </row>
    <row r="2025" spans="1:2" x14ac:dyDescent="0.35">
      <c r="A2025" s="1012">
        <v>41585</v>
      </c>
      <c r="B2025" s="1013">
        <v>2.5582266921847836</v>
      </c>
    </row>
    <row r="2026" spans="1:2" x14ac:dyDescent="0.35">
      <c r="A2026" s="1012">
        <v>41586</v>
      </c>
      <c r="B2026" s="1013">
        <v>2.5885722243765414</v>
      </c>
    </row>
    <row r="2027" spans="1:2" x14ac:dyDescent="0.35">
      <c r="A2027" s="1012">
        <v>41589</v>
      </c>
      <c r="B2027" s="1013">
        <v>2.5919357656605002</v>
      </c>
    </row>
    <row r="2028" spans="1:2" x14ac:dyDescent="0.35">
      <c r="A2028" s="1012">
        <v>41590</v>
      </c>
      <c r="B2028" s="1013">
        <v>2.5506754744603959</v>
      </c>
    </row>
    <row r="2029" spans="1:2" x14ac:dyDescent="0.35">
      <c r="A2029" s="1012">
        <v>41591</v>
      </c>
      <c r="B2029" s="1013">
        <v>2.5531412478542066</v>
      </c>
    </row>
    <row r="2030" spans="1:2" x14ac:dyDescent="0.35">
      <c r="A2030" s="1012">
        <v>41592</v>
      </c>
      <c r="B2030" s="1013">
        <v>2.5595724427220339</v>
      </c>
    </row>
    <row r="2031" spans="1:2" x14ac:dyDescent="0.35">
      <c r="A2031" s="1012">
        <v>41593</v>
      </c>
      <c r="B2031" s="1013">
        <v>2.5580640760990963</v>
      </c>
    </row>
    <row r="2032" spans="1:2" x14ac:dyDescent="0.35">
      <c r="A2032" s="1012">
        <v>41596</v>
      </c>
      <c r="B2032" s="1013">
        <v>2.707950298988445</v>
      </c>
    </row>
    <row r="2033" spans="1:2" x14ac:dyDescent="0.35">
      <c r="A2033" s="1012">
        <v>41597</v>
      </c>
      <c r="B2033" s="1013">
        <v>2.730098230105785</v>
      </c>
    </row>
    <row r="2034" spans="1:2" x14ac:dyDescent="0.35">
      <c r="A2034" s="1012">
        <v>41598</v>
      </c>
      <c r="B2034" s="1013">
        <v>2.7205854199916475</v>
      </c>
    </row>
    <row r="2035" spans="1:2" x14ac:dyDescent="0.35">
      <c r="A2035" s="1012">
        <v>41599</v>
      </c>
      <c r="B2035" s="1013">
        <v>2.6913236963741554</v>
      </c>
    </row>
    <row r="2036" spans="1:2" x14ac:dyDescent="0.35">
      <c r="A2036" s="1012">
        <v>41600</v>
      </c>
      <c r="B2036" s="1013">
        <v>2.6936939016061787</v>
      </c>
    </row>
    <row r="2037" spans="1:2" x14ac:dyDescent="0.35">
      <c r="A2037" s="1012">
        <v>41603</v>
      </c>
      <c r="B2037" s="1013">
        <v>2.6692458063047648</v>
      </c>
    </row>
    <row r="2038" spans="1:2" x14ac:dyDescent="0.35">
      <c r="A2038" s="1012">
        <v>41604</v>
      </c>
      <c r="B2038" s="1013">
        <v>2.6834447296512951</v>
      </c>
    </row>
    <row r="2039" spans="1:2" x14ac:dyDescent="0.35">
      <c r="A2039" s="1012">
        <v>41605</v>
      </c>
      <c r="B2039" s="1013">
        <v>2.673998185595829</v>
      </c>
    </row>
    <row r="2040" spans="1:2" x14ac:dyDescent="0.35">
      <c r="A2040" s="1012">
        <v>41606</v>
      </c>
      <c r="B2040" s="1013">
        <v>2.660626852129786</v>
      </c>
    </row>
    <row r="2041" spans="1:2" x14ac:dyDescent="0.35">
      <c r="A2041" s="1012">
        <v>41607</v>
      </c>
      <c r="B2041" s="1013">
        <v>2.6787394541661453</v>
      </c>
    </row>
    <row r="2042" spans="1:2" x14ac:dyDescent="0.35">
      <c r="A2042" s="1012">
        <v>41610</v>
      </c>
      <c r="B2042" s="1013">
        <v>2.6819039565671186</v>
      </c>
    </row>
    <row r="2043" spans="1:2" x14ac:dyDescent="0.35">
      <c r="A2043" s="1012">
        <v>41611</v>
      </c>
      <c r="B2043" s="1013">
        <v>2.6293233661416879</v>
      </c>
    </row>
    <row r="2044" spans="1:2" x14ac:dyDescent="0.35">
      <c r="A2044" s="1012">
        <v>41612</v>
      </c>
      <c r="B2044" s="1013">
        <v>2.6983884235394822</v>
      </c>
    </row>
    <row r="2045" spans="1:2" x14ac:dyDescent="0.35">
      <c r="A2045" s="1012">
        <v>41613</v>
      </c>
      <c r="B2045" s="1013">
        <v>2.6772178165316056</v>
      </c>
    </row>
    <row r="2046" spans="1:2" x14ac:dyDescent="0.35">
      <c r="A2046" s="1012">
        <v>41614</v>
      </c>
      <c r="B2046" s="1013">
        <v>2.644319326024164</v>
      </c>
    </row>
    <row r="2047" spans="1:2" x14ac:dyDescent="0.35">
      <c r="A2047" s="1012">
        <v>41617</v>
      </c>
      <c r="B2047" s="1013">
        <v>2.6240668743112385</v>
      </c>
    </row>
    <row r="2048" spans="1:2" x14ac:dyDescent="0.35">
      <c r="A2048" s="1012">
        <v>41618</v>
      </c>
      <c r="B2048" s="1013">
        <v>2.6225429521932337</v>
      </c>
    </row>
    <row r="2049" spans="1:2" x14ac:dyDescent="0.35">
      <c r="A2049" s="1012">
        <v>41619</v>
      </c>
      <c r="B2049" s="1013">
        <v>2.6288330816385326</v>
      </c>
    </row>
    <row r="2050" spans="1:2" x14ac:dyDescent="0.35">
      <c r="A2050" s="1012">
        <v>41620</v>
      </c>
      <c r="B2050" s="1013">
        <v>2.5726539067562899</v>
      </c>
    </row>
    <row r="2051" spans="1:2" x14ac:dyDescent="0.35">
      <c r="A2051" s="1012">
        <v>41621</v>
      </c>
      <c r="B2051" s="1013">
        <v>2.5984737265387499</v>
      </c>
    </row>
    <row r="2052" spans="1:2" x14ac:dyDescent="0.35">
      <c r="A2052" s="1012">
        <v>41624</v>
      </c>
      <c r="B2052" s="1013">
        <v>2.5394345344287319</v>
      </c>
    </row>
    <row r="2053" spans="1:2" x14ac:dyDescent="0.35">
      <c r="A2053" s="1012">
        <v>41625</v>
      </c>
      <c r="B2053" s="1013">
        <v>2.5963545156252001</v>
      </c>
    </row>
    <row r="2054" spans="1:2" x14ac:dyDescent="0.35">
      <c r="A2054" s="1012">
        <v>41626</v>
      </c>
      <c r="B2054" s="1013">
        <v>2.6259763429446714</v>
      </c>
    </row>
    <row r="2055" spans="1:2" x14ac:dyDescent="0.35">
      <c r="A2055" s="1012">
        <v>41627</v>
      </c>
      <c r="B2055" s="1013">
        <v>2.6011307148020237</v>
      </c>
    </row>
    <row r="2056" spans="1:2" x14ac:dyDescent="0.35">
      <c r="A2056" s="1012">
        <v>41628</v>
      </c>
      <c r="B2056" s="1013">
        <v>2.5724279353391997</v>
      </c>
    </row>
    <row r="2057" spans="1:2" x14ac:dyDescent="0.35">
      <c r="A2057" s="1012">
        <v>41631</v>
      </c>
      <c r="B2057" s="1013">
        <v>2.571858842905117</v>
      </c>
    </row>
    <row r="2058" spans="1:2" x14ac:dyDescent="0.35">
      <c r="A2058" s="1012">
        <v>41632</v>
      </c>
      <c r="B2058" s="1013">
        <v>2.6130230632632845</v>
      </c>
    </row>
    <row r="2059" spans="1:2" x14ac:dyDescent="0.35">
      <c r="A2059" s="1012">
        <v>41633</v>
      </c>
      <c r="B2059" s="1013">
        <v>2.6115186600109324</v>
      </c>
    </row>
    <row r="2060" spans="1:2" x14ac:dyDescent="0.35">
      <c r="A2060" s="1012">
        <v>41634</v>
      </c>
      <c r="B2060" s="1013">
        <v>2.6100159880306166</v>
      </c>
    </row>
    <row r="2061" spans="1:2" x14ac:dyDescent="0.35">
      <c r="A2061" s="1012">
        <v>41635</v>
      </c>
      <c r="B2061" s="1013">
        <v>2.6356064468731351</v>
      </c>
    </row>
    <row r="2062" spans="1:2" x14ac:dyDescent="0.35">
      <c r="A2062" s="1012">
        <v>41638</v>
      </c>
      <c r="B2062" s="1013">
        <v>2.6465214375957169</v>
      </c>
    </row>
    <row r="2063" spans="1:2" x14ac:dyDescent="0.35">
      <c r="A2063" s="1012">
        <v>41639</v>
      </c>
      <c r="B2063" s="1013">
        <v>2.683616175924652</v>
      </c>
    </row>
    <row r="2064" spans="1:2" x14ac:dyDescent="0.35">
      <c r="A2064" s="1012">
        <v>41641</v>
      </c>
      <c r="B2064" s="1013">
        <v>2.6230424892546296</v>
      </c>
    </row>
    <row r="2065" spans="1:2" x14ac:dyDescent="0.35">
      <c r="A2065" s="1012">
        <v>41642</v>
      </c>
      <c r="B2065" s="1013">
        <v>2.6411738537316438</v>
      </c>
    </row>
    <row r="2066" spans="1:2" x14ac:dyDescent="0.35">
      <c r="A2066" s="1012">
        <v>41645</v>
      </c>
      <c r="B2066" s="1013">
        <v>2.6069073690591358</v>
      </c>
    </row>
    <row r="2067" spans="1:2" x14ac:dyDescent="0.35">
      <c r="A2067" s="1012">
        <v>41646</v>
      </c>
      <c r="B2067" s="1013">
        <v>2.5826751750843502</v>
      </c>
    </row>
    <row r="2068" spans="1:2" x14ac:dyDescent="0.35">
      <c r="A2068" s="1012">
        <v>41647</v>
      </c>
      <c r="B2068" s="1013">
        <v>2.5507695034311539</v>
      </c>
    </row>
    <row r="2069" spans="1:2" x14ac:dyDescent="0.35">
      <c r="A2069" s="1012">
        <v>41648</v>
      </c>
      <c r="B2069" s="1013">
        <v>2.5035091242429628</v>
      </c>
    </row>
    <row r="2070" spans="1:2" x14ac:dyDescent="0.35">
      <c r="A2070" s="1012">
        <v>41649</v>
      </c>
      <c r="B2070" s="1013">
        <v>2.5985164529806513</v>
      </c>
    </row>
    <row r="2071" spans="1:2" x14ac:dyDescent="0.35">
      <c r="A2071" s="1012">
        <v>41652</v>
      </c>
      <c r="B2071" s="1013">
        <v>2.7486791470555847</v>
      </c>
    </row>
    <row r="2072" spans="1:2" x14ac:dyDescent="0.35">
      <c r="A2072" s="1012">
        <v>41653</v>
      </c>
      <c r="B2072" s="1013">
        <v>2.8203907351145583</v>
      </c>
    </row>
    <row r="2073" spans="1:2" x14ac:dyDescent="0.35">
      <c r="A2073" s="1012">
        <v>41654</v>
      </c>
      <c r="B2073" s="1013">
        <v>2.7616296315473776</v>
      </c>
    </row>
    <row r="2074" spans="1:2" x14ac:dyDescent="0.35">
      <c r="A2074" s="1012">
        <v>41655</v>
      </c>
      <c r="B2074" s="1013">
        <v>2.7987678538647973</v>
      </c>
    </row>
    <row r="2075" spans="1:2" x14ac:dyDescent="0.35">
      <c r="A2075" s="1012">
        <v>41656</v>
      </c>
      <c r="B2075" s="1013">
        <v>2.7630608109745904</v>
      </c>
    </row>
    <row r="2076" spans="1:2" x14ac:dyDescent="0.35">
      <c r="A2076" s="1012">
        <v>41659</v>
      </c>
      <c r="B2076" s="1013">
        <v>2.8015619894896302</v>
      </c>
    </row>
    <row r="2077" spans="1:2" x14ac:dyDescent="0.35">
      <c r="A2077" s="1012">
        <v>41660</v>
      </c>
      <c r="B2077" s="1013">
        <v>2.7850437646404487</v>
      </c>
    </row>
    <row r="2078" spans="1:2" x14ac:dyDescent="0.35">
      <c r="A2078" s="1012">
        <v>41661</v>
      </c>
      <c r="B2078" s="1013">
        <v>2.799131471091536</v>
      </c>
    </row>
    <row r="2079" spans="1:2" x14ac:dyDescent="0.35">
      <c r="A2079" s="1012">
        <v>41662</v>
      </c>
      <c r="B2079" s="1013">
        <v>2.809384668868578</v>
      </c>
    </row>
    <row r="2080" spans="1:2" x14ac:dyDescent="0.35">
      <c r="A2080" s="1012">
        <v>41663</v>
      </c>
      <c r="B2080" s="1013">
        <v>2.6820861020793814</v>
      </c>
    </row>
    <row r="2081" spans="1:2" x14ac:dyDescent="0.35">
      <c r="A2081" s="1012">
        <v>41666</v>
      </c>
      <c r="B2081" s="1013">
        <v>2.560317453429835</v>
      </c>
    </row>
    <row r="2082" spans="1:2" x14ac:dyDescent="0.35">
      <c r="A2082" s="1012">
        <v>41667</v>
      </c>
      <c r="B2082" s="1013">
        <v>2.5782798413110779</v>
      </c>
    </row>
    <row r="2083" spans="1:2" x14ac:dyDescent="0.35">
      <c r="A2083" s="1012">
        <v>41668</v>
      </c>
      <c r="B2083" s="1013">
        <v>2.6800989209144839</v>
      </c>
    </row>
    <row r="2084" spans="1:2" x14ac:dyDescent="0.35">
      <c r="A2084" s="1012">
        <v>41669</v>
      </c>
      <c r="B2084" s="1013">
        <v>2.6865618222819374</v>
      </c>
    </row>
    <row r="2085" spans="1:2" x14ac:dyDescent="0.35">
      <c r="A2085" s="1012">
        <v>41677</v>
      </c>
      <c r="B2085" s="1013">
        <v>2.5823632602972046</v>
      </c>
    </row>
    <row r="2086" spans="1:2" x14ac:dyDescent="0.35">
      <c r="A2086" s="1012">
        <v>41680</v>
      </c>
      <c r="B2086" s="1013">
        <v>2.5828228960891986</v>
      </c>
    </row>
    <row r="2087" spans="1:2" x14ac:dyDescent="0.35">
      <c r="A2087" s="1012">
        <v>41681</v>
      </c>
      <c r="B2087" s="1013">
        <v>2.6196227620242474</v>
      </c>
    </row>
    <row r="2088" spans="1:2" x14ac:dyDescent="0.35">
      <c r="A2088" s="1012">
        <v>41682</v>
      </c>
      <c r="B2088" s="1013">
        <v>2.6563909901300744</v>
      </c>
    </row>
    <row r="2089" spans="1:2" x14ac:dyDescent="0.35">
      <c r="A2089" s="1012">
        <v>41683</v>
      </c>
      <c r="B2089" s="1013">
        <v>2.6741886083817428</v>
      </c>
    </row>
    <row r="2090" spans="1:2" x14ac:dyDescent="0.35">
      <c r="A2090" s="1012">
        <v>41684</v>
      </c>
      <c r="B2090" s="1013">
        <v>2.6351783028510249</v>
      </c>
    </row>
    <row r="2091" spans="1:2" x14ac:dyDescent="0.35">
      <c r="A2091" s="1012">
        <v>41687</v>
      </c>
      <c r="B2091" s="1013">
        <v>2.658256416339702</v>
      </c>
    </row>
    <row r="2092" spans="1:2" x14ac:dyDescent="0.35">
      <c r="A2092" s="1012">
        <v>41688</v>
      </c>
      <c r="B2092" s="1013">
        <v>2.6495573042420935</v>
      </c>
    </row>
    <row r="2093" spans="1:2" x14ac:dyDescent="0.35">
      <c r="A2093" s="1012">
        <v>41689</v>
      </c>
      <c r="B2093" s="1013">
        <v>2.6333095236785704</v>
      </c>
    </row>
    <row r="2094" spans="1:2" x14ac:dyDescent="0.35">
      <c r="A2094" s="1012">
        <v>41690</v>
      </c>
      <c r="B2094" s="1013">
        <v>2.5944170001377351</v>
      </c>
    </row>
    <row r="2095" spans="1:2" x14ac:dyDescent="0.35">
      <c r="A2095" s="1012">
        <v>41691</v>
      </c>
      <c r="B2095" s="1013">
        <v>2.5442333040964975</v>
      </c>
    </row>
    <row r="2096" spans="1:2" x14ac:dyDescent="0.35">
      <c r="A2096" s="1012">
        <v>41694</v>
      </c>
      <c r="B2096" s="1013">
        <v>2.5258891883097196</v>
      </c>
    </row>
    <row r="2097" spans="1:2" x14ac:dyDescent="0.35">
      <c r="A2097" s="1012">
        <v>41695</v>
      </c>
      <c r="B2097" s="1013">
        <v>2.4720522228852526</v>
      </c>
    </row>
    <row r="2098" spans="1:2" x14ac:dyDescent="0.35">
      <c r="A2098" s="1012">
        <v>41696</v>
      </c>
      <c r="B2098" s="1013">
        <v>2.5124303180599146</v>
      </c>
    </row>
    <row r="2099" spans="1:2" x14ac:dyDescent="0.35">
      <c r="A2099" s="1012">
        <v>41697</v>
      </c>
      <c r="B2099" s="1013">
        <v>2.5151223887413208</v>
      </c>
    </row>
    <row r="2100" spans="1:2" x14ac:dyDescent="0.35">
      <c r="A2100" s="1012">
        <v>41698</v>
      </c>
      <c r="B2100" s="1013">
        <v>2.5027579774640389</v>
      </c>
    </row>
    <row r="2101" spans="1:2" x14ac:dyDescent="0.35">
      <c r="A2101" s="1012">
        <v>41701</v>
      </c>
      <c r="B2101" s="1013">
        <v>2.4506930801532918</v>
      </c>
    </row>
    <row r="2102" spans="1:2" x14ac:dyDescent="0.35">
      <c r="A2102" s="1012">
        <v>41702</v>
      </c>
      <c r="B2102" s="1013">
        <v>2.4383772074076795</v>
      </c>
    </row>
    <row r="2103" spans="1:2" x14ac:dyDescent="0.35">
      <c r="A2103" s="1012">
        <v>41703</v>
      </c>
      <c r="B2103" s="1013">
        <v>2.3960275950537979</v>
      </c>
    </row>
    <row r="2104" spans="1:2" x14ac:dyDescent="0.35">
      <c r="A2104" s="1012">
        <v>41704</v>
      </c>
      <c r="B2104" s="1013">
        <v>2.4400544385244469</v>
      </c>
    </row>
    <row r="2105" spans="1:2" x14ac:dyDescent="0.35">
      <c r="A2105" s="1012">
        <v>41705</v>
      </c>
      <c r="B2105" s="1013">
        <v>2.3602168446316591</v>
      </c>
    </row>
    <row r="2106" spans="1:2" x14ac:dyDescent="0.35">
      <c r="A2106" s="1012">
        <v>41708</v>
      </c>
      <c r="B2106" s="1013">
        <v>2.3122362156933014</v>
      </c>
    </row>
    <row r="2107" spans="1:2" x14ac:dyDescent="0.35">
      <c r="A2107" s="1012">
        <v>41709</v>
      </c>
      <c r="B2107" s="1013">
        <v>2.3037617655345817</v>
      </c>
    </row>
    <row r="2108" spans="1:2" x14ac:dyDescent="0.35">
      <c r="A2108" s="1012">
        <v>41710</v>
      </c>
      <c r="B2108" s="1013">
        <v>2.2391290695498296</v>
      </c>
    </row>
    <row r="2109" spans="1:2" x14ac:dyDescent="0.35">
      <c r="A2109" s="1012">
        <v>41711</v>
      </c>
      <c r="B2109" s="1013">
        <v>2.1895223488416695</v>
      </c>
    </row>
    <row r="2110" spans="1:2" x14ac:dyDescent="0.35">
      <c r="A2110" s="1012">
        <v>41712</v>
      </c>
      <c r="B2110" s="1013">
        <v>2.1362165485248217</v>
      </c>
    </row>
    <row r="2111" spans="1:2" x14ac:dyDescent="0.35">
      <c r="A2111" s="1012">
        <v>41715</v>
      </c>
      <c r="B2111" s="1013">
        <v>2.2343837858244542</v>
      </c>
    </row>
    <row r="2112" spans="1:2" x14ac:dyDescent="0.35">
      <c r="A2112" s="1012">
        <v>41716</v>
      </c>
      <c r="B2112" s="1013">
        <v>2.1960886944237616</v>
      </c>
    </row>
    <row r="2113" spans="1:2" x14ac:dyDescent="0.35">
      <c r="A2113" s="1012">
        <v>41717</v>
      </c>
      <c r="B2113" s="1013">
        <v>2.1951586687623155</v>
      </c>
    </row>
    <row r="2114" spans="1:2" x14ac:dyDescent="0.35">
      <c r="A2114" s="1012">
        <v>41718</v>
      </c>
      <c r="B2114" s="1013">
        <v>2.1643759688447539</v>
      </c>
    </row>
    <row r="2115" spans="1:2" x14ac:dyDescent="0.35">
      <c r="A2115" s="1012">
        <v>41719</v>
      </c>
      <c r="B2115" s="1013">
        <v>2.2194117045248754</v>
      </c>
    </row>
    <row r="2116" spans="1:2" x14ac:dyDescent="0.35">
      <c r="A2116" s="1012">
        <v>41722</v>
      </c>
      <c r="B2116" s="1013">
        <v>2.3693383174606328</v>
      </c>
    </row>
    <row r="2117" spans="1:2" x14ac:dyDescent="0.35">
      <c r="A2117" s="1012">
        <v>41723</v>
      </c>
      <c r="B2117" s="1013">
        <v>2.2938614441973812</v>
      </c>
    </row>
    <row r="2118" spans="1:2" x14ac:dyDescent="0.35">
      <c r="A2118" s="1012">
        <v>41724</v>
      </c>
      <c r="B2118" s="1013">
        <v>2.3785041440876804</v>
      </c>
    </row>
    <row r="2119" spans="1:2" x14ac:dyDescent="0.35">
      <c r="A2119" s="1012">
        <v>41725</v>
      </c>
      <c r="B2119" s="1013">
        <v>2.3551763218580457</v>
      </c>
    </row>
    <row r="2120" spans="1:2" x14ac:dyDescent="0.35">
      <c r="A2120" s="1012">
        <v>41726</v>
      </c>
      <c r="B2120" s="1013">
        <v>2.4062499431120741</v>
      </c>
    </row>
    <row r="2121" spans="1:2" x14ac:dyDescent="0.35">
      <c r="A2121" s="1012">
        <v>41729</v>
      </c>
      <c r="B2121" s="1013">
        <v>2.4403521875510017</v>
      </c>
    </row>
    <row r="2122" spans="1:2" x14ac:dyDescent="0.35">
      <c r="A2122" s="1012">
        <v>41730</v>
      </c>
      <c r="B2122" s="1013">
        <v>2.4393243767944517</v>
      </c>
    </row>
    <row r="2123" spans="1:2" x14ac:dyDescent="0.35">
      <c r="A2123" s="1012">
        <v>41731</v>
      </c>
      <c r="B2123" s="1013">
        <v>2.4568537284889191</v>
      </c>
    </row>
    <row r="2124" spans="1:2" x14ac:dyDescent="0.35">
      <c r="A2124" s="1012">
        <v>41732</v>
      </c>
      <c r="B2124" s="1013">
        <v>2.5263040938070427</v>
      </c>
    </row>
    <row r="2125" spans="1:2" x14ac:dyDescent="0.35">
      <c r="A2125" s="1012">
        <v>41733</v>
      </c>
      <c r="B2125" s="1013">
        <v>2.5474902482488342</v>
      </c>
    </row>
    <row r="2126" spans="1:2" x14ac:dyDescent="0.35">
      <c r="A2126" s="1012">
        <v>41737</v>
      </c>
      <c r="B2126" s="1013">
        <v>2.498788224524219</v>
      </c>
    </row>
    <row r="2127" spans="1:2" x14ac:dyDescent="0.35">
      <c r="A2127" s="1012">
        <v>41738</v>
      </c>
      <c r="B2127" s="1013">
        <v>2.5680460730584764</v>
      </c>
    </row>
    <row r="2128" spans="1:2" x14ac:dyDescent="0.35">
      <c r="A2128" s="1012">
        <v>41739</v>
      </c>
      <c r="B2128" s="1013">
        <v>2.500390130009992</v>
      </c>
    </row>
    <row r="2129" spans="1:2" x14ac:dyDescent="0.35">
      <c r="A2129" s="1012">
        <v>41740</v>
      </c>
      <c r="B2129" s="1013">
        <v>2.5215249536364048</v>
      </c>
    </row>
    <row r="2130" spans="1:2" x14ac:dyDescent="0.35">
      <c r="A2130" s="1012">
        <v>41743</v>
      </c>
      <c r="B2130" s="1013">
        <v>2.5146637025819176</v>
      </c>
    </row>
    <row r="2131" spans="1:2" x14ac:dyDescent="0.35">
      <c r="A2131" s="1012">
        <v>41744</v>
      </c>
      <c r="B2131" s="1013">
        <v>2.4287164578867872</v>
      </c>
    </row>
    <row r="2132" spans="1:2" x14ac:dyDescent="0.35">
      <c r="A2132" s="1012">
        <v>41745</v>
      </c>
      <c r="B2132" s="1013">
        <v>2.4941112149180351</v>
      </c>
    </row>
    <row r="2133" spans="1:2" x14ac:dyDescent="0.35">
      <c r="A2133" s="1012">
        <v>41746</v>
      </c>
      <c r="B2133" s="1013">
        <v>2.5115076442246442</v>
      </c>
    </row>
    <row r="2134" spans="1:2" x14ac:dyDescent="0.35">
      <c r="A2134" s="1012">
        <v>41747</v>
      </c>
      <c r="B2134" s="1013">
        <v>2.5104573845019367</v>
      </c>
    </row>
    <row r="2135" spans="1:2" x14ac:dyDescent="0.35">
      <c r="A2135" s="1012">
        <v>41750</v>
      </c>
      <c r="B2135" s="1013">
        <v>2.5073118690888005</v>
      </c>
    </row>
    <row r="2136" spans="1:2" x14ac:dyDescent="0.35">
      <c r="A2136" s="1012">
        <v>41751</v>
      </c>
      <c r="B2136" s="1013">
        <v>2.5541086486376643</v>
      </c>
    </row>
    <row r="2137" spans="1:2" x14ac:dyDescent="0.35">
      <c r="A2137" s="1012">
        <v>41752</v>
      </c>
      <c r="B2137" s="1013">
        <v>2.486825554158564</v>
      </c>
    </row>
    <row r="2138" spans="1:2" x14ac:dyDescent="0.35">
      <c r="A2138" s="1012">
        <v>41753</v>
      </c>
      <c r="B2138" s="1013">
        <v>2.5152058307744212</v>
      </c>
    </row>
    <row r="2139" spans="1:2" x14ac:dyDescent="0.35">
      <c r="A2139" s="1012">
        <v>41754</v>
      </c>
      <c r="B2139" s="1013">
        <v>2.4810760800633775</v>
      </c>
    </row>
    <row r="2140" spans="1:2" x14ac:dyDescent="0.35">
      <c r="A2140" s="1012">
        <v>41757</v>
      </c>
      <c r="B2140" s="1013">
        <v>2.4375946021698254</v>
      </c>
    </row>
    <row r="2141" spans="1:2" x14ac:dyDescent="0.35">
      <c r="A2141" s="1012">
        <v>41758</v>
      </c>
      <c r="B2141" s="1013">
        <v>2.4255712746282678</v>
      </c>
    </row>
    <row r="2142" spans="1:2" x14ac:dyDescent="0.35">
      <c r="A2142" s="1012">
        <v>41759</v>
      </c>
      <c r="B2142" s="1013">
        <v>2.3732097194314745</v>
      </c>
    </row>
    <row r="2143" spans="1:2" x14ac:dyDescent="0.35">
      <c r="A2143" s="1012">
        <v>41764</v>
      </c>
      <c r="B2143" s="1013">
        <v>2.4561323557368402</v>
      </c>
    </row>
    <row r="2144" spans="1:2" x14ac:dyDescent="0.35">
      <c r="A2144" s="1012">
        <v>41765</v>
      </c>
      <c r="B2144" s="1013">
        <v>2.4551129262678706</v>
      </c>
    </row>
    <row r="2145" spans="1:2" x14ac:dyDescent="0.35">
      <c r="A2145" s="1012">
        <v>41766</v>
      </c>
      <c r="B2145" s="1013">
        <v>2.3955764447977645</v>
      </c>
    </row>
    <row r="2146" spans="1:2" x14ac:dyDescent="0.35">
      <c r="A2146" s="1012">
        <v>41767</v>
      </c>
      <c r="B2146" s="1013">
        <v>2.2849074179756865</v>
      </c>
    </row>
    <row r="2147" spans="1:2" x14ac:dyDescent="0.35">
      <c r="A2147" s="1012">
        <v>41768</v>
      </c>
      <c r="B2147" s="1013">
        <v>2.2656885537478071</v>
      </c>
    </row>
    <row r="2148" spans="1:2" x14ac:dyDescent="0.35">
      <c r="A2148" s="1012">
        <v>41771</v>
      </c>
      <c r="B2148" s="1013">
        <v>2.3358703559433582</v>
      </c>
    </row>
    <row r="2149" spans="1:2" x14ac:dyDescent="0.35">
      <c r="A2149" s="1012">
        <v>41772</v>
      </c>
      <c r="B2149" s="1013">
        <v>2.3932762417031923</v>
      </c>
    </row>
    <row r="2150" spans="1:2" x14ac:dyDescent="0.35">
      <c r="A2150" s="1012">
        <v>41773</v>
      </c>
      <c r="B2150" s="1013">
        <v>2.406873299280301</v>
      </c>
    </row>
    <row r="2151" spans="1:2" x14ac:dyDescent="0.35">
      <c r="A2151" s="1012">
        <v>41774</v>
      </c>
      <c r="B2151" s="1013">
        <v>2.3985874933355005</v>
      </c>
    </row>
    <row r="2152" spans="1:2" x14ac:dyDescent="0.35">
      <c r="A2152" s="1012">
        <v>41775</v>
      </c>
      <c r="B2152" s="1013">
        <v>2.3866647740735436</v>
      </c>
    </row>
    <row r="2153" spans="1:2" x14ac:dyDescent="0.35">
      <c r="A2153" s="1012">
        <v>41778</v>
      </c>
      <c r="B2153" s="1013">
        <v>2.3727911822500567</v>
      </c>
    </row>
    <row r="2154" spans="1:2" x14ac:dyDescent="0.35">
      <c r="A2154" s="1012">
        <v>41779</v>
      </c>
      <c r="B2154" s="1013">
        <v>2.3354345483612704</v>
      </c>
    </row>
    <row r="2155" spans="1:2" x14ac:dyDescent="0.35">
      <c r="A2155" s="1012">
        <v>41780</v>
      </c>
      <c r="B2155" s="1013">
        <v>2.3199262206711242</v>
      </c>
    </row>
    <row r="2156" spans="1:2" x14ac:dyDescent="0.35">
      <c r="A2156" s="1012">
        <v>41781</v>
      </c>
      <c r="B2156" s="1013">
        <v>2.3843951532673988</v>
      </c>
    </row>
    <row r="2157" spans="1:2" x14ac:dyDescent="0.35">
      <c r="A2157" s="1012">
        <v>41782</v>
      </c>
      <c r="B2157" s="1013">
        <v>2.3906789339950913</v>
      </c>
    </row>
    <row r="2158" spans="1:2" x14ac:dyDescent="0.35">
      <c r="A2158" s="1012">
        <v>41785</v>
      </c>
      <c r="B2158" s="1013">
        <v>2.369582833469059</v>
      </c>
    </row>
    <row r="2159" spans="1:2" x14ac:dyDescent="0.35">
      <c r="A2159" s="1012">
        <v>41786</v>
      </c>
      <c r="B2159" s="1013">
        <v>2.4266441577336622</v>
      </c>
    </row>
    <row r="2160" spans="1:2" x14ac:dyDescent="0.35">
      <c r="A2160" s="1012">
        <v>41787</v>
      </c>
      <c r="B2160" s="1013">
        <v>2.443774975602155</v>
      </c>
    </row>
    <row r="2161" spans="1:2" x14ac:dyDescent="0.35">
      <c r="A2161" s="1012">
        <v>41788</v>
      </c>
      <c r="B2161" s="1013">
        <v>2.3992788075907234</v>
      </c>
    </row>
    <row r="2162" spans="1:2" x14ac:dyDescent="0.35">
      <c r="A2162" s="1012">
        <v>41789</v>
      </c>
      <c r="B2162" s="1013">
        <v>2.4308979865048936</v>
      </c>
    </row>
    <row r="2163" spans="1:2" x14ac:dyDescent="0.35">
      <c r="A2163" s="1012">
        <v>41793</v>
      </c>
      <c r="B2163" s="1013">
        <v>2.4775444722698321</v>
      </c>
    </row>
    <row r="2164" spans="1:2" x14ac:dyDescent="0.35">
      <c r="A2164" s="1012">
        <v>41794</v>
      </c>
      <c r="B2164" s="1013">
        <v>2.4222978372197241</v>
      </c>
    </row>
    <row r="2165" spans="1:2" x14ac:dyDescent="0.35">
      <c r="A2165" s="1012">
        <v>41795</v>
      </c>
      <c r="B2165" s="1013">
        <v>2.4176582711119687</v>
      </c>
    </row>
    <row r="2166" spans="1:2" x14ac:dyDescent="0.35">
      <c r="A2166" s="1012">
        <v>41796</v>
      </c>
      <c r="B2166" s="1013">
        <v>2.4604081469856944</v>
      </c>
    </row>
    <row r="2167" spans="1:2" x14ac:dyDescent="0.35">
      <c r="A2167" s="1012">
        <v>41799</v>
      </c>
      <c r="B2167" s="1013">
        <v>2.4537465926020472</v>
      </c>
    </row>
    <row r="2168" spans="1:2" x14ac:dyDescent="0.35">
      <c r="A2168" s="1012">
        <v>41800</v>
      </c>
      <c r="B2168" s="1013">
        <v>2.5218853356840158</v>
      </c>
    </row>
    <row r="2169" spans="1:2" x14ac:dyDescent="0.35">
      <c r="A2169" s="1012">
        <v>41801</v>
      </c>
      <c r="B2169" s="1013">
        <v>2.4772028729957247</v>
      </c>
    </row>
    <row r="2170" spans="1:2" x14ac:dyDescent="0.35">
      <c r="A2170" s="1012">
        <v>41802</v>
      </c>
      <c r="B2170" s="1013">
        <v>2.4870985760898008</v>
      </c>
    </row>
    <row r="2171" spans="1:2" x14ac:dyDescent="0.35">
      <c r="A2171" s="1012">
        <v>41803</v>
      </c>
      <c r="B2171" s="1013">
        <v>2.5042554387711857</v>
      </c>
    </row>
    <row r="2172" spans="1:2" x14ac:dyDescent="0.35">
      <c r="A2172" s="1012">
        <v>41806</v>
      </c>
      <c r="B2172" s="1013">
        <v>2.4358462852483709</v>
      </c>
    </row>
    <row r="2173" spans="1:2" x14ac:dyDescent="0.35">
      <c r="A2173" s="1012">
        <v>41807</v>
      </c>
      <c r="B2173" s="1013">
        <v>2.3949369815085992</v>
      </c>
    </row>
    <row r="2174" spans="1:2" x14ac:dyDescent="0.35">
      <c r="A2174" s="1012">
        <v>41808</v>
      </c>
      <c r="B2174" s="1013">
        <v>2.4157236573975949</v>
      </c>
    </row>
    <row r="2175" spans="1:2" x14ac:dyDescent="0.35">
      <c r="A2175" s="1012">
        <v>41809</v>
      </c>
      <c r="B2175" s="1013">
        <v>2.4111132480849853</v>
      </c>
    </row>
    <row r="2176" spans="1:2" x14ac:dyDescent="0.35">
      <c r="A2176" s="1012">
        <v>41810</v>
      </c>
      <c r="B2176" s="1013">
        <v>2.4463734218808035</v>
      </c>
    </row>
    <row r="2177" spans="1:2" x14ac:dyDescent="0.35">
      <c r="A2177" s="1012">
        <v>41813</v>
      </c>
      <c r="B2177" s="1013">
        <v>2.4216677929198642</v>
      </c>
    </row>
    <row r="2178" spans="1:2" x14ac:dyDescent="0.35">
      <c r="A2178" s="1012">
        <v>41814</v>
      </c>
      <c r="B2178" s="1013">
        <v>2.420682702588334</v>
      </c>
    </row>
    <row r="2179" spans="1:2" x14ac:dyDescent="0.35">
      <c r="A2179" s="1012">
        <v>41815</v>
      </c>
      <c r="B2179" s="1013">
        <v>2.4522504099568705</v>
      </c>
    </row>
    <row r="2180" spans="1:2" x14ac:dyDescent="0.35">
      <c r="A2180" s="1012">
        <v>41816</v>
      </c>
      <c r="B2180" s="1013">
        <v>2.4729462006005551</v>
      </c>
    </row>
    <row r="2181" spans="1:2" x14ac:dyDescent="0.35">
      <c r="A2181" s="1012">
        <v>41817</v>
      </c>
      <c r="B2181" s="1013">
        <v>2.4538717296158357</v>
      </c>
    </row>
    <row r="2182" spans="1:2" x14ac:dyDescent="0.35">
      <c r="A2182" s="1012">
        <v>41820</v>
      </c>
      <c r="B2182" s="1013">
        <v>2.4544939997230797</v>
      </c>
    </row>
    <row r="2183" spans="1:2" x14ac:dyDescent="0.35">
      <c r="A2183" s="1012">
        <v>41821</v>
      </c>
      <c r="B2183" s="1013">
        <v>2.453498391256447</v>
      </c>
    </row>
    <row r="2184" spans="1:2" x14ac:dyDescent="0.35">
      <c r="A2184" s="1012">
        <v>41822</v>
      </c>
      <c r="B2184" s="1013">
        <v>2.4452903442998219</v>
      </c>
    </row>
    <row r="2185" spans="1:2" x14ac:dyDescent="0.35">
      <c r="A2185" s="1012">
        <v>41823</v>
      </c>
      <c r="B2185" s="1013">
        <v>2.4118528225644336</v>
      </c>
    </row>
    <row r="2186" spans="1:2" x14ac:dyDescent="0.35">
      <c r="A2186" s="1012">
        <v>41824</v>
      </c>
      <c r="B2186" s="1013">
        <v>2.4144794001396299</v>
      </c>
    </row>
    <row r="2187" spans="1:2" x14ac:dyDescent="0.35">
      <c r="A2187" s="1012">
        <v>41827</v>
      </c>
      <c r="B2187" s="1013">
        <v>2.4763362685592067</v>
      </c>
    </row>
    <row r="2188" spans="1:2" x14ac:dyDescent="0.35">
      <c r="A2188" s="1012">
        <v>41828</v>
      </c>
      <c r="B2188" s="1013">
        <v>2.453747423547969</v>
      </c>
    </row>
    <row r="2189" spans="1:2" x14ac:dyDescent="0.35">
      <c r="A2189" s="1012">
        <v>41829</v>
      </c>
      <c r="B2189" s="1013">
        <v>2.4060019363900826</v>
      </c>
    </row>
    <row r="2190" spans="1:2" x14ac:dyDescent="0.35">
      <c r="A2190" s="1012">
        <v>41830</v>
      </c>
      <c r="B2190" s="1013">
        <v>2.4194093952625124</v>
      </c>
    </row>
    <row r="2191" spans="1:2" x14ac:dyDescent="0.35">
      <c r="A2191" s="1012">
        <v>41831</v>
      </c>
      <c r="B2191" s="1013">
        <v>2.4543670790229344</v>
      </c>
    </row>
    <row r="2192" spans="1:2" x14ac:dyDescent="0.35">
      <c r="A2192" s="1012">
        <v>41834</v>
      </c>
      <c r="B2192" s="1013">
        <v>2.4406285955183336</v>
      </c>
    </row>
    <row r="2193" spans="1:2" x14ac:dyDescent="0.35">
      <c r="A2193" s="1012">
        <v>41835</v>
      </c>
      <c r="B2193" s="1013">
        <v>2.4324687772616218</v>
      </c>
    </row>
    <row r="2194" spans="1:2" x14ac:dyDescent="0.35">
      <c r="A2194" s="1012">
        <v>41836</v>
      </c>
      <c r="B2194" s="1013">
        <v>2.4350743354222626</v>
      </c>
    </row>
    <row r="2195" spans="1:2" x14ac:dyDescent="0.35">
      <c r="A2195" s="1012">
        <v>41837</v>
      </c>
      <c r="B2195" s="1013">
        <v>2.4376777934445935</v>
      </c>
    </row>
    <row r="2196" spans="1:2" x14ac:dyDescent="0.35">
      <c r="A2196" s="1012">
        <v>41838</v>
      </c>
      <c r="B2196" s="1013">
        <v>2.4223622731481758</v>
      </c>
    </row>
    <row r="2197" spans="1:2" x14ac:dyDescent="0.35">
      <c r="A2197" s="1012">
        <v>41841</v>
      </c>
      <c r="B2197" s="1013">
        <v>2.4087011172153256</v>
      </c>
    </row>
    <row r="2198" spans="1:2" x14ac:dyDescent="0.35">
      <c r="A2198" s="1012">
        <v>41842</v>
      </c>
      <c r="B2198" s="1013">
        <v>2.4435084477780258</v>
      </c>
    </row>
    <row r="2199" spans="1:2" x14ac:dyDescent="0.35">
      <c r="A2199" s="1012">
        <v>41843</v>
      </c>
      <c r="B2199" s="1013">
        <v>2.4639830990964842</v>
      </c>
    </row>
    <row r="2200" spans="1:2" x14ac:dyDescent="0.35">
      <c r="A2200" s="1012">
        <v>41844</v>
      </c>
      <c r="B2200" s="1013">
        <v>2.5166139148831244</v>
      </c>
    </row>
    <row r="2201" spans="1:2" x14ac:dyDescent="0.35">
      <c r="A2201" s="1012">
        <v>41845</v>
      </c>
      <c r="B2201" s="1013">
        <v>2.4977364524659951</v>
      </c>
    </row>
    <row r="2202" spans="1:2" x14ac:dyDescent="0.35">
      <c r="A2202" s="1012">
        <v>41848</v>
      </c>
      <c r="B2202" s="1013">
        <v>2.4840229379201655</v>
      </c>
    </row>
    <row r="2203" spans="1:2" x14ac:dyDescent="0.35">
      <c r="A2203" s="1012">
        <v>41849</v>
      </c>
      <c r="B2203" s="1013">
        <v>2.4544861305215271</v>
      </c>
    </row>
    <row r="2204" spans="1:2" x14ac:dyDescent="0.35">
      <c r="A2204" s="1012">
        <v>41850</v>
      </c>
      <c r="B2204" s="1013">
        <v>2.4535021005646742</v>
      </c>
    </row>
    <row r="2205" spans="1:2" x14ac:dyDescent="0.35">
      <c r="A2205" s="1012">
        <v>41851</v>
      </c>
      <c r="B2205" s="1013">
        <v>2.4489541516637212</v>
      </c>
    </row>
    <row r="2206" spans="1:2" x14ac:dyDescent="0.35">
      <c r="A2206" s="1012">
        <v>41852</v>
      </c>
      <c r="B2206" s="1013">
        <v>2.4123403295482762</v>
      </c>
    </row>
    <row r="2207" spans="1:2" x14ac:dyDescent="0.35">
      <c r="A2207" s="1012">
        <v>41855</v>
      </c>
      <c r="B2207" s="1013">
        <v>2.4236807444192139</v>
      </c>
    </row>
    <row r="2208" spans="1:2" x14ac:dyDescent="0.35">
      <c r="A2208" s="1012">
        <v>41856</v>
      </c>
      <c r="B2208" s="1013">
        <v>2.4440568712644599</v>
      </c>
    </row>
    <row r="2209" spans="1:2" x14ac:dyDescent="0.35">
      <c r="A2209" s="1012">
        <v>41857</v>
      </c>
      <c r="B2209" s="1013">
        <v>2.4288551371875968</v>
      </c>
    </row>
    <row r="2210" spans="1:2" x14ac:dyDescent="0.35">
      <c r="A2210" s="1012">
        <v>41858</v>
      </c>
      <c r="B2210" s="1013">
        <v>2.3923371389059152</v>
      </c>
    </row>
    <row r="2211" spans="1:2" x14ac:dyDescent="0.35">
      <c r="A2211" s="1012">
        <v>41859</v>
      </c>
      <c r="B2211" s="1013">
        <v>2.3949347890903119</v>
      </c>
    </row>
    <row r="2212" spans="1:2" x14ac:dyDescent="0.35">
      <c r="A2212" s="1012">
        <v>41862</v>
      </c>
      <c r="B2212" s="1013">
        <v>2.4488531146721426</v>
      </c>
    </row>
    <row r="2213" spans="1:2" x14ac:dyDescent="0.35">
      <c r="A2213" s="1012">
        <v>41863</v>
      </c>
      <c r="B2213" s="1013">
        <v>2.4656146683833375</v>
      </c>
    </row>
    <row r="2214" spans="1:2" x14ac:dyDescent="0.35">
      <c r="A2214" s="1012">
        <v>41864</v>
      </c>
      <c r="B2214" s="1013">
        <v>2.4965477879456919</v>
      </c>
    </row>
    <row r="2215" spans="1:2" x14ac:dyDescent="0.35">
      <c r="A2215" s="1012">
        <v>41865</v>
      </c>
      <c r="B2215" s="1013">
        <v>2.4459254060612521</v>
      </c>
    </row>
    <row r="2216" spans="1:2" x14ac:dyDescent="0.35">
      <c r="A2216" s="1012">
        <v>41866</v>
      </c>
      <c r="B2216" s="1013">
        <v>2.3847131335933556</v>
      </c>
    </row>
    <row r="2217" spans="1:2" x14ac:dyDescent="0.35">
      <c r="A2217" s="1012">
        <v>41869</v>
      </c>
      <c r="B2217" s="1013">
        <v>2.3712491112045417</v>
      </c>
    </row>
    <row r="2218" spans="1:2" x14ac:dyDescent="0.35">
      <c r="A2218" s="1012">
        <v>41870</v>
      </c>
      <c r="B2218" s="1013">
        <v>2.3596927033148147</v>
      </c>
    </row>
    <row r="2219" spans="1:2" x14ac:dyDescent="0.35">
      <c r="A2219" s="1012">
        <v>41871</v>
      </c>
      <c r="B2219" s="1013">
        <v>2.3587545752836201</v>
      </c>
    </row>
    <row r="2220" spans="1:2" x14ac:dyDescent="0.35">
      <c r="A2220" s="1012">
        <v>41872</v>
      </c>
      <c r="B2220" s="1013">
        <v>2.3613521511973614</v>
      </c>
    </row>
    <row r="2221" spans="1:2" x14ac:dyDescent="0.35">
      <c r="A2221" s="1012">
        <v>41873</v>
      </c>
      <c r="B2221" s="1013">
        <v>2.3180114606228051</v>
      </c>
    </row>
    <row r="2222" spans="1:2" x14ac:dyDescent="0.35">
      <c r="A2222" s="1012">
        <v>41876</v>
      </c>
      <c r="B2222" s="1013">
        <v>2.2799587943420971</v>
      </c>
    </row>
    <row r="2223" spans="1:2" x14ac:dyDescent="0.35">
      <c r="A2223" s="1012">
        <v>41877</v>
      </c>
      <c r="B2223" s="1013">
        <v>2.2402470926954474</v>
      </c>
    </row>
    <row r="2224" spans="1:2" x14ac:dyDescent="0.35">
      <c r="A2224" s="1012">
        <v>41878</v>
      </c>
      <c r="B2224" s="1013">
        <v>2.264044770024813</v>
      </c>
    </row>
    <row r="2225" spans="1:2" x14ac:dyDescent="0.35">
      <c r="A2225" s="1012">
        <v>41879</v>
      </c>
      <c r="B2225" s="1013">
        <v>2.1503426609389238</v>
      </c>
    </row>
    <row r="2226" spans="1:2" x14ac:dyDescent="0.35">
      <c r="A2226" s="1012">
        <v>41880</v>
      </c>
      <c r="B2226" s="1013">
        <v>2.2023471422696539</v>
      </c>
    </row>
    <row r="2227" spans="1:2" x14ac:dyDescent="0.35">
      <c r="A2227" s="1012">
        <v>41883</v>
      </c>
      <c r="B2227" s="1013">
        <v>2.1610175958096813</v>
      </c>
    </row>
    <row r="2228" spans="1:2" x14ac:dyDescent="0.35">
      <c r="A2228" s="1012">
        <v>41884</v>
      </c>
      <c r="B2228" s="1013">
        <v>2.1496083295582036</v>
      </c>
    </row>
    <row r="2229" spans="1:2" x14ac:dyDescent="0.35">
      <c r="A2229" s="1012">
        <v>41885</v>
      </c>
      <c r="B2229" s="1013">
        <v>2.2401949836993373</v>
      </c>
    </row>
    <row r="2230" spans="1:2" x14ac:dyDescent="0.35">
      <c r="A2230" s="1012">
        <v>41886</v>
      </c>
      <c r="B2230" s="1013">
        <v>2.2147018450263114</v>
      </c>
    </row>
    <row r="2231" spans="1:2" x14ac:dyDescent="0.35">
      <c r="A2231" s="1012">
        <v>41887</v>
      </c>
      <c r="B2231" s="1013">
        <v>2.2103129144756894</v>
      </c>
    </row>
    <row r="2232" spans="1:2" x14ac:dyDescent="0.35">
      <c r="A2232" s="1012">
        <v>41891</v>
      </c>
      <c r="B2232" s="1013">
        <v>2.2068256821796353</v>
      </c>
    </row>
    <row r="2233" spans="1:2" x14ac:dyDescent="0.35">
      <c r="A2233" s="1012">
        <v>41892</v>
      </c>
      <c r="B2233" s="1013">
        <v>2.1498422549404186</v>
      </c>
    </row>
    <row r="2234" spans="1:2" x14ac:dyDescent="0.35">
      <c r="A2234" s="1012">
        <v>41893</v>
      </c>
      <c r="B2234" s="1013">
        <v>2.1735348764369533</v>
      </c>
    </row>
    <row r="2235" spans="1:2" x14ac:dyDescent="0.35">
      <c r="A2235" s="1012">
        <v>41894</v>
      </c>
      <c r="B2235" s="1013">
        <v>2.1726785878616339</v>
      </c>
    </row>
    <row r="2236" spans="1:2" x14ac:dyDescent="0.35">
      <c r="A2236" s="1012">
        <v>41897</v>
      </c>
      <c r="B2236" s="1013">
        <v>2.1456124810422885</v>
      </c>
    </row>
    <row r="2237" spans="1:2" x14ac:dyDescent="0.35">
      <c r="A2237" s="1012">
        <v>41898</v>
      </c>
      <c r="B2237" s="1013">
        <v>2.1253508638988579</v>
      </c>
    </row>
    <row r="2238" spans="1:2" x14ac:dyDescent="0.35">
      <c r="A2238" s="1012">
        <v>41899</v>
      </c>
      <c r="B2238" s="1013">
        <v>2.0927533488367542</v>
      </c>
    </row>
    <row r="2239" spans="1:2" x14ac:dyDescent="0.35">
      <c r="A2239" s="1012">
        <v>41900</v>
      </c>
      <c r="B2239" s="1013">
        <v>2.1765958207053502</v>
      </c>
    </row>
    <row r="2240" spans="1:2" x14ac:dyDescent="0.35">
      <c r="A2240" s="1012">
        <v>41901</v>
      </c>
      <c r="B2240" s="1013">
        <v>2.1404774643007594</v>
      </c>
    </row>
    <row r="2241" spans="1:2" x14ac:dyDescent="0.35">
      <c r="A2241" s="1012">
        <v>41904</v>
      </c>
      <c r="B2241" s="1013">
        <v>2.1133024012205062</v>
      </c>
    </row>
    <row r="2242" spans="1:2" x14ac:dyDescent="0.35">
      <c r="A2242" s="1012">
        <v>41905</v>
      </c>
      <c r="B2242" s="1013">
        <v>2.0948694890117632</v>
      </c>
    </row>
    <row r="2243" spans="1:2" x14ac:dyDescent="0.35">
      <c r="A2243" s="1012">
        <v>41906</v>
      </c>
      <c r="B2243" s="1013">
        <v>2.1151645259921703</v>
      </c>
    </row>
    <row r="2244" spans="1:2" x14ac:dyDescent="0.35">
      <c r="A2244" s="1012">
        <v>41907</v>
      </c>
      <c r="B2244" s="1013">
        <v>2.1178535081190675</v>
      </c>
    </row>
    <row r="2245" spans="1:2" x14ac:dyDescent="0.35">
      <c r="A2245" s="1012">
        <v>41908</v>
      </c>
      <c r="B2245" s="1013">
        <v>2.099440478847828</v>
      </c>
    </row>
    <row r="2246" spans="1:2" x14ac:dyDescent="0.35">
      <c r="A2246" s="1012">
        <v>41911</v>
      </c>
      <c r="B2246" s="1013">
        <v>2.0759005590356208</v>
      </c>
    </row>
    <row r="2247" spans="1:2" x14ac:dyDescent="0.35">
      <c r="A2247" s="1012">
        <v>41912</v>
      </c>
      <c r="B2247" s="1013">
        <v>2.0259324206084144</v>
      </c>
    </row>
    <row r="2248" spans="1:2" x14ac:dyDescent="0.35">
      <c r="A2248" s="1012">
        <v>41920</v>
      </c>
      <c r="B2248" s="1013">
        <v>2.0266124371315009</v>
      </c>
    </row>
    <row r="2249" spans="1:2" x14ac:dyDescent="0.35">
      <c r="A2249" s="1012">
        <v>41921</v>
      </c>
      <c r="B2249" s="1013">
        <v>2.0398177525974854</v>
      </c>
    </row>
    <row r="2250" spans="1:2" x14ac:dyDescent="0.35">
      <c r="A2250" s="1012">
        <v>41922</v>
      </c>
      <c r="B2250" s="1013">
        <v>2.0215355792191319</v>
      </c>
    </row>
    <row r="2251" spans="1:2" x14ac:dyDescent="0.35">
      <c r="A2251" s="1012">
        <v>41925</v>
      </c>
      <c r="B2251" s="1013">
        <v>1.9423207671691658</v>
      </c>
    </row>
    <row r="2252" spans="1:2" x14ac:dyDescent="0.35">
      <c r="A2252" s="1012">
        <v>41926</v>
      </c>
      <c r="B2252" s="1013">
        <v>1.9520411652373788</v>
      </c>
    </row>
    <row r="2253" spans="1:2" x14ac:dyDescent="0.35">
      <c r="A2253" s="1012">
        <v>41927</v>
      </c>
      <c r="B2253" s="1013">
        <v>1.9512820062227574</v>
      </c>
    </row>
    <row r="2254" spans="1:2" x14ac:dyDescent="0.35">
      <c r="A2254" s="1012">
        <v>41928</v>
      </c>
      <c r="B2254" s="1013">
        <v>1.8528228001636387</v>
      </c>
    </row>
    <row r="2255" spans="1:2" x14ac:dyDescent="0.35">
      <c r="A2255" s="1012">
        <v>41929</v>
      </c>
      <c r="B2255" s="1013">
        <v>1.9183738855889223</v>
      </c>
    </row>
    <row r="2256" spans="1:2" x14ac:dyDescent="0.35">
      <c r="A2256" s="1012">
        <v>41932</v>
      </c>
      <c r="B2256" s="1013">
        <v>1.9091722505377777</v>
      </c>
    </row>
    <row r="2257" spans="1:2" x14ac:dyDescent="0.35">
      <c r="A2257" s="1012">
        <v>41933</v>
      </c>
      <c r="B2257" s="1013">
        <v>1.8910187958827822</v>
      </c>
    </row>
    <row r="2258" spans="1:2" x14ac:dyDescent="0.35">
      <c r="A2258" s="1012">
        <v>41934</v>
      </c>
      <c r="B2258" s="1013">
        <v>1.9459843817238249</v>
      </c>
    </row>
    <row r="2259" spans="1:2" x14ac:dyDescent="0.35">
      <c r="A2259" s="1012">
        <v>41935</v>
      </c>
      <c r="B2259" s="1013">
        <v>1.9139113757349215</v>
      </c>
    </row>
    <row r="2260" spans="1:2" x14ac:dyDescent="0.35">
      <c r="A2260" s="1012">
        <v>41936</v>
      </c>
      <c r="B2260" s="1013">
        <v>1.9062126612571886</v>
      </c>
    </row>
    <row r="2261" spans="1:2" x14ac:dyDescent="0.35">
      <c r="A2261" s="1012">
        <v>41939</v>
      </c>
      <c r="B2261" s="1013">
        <v>1.8866267304722946</v>
      </c>
    </row>
    <row r="2262" spans="1:2" x14ac:dyDescent="0.35">
      <c r="A2262" s="1012">
        <v>41940</v>
      </c>
      <c r="B2262" s="1013">
        <v>1.8893698085920554</v>
      </c>
    </row>
    <row r="2263" spans="1:2" x14ac:dyDescent="0.35">
      <c r="A2263" s="1012">
        <v>41941</v>
      </c>
      <c r="B2263" s="1013">
        <v>1.9997354136704144</v>
      </c>
    </row>
    <row r="2264" spans="1:2" x14ac:dyDescent="0.35">
      <c r="A2264" s="1012">
        <v>41942</v>
      </c>
      <c r="B2264" s="1013">
        <v>2.0406072627984222</v>
      </c>
    </row>
    <row r="2265" spans="1:2" x14ac:dyDescent="0.35">
      <c r="A2265" s="1012">
        <v>41943</v>
      </c>
      <c r="B2265" s="1013">
        <v>2.0779784387710931</v>
      </c>
    </row>
    <row r="2266" spans="1:2" x14ac:dyDescent="0.35">
      <c r="A2266" s="1012">
        <v>41946</v>
      </c>
      <c r="B2266" s="1013">
        <v>2.0443862586829558</v>
      </c>
    </row>
    <row r="2267" spans="1:2" x14ac:dyDescent="0.35">
      <c r="A2267" s="1012">
        <v>41947</v>
      </c>
      <c r="B2267" s="1013">
        <v>2.1059443595668643</v>
      </c>
    </row>
    <row r="2268" spans="1:2" x14ac:dyDescent="0.35">
      <c r="A2268" s="1012">
        <v>41948</v>
      </c>
      <c r="B2268" s="1013">
        <v>2.0878200408577192</v>
      </c>
    </row>
    <row r="2269" spans="1:2" x14ac:dyDescent="0.35">
      <c r="A2269" s="1012">
        <v>41949</v>
      </c>
      <c r="B2269" s="1013">
        <v>2.0627875938216906</v>
      </c>
    </row>
    <row r="2270" spans="1:2" x14ac:dyDescent="0.35">
      <c r="A2270" s="1012">
        <v>41950</v>
      </c>
      <c r="B2270" s="1013">
        <v>2.0377744446686168</v>
      </c>
    </row>
    <row r="2271" spans="1:2" x14ac:dyDescent="0.35">
      <c r="A2271" s="1012">
        <v>41953</v>
      </c>
      <c r="B2271" s="1013">
        <v>2.0492436321029093</v>
      </c>
    </row>
    <row r="2272" spans="1:2" x14ac:dyDescent="0.35">
      <c r="A2272" s="1012">
        <v>41954</v>
      </c>
      <c r="B2272" s="1013">
        <v>2.0346373806835465</v>
      </c>
    </row>
    <row r="2273" spans="1:2" x14ac:dyDescent="0.35">
      <c r="A2273" s="1012">
        <v>41955</v>
      </c>
      <c r="B2273" s="1013">
        <v>2.0304015594088165</v>
      </c>
    </row>
    <row r="2274" spans="1:2" x14ac:dyDescent="0.35">
      <c r="A2274" s="1012">
        <v>41956</v>
      </c>
      <c r="B2274" s="1013">
        <v>2.0020068444851247</v>
      </c>
    </row>
    <row r="2275" spans="1:2" x14ac:dyDescent="0.35">
      <c r="A2275" s="1012">
        <v>41957</v>
      </c>
      <c r="B2275" s="1013">
        <v>2.0150388688254308</v>
      </c>
    </row>
    <row r="2276" spans="1:2" x14ac:dyDescent="0.35">
      <c r="A2276" s="1012">
        <v>41960</v>
      </c>
      <c r="B2276" s="1013">
        <v>1.9851462061139122</v>
      </c>
    </row>
    <row r="2277" spans="1:2" x14ac:dyDescent="0.35">
      <c r="A2277" s="1012">
        <v>41961</v>
      </c>
      <c r="B2277" s="1013">
        <v>1.9671586898793922</v>
      </c>
    </row>
    <row r="2278" spans="1:2" x14ac:dyDescent="0.35">
      <c r="A2278" s="1012">
        <v>41962</v>
      </c>
      <c r="B2278" s="1013">
        <v>1.921634658950033</v>
      </c>
    </row>
    <row r="2279" spans="1:2" x14ac:dyDescent="0.35">
      <c r="A2279" s="1012">
        <v>41963</v>
      </c>
      <c r="B2279" s="1013">
        <v>1.9071277682468677</v>
      </c>
    </row>
    <row r="2280" spans="1:2" x14ac:dyDescent="0.35">
      <c r="A2280" s="1012">
        <v>41964</v>
      </c>
      <c r="B2280" s="1013">
        <v>1.8891908519998468</v>
      </c>
    </row>
    <row r="2281" spans="1:2" x14ac:dyDescent="0.35">
      <c r="A2281" s="1012">
        <v>41967</v>
      </c>
      <c r="B2281" s="1013">
        <v>1.9420155983639285</v>
      </c>
    </row>
    <row r="2282" spans="1:2" x14ac:dyDescent="0.35">
      <c r="A2282" s="1012">
        <v>41968</v>
      </c>
      <c r="B2282" s="1013">
        <v>1.9344004320716333</v>
      </c>
    </row>
    <row r="2283" spans="1:2" x14ac:dyDescent="0.35">
      <c r="A2283" s="1012">
        <v>41969</v>
      </c>
      <c r="B2283" s="1013">
        <v>1.9851787026425118</v>
      </c>
    </row>
    <row r="2284" spans="1:2" x14ac:dyDescent="0.35">
      <c r="A2284" s="1012">
        <v>41970</v>
      </c>
      <c r="B2284" s="1013">
        <v>2.0084521151355457</v>
      </c>
    </row>
    <row r="2285" spans="1:2" x14ac:dyDescent="0.35">
      <c r="A2285" s="1012">
        <v>41971</v>
      </c>
      <c r="B2285" s="1013">
        <v>2.021411913678389</v>
      </c>
    </row>
    <row r="2286" spans="1:2" x14ac:dyDescent="0.35">
      <c r="A2286" s="1012">
        <v>41974</v>
      </c>
      <c r="B2286" s="1013">
        <v>1.9471076984996147</v>
      </c>
    </row>
    <row r="2287" spans="1:2" x14ac:dyDescent="0.35">
      <c r="A2287" s="1012">
        <v>41975</v>
      </c>
      <c r="B2287" s="1013">
        <v>1.9600711259310686</v>
      </c>
    </row>
    <row r="2288" spans="1:2" x14ac:dyDescent="0.35">
      <c r="A2288" s="1012">
        <v>41976</v>
      </c>
      <c r="B2288" s="1013">
        <v>1.9798754388922839</v>
      </c>
    </row>
    <row r="2289" spans="1:2" x14ac:dyDescent="0.35">
      <c r="A2289" s="1012">
        <v>41977</v>
      </c>
      <c r="B2289" s="1013">
        <v>1.9722719753489153</v>
      </c>
    </row>
    <row r="2290" spans="1:2" x14ac:dyDescent="0.35">
      <c r="A2290" s="1012">
        <v>41978</v>
      </c>
      <c r="B2290" s="1013">
        <v>1.9715198659300137</v>
      </c>
    </row>
    <row r="2291" spans="1:2" x14ac:dyDescent="0.35">
      <c r="A2291" s="1012">
        <v>41981</v>
      </c>
      <c r="B2291" s="1013">
        <v>1.9521726440837373</v>
      </c>
    </row>
    <row r="2292" spans="1:2" x14ac:dyDescent="0.35">
      <c r="A2292" s="1012">
        <v>41982</v>
      </c>
      <c r="B2292" s="1013">
        <v>1.8967483010945982</v>
      </c>
    </row>
    <row r="2293" spans="1:2" x14ac:dyDescent="0.35">
      <c r="A2293" s="1012">
        <v>41983</v>
      </c>
      <c r="B2293" s="1013">
        <v>1.8960263685118413</v>
      </c>
    </row>
    <row r="2294" spans="1:2" x14ac:dyDescent="0.35">
      <c r="A2294" s="1012">
        <v>41984</v>
      </c>
      <c r="B2294" s="1013">
        <v>1.9396995164647419</v>
      </c>
    </row>
    <row r="2295" spans="1:2" x14ac:dyDescent="0.35">
      <c r="A2295" s="1012">
        <v>41985</v>
      </c>
      <c r="B2295" s="1013">
        <v>1.9287208021315869</v>
      </c>
    </row>
    <row r="2296" spans="1:2" x14ac:dyDescent="0.35">
      <c r="A2296" s="1012">
        <v>41988</v>
      </c>
      <c r="B2296" s="1013">
        <v>1.9094738065839687</v>
      </c>
    </row>
    <row r="2297" spans="1:2" x14ac:dyDescent="0.35">
      <c r="A2297" s="1012">
        <v>41989</v>
      </c>
      <c r="B2297" s="1013">
        <v>1.9087486864249659</v>
      </c>
    </row>
    <row r="2298" spans="1:2" x14ac:dyDescent="0.35">
      <c r="A2298" s="1012">
        <v>41990</v>
      </c>
      <c r="B2298" s="1013">
        <v>1.8807666294011267</v>
      </c>
    </row>
    <row r="2299" spans="1:2" x14ac:dyDescent="0.35">
      <c r="A2299" s="1012">
        <v>41991</v>
      </c>
      <c r="B2299" s="1013">
        <v>1.8970824179423764</v>
      </c>
    </row>
    <row r="2300" spans="1:2" x14ac:dyDescent="0.35">
      <c r="A2300" s="1012">
        <v>41992</v>
      </c>
      <c r="B2300" s="1013">
        <v>1.9167904299053573</v>
      </c>
    </row>
    <row r="2301" spans="1:2" x14ac:dyDescent="0.35">
      <c r="A2301" s="1012">
        <v>41995</v>
      </c>
      <c r="B2301" s="1013">
        <v>1.8772036543798134</v>
      </c>
    </row>
    <row r="2302" spans="1:2" x14ac:dyDescent="0.35">
      <c r="A2302" s="1012">
        <v>41996</v>
      </c>
      <c r="B2302" s="1013">
        <v>1.822101586576429</v>
      </c>
    </row>
    <row r="2303" spans="1:2" x14ac:dyDescent="0.35">
      <c r="A2303" s="1012">
        <v>41997</v>
      </c>
      <c r="B2303" s="1013">
        <v>1.8485969915196212</v>
      </c>
    </row>
    <row r="2304" spans="1:2" x14ac:dyDescent="0.35">
      <c r="A2304" s="1012">
        <v>41998</v>
      </c>
      <c r="B2304" s="1013">
        <v>1.8478973803386354</v>
      </c>
    </row>
    <row r="2305" spans="1:2" x14ac:dyDescent="0.35">
      <c r="A2305" s="1012">
        <v>41999</v>
      </c>
      <c r="B2305" s="1013">
        <v>1.8471982985003237</v>
      </c>
    </row>
    <row r="2306" spans="1:2" x14ac:dyDescent="0.35">
      <c r="A2306" s="1012">
        <v>42002</v>
      </c>
      <c r="B2306" s="1013">
        <v>1.8451042230405428</v>
      </c>
    </row>
    <row r="2307" spans="1:2" x14ac:dyDescent="0.35">
      <c r="A2307" s="1012">
        <v>42003</v>
      </c>
      <c r="B2307" s="1013">
        <v>1.8240645255260939</v>
      </c>
    </row>
    <row r="2308" spans="1:2" x14ac:dyDescent="0.35">
      <c r="A2308" s="1012">
        <v>42004</v>
      </c>
      <c r="B2308" s="1013">
        <v>1.8470999827418821</v>
      </c>
    </row>
    <row r="2309" spans="1:2" x14ac:dyDescent="0.35">
      <c r="A2309" s="1012">
        <v>42009</v>
      </c>
      <c r="B2309" s="1013">
        <v>1.9103987494656591</v>
      </c>
    </row>
    <row r="2310" spans="1:2" x14ac:dyDescent="0.35">
      <c r="A2310" s="1012">
        <v>42010</v>
      </c>
      <c r="B2310" s="1013">
        <v>1.9170793942295263</v>
      </c>
    </row>
    <row r="2311" spans="1:2" x14ac:dyDescent="0.35">
      <c r="A2311" s="1012">
        <v>42011</v>
      </c>
      <c r="B2311" s="1013">
        <v>1.9102117838725776</v>
      </c>
    </row>
    <row r="2312" spans="1:2" x14ac:dyDescent="0.35">
      <c r="A2312" s="1012">
        <v>42012</v>
      </c>
      <c r="B2312" s="1013">
        <v>1.8796377033923672</v>
      </c>
    </row>
    <row r="2313" spans="1:2" x14ac:dyDescent="0.35">
      <c r="A2313" s="1012">
        <v>42013</v>
      </c>
      <c r="B2313" s="1013">
        <v>1.8626128903889276</v>
      </c>
    </row>
    <row r="2314" spans="1:2" x14ac:dyDescent="0.35">
      <c r="A2314" s="1012">
        <v>42016</v>
      </c>
      <c r="B2314" s="1013">
        <v>1.889428098786885</v>
      </c>
    </row>
    <row r="2315" spans="1:2" x14ac:dyDescent="0.35">
      <c r="A2315" s="1012">
        <v>42017</v>
      </c>
      <c r="B2315" s="1013">
        <v>1.9198088252548686</v>
      </c>
    </row>
    <row r="2316" spans="1:2" x14ac:dyDescent="0.35">
      <c r="A2316" s="1012">
        <v>42018</v>
      </c>
      <c r="B2316" s="1013">
        <v>2.0280586130157414</v>
      </c>
    </row>
    <row r="2317" spans="1:2" x14ac:dyDescent="0.35">
      <c r="A2317" s="1012">
        <v>42019</v>
      </c>
      <c r="B2317" s="1013">
        <v>2.0245738365486585</v>
      </c>
    </row>
    <row r="2318" spans="1:2" x14ac:dyDescent="0.35">
      <c r="A2318" s="1012">
        <v>42020</v>
      </c>
      <c r="B2318" s="1013">
        <v>1.9601520321034716</v>
      </c>
    </row>
    <row r="2319" spans="1:2" x14ac:dyDescent="0.35">
      <c r="A2319" s="1012">
        <v>42023</v>
      </c>
      <c r="B2319" s="1013">
        <v>1.9327851472165676</v>
      </c>
    </row>
    <row r="2320" spans="1:2" x14ac:dyDescent="0.35">
      <c r="A2320" s="1012">
        <v>42024</v>
      </c>
      <c r="B2320" s="1013">
        <v>1.8988431574853186</v>
      </c>
    </row>
    <row r="2321" spans="1:2" x14ac:dyDescent="0.35">
      <c r="A2321" s="1012">
        <v>42025</v>
      </c>
      <c r="B2321" s="1013">
        <v>1.9325961202238293</v>
      </c>
    </row>
    <row r="2322" spans="1:2" x14ac:dyDescent="0.35">
      <c r="A2322" s="1012">
        <v>42026</v>
      </c>
      <c r="B2322" s="1013">
        <v>1.9223483721475148</v>
      </c>
    </row>
    <row r="2323" spans="1:2" x14ac:dyDescent="0.35">
      <c r="A2323" s="1012">
        <v>42027</v>
      </c>
      <c r="B2323" s="1013">
        <v>1.9560968848622347</v>
      </c>
    </row>
    <row r="2324" spans="1:2" x14ac:dyDescent="0.35">
      <c r="A2324" s="1012">
        <v>42030</v>
      </c>
      <c r="B2324" s="1013">
        <v>1.9693450119393252</v>
      </c>
    </row>
    <row r="2325" spans="1:2" x14ac:dyDescent="0.35">
      <c r="A2325" s="1012">
        <v>42031</v>
      </c>
      <c r="B2325" s="1013">
        <v>1.9658651500079796</v>
      </c>
    </row>
    <row r="2326" spans="1:2" x14ac:dyDescent="0.35">
      <c r="A2326" s="1012">
        <v>42032</v>
      </c>
      <c r="B2326" s="1013">
        <v>1.9826861692740938</v>
      </c>
    </row>
    <row r="2327" spans="1:2" x14ac:dyDescent="0.35">
      <c r="A2327" s="1012">
        <v>42033</v>
      </c>
      <c r="B2327" s="1013">
        <v>1.9927390278589387</v>
      </c>
    </row>
    <row r="2328" spans="1:2" x14ac:dyDescent="0.35">
      <c r="A2328" s="1012">
        <v>42034</v>
      </c>
      <c r="B2328" s="1013">
        <v>2.0163232746745416</v>
      </c>
    </row>
    <row r="2329" spans="1:2" x14ac:dyDescent="0.35">
      <c r="A2329" s="1012">
        <v>42037</v>
      </c>
      <c r="B2329" s="1013">
        <v>1.9619061048543729</v>
      </c>
    </row>
    <row r="2330" spans="1:2" x14ac:dyDescent="0.35">
      <c r="A2330" s="1012">
        <v>42038</v>
      </c>
      <c r="B2330" s="1013">
        <v>1.9618102282875438</v>
      </c>
    </row>
    <row r="2331" spans="1:2" x14ac:dyDescent="0.35">
      <c r="A2331" s="1012">
        <v>42039</v>
      </c>
      <c r="B2331" s="1013">
        <v>1.9143626351336873</v>
      </c>
    </row>
    <row r="2332" spans="1:2" x14ac:dyDescent="0.35">
      <c r="A2332" s="1012">
        <v>42040</v>
      </c>
      <c r="B2332" s="1013">
        <v>1.9920574110728029</v>
      </c>
    </row>
    <row r="2333" spans="1:2" x14ac:dyDescent="0.35">
      <c r="A2333" s="1012">
        <v>42041</v>
      </c>
      <c r="B2333" s="1013">
        <v>1.9344671699097784</v>
      </c>
    </row>
    <row r="2334" spans="1:2" x14ac:dyDescent="0.35">
      <c r="A2334" s="1012">
        <v>42044</v>
      </c>
      <c r="B2334" s="1013">
        <v>1.8766991670977913</v>
      </c>
    </row>
    <row r="2335" spans="1:2" x14ac:dyDescent="0.35">
      <c r="A2335" s="1012">
        <v>42045</v>
      </c>
      <c r="B2335" s="1013">
        <v>1.9070389586231382</v>
      </c>
    </row>
    <row r="2336" spans="1:2" x14ac:dyDescent="0.35">
      <c r="A2336" s="1012">
        <v>42046</v>
      </c>
      <c r="B2336" s="1013">
        <v>1.8663724848955077</v>
      </c>
    </row>
    <row r="2337" spans="1:2" x14ac:dyDescent="0.35">
      <c r="A2337" s="1012">
        <v>42047</v>
      </c>
      <c r="B2337" s="1013">
        <v>1.9000907612171609</v>
      </c>
    </row>
    <row r="2338" spans="1:2" x14ac:dyDescent="0.35">
      <c r="A2338" s="1012">
        <v>42048</v>
      </c>
      <c r="B2338" s="1013">
        <v>1.899997950865524</v>
      </c>
    </row>
    <row r="2339" spans="1:2" x14ac:dyDescent="0.35">
      <c r="A2339" s="1012">
        <v>42051</v>
      </c>
      <c r="B2339" s="1013">
        <v>1.906480142082472</v>
      </c>
    </row>
    <row r="2340" spans="1:2" x14ac:dyDescent="0.35">
      <c r="A2340" s="1012">
        <v>42052</v>
      </c>
      <c r="B2340" s="1013">
        <v>1.8759659680782887</v>
      </c>
    </row>
    <row r="2341" spans="1:2" x14ac:dyDescent="0.35">
      <c r="A2341" s="1012">
        <v>42060</v>
      </c>
      <c r="B2341" s="1013">
        <v>1.8414453535960211</v>
      </c>
    </row>
    <row r="2342" spans="1:2" x14ac:dyDescent="0.35">
      <c r="A2342" s="1012">
        <v>42061</v>
      </c>
      <c r="B2342" s="1013">
        <v>1.8650059020339567</v>
      </c>
    </row>
    <row r="2343" spans="1:2" x14ac:dyDescent="0.35">
      <c r="A2343" s="1012">
        <v>42062</v>
      </c>
      <c r="B2343" s="1013">
        <v>1.8649148676623069</v>
      </c>
    </row>
    <row r="2344" spans="1:2" x14ac:dyDescent="0.35">
      <c r="A2344" s="1012">
        <v>42065</v>
      </c>
      <c r="B2344" s="1013">
        <v>1.9322013040166421</v>
      </c>
    </row>
    <row r="2345" spans="1:2" x14ac:dyDescent="0.35">
      <c r="A2345" s="1012">
        <v>42066</v>
      </c>
      <c r="B2345" s="1013">
        <v>1.932107008124736</v>
      </c>
    </row>
    <row r="2346" spans="1:2" x14ac:dyDescent="0.35">
      <c r="A2346" s="1012">
        <v>42067</v>
      </c>
      <c r="B2346" s="1013">
        <v>1.9117468537287241</v>
      </c>
    </row>
    <row r="2347" spans="1:2" x14ac:dyDescent="0.35">
      <c r="A2347" s="1012">
        <v>42068</v>
      </c>
      <c r="B2347" s="1013">
        <v>1.8677463278042028</v>
      </c>
    </row>
    <row r="2348" spans="1:2" x14ac:dyDescent="0.35">
      <c r="A2348" s="1012">
        <v>42069</v>
      </c>
      <c r="B2348" s="1013">
        <v>1.8912963957542057</v>
      </c>
    </row>
    <row r="2349" spans="1:2" x14ac:dyDescent="0.35">
      <c r="A2349" s="1012">
        <v>42072</v>
      </c>
      <c r="B2349" s="1013">
        <v>1.8606281918236038</v>
      </c>
    </row>
    <row r="2350" spans="1:2" x14ac:dyDescent="0.35">
      <c r="A2350" s="1012">
        <v>42073</v>
      </c>
      <c r="B2350" s="1013">
        <v>1.8571607639398191</v>
      </c>
    </row>
    <row r="2351" spans="1:2" x14ac:dyDescent="0.35">
      <c r="A2351" s="1012">
        <v>42074</v>
      </c>
      <c r="B2351" s="1013">
        <v>1.8435642007305642</v>
      </c>
    </row>
    <row r="2352" spans="1:2" x14ac:dyDescent="0.35">
      <c r="A2352" s="1012">
        <v>42075</v>
      </c>
      <c r="B2352" s="1013">
        <v>1.8434742700337077</v>
      </c>
    </row>
    <row r="2353" spans="1:2" x14ac:dyDescent="0.35">
      <c r="A2353" s="1012">
        <v>42076</v>
      </c>
      <c r="B2353" s="1013">
        <v>1.829879700871319</v>
      </c>
    </row>
    <row r="2354" spans="1:2" x14ac:dyDescent="0.35">
      <c r="A2354" s="1012">
        <v>42079</v>
      </c>
      <c r="B2354" s="1013">
        <v>1.8228606279894881</v>
      </c>
    </row>
    <row r="2355" spans="1:2" x14ac:dyDescent="0.35">
      <c r="A2355" s="1012">
        <v>42080</v>
      </c>
      <c r="B2355" s="1013">
        <v>1.8362737417209238</v>
      </c>
    </row>
    <row r="2356" spans="1:2" x14ac:dyDescent="0.35">
      <c r="A2356" s="1012">
        <v>42081</v>
      </c>
      <c r="B2356" s="1013">
        <v>1.7923047912009391</v>
      </c>
    </row>
    <row r="2357" spans="1:2" x14ac:dyDescent="0.35">
      <c r="A2357" s="1012">
        <v>42082</v>
      </c>
      <c r="B2357" s="1013">
        <v>1.809093260797948</v>
      </c>
    </row>
    <row r="2358" spans="1:2" x14ac:dyDescent="0.35">
      <c r="A2358" s="1012">
        <v>42083</v>
      </c>
      <c r="B2358" s="1013">
        <v>1.7955050083925781</v>
      </c>
    </row>
    <row r="2359" spans="1:2" x14ac:dyDescent="0.35">
      <c r="A2359" s="1012">
        <v>42086</v>
      </c>
      <c r="B2359" s="1013">
        <v>1.8222385165006358</v>
      </c>
    </row>
    <row r="2360" spans="1:2" x14ac:dyDescent="0.35">
      <c r="A2360" s="1012">
        <v>42087</v>
      </c>
      <c r="B2360" s="1013">
        <v>1.8019035705586002</v>
      </c>
    </row>
    <row r="2361" spans="1:2" x14ac:dyDescent="0.35">
      <c r="A2361" s="1012">
        <v>42088</v>
      </c>
      <c r="B2361" s="1013">
        <v>1.7815706072726589</v>
      </c>
    </row>
    <row r="2362" spans="1:2" x14ac:dyDescent="0.35">
      <c r="A2362" s="1012">
        <v>42089</v>
      </c>
      <c r="B2362" s="1013">
        <v>1.7106292922622628</v>
      </c>
    </row>
    <row r="2363" spans="1:2" x14ac:dyDescent="0.35">
      <c r="A2363" s="1012">
        <v>42090</v>
      </c>
      <c r="B2363" s="1013">
        <v>1.7274151962883151</v>
      </c>
    </row>
    <row r="2364" spans="1:2" x14ac:dyDescent="0.35">
      <c r="A2364" s="1012">
        <v>42093</v>
      </c>
      <c r="B2364" s="1013">
        <v>1.8047500070037994</v>
      </c>
    </row>
    <row r="2365" spans="1:2" x14ac:dyDescent="0.35">
      <c r="A2365" s="1012">
        <v>42094</v>
      </c>
      <c r="B2365" s="1013">
        <v>1.8215280516970793</v>
      </c>
    </row>
    <row r="2366" spans="1:2" x14ac:dyDescent="0.35">
      <c r="A2366" s="1012">
        <v>42095</v>
      </c>
      <c r="B2366" s="1013">
        <v>1.9057651752584241</v>
      </c>
    </row>
    <row r="2367" spans="1:2" x14ac:dyDescent="0.35">
      <c r="A2367" s="1012">
        <v>42096</v>
      </c>
      <c r="B2367" s="1013">
        <v>1.9360281475127077</v>
      </c>
    </row>
    <row r="2368" spans="1:2" x14ac:dyDescent="0.35">
      <c r="A2368" s="1012">
        <v>42097</v>
      </c>
      <c r="B2368" s="1013">
        <v>1.9359338075861929</v>
      </c>
    </row>
    <row r="2369" spans="1:2" x14ac:dyDescent="0.35">
      <c r="A2369" s="1012">
        <v>42101</v>
      </c>
      <c r="B2369" s="1013">
        <v>1.9355565398032539</v>
      </c>
    </row>
    <row r="2370" spans="1:2" x14ac:dyDescent="0.35">
      <c r="A2370" s="1012">
        <v>42102</v>
      </c>
      <c r="B2370" s="1013">
        <v>2.0062718401912738</v>
      </c>
    </row>
    <row r="2371" spans="1:2" x14ac:dyDescent="0.35">
      <c r="A2371" s="1012">
        <v>42103</v>
      </c>
      <c r="B2371" s="1013">
        <v>2.08372369325253</v>
      </c>
    </row>
    <row r="2372" spans="1:2" x14ac:dyDescent="0.35">
      <c r="A2372" s="1012">
        <v>42104</v>
      </c>
      <c r="B2372" s="1013">
        <v>2.0735075201225484</v>
      </c>
    </row>
    <row r="2373" spans="1:2" x14ac:dyDescent="0.35">
      <c r="A2373" s="1012">
        <v>42107</v>
      </c>
      <c r="B2373" s="1013">
        <v>2.1439969009499862</v>
      </c>
    </row>
    <row r="2374" spans="1:2" x14ac:dyDescent="0.35">
      <c r="A2374" s="1012">
        <v>42108</v>
      </c>
      <c r="B2374" s="1013">
        <v>2.0731035802288802</v>
      </c>
    </row>
    <row r="2375" spans="1:2" x14ac:dyDescent="0.35">
      <c r="A2375" s="1012">
        <v>42109</v>
      </c>
      <c r="B2375" s="1013">
        <v>2.0763733558125907</v>
      </c>
    </row>
    <row r="2376" spans="1:2" x14ac:dyDescent="0.35">
      <c r="A2376" s="1012">
        <v>42110</v>
      </c>
      <c r="B2376" s="1013">
        <v>2.1976128266346255</v>
      </c>
    </row>
    <row r="2377" spans="1:2" x14ac:dyDescent="0.35">
      <c r="A2377" s="1012">
        <v>42111</v>
      </c>
      <c r="B2377" s="1013">
        <v>2.4536567974039607</v>
      </c>
    </row>
    <row r="2378" spans="1:2" x14ac:dyDescent="0.35">
      <c r="A2378" s="1012">
        <v>42114</v>
      </c>
      <c r="B2378" s="1013">
        <v>2.3724204351842535</v>
      </c>
    </row>
    <row r="2379" spans="1:2" x14ac:dyDescent="0.35">
      <c r="A2379" s="1012">
        <v>42115</v>
      </c>
      <c r="B2379" s="1013">
        <v>2.3082796566379211</v>
      </c>
    </row>
    <row r="2380" spans="1:2" x14ac:dyDescent="0.35">
      <c r="A2380" s="1012">
        <v>42116</v>
      </c>
      <c r="B2380" s="1013">
        <v>2.392406963266291</v>
      </c>
    </row>
    <row r="2381" spans="1:2" x14ac:dyDescent="0.35">
      <c r="A2381" s="1012">
        <v>42117</v>
      </c>
      <c r="B2381" s="1013">
        <v>2.570869929697853</v>
      </c>
    </row>
    <row r="2382" spans="1:2" x14ac:dyDescent="0.35">
      <c r="A2382" s="1012">
        <v>42118</v>
      </c>
      <c r="B2382" s="1013">
        <v>2.503359598539368</v>
      </c>
    </row>
    <row r="2383" spans="1:2" x14ac:dyDescent="0.35">
      <c r="A2383" s="1012">
        <v>42121</v>
      </c>
      <c r="B2383" s="1013">
        <v>2.5670006482953891</v>
      </c>
    </row>
    <row r="2384" spans="1:2" x14ac:dyDescent="0.35">
      <c r="A2384" s="1012">
        <v>42122</v>
      </c>
      <c r="B2384" s="1013">
        <v>2.5466640943671002</v>
      </c>
    </row>
    <row r="2385" spans="1:2" x14ac:dyDescent="0.35">
      <c r="A2385" s="1012">
        <v>42123</v>
      </c>
      <c r="B2385" s="1013">
        <v>2.4960135656357836</v>
      </c>
    </row>
    <row r="2386" spans="1:2" x14ac:dyDescent="0.35">
      <c r="A2386" s="1012">
        <v>42124</v>
      </c>
      <c r="B2386" s="1013">
        <v>2.5228383017088936</v>
      </c>
    </row>
    <row r="2387" spans="1:2" x14ac:dyDescent="0.35">
      <c r="A2387" s="1012">
        <v>42128</v>
      </c>
      <c r="B2387" s="1013">
        <v>2.5055092064572251</v>
      </c>
    </row>
    <row r="2388" spans="1:2" x14ac:dyDescent="0.35">
      <c r="A2388" s="1012">
        <v>42129</v>
      </c>
      <c r="B2388" s="1013">
        <v>2.4818151141997564</v>
      </c>
    </row>
    <row r="2389" spans="1:2" x14ac:dyDescent="0.35">
      <c r="A2389" s="1012">
        <v>42130</v>
      </c>
      <c r="B2389" s="1013">
        <v>2.3470026838273972</v>
      </c>
    </row>
    <row r="2390" spans="1:2" x14ac:dyDescent="0.35">
      <c r="A2390" s="1012">
        <v>42131</v>
      </c>
      <c r="B2390" s="1013">
        <v>2.2963815805959915</v>
      </c>
    </row>
    <row r="2391" spans="1:2" x14ac:dyDescent="0.35">
      <c r="A2391" s="1012">
        <v>42132</v>
      </c>
      <c r="B2391" s="1013">
        <v>2.3568752348555582</v>
      </c>
    </row>
    <row r="2392" spans="1:2" x14ac:dyDescent="0.35">
      <c r="A2392" s="1012">
        <v>42135</v>
      </c>
      <c r="B2392" s="1013">
        <v>2.3228665967353659</v>
      </c>
    </row>
    <row r="2393" spans="1:2" x14ac:dyDescent="0.35">
      <c r="A2393" s="1012">
        <v>42136</v>
      </c>
      <c r="B2393" s="1013">
        <v>2.3362188598007494</v>
      </c>
    </row>
    <row r="2394" spans="1:2" x14ac:dyDescent="0.35">
      <c r="A2394" s="1012">
        <v>42137</v>
      </c>
      <c r="B2394" s="1013">
        <v>2.3495698241235985</v>
      </c>
    </row>
    <row r="2395" spans="1:2" x14ac:dyDescent="0.35">
      <c r="A2395" s="1012">
        <v>42138</v>
      </c>
      <c r="B2395" s="1013">
        <v>2.3258936859207049</v>
      </c>
    </row>
    <row r="2396" spans="1:2" x14ac:dyDescent="0.35">
      <c r="A2396" s="1012">
        <v>42139</v>
      </c>
      <c r="B2396" s="1013">
        <v>2.3426096723519896</v>
      </c>
    </row>
    <row r="2397" spans="1:2" x14ac:dyDescent="0.35">
      <c r="A2397" s="1012">
        <v>42142</v>
      </c>
      <c r="B2397" s="1013">
        <v>2.3792865683284621</v>
      </c>
    </row>
    <row r="2398" spans="1:2" x14ac:dyDescent="0.35">
      <c r="A2398" s="1012">
        <v>42143</v>
      </c>
      <c r="B2398" s="1013">
        <v>2.3993618718351817</v>
      </c>
    </row>
    <row r="2399" spans="1:2" x14ac:dyDescent="0.35">
      <c r="A2399" s="1012">
        <v>42144</v>
      </c>
      <c r="B2399" s="1013">
        <v>2.453085226436039</v>
      </c>
    </row>
    <row r="2400" spans="1:2" x14ac:dyDescent="0.35">
      <c r="A2400" s="1012">
        <v>42145</v>
      </c>
      <c r="B2400" s="1013">
        <v>2.4731549903125041</v>
      </c>
    </row>
    <row r="2401" spans="1:2" x14ac:dyDescent="0.35">
      <c r="A2401" s="1012">
        <v>42146</v>
      </c>
      <c r="B2401" s="1013">
        <v>2.4191999936423167</v>
      </c>
    </row>
    <row r="2402" spans="1:2" x14ac:dyDescent="0.35">
      <c r="A2402" s="1012">
        <v>42149</v>
      </c>
      <c r="B2402" s="1013">
        <v>2.4188472348617158</v>
      </c>
    </row>
    <row r="2403" spans="1:2" x14ac:dyDescent="0.35">
      <c r="A2403" s="1012">
        <v>42150</v>
      </c>
      <c r="B2403" s="1013">
        <v>2.4120016334326269</v>
      </c>
    </row>
    <row r="2404" spans="1:2" x14ac:dyDescent="0.35">
      <c r="A2404" s="1012">
        <v>42151</v>
      </c>
      <c r="B2404" s="1013">
        <v>2.3614265756346677</v>
      </c>
    </row>
    <row r="2405" spans="1:2" x14ac:dyDescent="0.35">
      <c r="A2405" s="1012">
        <v>42152</v>
      </c>
      <c r="B2405" s="1013">
        <v>2.3007653574358522</v>
      </c>
    </row>
    <row r="2406" spans="1:2" x14ac:dyDescent="0.35">
      <c r="A2406" s="1012">
        <v>42153</v>
      </c>
      <c r="B2406" s="1013">
        <v>2.2972900208990641</v>
      </c>
    </row>
    <row r="2407" spans="1:2" x14ac:dyDescent="0.35">
      <c r="A2407" s="1012">
        <v>42156</v>
      </c>
      <c r="B2407" s="1013">
        <v>2.3743050331989544</v>
      </c>
    </row>
    <row r="2408" spans="1:2" x14ac:dyDescent="0.35">
      <c r="A2408" s="1012">
        <v>42157</v>
      </c>
      <c r="B2408" s="1013">
        <v>2.3203836756582512</v>
      </c>
    </row>
    <row r="2409" spans="1:2" x14ac:dyDescent="0.35">
      <c r="A2409" s="1012">
        <v>42158</v>
      </c>
      <c r="B2409" s="1013">
        <v>2.3639861913498539</v>
      </c>
    </row>
    <row r="2410" spans="1:2" x14ac:dyDescent="0.35">
      <c r="A2410" s="1012">
        <v>42159</v>
      </c>
      <c r="B2410" s="1013">
        <v>2.4063564513418152</v>
      </c>
    </row>
    <row r="2411" spans="1:2" x14ac:dyDescent="0.35">
      <c r="A2411" s="1012">
        <v>42160</v>
      </c>
      <c r="B2411" s="1013">
        <v>2.3552599003267622</v>
      </c>
    </row>
    <row r="2412" spans="1:2" x14ac:dyDescent="0.35">
      <c r="A2412" s="1012">
        <v>42163</v>
      </c>
      <c r="B2412" s="1013">
        <v>2.2869537347098521</v>
      </c>
    </row>
    <row r="2413" spans="1:2" x14ac:dyDescent="0.35">
      <c r="A2413" s="1012">
        <v>42164</v>
      </c>
      <c r="B2413" s="1013">
        <v>2.259658792151888</v>
      </c>
    </row>
    <row r="2414" spans="1:2" x14ac:dyDescent="0.35">
      <c r="A2414" s="1012">
        <v>42165</v>
      </c>
      <c r="B2414" s="1013">
        <v>2.2255708646689785</v>
      </c>
    </row>
    <row r="2415" spans="1:2" x14ac:dyDescent="0.35">
      <c r="A2415" s="1012">
        <v>42166</v>
      </c>
      <c r="B2415" s="1013">
        <v>2.3002111473009688</v>
      </c>
    </row>
    <row r="2416" spans="1:2" x14ac:dyDescent="0.35">
      <c r="A2416" s="1012">
        <v>42167</v>
      </c>
      <c r="B2416" s="1013">
        <v>2.3102919065691849</v>
      </c>
    </row>
    <row r="2417" spans="1:2" x14ac:dyDescent="0.35">
      <c r="A2417" s="1012">
        <v>42170</v>
      </c>
      <c r="B2417" s="1013">
        <v>2.2420155079895965</v>
      </c>
    </row>
    <row r="2418" spans="1:2" x14ac:dyDescent="0.35">
      <c r="A2418" s="1012">
        <v>42171</v>
      </c>
      <c r="B2418" s="1013">
        <v>2.2351129937455698</v>
      </c>
    </row>
    <row r="2419" spans="1:2" x14ac:dyDescent="0.35">
      <c r="A2419" s="1012">
        <v>42172</v>
      </c>
      <c r="B2419" s="1013">
        <v>2.2621777831319831</v>
      </c>
    </row>
    <row r="2420" spans="1:2" x14ac:dyDescent="0.35">
      <c r="A2420" s="1012">
        <v>42173</v>
      </c>
      <c r="B2420" s="1013">
        <v>2.2416889665148187</v>
      </c>
    </row>
    <row r="2421" spans="1:2" x14ac:dyDescent="0.35">
      <c r="A2421" s="1012">
        <v>42174</v>
      </c>
      <c r="B2421" s="1013">
        <v>2.2449764740393294</v>
      </c>
    </row>
    <row r="2422" spans="1:2" x14ac:dyDescent="0.35">
      <c r="A2422" s="1012">
        <v>42178</v>
      </c>
      <c r="B2422" s="1013">
        <v>2.3667848857690545</v>
      </c>
    </row>
    <row r="2423" spans="1:2" x14ac:dyDescent="0.35">
      <c r="A2423" s="1012">
        <v>42179</v>
      </c>
      <c r="B2423" s="1013">
        <v>2.4345802016031222</v>
      </c>
    </row>
    <row r="2424" spans="1:2" x14ac:dyDescent="0.35">
      <c r="A2424" s="1012">
        <v>42180</v>
      </c>
      <c r="B2424" s="1013">
        <v>2.4039039448211894</v>
      </c>
    </row>
    <row r="2425" spans="1:2" x14ac:dyDescent="0.35">
      <c r="A2425" s="1012">
        <v>42181</v>
      </c>
      <c r="B2425" s="1013">
        <v>2.3868113845893744</v>
      </c>
    </row>
    <row r="2426" spans="1:2" x14ac:dyDescent="0.35">
      <c r="A2426" s="1012">
        <v>42184</v>
      </c>
      <c r="B2426" s="1013">
        <v>2.3253595998164318</v>
      </c>
    </row>
    <row r="2427" spans="1:2" x14ac:dyDescent="0.35">
      <c r="A2427" s="1012">
        <v>42185</v>
      </c>
      <c r="B2427" s="1013">
        <v>2.3693755429924916</v>
      </c>
    </row>
    <row r="2428" spans="1:2" x14ac:dyDescent="0.35">
      <c r="A2428" s="1012">
        <v>42186</v>
      </c>
      <c r="B2428" s="1013">
        <v>2.3692605852114124</v>
      </c>
    </row>
    <row r="2429" spans="1:2" x14ac:dyDescent="0.35">
      <c r="A2429" s="1012">
        <v>42187</v>
      </c>
      <c r="B2429" s="1013">
        <v>2.3487804898291325</v>
      </c>
    </row>
    <row r="2430" spans="1:2" x14ac:dyDescent="0.35">
      <c r="A2430" s="1012">
        <v>42188</v>
      </c>
      <c r="B2430" s="1013">
        <v>2.3011501672054928</v>
      </c>
    </row>
    <row r="2431" spans="1:2" x14ac:dyDescent="0.35">
      <c r="A2431" s="1012">
        <v>42191</v>
      </c>
      <c r="B2431" s="1013">
        <v>2.1447127922492126</v>
      </c>
    </row>
    <row r="2432" spans="1:2" x14ac:dyDescent="0.35">
      <c r="A2432" s="1012">
        <v>42192</v>
      </c>
      <c r="B2432" s="1013">
        <v>2.0903148721941718</v>
      </c>
    </row>
    <row r="2433" spans="1:2" x14ac:dyDescent="0.35">
      <c r="A2433" s="1012">
        <v>42193</v>
      </c>
      <c r="B2433" s="1013">
        <v>1.8900144691833114</v>
      </c>
    </row>
    <row r="2434" spans="1:2" x14ac:dyDescent="0.35">
      <c r="A2434" s="1012">
        <v>42194</v>
      </c>
      <c r="B2434" s="1013">
        <v>2.1002912318014366</v>
      </c>
    </row>
    <row r="2435" spans="1:2" x14ac:dyDescent="0.35">
      <c r="A2435" s="1012">
        <v>42195</v>
      </c>
      <c r="B2435" s="1013">
        <v>2.1239394961393998</v>
      </c>
    </row>
    <row r="2436" spans="1:2" x14ac:dyDescent="0.35">
      <c r="A2436" s="1012">
        <v>42198</v>
      </c>
      <c r="B2436" s="1013">
        <v>2.2254019580189639</v>
      </c>
    </row>
    <row r="2437" spans="1:2" x14ac:dyDescent="0.35">
      <c r="A2437" s="1012">
        <v>42199</v>
      </c>
      <c r="B2437" s="1013">
        <v>2.1642341558198246</v>
      </c>
    </row>
    <row r="2438" spans="1:2" x14ac:dyDescent="0.35">
      <c r="A2438" s="1012">
        <v>42200</v>
      </c>
      <c r="B2438" s="1013">
        <v>2.0827199726557915</v>
      </c>
    </row>
    <row r="2439" spans="1:2" x14ac:dyDescent="0.35">
      <c r="A2439" s="1012">
        <v>42201</v>
      </c>
      <c r="B2439" s="1013">
        <v>2.1097540972979614</v>
      </c>
    </row>
    <row r="2440" spans="1:2" x14ac:dyDescent="0.35">
      <c r="A2440" s="1012">
        <v>42202</v>
      </c>
      <c r="B2440" s="1013">
        <v>2.0655594139927183</v>
      </c>
    </row>
    <row r="2441" spans="1:2" x14ac:dyDescent="0.35">
      <c r="A2441" s="1012">
        <v>42205</v>
      </c>
      <c r="B2441" s="1013">
        <v>2.150039788104555</v>
      </c>
    </row>
    <row r="2442" spans="1:2" x14ac:dyDescent="0.35">
      <c r="A2442" s="1012">
        <v>42206</v>
      </c>
      <c r="B2442" s="1013">
        <v>2.1702819666581141</v>
      </c>
    </row>
    <row r="2443" spans="1:2" x14ac:dyDescent="0.35">
      <c r="A2443" s="1012">
        <v>42207</v>
      </c>
      <c r="B2443" s="1013">
        <v>2.1328768623789265</v>
      </c>
    </row>
    <row r="2444" spans="1:2" x14ac:dyDescent="0.35">
      <c r="A2444" s="1012">
        <v>42208</v>
      </c>
      <c r="B2444" s="1013">
        <v>2.1395549631571398</v>
      </c>
    </row>
    <row r="2445" spans="1:2" x14ac:dyDescent="0.35">
      <c r="A2445" s="1012">
        <v>42209</v>
      </c>
      <c r="B2445" s="1013">
        <v>2.1123266912577918</v>
      </c>
    </row>
    <row r="2446" spans="1:2" x14ac:dyDescent="0.35">
      <c r="A2446" s="1012">
        <v>42212</v>
      </c>
      <c r="B2446" s="1013">
        <v>2.0170973897934932</v>
      </c>
    </row>
    <row r="2447" spans="1:2" x14ac:dyDescent="0.35">
      <c r="A2447" s="1012">
        <v>42213</v>
      </c>
      <c r="B2447" s="1013">
        <v>1.976320667364778</v>
      </c>
    </row>
    <row r="2448" spans="1:2" x14ac:dyDescent="0.35">
      <c r="A2448" s="1012">
        <v>42214</v>
      </c>
      <c r="B2448" s="1013">
        <v>2.0135121724292389</v>
      </c>
    </row>
    <row r="2449" spans="1:2" x14ac:dyDescent="0.35">
      <c r="A2449" s="1012">
        <v>42215</v>
      </c>
      <c r="B2449" s="1013">
        <v>2.0371417260421101</v>
      </c>
    </row>
    <row r="2450" spans="1:2" x14ac:dyDescent="0.35">
      <c r="A2450" s="1012">
        <v>42216</v>
      </c>
      <c r="B2450" s="1013">
        <v>2.0438218766567635</v>
      </c>
    </row>
    <row r="2451" spans="1:2" x14ac:dyDescent="0.35">
      <c r="A2451" s="1012">
        <v>42219</v>
      </c>
      <c r="B2451" s="1013">
        <v>1.9926909128127488</v>
      </c>
    </row>
    <row r="2452" spans="1:2" x14ac:dyDescent="0.35">
      <c r="A2452" s="1012">
        <v>42220</v>
      </c>
      <c r="B2452" s="1013">
        <v>1.9959831562782611</v>
      </c>
    </row>
    <row r="2453" spans="1:2" x14ac:dyDescent="0.35">
      <c r="A2453" s="1012">
        <v>42221</v>
      </c>
      <c r="B2453" s="1013">
        <v>1.992497877154263</v>
      </c>
    </row>
    <row r="2454" spans="1:2" x14ac:dyDescent="0.35">
      <c r="A2454" s="1012">
        <v>42222</v>
      </c>
      <c r="B2454" s="1013">
        <v>2.0161204373175745</v>
      </c>
    </row>
    <row r="2455" spans="1:2" x14ac:dyDescent="0.35">
      <c r="A2455" s="1012">
        <v>42223</v>
      </c>
      <c r="B2455" s="1013">
        <v>2.0329641621342835</v>
      </c>
    </row>
    <row r="2456" spans="1:2" x14ac:dyDescent="0.35">
      <c r="A2456" s="1012">
        <v>42226</v>
      </c>
      <c r="B2456" s="1013">
        <v>2.1004244557592142</v>
      </c>
    </row>
    <row r="2457" spans="1:2" x14ac:dyDescent="0.35">
      <c r="A2457" s="1012">
        <v>42227</v>
      </c>
      <c r="B2457" s="1013">
        <v>2.0495084892495132</v>
      </c>
    </row>
    <row r="2458" spans="1:2" x14ac:dyDescent="0.35">
      <c r="A2458" s="1012">
        <v>42228</v>
      </c>
      <c r="B2458" s="1013">
        <v>1.9410107471078457</v>
      </c>
    </row>
    <row r="2459" spans="1:2" x14ac:dyDescent="0.35">
      <c r="A2459" s="1012">
        <v>42229</v>
      </c>
      <c r="B2459" s="1013">
        <v>1.8867201400714781</v>
      </c>
    </row>
    <row r="2460" spans="1:2" x14ac:dyDescent="0.35">
      <c r="A2460" s="1012">
        <v>42230</v>
      </c>
      <c r="B2460" s="1013">
        <v>1.9340485491234611</v>
      </c>
    </row>
    <row r="2461" spans="1:2" x14ac:dyDescent="0.35">
      <c r="A2461" s="1012">
        <v>42233</v>
      </c>
      <c r="B2461" s="1013">
        <v>1.926994413246701</v>
      </c>
    </row>
    <row r="2462" spans="1:2" x14ac:dyDescent="0.35">
      <c r="A2462" s="1012">
        <v>42234</v>
      </c>
      <c r="B2462" s="1013">
        <v>1.9167417277706245</v>
      </c>
    </row>
    <row r="2463" spans="1:2" x14ac:dyDescent="0.35">
      <c r="A2463" s="1012">
        <v>42235</v>
      </c>
      <c r="B2463" s="1013">
        <v>1.8523091457291707</v>
      </c>
    </row>
    <row r="2464" spans="1:2" x14ac:dyDescent="0.35">
      <c r="A2464" s="1012">
        <v>42236</v>
      </c>
      <c r="B2464" s="1013">
        <v>1.7912689425279933</v>
      </c>
    </row>
    <row r="2465" spans="1:2" x14ac:dyDescent="0.35">
      <c r="A2465" s="1012">
        <v>42237</v>
      </c>
      <c r="B2465" s="1013">
        <v>1.6896029144126581</v>
      </c>
    </row>
    <row r="2466" spans="1:2" x14ac:dyDescent="0.35">
      <c r="A2466" s="1012">
        <v>42240</v>
      </c>
      <c r="B2466" s="1013">
        <v>1.5759438390681819</v>
      </c>
    </row>
    <row r="2467" spans="1:2" x14ac:dyDescent="0.35">
      <c r="A2467" s="1012">
        <v>42241</v>
      </c>
      <c r="B2467" s="1013">
        <v>1.5843308866607257</v>
      </c>
    </row>
    <row r="2468" spans="1:2" x14ac:dyDescent="0.35">
      <c r="A2468" s="1012">
        <v>42242</v>
      </c>
      <c r="B2468" s="1013">
        <v>1.6705757704740447</v>
      </c>
    </row>
    <row r="2469" spans="1:2" x14ac:dyDescent="0.35">
      <c r="A2469" s="1012">
        <v>42243</v>
      </c>
      <c r="B2469" s="1013">
        <v>1.763582298107037</v>
      </c>
    </row>
    <row r="2470" spans="1:2" x14ac:dyDescent="0.35">
      <c r="A2470" s="1012">
        <v>42244</v>
      </c>
      <c r="B2470" s="1013">
        <v>1.8041149449140952</v>
      </c>
    </row>
    <row r="2471" spans="1:2" x14ac:dyDescent="0.35">
      <c r="A2471" s="1012">
        <v>42247</v>
      </c>
      <c r="B2471" s="1013">
        <v>1.7327819865362517</v>
      </c>
    </row>
    <row r="2472" spans="1:2" x14ac:dyDescent="0.35">
      <c r="A2472" s="1012">
        <v>42248</v>
      </c>
      <c r="B2472" s="1013">
        <v>1.6954722300657548</v>
      </c>
    </row>
    <row r="2473" spans="1:2" x14ac:dyDescent="0.35">
      <c r="A2473" s="1012">
        <v>42249</v>
      </c>
      <c r="B2473" s="1013">
        <v>1.661550095379617</v>
      </c>
    </row>
    <row r="2474" spans="1:2" x14ac:dyDescent="0.35">
      <c r="A2474" s="1012">
        <v>42254</v>
      </c>
      <c r="B2474" s="1013">
        <v>1.6763727177718046</v>
      </c>
    </row>
    <row r="2475" spans="1:2" x14ac:dyDescent="0.35">
      <c r="A2475" s="1012">
        <v>42255</v>
      </c>
      <c r="B2475" s="1013">
        <v>1.7354946898319448</v>
      </c>
    </row>
    <row r="2476" spans="1:2" x14ac:dyDescent="0.35">
      <c r="A2476" s="1012">
        <v>42256</v>
      </c>
      <c r="B2476" s="1013">
        <v>1.8301310478463446</v>
      </c>
    </row>
    <row r="2477" spans="1:2" x14ac:dyDescent="0.35">
      <c r="A2477" s="1012">
        <v>42257</v>
      </c>
      <c r="B2477" s="1013">
        <v>1.8334252614882043</v>
      </c>
    </row>
    <row r="2478" spans="1:2" x14ac:dyDescent="0.35">
      <c r="A2478" s="1012">
        <v>42258</v>
      </c>
      <c r="B2478" s="1013">
        <v>1.7927461381026015</v>
      </c>
    </row>
    <row r="2479" spans="1:2" x14ac:dyDescent="0.35">
      <c r="A2479" s="1012">
        <v>42261</v>
      </c>
      <c r="B2479" s="1013">
        <v>1.8161604871420367</v>
      </c>
    </row>
    <row r="2480" spans="1:2" x14ac:dyDescent="0.35">
      <c r="A2480" s="1012">
        <v>42262</v>
      </c>
      <c r="B2480" s="1013">
        <v>1.812690808237015</v>
      </c>
    </row>
    <row r="2481" spans="1:2" x14ac:dyDescent="0.35">
      <c r="A2481" s="1012">
        <v>42263</v>
      </c>
      <c r="B2481" s="1013">
        <v>1.8177477559850734</v>
      </c>
    </row>
    <row r="2482" spans="1:2" x14ac:dyDescent="0.35">
      <c r="A2482" s="1012">
        <v>42264</v>
      </c>
      <c r="B2482" s="1013">
        <v>1.8519553643932565</v>
      </c>
    </row>
    <row r="2483" spans="1:2" x14ac:dyDescent="0.35">
      <c r="A2483" s="1012">
        <v>42265</v>
      </c>
      <c r="B2483" s="1013">
        <v>1.8621539976167001</v>
      </c>
    </row>
    <row r="2484" spans="1:2" x14ac:dyDescent="0.35">
      <c r="A2484" s="1012">
        <v>42268</v>
      </c>
      <c r="B2484" s="1013">
        <v>1.9716083156124551</v>
      </c>
    </row>
    <row r="2485" spans="1:2" x14ac:dyDescent="0.35">
      <c r="A2485" s="1012">
        <v>42269</v>
      </c>
      <c r="B2485" s="1013">
        <v>1.9680843221146791</v>
      </c>
    </row>
    <row r="2486" spans="1:2" x14ac:dyDescent="0.35">
      <c r="A2486" s="1012">
        <v>42270</v>
      </c>
      <c r="B2486" s="1013">
        <v>1.9062752741126008</v>
      </c>
    </row>
    <row r="2487" spans="1:2" x14ac:dyDescent="0.35">
      <c r="A2487" s="1012">
        <v>42271</v>
      </c>
      <c r="B2487" s="1013">
        <v>1.8616141341386612</v>
      </c>
    </row>
    <row r="2488" spans="1:2" x14ac:dyDescent="0.35">
      <c r="A2488" s="1012">
        <v>42272</v>
      </c>
      <c r="B2488" s="1013">
        <v>1.8546677446451567</v>
      </c>
    </row>
    <row r="2489" spans="1:2" x14ac:dyDescent="0.35">
      <c r="A2489" s="1012">
        <v>42275</v>
      </c>
      <c r="B2489" s="1013">
        <v>1.8543989500402731</v>
      </c>
    </row>
    <row r="2490" spans="1:2" x14ac:dyDescent="0.35">
      <c r="A2490" s="1012">
        <v>42276</v>
      </c>
      <c r="B2490" s="1013">
        <v>1.8200337800730231</v>
      </c>
    </row>
    <row r="2491" spans="1:2" x14ac:dyDescent="0.35">
      <c r="A2491" s="1012">
        <v>42277</v>
      </c>
      <c r="B2491" s="1013">
        <v>1.8987759103367972</v>
      </c>
    </row>
    <row r="2492" spans="1:2" x14ac:dyDescent="0.35">
      <c r="A2492" s="1012">
        <v>42285</v>
      </c>
      <c r="B2492" s="1013">
        <v>1.8089646286100893</v>
      </c>
    </row>
    <row r="2493" spans="1:2" x14ac:dyDescent="0.35">
      <c r="A2493" s="1012">
        <v>42286</v>
      </c>
      <c r="B2493" s="1013">
        <v>1.9013766913264269</v>
      </c>
    </row>
    <row r="2494" spans="1:2" x14ac:dyDescent="0.35">
      <c r="A2494" s="1012">
        <v>42289</v>
      </c>
      <c r="B2494" s="1013">
        <v>1.9661840611709278</v>
      </c>
    </row>
    <row r="2495" spans="1:2" x14ac:dyDescent="0.35">
      <c r="A2495" s="1012">
        <v>42290</v>
      </c>
      <c r="B2495" s="1013">
        <v>1.9592386596209215</v>
      </c>
    </row>
    <row r="2496" spans="1:2" x14ac:dyDescent="0.35">
      <c r="A2496" s="1012">
        <v>42291</v>
      </c>
      <c r="B2496" s="1013">
        <v>1.9043428496629977</v>
      </c>
    </row>
    <row r="2497" spans="1:2" x14ac:dyDescent="0.35">
      <c r="A2497" s="1012">
        <v>42292</v>
      </c>
      <c r="B2497" s="1013">
        <v>1.9727491619612303</v>
      </c>
    </row>
    <row r="2498" spans="1:2" x14ac:dyDescent="0.35">
      <c r="A2498" s="1012">
        <v>42293</v>
      </c>
      <c r="B2498" s="1013">
        <v>1.9486807171068645</v>
      </c>
    </row>
    <row r="2499" spans="1:2" x14ac:dyDescent="0.35">
      <c r="A2499" s="1012">
        <v>42296</v>
      </c>
      <c r="B2499" s="1013">
        <v>1.95867133530647</v>
      </c>
    </row>
    <row r="2500" spans="1:2" x14ac:dyDescent="0.35">
      <c r="A2500" s="1012">
        <v>42297</v>
      </c>
      <c r="B2500" s="1013">
        <v>2.0167862639369876</v>
      </c>
    </row>
    <row r="2501" spans="1:2" x14ac:dyDescent="0.35">
      <c r="A2501" s="1012">
        <v>42298</v>
      </c>
      <c r="B2501" s="1013">
        <v>2.0166889419957368</v>
      </c>
    </row>
    <row r="2502" spans="1:2" x14ac:dyDescent="0.35">
      <c r="A2502" s="1012">
        <v>42299</v>
      </c>
      <c r="B2502" s="1013">
        <v>2.020015384335462</v>
      </c>
    </row>
    <row r="2503" spans="1:2" x14ac:dyDescent="0.35">
      <c r="A2503" s="1012">
        <v>42300</v>
      </c>
      <c r="B2503" s="1013">
        <v>2.0781189406744249</v>
      </c>
    </row>
    <row r="2504" spans="1:2" x14ac:dyDescent="0.35">
      <c r="A2504" s="1012">
        <v>42303</v>
      </c>
      <c r="B2504" s="1013">
        <v>2.0675488858750666</v>
      </c>
    </row>
    <row r="2505" spans="1:2" x14ac:dyDescent="0.35">
      <c r="A2505" s="1012">
        <v>42304</v>
      </c>
      <c r="B2505" s="1013">
        <v>2.0366427818087169</v>
      </c>
    </row>
    <row r="2506" spans="1:2" x14ac:dyDescent="0.35">
      <c r="A2506" s="1012">
        <v>42305</v>
      </c>
      <c r="B2506" s="1013">
        <v>2.0125851873903593</v>
      </c>
    </row>
    <row r="2507" spans="1:2" x14ac:dyDescent="0.35">
      <c r="A2507" s="1012">
        <v>42306</v>
      </c>
      <c r="B2507" s="1013">
        <v>2.005642908015949</v>
      </c>
    </row>
    <row r="2508" spans="1:2" x14ac:dyDescent="0.35">
      <c r="A2508" s="1012">
        <v>42307</v>
      </c>
      <c r="B2508" s="1013">
        <v>2.0192359007437219</v>
      </c>
    </row>
    <row r="2509" spans="1:2" x14ac:dyDescent="0.35">
      <c r="A2509" s="1012">
        <v>42310</v>
      </c>
      <c r="B2509" s="1013">
        <v>1.9539269168577762</v>
      </c>
    </row>
    <row r="2510" spans="1:2" x14ac:dyDescent="0.35">
      <c r="A2510" s="1012">
        <v>42311</v>
      </c>
      <c r="B2510" s="1013">
        <v>1.9983157432964465</v>
      </c>
    </row>
    <row r="2511" spans="1:2" x14ac:dyDescent="0.35">
      <c r="A2511" s="1012">
        <v>42312</v>
      </c>
      <c r="B2511" s="1013">
        <v>2.042700288577235</v>
      </c>
    </row>
    <row r="2512" spans="1:2" x14ac:dyDescent="0.35">
      <c r="A2512" s="1012">
        <v>42313</v>
      </c>
      <c r="B2512" s="1013">
        <v>2.0597090050792133</v>
      </c>
    </row>
    <row r="2513" spans="1:2" x14ac:dyDescent="0.35">
      <c r="A2513" s="1012">
        <v>42314</v>
      </c>
      <c r="B2513" s="1013">
        <v>2.0527671314372573</v>
      </c>
    </row>
    <row r="2514" spans="1:2" x14ac:dyDescent="0.35">
      <c r="A2514" s="1012">
        <v>42317</v>
      </c>
      <c r="B2514" s="1013">
        <v>2.038787094099646</v>
      </c>
    </row>
    <row r="2515" spans="1:2" x14ac:dyDescent="0.35">
      <c r="A2515" s="1012">
        <v>42318</v>
      </c>
      <c r="B2515" s="1013">
        <v>2.0215857113431404</v>
      </c>
    </row>
    <row r="2516" spans="1:2" x14ac:dyDescent="0.35">
      <c r="A2516" s="1012">
        <v>42319</v>
      </c>
      <c r="B2516" s="1013">
        <v>2.0317496182666441</v>
      </c>
    </row>
    <row r="2517" spans="1:2" x14ac:dyDescent="0.35">
      <c r="A2517" s="1012">
        <v>42320</v>
      </c>
      <c r="B2517" s="1013">
        <v>2.0624342794159691</v>
      </c>
    </row>
    <row r="2518" spans="1:2" x14ac:dyDescent="0.35">
      <c r="A2518" s="1012">
        <v>42321</v>
      </c>
      <c r="B2518" s="1013">
        <v>2.0349738717908394</v>
      </c>
    </row>
    <row r="2519" spans="1:2" x14ac:dyDescent="0.35">
      <c r="A2519" s="1012">
        <v>42324</v>
      </c>
      <c r="B2519" s="1013">
        <v>2.0278403828413931</v>
      </c>
    </row>
    <row r="2520" spans="1:2" x14ac:dyDescent="0.35">
      <c r="A2520" s="1012">
        <v>42325</v>
      </c>
      <c r="B2520" s="1013">
        <v>2.0277426548040158</v>
      </c>
    </row>
    <row r="2521" spans="1:2" x14ac:dyDescent="0.35">
      <c r="A2521" s="1012">
        <v>42326</v>
      </c>
      <c r="B2521" s="1013">
        <v>2.0310642362468525</v>
      </c>
    </row>
    <row r="2522" spans="1:2" x14ac:dyDescent="0.35">
      <c r="A2522" s="1012">
        <v>42327</v>
      </c>
      <c r="B2522" s="1013">
        <v>2.0925107974959718</v>
      </c>
    </row>
    <row r="2523" spans="1:2" x14ac:dyDescent="0.35">
      <c r="A2523" s="1012">
        <v>42328</v>
      </c>
      <c r="B2523" s="1013">
        <v>2.0992479084346991</v>
      </c>
    </row>
    <row r="2524" spans="1:2" x14ac:dyDescent="0.35">
      <c r="A2524" s="1012">
        <v>42331</v>
      </c>
      <c r="B2524" s="1013">
        <v>2.0921075352666163</v>
      </c>
    </row>
    <row r="2525" spans="1:2" x14ac:dyDescent="0.35">
      <c r="A2525" s="1012">
        <v>42332</v>
      </c>
      <c r="B2525" s="1013">
        <v>2.0954250556673792</v>
      </c>
    </row>
    <row r="2526" spans="1:2" x14ac:dyDescent="0.35">
      <c r="A2526" s="1012">
        <v>42333</v>
      </c>
      <c r="B2526" s="1013">
        <v>2.1055785504226705</v>
      </c>
    </row>
    <row r="2527" spans="1:2" x14ac:dyDescent="0.35">
      <c r="A2527" s="1012">
        <v>42334</v>
      </c>
      <c r="B2527" s="1013">
        <v>2.0986411552564936</v>
      </c>
    </row>
    <row r="2528" spans="1:2" x14ac:dyDescent="0.35">
      <c r="A2528" s="1012">
        <v>42335</v>
      </c>
      <c r="B2528" s="1013">
        <v>2.0301837099547417</v>
      </c>
    </row>
    <row r="2529" spans="1:2" x14ac:dyDescent="0.35">
      <c r="A2529" s="1012">
        <v>42338</v>
      </c>
      <c r="B2529" s="1013">
        <v>1.9991344561163249</v>
      </c>
    </row>
    <row r="2530" spans="1:2" x14ac:dyDescent="0.35">
      <c r="A2530" s="1012">
        <v>42339</v>
      </c>
      <c r="B2530" s="1013">
        <v>2.0332097692287205</v>
      </c>
    </row>
    <row r="2531" spans="1:2" x14ac:dyDescent="0.35">
      <c r="A2531" s="1012">
        <v>42340</v>
      </c>
      <c r="B2531" s="1013">
        <v>2.0877837685872342</v>
      </c>
    </row>
    <row r="2532" spans="1:2" x14ac:dyDescent="0.35">
      <c r="A2532" s="1012">
        <v>42341</v>
      </c>
      <c r="B2532" s="1013">
        <v>2.0979337197007371</v>
      </c>
    </row>
    <row r="2533" spans="1:2" x14ac:dyDescent="0.35">
      <c r="A2533" s="1012">
        <v>42342</v>
      </c>
      <c r="B2533" s="1013">
        <v>2.0670827057466528</v>
      </c>
    </row>
    <row r="2534" spans="1:2" x14ac:dyDescent="0.35">
      <c r="A2534" s="1012">
        <v>42345</v>
      </c>
      <c r="B2534" s="1013">
        <v>2.0941135127824655</v>
      </c>
    </row>
    <row r="2535" spans="1:2" x14ac:dyDescent="0.35">
      <c r="A2535" s="1012">
        <v>42346</v>
      </c>
      <c r="B2535" s="1013">
        <v>2.0666846316243062</v>
      </c>
    </row>
    <row r="2536" spans="1:2" x14ac:dyDescent="0.35">
      <c r="A2536" s="1012">
        <v>42347</v>
      </c>
      <c r="B2536" s="1013">
        <v>2.165644589899161</v>
      </c>
    </row>
    <row r="2537" spans="1:2" x14ac:dyDescent="0.35">
      <c r="A2537" s="1012">
        <v>42348</v>
      </c>
      <c r="B2537" s="1013">
        <v>2.1962814450742547</v>
      </c>
    </row>
    <row r="2538" spans="1:2" x14ac:dyDescent="0.35">
      <c r="A2538" s="1012">
        <v>42349</v>
      </c>
      <c r="B2538" s="1013">
        <v>2.141527492148533</v>
      </c>
    </row>
    <row r="2539" spans="1:2" x14ac:dyDescent="0.35">
      <c r="A2539" s="1012">
        <v>42352</v>
      </c>
      <c r="B2539" s="1013">
        <v>2.2334238451622479</v>
      </c>
    </row>
    <row r="2540" spans="1:2" x14ac:dyDescent="0.35">
      <c r="A2540" s="1012">
        <v>42353</v>
      </c>
      <c r="B2540" s="1013">
        <v>2.2640500657567775</v>
      </c>
    </row>
    <row r="2541" spans="1:2" x14ac:dyDescent="0.35">
      <c r="A2541" s="1012">
        <v>42354</v>
      </c>
      <c r="B2541" s="1013">
        <v>2.2400382590338284</v>
      </c>
    </row>
    <row r="2542" spans="1:2" x14ac:dyDescent="0.35">
      <c r="A2542" s="1012">
        <v>42355</v>
      </c>
      <c r="B2542" s="1013">
        <v>2.2979774387584699</v>
      </c>
    </row>
    <row r="2543" spans="1:2" x14ac:dyDescent="0.35">
      <c r="A2543" s="1012">
        <v>42356</v>
      </c>
      <c r="B2543" s="1013">
        <v>2.3046955848288708</v>
      </c>
    </row>
    <row r="2544" spans="1:2" x14ac:dyDescent="0.35">
      <c r="A2544" s="1012">
        <v>42359</v>
      </c>
      <c r="B2544" s="1013">
        <v>2.2531548533821146</v>
      </c>
    </row>
    <row r="2545" spans="1:2" x14ac:dyDescent="0.35">
      <c r="A2545" s="1012">
        <v>42360</v>
      </c>
      <c r="B2545" s="1013">
        <v>2.2598738630630977</v>
      </c>
    </row>
    <row r="2546" spans="1:2" x14ac:dyDescent="0.35">
      <c r="A2546" s="1012">
        <v>42361</v>
      </c>
      <c r="B2546" s="1013">
        <v>2.2836599387921273</v>
      </c>
    </row>
    <row r="2547" spans="1:2" x14ac:dyDescent="0.35">
      <c r="A2547" s="1012">
        <v>42362</v>
      </c>
      <c r="B2547" s="1013">
        <v>2.2801366996070778</v>
      </c>
    </row>
    <row r="2548" spans="1:2" x14ac:dyDescent="0.35">
      <c r="A2548" s="1012">
        <v>42363</v>
      </c>
      <c r="B2548" s="1013">
        <v>2.2800270134853644</v>
      </c>
    </row>
    <row r="2549" spans="1:2" x14ac:dyDescent="0.35">
      <c r="A2549" s="1012">
        <v>42366</v>
      </c>
      <c r="B2549" s="1013">
        <v>2.2762852968441094</v>
      </c>
    </row>
    <row r="2550" spans="1:2" x14ac:dyDescent="0.35">
      <c r="A2550" s="1012">
        <v>42367</v>
      </c>
      <c r="B2550" s="1013">
        <v>2.2864134894011028</v>
      </c>
    </row>
    <row r="2551" spans="1:2" x14ac:dyDescent="0.35">
      <c r="A2551" s="1012">
        <v>42368</v>
      </c>
      <c r="B2551" s="1013">
        <v>2.2624167745072286</v>
      </c>
    </row>
    <row r="2552" spans="1:2" x14ac:dyDescent="0.35">
      <c r="A2552" s="1012">
        <v>42369</v>
      </c>
      <c r="B2552" s="1013">
        <v>2.2964302643974506</v>
      </c>
    </row>
    <row r="2553" spans="1:2" x14ac:dyDescent="0.35">
      <c r="A2553" s="1012">
        <v>42373</v>
      </c>
      <c r="B2553" s="1013">
        <v>2.1941586034460023</v>
      </c>
    </row>
    <row r="2554" spans="1:2" x14ac:dyDescent="0.35">
      <c r="A2554" s="1012">
        <v>42374</v>
      </c>
      <c r="B2554" s="1013">
        <v>2.1579757818251881</v>
      </c>
    </row>
    <row r="2555" spans="1:2" x14ac:dyDescent="0.35">
      <c r="A2555" s="1012">
        <v>42375</v>
      </c>
      <c r="B2555" s="1013">
        <v>2.0403857795040317</v>
      </c>
    </row>
    <row r="2556" spans="1:2" x14ac:dyDescent="0.35">
      <c r="A2556" s="1012">
        <v>42376</v>
      </c>
      <c r="B2556" s="1013">
        <v>1.9365973556477674</v>
      </c>
    </row>
    <row r="2557" spans="1:2" x14ac:dyDescent="0.35">
      <c r="A2557" s="1012">
        <v>42377</v>
      </c>
      <c r="B2557" s="1013">
        <v>2.0701903563588782</v>
      </c>
    </row>
    <row r="2558" spans="1:2" x14ac:dyDescent="0.35">
      <c r="A2558" s="1012">
        <v>42380</v>
      </c>
      <c r="B2558" s="1013">
        <v>1.9694173413888698</v>
      </c>
    </row>
    <row r="2559" spans="1:2" x14ac:dyDescent="0.35">
      <c r="A2559" s="1012">
        <v>42381</v>
      </c>
      <c r="B2559" s="1013">
        <v>2.0012044969741476</v>
      </c>
    </row>
    <row r="2560" spans="1:2" x14ac:dyDescent="0.35">
      <c r="A2560" s="1012">
        <v>42382</v>
      </c>
      <c r="B2560" s="1013">
        <v>2.0767560909222076</v>
      </c>
    </row>
    <row r="2561" spans="1:2" x14ac:dyDescent="0.35">
      <c r="A2561" s="1012">
        <v>42383</v>
      </c>
      <c r="B2561" s="1013">
        <v>2.0915334474159208</v>
      </c>
    </row>
    <row r="2562" spans="1:2" x14ac:dyDescent="0.35">
      <c r="A2562" s="1012">
        <v>42384</v>
      </c>
      <c r="B2562" s="1013">
        <v>2.0221648060724888</v>
      </c>
    </row>
    <row r="2563" spans="1:2" x14ac:dyDescent="0.35">
      <c r="A2563" s="1012">
        <v>42387</v>
      </c>
      <c r="B2563" s="1013">
        <v>2.0128085710002739</v>
      </c>
    </row>
    <row r="2564" spans="1:2" x14ac:dyDescent="0.35">
      <c r="A2564" s="1012">
        <v>42388</v>
      </c>
      <c r="B2564" s="1013">
        <v>2.0342788352702006</v>
      </c>
    </row>
    <row r="2565" spans="1:2" x14ac:dyDescent="0.35">
      <c r="A2565" s="1012">
        <v>42389</v>
      </c>
      <c r="B2565" s="1013">
        <v>1.931828611368464</v>
      </c>
    </row>
    <row r="2566" spans="1:2" x14ac:dyDescent="0.35">
      <c r="A2566" s="1012">
        <v>42390</v>
      </c>
      <c r="B2566" s="1013">
        <v>1.943302134198442</v>
      </c>
    </row>
    <row r="2567" spans="1:2" x14ac:dyDescent="0.35">
      <c r="A2567" s="1012">
        <v>42391</v>
      </c>
      <c r="B2567" s="1013">
        <v>2.0015334598592305</v>
      </c>
    </row>
    <row r="2568" spans="1:2" x14ac:dyDescent="0.35">
      <c r="A2568" s="1012">
        <v>42394</v>
      </c>
      <c r="B2568" s="1013">
        <v>2.0322816941106012</v>
      </c>
    </row>
    <row r="2569" spans="1:2" x14ac:dyDescent="0.35">
      <c r="A2569" s="1012">
        <v>42395</v>
      </c>
      <c r="B2569" s="1013">
        <v>1.963720169176149</v>
      </c>
    </row>
    <row r="2570" spans="1:2" x14ac:dyDescent="0.35">
      <c r="A2570" s="1012">
        <v>42396</v>
      </c>
      <c r="B2570" s="1013">
        <v>2.0050205976494677</v>
      </c>
    </row>
    <row r="2571" spans="1:2" x14ac:dyDescent="0.35">
      <c r="A2571" s="1012">
        <v>42397</v>
      </c>
      <c r="B2571" s="1013">
        <v>2.0395964732660028</v>
      </c>
    </row>
    <row r="2572" spans="1:2" x14ac:dyDescent="0.35">
      <c r="A2572" s="1012">
        <v>42398</v>
      </c>
      <c r="B2572" s="1013">
        <v>2.0608304039274219</v>
      </c>
    </row>
    <row r="2573" spans="1:2" x14ac:dyDescent="0.35">
      <c r="A2573" s="1012">
        <v>42401</v>
      </c>
      <c r="B2573" s="1013">
        <v>2.0581065020856926</v>
      </c>
    </row>
    <row r="2574" spans="1:2" x14ac:dyDescent="0.35">
      <c r="A2574" s="1012">
        <v>42402</v>
      </c>
      <c r="B2574" s="1013">
        <v>2.0561001994809134</v>
      </c>
    </row>
    <row r="2575" spans="1:2" x14ac:dyDescent="0.35">
      <c r="A2575" s="1012">
        <v>42403</v>
      </c>
      <c r="B2575" s="1013">
        <v>1.9847472357039664</v>
      </c>
    </row>
    <row r="2576" spans="1:2" x14ac:dyDescent="0.35">
      <c r="A2576" s="1012">
        <v>42404</v>
      </c>
      <c r="B2576" s="1013">
        <v>1.9861154057302632</v>
      </c>
    </row>
    <row r="2577" spans="1:2" x14ac:dyDescent="0.35">
      <c r="A2577" s="1012">
        <v>42405</v>
      </c>
      <c r="B2577" s="1013">
        <v>1.9841849278180215</v>
      </c>
    </row>
    <row r="2578" spans="1:2" x14ac:dyDescent="0.35">
      <c r="A2578" s="1012">
        <v>42415</v>
      </c>
      <c r="B2578" s="1013">
        <v>1.9487632653006142</v>
      </c>
    </row>
    <row r="2579" spans="1:2" x14ac:dyDescent="0.35">
      <c r="A2579" s="1012">
        <v>42416</v>
      </c>
      <c r="B2579" s="1013">
        <v>1.9664558560808951</v>
      </c>
    </row>
    <row r="2580" spans="1:2" x14ac:dyDescent="0.35">
      <c r="A2580" s="1012">
        <v>42417</v>
      </c>
      <c r="B2580" s="1013">
        <v>1.9547925610568835</v>
      </c>
    </row>
    <row r="2581" spans="1:2" x14ac:dyDescent="0.35">
      <c r="A2581" s="1012">
        <v>42418</v>
      </c>
      <c r="B2581" s="1013">
        <v>2.0017391433741532</v>
      </c>
    </row>
    <row r="2582" spans="1:2" x14ac:dyDescent="0.35">
      <c r="A2582" s="1012">
        <v>42419</v>
      </c>
      <c r="B2582" s="1013">
        <v>2.0225817744949355</v>
      </c>
    </row>
    <row r="2583" spans="1:2" x14ac:dyDescent="0.35">
      <c r="A2583" s="1012">
        <v>42422</v>
      </c>
      <c r="B2583" s="1013">
        <v>2.0200222869229481</v>
      </c>
    </row>
    <row r="2584" spans="1:2" x14ac:dyDescent="0.35">
      <c r="A2584" s="1012">
        <v>42423</v>
      </c>
      <c r="B2584" s="1013">
        <v>2.0051353571419628</v>
      </c>
    </row>
    <row r="2585" spans="1:2" x14ac:dyDescent="0.35">
      <c r="A2585" s="1012">
        <v>42424</v>
      </c>
      <c r="B2585" s="1013">
        <v>1.9870406198890669</v>
      </c>
    </row>
    <row r="2586" spans="1:2" x14ac:dyDescent="0.35">
      <c r="A2586" s="1012">
        <v>42425</v>
      </c>
      <c r="B2586" s="1013">
        <v>1.9689803875602627</v>
      </c>
    </row>
    <row r="2587" spans="1:2" x14ac:dyDescent="0.35">
      <c r="A2587" s="1012">
        <v>42426</v>
      </c>
      <c r="B2587" s="1013">
        <v>1.9671048476587774</v>
      </c>
    </row>
    <row r="2588" spans="1:2" x14ac:dyDescent="0.35">
      <c r="A2588" s="1012">
        <v>42429</v>
      </c>
      <c r="B2588" s="1013">
        <v>1.9228493667433713</v>
      </c>
    </row>
    <row r="2589" spans="1:2" x14ac:dyDescent="0.35">
      <c r="A2589" s="1012">
        <v>42430</v>
      </c>
      <c r="B2589" s="1013">
        <v>1.9017179397615411</v>
      </c>
    </row>
    <row r="2590" spans="1:2" x14ac:dyDescent="0.35">
      <c r="A2590" s="1012">
        <v>42431</v>
      </c>
      <c r="B2590" s="1013">
        <v>1.9352772660869415</v>
      </c>
    </row>
    <row r="2591" spans="1:2" x14ac:dyDescent="0.35">
      <c r="A2591" s="1012">
        <v>42432</v>
      </c>
      <c r="B2591" s="1013">
        <v>1.9334443057313799</v>
      </c>
    </row>
    <row r="2592" spans="1:2" x14ac:dyDescent="0.35">
      <c r="A2592" s="1012">
        <v>42433</v>
      </c>
      <c r="B2592" s="1013">
        <v>1.8931108644115058</v>
      </c>
    </row>
    <row r="2593" spans="1:2" x14ac:dyDescent="0.35">
      <c r="A2593" s="1012">
        <v>42436</v>
      </c>
      <c r="B2593" s="1013">
        <v>1.7853655420456311</v>
      </c>
    </row>
    <row r="2594" spans="1:2" x14ac:dyDescent="0.35">
      <c r="A2594" s="1012">
        <v>42437</v>
      </c>
      <c r="B2594" s="1013">
        <v>1.7804859741105676</v>
      </c>
    </row>
    <row r="2595" spans="1:2" x14ac:dyDescent="0.35">
      <c r="A2595" s="1012">
        <v>42438</v>
      </c>
      <c r="B2595" s="1013">
        <v>1.8267124488374782</v>
      </c>
    </row>
    <row r="2596" spans="1:2" x14ac:dyDescent="0.35">
      <c r="A2596" s="1012">
        <v>42439</v>
      </c>
      <c r="B2596" s="1013">
        <v>1.8345653539698155</v>
      </c>
    </row>
    <row r="2597" spans="1:2" x14ac:dyDescent="0.35">
      <c r="A2597" s="1012">
        <v>42440</v>
      </c>
      <c r="B2597" s="1013">
        <v>1.8392159462125359</v>
      </c>
    </row>
    <row r="2598" spans="1:2" x14ac:dyDescent="0.35">
      <c r="A2598" s="1012">
        <v>42443</v>
      </c>
      <c r="B2598" s="1013">
        <v>1.8435796544926333</v>
      </c>
    </row>
    <row r="2599" spans="1:2" x14ac:dyDescent="0.35">
      <c r="A2599" s="1012">
        <v>42444</v>
      </c>
      <c r="B2599" s="1013">
        <v>1.7910434237532118</v>
      </c>
    </row>
    <row r="2600" spans="1:2" x14ac:dyDescent="0.35">
      <c r="A2600" s="1012">
        <v>42445</v>
      </c>
      <c r="B2600" s="1013">
        <v>1.7576413265774884</v>
      </c>
    </row>
    <row r="2601" spans="1:2" x14ac:dyDescent="0.35">
      <c r="A2601" s="1012">
        <v>42446</v>
      </c>
      <c r="B2601" s="1013">
        <v>1.7655074122249468</v>
      </c>
    </row>
    <row r="2602" spans="1:2" x14ac:dyDescent="0.35">
      <c r="A2602" s="1012">
        <v>42447</v>
      </c>
      <c r="B2602" s="1013">
        <v>1.7765255183294864</v>
      </c>
    </row>
    <row r="2603" spans="1:2" x14ac:dyDescent="0.35">
      <c r="A2603" s="1012">
        <v>42450</v>
      </c>
      <c r="B2603" s="1013">
        <v>1.7810359227416876</v>
      </c>
    </row>
    <row r="2604" spans="1:2" x14ac:dyDescent="0.35">
      <c r="A2604" s="1012">
        <v>42451</v>
      </c>
      <c r="B2604" s="1013">
        <v>1.7604493061416164</v>
      </c>
    </row>
    <row r="2605" spans="1:2" x14ac:dyDescent="0.35">
      <c r="A2605" s="1012">
        <v>42452</v>
      </c>
      <c r="B2605" s="1013">
        <v>1.7430529555043994</v>
      </c>
    </row>
    <row r="2606" spans="1:2" x14ac:dyDescent="0.35">
      <c r="A2606" s="1012">
        <v>42453</v>
      </c>
      <c r="B2606" s="1013">
        <v>1.7823721280019855</v>
      </c>
    </row>
    <row r="2607" spans="1:2" x14ac:dyDescent="0.35">
      <c r="A2607" s="1012">
        <v>42454</v>
      </c>
      <c r="B2607" s="1013">
        <v>1.7807184463403534</v>
      </c>
    </row>
    <row r="2608" spans="1:2" x14ac:dyDescent="0.35">
      <c r="A2608" s="1012">
        <v>42457</v>
      </c>
      <c r="B2608" s="1013">
        <v>1.775775761646057</v>
      </c>
    </row>
    <row r="2609" spans="1:2" x14ac:dyDescent="0.35">
      <c r="A2609" s="1012">
        <v>42458</v>
      </c>
      <c r="B2609" s="1013">
        <v>1.75532721459285</v>
      </c>
    </row>
    <row r="2610" spans="1:2" x14ac:dyDescent="0.35">
      <c r="A2610" s="1012">
        <v>42459</v>
      </c>
      <c r="B2610" s="1013">
        <v>1.7568377633959127</v>
      </c>
    </row>
    <row r="2611" spans="1:2" x14ac:dyDescent="0.35">
      <c r="A2611" s="1012">
        <v>42460</v>
      </c>
      <c r="B2611" s="1013">
        <v>1.8084051838147297</v>
      </c>
    </row>
    <row r="2612" spans="1:2" x14ac:dyDescent="0.35">
      <c r="A2612" s="1012">
        <v>42461</v>
      </c>
      <c r="B2612" s="1013">
        <v>1.8161157090450737</v>
      </c>
    </row>
    <row r="2613" spans="1:2" x14ac:dyDescent="0.35">
      <c r="A2613" s="1012">
        <v>42465</v>
      </c>
      <c r="B2613" s="1013">
        <v>1.8063294838616826</v>
      </c>
    </row>
    <row r="2614" spans="1:2" x14ac:dyDescent="0.35">
      <c r="A2614" s="1012">
        <v>42466</v>
      </c>
      <c r="B2614" s="1013">
        <v>1.7797800000501809</v>
      </c>
    </row>
    <row r="2615" spans="1:2" x14ac:dyDescent="0.35">
      <c r="A2615" s="1012">
        <v>42467</v>
      </c>
      <c r="B2615" s="1013">
        <v>1.8092349132069787</v>
      </c>
    </row>
    <row r="2616" spans="1:2" x14ac:dyDescent="0.35">
      <c r="A2616" s="1012">
        <v>42468</v>
      </c>
      <c r="B2616" s="1013">
        <v>1.7982604209063624</v>
      </c>
    </row>
    <row r="2617" spans="1:2" x14ac:dyDescent="0.35">
      <c r="A2617" s="1012">
        <v>42471</v>
      </c>
      <c r="B2617" s="1013">
        <v>1.7933328726301443</v>
      </c>
    </row>
    <row r="2618" spans="1:2" x14ac:dyDescent="0.35">
      <c r="A2618" s="1012">
        <v>42472</v>
      </c>
      <c r="B2618" s="1013">
        <v>1.7793184843863779</v>
      </c>
    </row>
    <row r="2619" spans="1:2" x14ac:dyDescent="0.35">
      <c r="A2619" s="1012">
        <v>42473</v>
      </c>
      <c r="B2619" s="1013">
        <v>1.8086126894324241</v>
      </c>
    </row>
    <row r="2620" spans="1:2" x14ac:dyDescent="0.35">
      <c r="A2620" s="1012">
        <v>42474</v>
      </c>
      <c r="B2620" s="1013">
        <v>1.8409423560064828</v>
      </c>
    </row>
    <row r="2621" spans="1:2" x14ac:dyDescent="0.35">
      <c r="A2621" s="1012">
        <v>42475</v>
      </c>
      <c r="B2621" s="1013">
        <v>1.8762991966913465</v>
      </c>
    </row>
    <row r="2622" spans="1:2" x14ac:dyDescent="0.35">
      <c r="A2622" s="1012">
        <v>42478</v>
      </c>
      <c r="B2622" s="1013">
        <v>1.8373366973815783</v>
      </c>
    </row>
    <row r="2623" spans="1:2" x14ac:dyDescent="0.35">
      <c r="A2623" s="1012">
        <v>42479</v>
      </c>
      <c r="B2623" s="1013">
        <v>1.9033168183730658</v>
      </c>
    </row>
    <row r="2624" spans="1:2" x14ac:dyDescent="0.35">
      <c r="A2624" s="1012">
        <v>42480</v>
      </c>
      <c r="B2624" s="1013">
        <v>1.8647280439528144</v>
      </c>
    </row>
    <row r="2625" spans="1:2" x14ac:dyDescent="0.35">
      <c r="A2625" s="1012">
        <v>42481</v>
      </c>
      <c r="B2625" s="1013">
        <v>1.8845250464432348</v>
      </c>
    </row>
    <row r="2626" spans="1:2" x14ac:dyDescent="0.35">
      <c r="A2626" s="1012">
        <v>42482</v>
      </c>
      <c r="B2626" s="1013">
        <v>1.8460230576394645</v>
      </c>
    </row>
    <row r="2627" spans="1:2" x14ac:dyDescent="0.35">
      <c r="A2627" s="1012">
        <v>42485</v>
      </c>
      <c r="B2627" s="1013">
        <v>1.8349121254608713</v>
      </c>
    </row>
    <row r="2628" spans="1:2" x14ac:dyDescent="0.35">
      <c r="A2628" s="1012">
        <v>42486</v>
      </c>
      <c r="B2628" s="1013">
        <v>1.8485359407640221</v>
      </c>
    </row>
    <row r="2629" spans="1:2" x14ac:dyDescent="0.35">
      <c r="A2629" s="1012">
        <v>42487</v>
      </c>
      <c r="B2629" s="1013">
        <v>1.8590825460861156</v>
      </c>
    </row>
    <row r="2630" spans="1:2" x14ac:dyDescent="0.35">
      <c r="A2630" s="1012">
        <v>42488</v>
      </c>
      <c r="B2630" s="1013">
        <v>1.8635103095521621</v>
      </c>
    </row>
    <row r="2631" spans="1:2" x14ac:dyDescent="0.35">
      <c r="A2631" s="1012">
        <v>42489</v>
      </c>
      <c r="B2631" s="1013">
        <v>1.8465997550799207</v>
      </c>
    </row>
    <row r="2632" spans="1:2" x14ac:dyDescent="0.35">
      <c r="A2632" s="1012">
        <v>42493</v>
      </c>
      <c r="B2632" s="1013">
        <v>1.7853329320462965</v>
      </c>
    </row>
    <row r="2633" spans="1:2" x14ac:dyDescent="0.35">
      <c r="A2633" s="1012">
        <v>42494</v>
      </c>
      <c r="B2633" s="1013">
        <v>1.7534001344007604</v>
      </c>
    </row>
    <row r="2634" spans="1:2" x14ac:dyDescent="0.35">
      <c r="A2634" s="1012">
        <v>42495</v>
      </c>
      <c r="B2634" s="1013">
        <v>1.7639563596422378</v>
      </c>
    </row>
    <row r="2635" spans="1:2" x14ac:dyDescent="0.35">
      <c r="A2635" s="1012">
        <v>42496</v>
      </c>
      <c r="B2635" s="1013">
        <v>1.7109026591733902</v>
      </c>
    </row>
    <row r="2636" spans="1:2" x14ac:dyDescent="0.35">
      <c r="A2636" s="1012">
        <v>42499</v>
      </c>
      <c r="B2636" s="1013">
        <v>1.6821709517982195</v>
      </c>
    </row>
    <row r="2637" spans="1:2" x14ac:dyDescent="0.35">
      <c r="A2637" s="1012">
        <v>42500</v>
      </c>
      <c r="B2637" s="1013">
        <v>1.6655872782030703</v>
      </c>
    </row>
    <row r="2638" spans="1:2" x14ac:dyDescent="0.35">
      <c r="A2638" s="1012">
        <v>42501</v>
      </c>
      <c r="B2638" s="1013">
        <v>1.7153561773398323</v>
      </c>
    </row>
    <row r="2639" spans="1:2" x14ac:dyDescent="0.35">
      <c r="A2639" s="1012">
        <v>42502</v>
      </c>
      <c r="B2639" s="1013">
        <v>1.5572081138756981</v>
      </c>
    </row>
    <row r="2640" spans="1:2" x14ac:dyDescent="0.35">
      <c r="A2640" s="1012">
        <v>42503</v>
      </c>
      <c r="B2640" s="1013">
        <v>1.4986488013760983</v>
      </c>
    </row>
    <row r="2641" spans="1:2" x14ac:dyDescent="0.35">
      <c r="A2641" s="1012">
        <v>42506</v>
      </c>
      <c r="B2641" s="1013">
        <v>1.5546963416887671</v>
      </c>
    </row>
    <row r="2642" spans="1:2" x14ac:dyDescent="0.35">
      <c r="A2642" s="1012">
        <v>42507</v>
      </c>
      <c r="B2642" s="1013">
        <v>1.5803097140300506</v>
      </c>
    </row>
    <row r="2643" spans="1:2" x14ac:dyDescent="0.35">
      <c r="A2643" s="1012">
        <v>42508</v>
      </c>
      <c r="B2643" s="1013">
        <v>1.5519490929306328</v>
      </c>
    </row>
    <row r="2644" spans="1:2" x14ac:dyDescent="0.35">
      <c r="A2644" s="1012">
        <v>42509</v>
      </c>
      <c r="B2644" s="1013">
        <v>1.5326187305136976</v>
      </c>
    </row>
    <row r="2645" spans="1:2" x14ac:dyDescent="0.35">
      <c r="A2645" s="1012">
        <v>42510</v>
      </c>
      <c r="B2645" s="1013">
        <v>1.4908917968814965</v>
      </c>
    </row>
    <row r="2646" spans="1:2" x14ac:dyDescent="0.35">
      <c r="A2646" s="1012">
        <v>42513</v>
      </c>
      <c r="B2646" s="1013">
        <v>1.4869574245904278</v>
      </c>
    </row>
    <row r="2647" spans="1:2" x14ac:dyDescent="0.35">
      <c r="A2647" s="1012">
        <v>42514</v>
      </c>
      <c r="B2647" s="1013">
        <v>1.481180214757958</v>
      </c>
    </row>
    <row r="2648" spans="1:2" x14ac:dyDescent="0.35">
      <c r="A2648" s="1012">
        <v>42515</v>
      </c>
      <c r="B2648" s="1013">
        <v>1.4605250262476672</v>
      </c>
    </row>
    <row r="2649" spans="1:2" x14ac:dyDescent="0.35">
      <c r="A2649" s="1012">
        <v>42516</v>
      </c>
      <c r="B2649" s="1013">
        <v>1.4562686497122048</v>
      </c>
    </row>
    <row r="2650" spans="1:2" x14ac:dyDescent="0.35">
      <c r="A2650" s="1012">
        <v>42517</v>
      </c>
      <c r="B2650" s="1013">
        <v>1.5070092235667227</v>
      </c>
    </row>
    <row r="2651" spans="1:2" x14ac:dyDescent="0.35">
      <c r="A2651" s="1012">
        <v>42520</v>
      </c>
      <c r="B2651" s="1013">
        <v>1.488233612450597</v>
      </c>
    </row>
    <row r="2652" spans="1:2" x14ac:dyDescent="0.35">
      <c r="A2652" s="1012">
        <v>42521</v>
      </c>
      <c r="B2652" s="1013">
        <v>1.4736045549730503</v>
      </c>
    </row>
    <row r="2653" spans="1:2" x14ac:dyDescent="0.35">
      <c r="A2653" s="1012">
        <v>42522</v>
      </c>
      <c r="B2653" s="1013">
        <v>1.4516024467789219</v>
      </c>
    </row>
    <row r="2654" spans="1:2" x14ac:dyDescent="0.35">
      <c r="A2654" s="1012">
        <v>42523</v>
      </c>
      <c r="B2654" s="1013">
        <v>1.4518151111053239</v>
      </c>
    </row>
    <row r="2655" spans="1:2" x14ac:dyDescent="0.35">
      <c r="A2655" s="1012">
        <v>42524</v>
      </c>
      <c r="B2655" s="1013">
        <v>1.4638445149893833</v>
      </c>
    </row>
    <row r="2656" spans="1:2" x14ac:dyDescent="0.35">
      <c r="A2656" s="1012">
        <v>42527</v>
      </c>
      <c r="B2656" s="1013">
        <v>1.5145401729910306</v>
      </c>
    </row>
    <row r="2657" spans="1:2" x14ac:dyDescent="0.35">
      <c r="A2657" s="1012">
        <v>42528</v>
      </c>
      <c r="B2657" s="1013">
        <v>1.5911338906146506</v>
      </c>
    </row>
    <row r="2658" spans="1:2" x14ac:dyDescent="0.35">
      <c r="A2658" s="1012">
        <v>42529</v>
      </c>
      <c r="B2658" s="1013">
        <v>1.544845385059856</v>
      </c>
    </row>
    <row r="2659" spans="1:2" x14ac:dyDescent="0.35">
      <c r="A2659" s="1012">
        <v>42534</v>
      </c>
      <c r="B2659" s="1013">
        <v>1.5024025453682781</v>
      </c>
    </row>
    <row r="2660" spans="1:2" x14ac:dyDescent="0.35">
      <c r="A2660" s="1012">
        <v>42535</v>
      </c>
      <c r="B2660" s="1013">
        <v>1.5159979776871675</v>
      </c>
    </row>
    <row r="2661" spans="1:2" x14ac:dyDescent="0.35">
      <c r="A2661" s="1012">
        <v>42536</v>
      </c>
      <c r="B2661" s="1013">
        <v>1.5087392465983249</v>
      </c>
    </row>
    <row r="2662" spans="1:2" x14ac:dyDescent="0.35">
      <c r="A2662" s="1012">
        <v>42537</v>
      </c>
      <c r="B2662" s="1013">
        <v>1.5133860357496296</v>
      </c>
    </row>
    <row r="2663" spans="1:2" x14ac:dyDescent="0.35">
      <c r="A2663" s="1012">
        <v>42538</v>
      </c>
      <c r="B2663" s="1013">
        <v>1.5150541313746495</v>
      </c>
    </row>
    <row r="2664" spans="1:2" x14ac:dyDescent="0.35">
      <c r="A2664" s="1012">
        <v>42541</v>
      </c>
      <c r="B2664" s="1013">
        <v>1.4711510183896106</v>
      </c>
    </row>
    <row r="2665" spans="1:2" x14ac:dyDescent="0.35">
      <c r="A2665" s="1012">
        <v>42542</v>
      </c>
      <c r="B2665" s="1013">
        <v>1.5098558902143557</v>
      </c>
    </row>
    <row r="2666" spans="1:2" x14ac:dyDescent="0.35">
      <c r="A2666" s="1012">
        <v>42543</v>
      </c>
      <c r="B2666" s="1013">
        <v>1.517435792255676</v>
      </c>
    </row>
    <row r="2667" spans="1:2" x14ac:dyDescent="0.35">
      <c r="A2667" s="1012">
        <v>42544</v>
      </c>
      <c r="B2667" s="1013">
        <v>1.5131809865610788</v>
      </c>
    </row>
    <row r="2668" spans="1:2" x14ac:dyDescent="0.35">
      <c r="A2668" s="1012">
        <v>42545</v>
      </c>
      <c r="B2668" s="1013">
        <v>1.4528283033225957</v>
      </c>
    </row>
    <row r="2669" spans="1:2" x14ac:dyDescent="0.35">
      <c r="A2669" s="1012">
        <v>42548</v>
      </c>
      <c r="B2669" s="1013">
        <v>1.4343821737798763</v>
      </c>
    </row>
    <row r="2670" spans="1:2" x14ac:dyDescent="0.35">
      <c r="A2670" s="1012">
        <v>42549</v>
      </c>
      <c r="B2670" s="1013">
        <v>1.3904880913846542</v>
      </c>
    </row>
    <row r="2671" spans="1:2" x14ac:dyDescent="0.35">
      <c r="A2671" s="1012">
        <v>42550</v>
      </c>
      <c r="B2671" s="1013">
        <v>1.4392890312725777</v>
      </c>
    </row>
    <row r="2672" spans="1:2" x14ac:dyDescent="0.35">
      <c r="A2672" s="1012">
        <v>42551</v>
      </c>
      <c r="B2672" s="1013">
        <v>1.5012270924896922</v>
      </c>
    </row>
    <row r="2673" spans="1:2" x14ac:dyDescent="0.35">
      <c r="A2673" s="1012">
        <v>42552</v>
      </c>
      <c r="B2673" s="1013">
        <v>1.4999503440488393</v>
      </c>
    </row>
    <row r="2674" spans="1:2" x14ac:dyDescent="0.35">
      <c r="A2674" s="1012">
        <v>42555</v>
      </c>
      <c r="B2674" s="1013">
        <v>1.4990609490152575</v>
      </c>
    </row>
    <row r="2675" spans="1:2" x14ac:dyDescent="0.35">
      <c r="A2675" s="1012">
        <v>42556</v>
      </c>
      <c r="B2675" s="1013">
        <v>1.4714620189243042</v>
      </c>
    </row>
    <row r="2676" spans="1:2" x14ac:dyDescent="0.35">
      <c r="A2676" s="1012">
        <v>42557</v>
      </c>
      <c r="B2676" s="1013">
        <v>1.4672929893832225</v>
      </c>
    </row>
    <row r="2677" spans="1:2" x14ac:dyDescent="0.35">
      <c r="A2677" s="1012">
        <v>42558</v>
      </c>
      <c r="B2677" s="1013">
        <v>1.4543697515450609</v>
      </c>
    </row>
    <row r="2678" spans="1:2" x14ac:dyDescent="0.35">
      <c r="A2678" s="1012">
        <v>42559</v>
      </c>
      <c r="B2678" s="1013">
        <v>1.4487632456586039</v>
      </c>
    </row>
    <row r="2679" spans="1:2" x14ac:dyDescent="0.35">
      <c r="A2679" s="1012">
        <v>42562</v>
      </c>
      <c r="B2679" s="1013">
        <v>1.5193175648847927</v>
      </c>
    </row>
    <row r="2680" spans="1:2" x14ac:dyDescent="0.35">
      <c r="A2680" s="1012">
        <v>42563</v>
      </c>
      <c r="B2680" s="1013">
        <v>1.5267617600482708</v>
      </c>
    </row>
    <row r="2681" spans="1:2" x14ac:dyDescent="0.35">
      <c r="A2681" s="1012">
        <v>42564</v>
      </c>
      <c r="B2681" s="1013">
        <v>1.5370990903616193</v>
      </c>
    </row>
    <row r="2682" spans="1:2" x14ac:dyDescent="0.35">
      <c r="A2682" s="1012">
        <v>42565</v>
      </c>
      <c r="B2682" s="1013">
        <v>1.5474190297742962</v>
      </c>
    </row>
    <row r="2683" spans="1:2" x14ac:dyDescent="0.35">
      <c r="A2683" s="1012">
        <v>42566</v>
      </c>
      <c r="B2683" s="1013">
        <v>1.572225547853727</v>
      </c>
    </row>
    <row r="2684" spans="1:2" x14ac:dyDescent="0.35">
      <c r="A2684" s="1012">
        <v>42569</v>
      </c>
      <c r="B2684" s="1013">
        <v>1.5509103892779359</v>
      </c>
    </row>
    <row r="2685" spans="1:2" x14ac:dyDescent="0.35">
      <c r="A2685" s="1012">
        <v>42570</v>
      </c>
      <c r="B2685" s="1013">
        <v>1.5611755373785303</v>
      </c>
    </row>
    <row r="2686" spans="1:2" x14ac:dyDescent="0.35">
      <c r="A2686" s="1012">
        <v>42571</v>
      </c>
      <c r="B2686" s="1013">
        <v>1.568534856590353</v>
      </c>
    </row>
    <row r="2687" spans="1:2" x14ac:dyDescent="0.35">
      <c r="A2687" s="1012">
        <v>42572</v>
      </c>
      <c r="B2687" s="1013">
        <v>1.5758818674018464</v>
      </c>
    </row>
    <row r="2688" spans="1:2" x14ac:dyDescent="0.35">
      <c r="A2688" s="1012">
        <v>42573</v>
      </c>
      <c r="B2688" s="1013">
        <v>1.5861004196105017</v>
      </c>
    </row>
    <row r="2689" spans="1:2" x14ac:dyDescent="0.35">
      <c r="A2689" s="1012">
        <v>42576</v>
      </c>
      <c r="B2689" s="1013">
        <v>1.5504918840903033</v>
      </c>
    </row>
    <row r="2690" spans="1:2" x14ac:dyDescent="0.35">
      <c r="A2690" s="1012">
        <v>42577</v>
      </c>
      <c r="B2690" s="1013">
        <v>1.5089617114871738</v>
      </c>
    </row>
    <row r="2691" spans="1:2" x14ac:dyDescent="0.35">
      <c r="A2691" s="1012">
        <v>42578</v>
      </c>
      <c r="B2691" s="1013">
        <v>1.5048343270374016</v>
      </c>
    </row>
    <row r="2692" spans="1:2" x14ac:dyDescent="0.35">
      <c r="A2692" s="1012">
        <v>42579</v>
      </c>
      <c r="B2692" s="1013">
        <v>1.509322106417887</v>
      </c>
    </row>
    <row r="2693" spans="1:2" x14ac:dyDescent="0.35">
      <c r="A2693" s="1012">
        <v>42580</v>
      </c>
      <c r="B2693" s="1013">
        <v>1.4879989793945407</v>
      </c>
    </row>
    <row r="2694" spans="1:2" x14ac:dyDescent="0.35">
      <c r="A2694" s="1012">
        <v>42583</v>
      </c>
      <c r="B2694" s="1013">
        <v>1.5014595438762739</v>
      </c>
    </row>
    <row r="2695" spans="1:2" x14ac:dyDescent="0.35">
      <c r="A2695" s="1012">
        <v>42584</v>
      </c>
      <c r="B2695" s="1013">
        <v>1.5002164291550202</v>
      </c>
    </row>
    <row r="2696" spans="1:2" x14ac:dyDescent="0.35">
      <c r="A2696" s="1012">
        <v>42585</v>
      </c>
      <c r="B2696" s="1013">
        <v>1.4704234593417251</v>
      </c>
    </row>
    <row r="2697" spans="1:2" x14ac:dyDescent="0.35">
      <c r="A2697" s="1012">
        <v>42586</v>
      </c>
      <c r="B2697" s="1013">
        <v>1.4948835336608028</v>
      </c>
    </row>
    <row r="2698" spans="1:2" x14ac:dyDescent="0.35">
      <c r="A2698" s="1012">
        <v>42587</v>
      </c>
      <c r="B2698" s="1013">
        <v>1.5136022553900725</v>
      </c>
    </row>
    <row r="2699" spans="1:2" x14ac:dyDescent="0.35">
      <c r="A2699" s="1012">
        <v>42590</v>
      </c>
      <c r="B2699" s="1013">
        <v>1.5468259246094014</v>
      </c>
    </row>
    <row r="2700" spans="1:2" x14ac:dyDescent="0.35">
      <c r="A2700" s="1012">
        <v>42591</v>
      </c>
      <c r="B2700" s="1013">
        <v>1.5569169863890269</v>
      </c>
    </row>
    <row r="2701" spans="1:2" x14ac:dyDescent="0.35">
      <c r="A2701" s="1012">
        <v>42592</v>
      </c>
      <c r="B2701" s="1013">
        <v>1.569830201202548</v>
      </c>
    </row>
    <row r="2702" spans="1:2" x14ac:dyDescent="0.35">
      <c r="A2702" s="1012">
        <v>42593</v>
      </c>
      <c r="B2702" s="1013">
        <v>1.6451234248552042</v>
      </c>
    </row>
    <row r="2703" spans="1:2" x14ac:dyDescent="0.35">
      <c r="A2703" s="1012">
        <v>42594</v>
      </c>
      <c r="B2703" s="1013">
        <v>1.5984271001652348</v>
      </c>
    </row>
    <row r="2704" spans="1:2" x14ac:dyDescent="0.35">
      <c r="A2704" s="1012">
        <v>42597</v>
      </c>
      <c r="B2704" s="1013">
        <v>1.4163902322983739</v>
      </c>
    </row>
    <row r="2705" spans="1:2" x14ac:dyDescent="0.35">
      <c r="A2705" s="1012">
        <v>42598</v>
      </c>
      <c r="B2705" s="1013">
        <v>1.3502603025996429</v>
      </c>
    </row>
    <row r="2706" spans="1:2" x14ac:dyDescent="0.35">
      <c r="A2706" s="1012">
        <v>42599</v>
      </c>
      <c r="B2706" s="1013">
        <v>1.3350435734104973</v>
      </c>
    </row>
    <row r="2707" spans="1:2" x14ac:dyDescent="0.35">
      <c r="A2707" s="1012">
        <v>42600</v>
      </c>
      <c r="B2707" s="1013">
        <v>1.3367728875954927</v>
      </c>
    </row>
    <row r="2708" spans="1:2" x14ac:dyDescent="0.35">
      <c r="A2708" s="1012">
        <v>42601</v>
      </c>
      <c r="B2708" s="1013">
        <v>1.3159562305779109</v>
      </c>
    </row>
    <row r="2709" spans="1:2" x14ac:dyDescent="0.35">
      <c r="A2709" s="1012">
        <v>42604</v>
      </c>
      <c r="B2709" s="1013">
        <v>1.2818197925211492</v>
      </c>
    </row>
    <row r="2710" spans="1:2" x14ac:dyDescent="0.35">
      <c r="A2710" s="1012">
        <v>42605</v>
      </c>
      <c r="B2710" s="1013">
        <v>1.3060551491314814</v>
      </c>
    </row>
    <row r="2711" spans="1:2" x14ac:dyDescent="0.35">
      <c r="A2711" s="1012">
        <v>42606</v>
      </c>
      <c r="B2711" s="1013">
        <v>1.3232350006465767</v>
      </c>
    </row>
    <row r="2712" spans="1:2" x14ac:dyDescent="0.35">
      <c r="A2712" s="1012">
        <v>42607</v>
      </c>
      <c r="B2712" s="1013">
        <v>1.3067370548274664</v>
      </c>
    </row>
    <row r="2713" spans="1:2" x14ac:dyDescent="0.35">
      <c r="A2713" s="1012">
        <v>42608</v>
      </c>
      <c r="B2713" s="1013">
        <v>1.31548281832386</v>
      </c>
    </row>
    <row r="2714" spans="1:2" x14ac:dyDescent="0.35">
      <c r="A2714" s="1012">
        <v>42611</v>
      </c>
      <c r="B2714" s="1013">
        <v>1.3122868491942064</v>
      </c>
    </row>
    <row r="2715" spans="1:2" x14ac:dyDescent="0.35">
      <c r="A2715" s="1012">
        <v>42612</v>
      </c>
      <c r="B2715" s="1013">
        <v>1.3209998143629123</v>
      </c>
    </row>
    <row r="2716" spans="1:2" x14ac:dyDescent="0.35">
      <c r="A2716" s="1012">
        <v>42613</v>
      </c>
      <c r="B2716" s="1013">
        <v>1.2920262194741534</v>
      </c>
    </row>
    <row r="2717" spans="1:2" x14ac:dyDescent="0.35">
      <c r="A2717" s="1012">
        <v>42614</v>
      </c>
      <c r="B2717" s="1013">
        <v>1.317471268602793</v>
      </c>
    </row>
    <row r="2718" spans="1:2" x14ac:dyDescent="0.35">
      <c r="A2718" s="1012">
        <v>42615</v>
      </c>
      <c r="B2718" s="1013">
        <v>1.3275519730902414</v>
      </c>
    </row>
    <row r="2719" spans="1:2" x14ac:dyDescent="0.35">
      <c r="A2719" s="1012">
        <v>42618</v>
      </c>
      <c r="B2719" s="1013">
        <v>1.3465794037501984</v>
      </c>
    </row>
    <row r="2720" spans="1:2" x14ac:dyDescent="0.35">
      <c r="A2720" s="1012">
        <v>42619</v>
      </c>
      <c r="B2720" s="1013">
        <v>1.3566042426089282</v>
      </c>
    </row>
    <row r="2721" spans="1:2" x14ac:dyDescent="0.35">
      <c r="A2721" s="1012">
        <v>42620</v>
      </c>
      <c r="B2721" s="1013">
        <v>1.3680003863654504</v>
      </c>
    </row>
    <row r="2722" spans="1:2" x14ac:dyDescent="0.35">
      <c r="A2722" s="1012">
        <v>42621</v>
      </c>
      <c r="B2722" s="1013">
        <v>1.3835371497328921</v>
      </c>
    </row>
    <row r="2723" spans="1:2" x14ac:dyDescent="0.35">
      <c r="A2723" s="1012">
        <v>42622</v>
      </c>
      <c r="B2723" s="1013">
        <v>1.3644190458618752</v>
      </c>
    </row>
    <row r="2724" spans="1:2" x14ac:dyDescent="0.35">
      <c r="A2724" s="1012">
        <v>42625</v>
      </c>
      <c r="B2724" s="1013">
        <v>1.3404133067006783</v>
      </c>
    </row>
    <row r="2725" spans="1:2" x14ac:dyDescent="0.35">
      <c r="A2725" s="1012">
        <v>42626</v>
      </c>
      <c r="B2725" s="1013">
        <v>1.3545292231908745</v>
      </c>
    </row>
    <row r="2726" spans="1:2" x14ac:dyDescent="0.35">
      <c r="A2726" s="1012">
        <v>42627</v>
      </c>
      <c r="B2726" s="1013">
        <v>1.3382700523796001</v>
      </c>
    </row>
    <row r="2727" spans="1:2" x14ac:dyDescent="0.35">
      <c r="A2727" s="1012">
        <v>42632</v>
      </c>
      <c r="B2727" s="1013">
        <v>1.3831441021294386</v>
      </c>
    </row>
    <row r="2728" spans="1:2" x14ac:dyDescent="0.35">
      <c r="A2728" s="1012">
        <v>42633</v>
      </c>
      <c r="B2728" s="1013">
        <v>1.4001733260445863</v>
      </c>
    </row>
    <row r="2729" spans="1:2" x14ac:dyDescent="0.35">
      <c r="A2729" s="1012">
        <v>42634</v>
      </c>
      <c r="B2729" s="1013">
        <v>1.5272608829700032</v>
      </c>
    </row>
    <row r="2730" spans="1:2" x14ac:dyDescent="0.35">
      <c r="A2730" s="1012">
        <v>42635</v>
      </c>
      <c r="B2730" s="1013">
        <v>1.4926305339935884</v>
      </c>
    </row>
    <row r="2731" spans="1:2" x14ac:dyDescent="0.35">
      <c r="A2731" s="1012">
        <v>42636</v>
      </c>
      <c r="B2731" s="1013">
        <v>1.4608377096719851</v>
      </c>
    </row>
    <row r="2732" spans="1:2" x14ac:dyDescent="0.35">
      <c r="A2732" s="1012">
        <v>42639</v>
      </c>
      <c r="B2732" s="1013">
        <v>1.4240560409493273</v>
      </c>
    </row>
    <row r="2733" spans="1:2" x14ac:dyDescent="0.35">
      <c r="A2733" s="1012">
        <v>42640</v>
      </c>
      <c r="B2733" s="1013">
        <v>1.4506666667580661</v>
      </c>
    </row>
    <row r="2734" spans="1:2" x14ac:dyDescent="0.35">
      <c r="A2734" s="1012">
        <v>42641</v>
      </c>
      <c r="B2734" s="1013">
        <v>1.4439766355257859</v>
      </c>
    </row>
    <row r="2735" spans="1:2" x14ac:dyDescent="0.35">
      <c r="A2735" s="1012">
        <v>42642</v>
      </c>
      <c r="B2735" s="1013">
        <v>1.4511439681504847</v>
      </c>
    </row>
    <row r="2736" spans="1:2" x14ac:dyDescent="0.35">
      <c r="A2736" s="1012">
        <v>42643</v>
      </c>
      <c r="B2736" s="1013">
        <v>1.4112580502991743</v>
      </c>
    </row>
    <row r="2737" spans="1:2" x14ac:dyDescent="0.35">
      <c r="A2737" s="1012">
        <v>42653</v>
      </c>
      <c r="B2737" s="1013">
        <v>1.4276601450114434</v>
      </c>
    </row>
    <row r="2738" spans="1:2" x14ac:dyDescent="0.35">
      <c r="A2738" s="1012">
        <v>42654</v>
      </c>
      <c r="B2738" s="1013">
        <v>1.4320295865899464</v>
      </c>
    </row>
    <row r="2739" spans="1:2" x14ac:dyDescent="0.35">
      <c r="A2739" s="1012">
        <v>42655</v>
      </c>
      <c r="B2739" s="1013">
        <v>1.4500982270108091</v>
      </c>
    </row>
    <row r="2740" spans="1:2" x14ac:dyDescent="0.35">
      <c r="A2740" s="1012">
        <v>42656</v>
      </c>
      <c r="B2740" s="1013">
        <v>1.4160964036237702</v>
      </c>
    </row>
    <row r="2741" spans="1:2" x14ac:dyDescent="0.35">
      <c r="A2741" s="1012">
        <v>42657</v>
      </c>
      <c r="B2741" s="1013">
        <v>1.4040430827462815</v>
      </c>
    </row>
    <row r="2742" spans="1:2" x14ac:dyDescent="0.35">
      <c r="A2742" s="1012">
        <v>42660</v>
      </c>
      <c r="B2742" s="1013">
        <v>1.4116842718182299</v>
      </c>
    </row>
    <row r="2743" spans="1:2" x14ac:dyDescent="0.35">
      <c r="A2743" s="1012">
        <v>42661</v>
      </c>
      <c r="B2743" s="1013">
        <v>1.4815240687868509</v>
      </c>
    </row>
    <row r="2744" spans="1:2" x14ac:dyDescent="0.35">
      <c r="A2744" s="1012">
        <v>42662</v>
      </c>
      <c r="B2744" s="1013">
        <v>1.491277001007981</v>
      </c>
    </row>
    <row r="2745" spans="1:2" x14ac:dyDescent="0.35">
      <c r="A2745" s="1012">
        <v>42663</v>
      </c>
      <c r="B2745" s="1013">
        <v>1.5582222347100183</v>
      </c>
    </row>
    <row r="2746" spans="1:2" x14ac:dyDescent="0.35">
      <c r="A2746" s="1012">
        <v>42664</v>
      </c>
      <c r="B2746" s="1013">
        <v>1.55701226628843</v>
      </c>
    </row>
    <row r="2747" spans="1:2" x14ac:dyDescent="0.35">
      <c r="A2747" s="1012">
        <v>42667</v>
      </c>
      <c r="B2747" s="1013">
        <v>1.6212866867221052</v>
      </c>
    </row>
    <row r="2748" spans="1:2" x14ac:dyDescent="0.35">
      <c r="A2748" s="1012">
        <v>42668</v>
      </c>
      <c r="B2748" s="1013">
        <v>1.5793273338502163</v>
      </c>
    </row>
    <row r="2749" spans="1:2" x14ac:dyDescent="0.35">
      <c r="A2749" s="1012">
        <v>42669</v>
      </c>
      <c r="B2749" s="1013">
        <v>1.5509905015898402</v>
      </c>
    </row>
    <row r="2750" spans="1:2" x14ac:dyDescent="0.35">
      <c r="A2750" s="1012">
        <v>42670</v>
      </c>
      <c r="B2750" s="1013">
        <v>1.5687577165060524</v>
      </c>
    </row>
    <row r="2751" spans="1:2" x14ac:dyDescent="0.35">
      <c r="A2751" s="1012">
        <v>42671</v>
      </c>
      <c r="B2751" s="1013">
        <v>1.5323508159636818</v>
      </c>
    </row>
    <row r="2752" spans="1:2" x14ac:dyDescent="0.35">
      <c r="A2752" s="1012">
        <v>42674</v>
      </c>
      <c r="B2752" s="1013">
        <v>1.5315097588826412</v>
      </c>
    </row>
    <row r="2753" spans="1:2" x14ac:dyDescent="0.35">
      <c r="A2753" s="1012">
        <v>42675</v>
      </c>
      <c r="B2753" s="1013">
        <v>1.6086014821573063</v>
      </c>
    </row>
    <row r="2754" spans="1:2" x14ac:dyDescent="0.35">
      <c r="A2754" s="1012">
        <v>42676</v>
      </c>
      <c r="B2754" s="1013">
        <v>1.5534255388350386</v>
      </c>
    </row>
    <row r="2755" spans="1:2" x14ac:dyDescent="0.35">
      <c r="A2755" s="1012">
        <v>42677</v>
      </c>
      <c r="B2755" s="1013">
        <v>1.5387571194355529</v>
      </c>
    </row>
    <row r="2756" spans="1:2" x14ac:dyDescent="0.35">
      <c r="A2756" s="1012">
        <v>42678</v>
      </c>
      <c r="B2756" s="1013">
        <v>1.5752739799228153</v>
      </c>
    </row>
    <row r="2757" spans="1:2" x14ac:dyDescent="0.35">
      <c r="A2757" s="1012">
        <v>42681</v>
      </c>
      <c r="B2757" s="1013">
        <v>1.6038911811954539</v>
      </c>
    </row>
    <row r="2758" spans="1:2" x14ac:dyDescent="0.35">
      <c r="A2758" s="1012">
        <v>42682</v>
      </c>
      <c r="B2758" s="1013">
        <v>1.6456153581528374</v>
      </c>
    </row>
    <row r="2759" spans="1:2" x14ac:dyDescent="0.35">
      <c r="A2759" s="1012">
        <v>42683</v>
      </c>
      <c r="B2759" s="1013">
        <v>1.6202138476531267</v>
      </c>
    </row>
    <row r="2760" spans="1:2" x14ac:dyDescent="0.35">
      <c r="A2760" s="1012">
        <v>42684</v>
      </c>
      <c r="B2760" s="1013">
        <v>1.694026802477312</v>
      </c>
    </row>
    <row r="2761" spans="1:2" x14ac:dyDescent="0.35">
      <c r="A2761" s="1012">
        <v>42685</v>
      </c>
      <c r="B2761" s="1013">
        <v>1.684697364383035</v>
      </c>
    </row>
    <row r="2762" spans="1:2" x14ac:dyDescent="0.35">
      <c r="A2762" s="1012">
        <v>42688</v>
      </c>
      <c r="B2762" s="1013">
        <v>1.683516882190935</v>
      </c>
    </row>
    <row r="2763" spans="1:2" x14ac:dyDescent="0.35">
      <c r="A2763" s="1012">
        <v>42689</v>
      </c>
      <c r="B2763" s="1013">
        <v>1.6795643023643698</v>
      </c>
    </row>
    <row r="2764" spans="1:2" x14ac:dyDescent="0.35">
      <c r="A2764" s="1012">
        <v>42690</v>
      </c>
      <c r="B2764" s="1013">
        <v>1.6489359283246812</v>
      </c>
    </row>
    <row r="2765" spans="1:2" x14ac:dyDescent="0.35">
      <c r="A2765" s="1012">
        <v>42691</v>
      </c>
      <c r="B2765" s="1013">
        <v>1.6290187509274665</v>
      </c>
    </row>
    <row r="2766" spans="1:2" x14ac:dyDescent="0.35">
      <c r="A2766" s="1012">
        <v>42692</v>
      </c>
      <c r="B2766" s="1013">
        <v>1.646429604965493</v>
      </c>
    </row>
    <row r="2767" spans="1:2" x14ac:dyDescent="0.35">
      <c r="A2767" s="1012">
        <v>42695</v>
      </c>
      <c r="B2767" s="1013">
        <v>1.6825553530660573</v>
      </c>
    </row>
    <row r="2768" spans="1:2" x14ac:dyDescent="0.35">
      <c r="A2768" s="1012">
        <v>42696</v>
      </c>
      <c r="B2768" s="1013">
        <v>1.6998728762224937</v>
      </c>
    </row>
    <row r="2769" spans="1:2" x14ac:dyDescent="0.35">
      <c r="A2769" s="1012">
        <v>42697</v>
      </c>
      <c r="B2769" s="1013">
        <v>1.6985858937952749</v>
      </c>
    </row>
    <row r="2770" spans="1:2" x14ac:dyDescent="0.35">
      <c r="A2770" s="1012">
        <v>42698</v>
      </c>
      <c r="B2770" s="1013">
        <v>1.6840406956974305</v>
      </c>
    </row>
    <row r="2771" spans="1:2" x14ac:dyDescent="0.35">
      <c r="A2771" s="1012">
        <v>42699</v>
      </c>
      <c r="B2771" s="1013">
        <v>1.685417655347565</v>
      </c>
    </row>
    <row r="2772" spans="1:2" x14ac:dyDescent="0.35">
      <c r="A2772" s="1012">
        <v>42702</v>
      </c>
      <c r="B2772" s="1013">
        <v>1.673671882974116</v>
      </c>
    </row>
    <row r="2773" spans="1:2" x14ac:dyDescent="0.35">
      <c r="A2773" s="1012">
        <v>42703</v>
      </c>
      <c r="B2773" s="1013">
        <v>1.6512741583695385</v>
      </c>
    </row>
    <row r="2774" spans="1:2" x14ac:dyDescent="0.35">
      <c r="A2774" s="1012">
        <v>42704</v>
      </c>
      <c r="B2774" s="1013">
        <v>1.6553106588121105</v>
      </c>
    </row>
    <row r="2775" spans="1:2" x14ac:dyDescent="0.35">
      <c r="A2775" s="1012">
        <v>42705</v>
      </c>
      <c r="B2775" s="1013">
        <v>1.6487888353951994</v>
      </c>
    </row>
    <row r="2776" spans="1:2" x14ac:dyDescent="0.35">
      <c r="A2776" s="1012">
        <v>42706</v>
      </c>
      <c r="B2776" s="1013">
        <v>1.6370046638274414</v>
      </c>
    </row>
    <row r="2777" spans="1:2" x14ac:dyDescent="0.35">
      <c r="A2777" s="1012">
        <v>42709</v>
      </c>
      <c r="B2777" s="1013">
        <v>1.5912376678478373</v>
      </c>
    </row>
    <row r="2778" spans="1:2" x14ac:dyDescent="0.35">
      <c r="A2778" s="1012">
        <v>42710</v>
      </c>
      <c r="B2778" s="1013">
        <v>1.5769038104710069</v>
      </c>
    </row>
    <row r="2779" spans="1:2" x14ac:dyDescent="0.35">
      <c r="A2779" s="1012">
        <v>42711</v>
      </c>
      <c r="B2779" s="1013">
        <v>1.5809748585115744</v>
      </c>
    </row>
    <row r="2780" spans="1:2" x14ac:dyDescent="0.35">
      <c r="A2780" s="1012">
        <v>42712</v>
      </c>
      <c r="B2780" s="1013">
        <v>1.5220580969919957</v>
      </c>
    </row>
    <row r="2781" spans="1:2" x14ac:dyDescent="0.35">
      <c r="A2781" s="1012">
        <v>42713</v>
      </c>
      <c r="B2781" s="1013">
        <v>1.5707427572882426</v>
      </c>
    </row>
    <row r="2782" spans="1:2" x14ac:dyDescent="0.35">
      <c r="A2782" s="1012">
        <v>42716</v>
      </c>
      <c r="B2782" s="1013">
        <v>1.4965828035352313</v>
      </c>
    </row>
    <row r="2783" spans="1:2" x14ac:dyDescent="0.35">
      <c r="A2783" s="1012">
        <v>42717</v>
      </c>
      <c r="B2783" s="1013">
        <v>1.5085388949975855</v>
      </c>
    </row>
    <row r="2784" spans="1:2" x14ac:dyDescent="0.35">
      <c r="A2784" s="1012">
        <v>42718</v>
      </c>
      <c r="B2784" s="1013">
        <v>1.5230896694804967</v>
      </c>
    </row>
    <row r="2785" spans="1:2" x14ac:dyDescent="0.35">
      <c r="A2785" s="1012">
        <v>42719</v>
      </c>
      <c r="B2785" s="1013">
        <v>1.488018166458468</v>
      </c>
    </row>
    <row r="2786" spans="1:2" x14ac:dyDescent="0.35">
      <c r="A2786" s="1012">
        <v>42720</v>
      </c>
      <c r="B2786" s="1013">
        <v>1.5156056332890901</v>
      </c>
    </row>
    <row r="2787" spans="1:2" x14ac:dyDescent="0.35">
      <c r="A2787" s="1012">
        <v>42723</v>
      </c>
      <c r="B2787" s="1013">
        <v>1.4731875958572278</v>
      </c>
    </row>
    <row r="2788" spans="1:2" x14ac:dyDescent="0.35">
      <c r="A2788" s="1012">
        <v>42724</v>
      </c>
      <c r="B2788" s="1013">
        <v>1.4408840954184385</v>
      </c>
    </row>
    <row r="2789" spans="1:2" x14ac:dyDescent="0.35">
      <c r="A2789" s="1012">
        <v>42725</v>
      </c>
      <c r="B2789" s="1013">
        <v>1.4710031873191525</v>
      </c>
    </row>
    <row r="2790" spans="1:2" x14ac:dyDescent="0.35">
      <c r="A2790" s="1012">
        <v>42726</v>
      </c>
      <c r="B2790" s="1013">
        <v>1.4699134104933287</v>
      </c>
    </row>
    <row r="2791" spans="1:2" x14ac:dyDescent="0.35">
      <c r="A2791" s="1012">
        <v>42727</v>
      </c>
      <c r="B2791" s="1013">
        <v>1.4766105400004716</v>
      </c>
    </row>
    <row r="2792" spans="1:2" x14ac:dyDescent="0.35">
      <c r="A2792" s="1012">
        <v>42730</v>
      </c>
      <c r="B2792" s="1013">
        <v>1.4733384434724695</v>
      </c>
    </row>
    <row r="2793" spans="1:2" x14ac:dyDescent="0.35">
      <c r="A2793" s="1012">
        <v>42731</v>
      </c>
      <c r="B2793" s="1013">
        <v>1.4722509648313804</v>
      </c>
    </row>
    <row r="2794" spans="1:2" x14ac:dyDescent="0.35">
      <c r="A2794" s="1012">
        <v>42732</v>
      </c>
      <c r="B2794" s="1013">
        <v>1.4737506177529112</v>
      </c>
    </row>
    <row r="2795" spans="1:2" x14ac:dyDescent="0.35">
      <c r="A2795" s="1012">
        <v>42733</v>
      </c>
      <c r="B2795" s="1013">
        <v>1.4700808164914763</v>
      </c>
    </row>
    <row r="2796" spans="1:2" x14ac:dyDescent="0.35">
      <c r="A2796" s="1012">
        <v>42734</v>
      </c>
      <c r="B2796" s="1013">
        <v>1.4973970492643496</v>
      </c>
    </row>
    <row r="2797" spans="1:2" x14ac:dyDescent="0.35">
      <c r="A2797" s="1012">
        <v>42738</v>
      </c>
      <c r="B2797" s="1013">
        <v>1.4907133369674408</v>
      </c>
    </row>
    <row r="2798" spans="1:2" x14ac:dyDescent="0.35">
      <c r="A2798" s="1012">
        <v>42739</v>
      </c>
      <c r="B2798" s="1013">
        <v>1.4930811047908867</v>
      </c>
    </row>
    <row r="2799" spans="1:2" x14ac:dyDescent="0.35">
      <c r="A2799" s="1012">
        <v>42740</v>
      </c>
      <c r="B2799" s="1013">
        <v>1.464507894927747</v>
      </c>
    </row>
    <row r="2800" spans="1:2" x14ac:dyDescent="0.35">
      <c r="A2800" s="1012">
        <v>42741</v>
      </c>
      <c r="B2800" s="1013">
        <v>1.4565667233698845</v>
      </c>
    </row>
    <row r="2801" spans="1:2" x14ac:dyDescent="0.35">
      <c r="A2801" s="1012">
        <v>42744</v>
      </c>
      <c r="B2801" s="1013">
        <v>1.4714101922310825</v>
      </c>
    </row>
    <row r="2802" spans="1:2" x14ac:dyDescent="0.35">
      <c r="A2802" s="1012">
        <v>42745</v>
      </c>
      <c r="B2802" s="1013">
        <v>1.4815082891364815</v>
      </c>
    </row>
    <row r="2803" spans="1:2" x14ac:dyDescent="0.35">
      <c r="A2803" s="1012">
        <v>42746</v>
      </c>
      <c r="B2803" s="1013">
        <v>1.5791933754799996</v>
      </c>
    </row>
    <row r="2804" spans="1:2" x14ac:dyDescent="0.35">
      <c r="A2804" s="1012">
        <v>42747</v>
      </c>
      <c r="B2804" s="1013">
        <v>1.6073040363132081</v>
      </c>
    </row>
    <row r="2805" spans="1:2" x14ac:dyDescent="0.35">
      <c r="A2805" s="1012">
        <v>42748</v>
      </c>
      <c r="B2805" s="1013">
        <v>1.6070768704628493</v>
      </c>
    </row>
    <row r="2806" spans="1:2" x14ac:dyDescent="0.35">
      <c r="A2806" s="1012">
        <v>42751</v>
      </c>
      <c r="B2806" s="1013">
        <v>1.5960983493168608</v>
      </c>
    </row>
    <row r="2807" spans="1:2" x14ac:dyDescent="0.35">
      <c r="A2807" s="1012">
        <v>42752</v>
      </c>
      <c r="B2807" s="1013">
        <v>1.6447786769180135</v>
      </c>
    </row>
    <row r="2808" spans="1:2" x14ac:dyDescent="0.35">
      <c r="A2808" s="1012">
        <v>42753</v>
      </c>
      <c r="B2808" s="1013">
        <v>1.6960188789233697</v>
      </c>
    </row>
    <row r="2809" spans="1:2" x14ac:dyDescent="0.35">
      <c r="A2809" s="1012">
        <v>42754</v>
      </c>
      <c r="B2809" s="1013">
        <v>1.6571804541719508</v>
      </c>
    </row>
    <row r="2810" spans="1:2" x14ac:dyDescent="0.35">
      <c r="A2810" s="1012">
        <v>42755</v>
      </c>
      <c r="B2810" s="1013">
        <v>1.6286445898934974</v>
      </c>
    </row>
    <row r="2811" spans="1:2" x14ac:dyDescent="0.35">
      <c r="A2811" s="1012">
        <v>42758</v>
      </c>
      <c r="B2811" s="1013">
        <v>1.6125241652780629</v>
      </c>
    </row>
    <row r="2812" spans="1:2" x14ac:dyDescent="0.35">
      <c r="A2812" s="1012">
        <v>42759</v>
      </c>
      <c r="B2812" s="1013">
        <v>1.632868183074083</v>
      </c>
    </row>
    <row r="2813" spans="1:2" x14ac:dyDescent="0.35">
      <c r="A2813" s="1012">
        <v>42760</v>
      </c>
      <c r="B2813" s="1013">
        <v>1.6454932106007982</v>
      </c>
    </row>
    <row r="2814" spans="1:2" x14ac:dyDescent="0.35">
      <c r="A2814" s="1012">
        <v>42761</v>
      </c>
      <c r="B2814" s="1013">
        <v>1.6709682781340403</v>
      </c>
    </row>
    <row r="2815" spans="1:2" x14ac:dyDescent="0.35">
      <c r="A2815" s="1012">
        <v>42769</v>
      </c>
      <c r="B2815" s="1013">
        <v>1.6947627830971499</v>
      </c>
    </row>
    <row r="2816" spans="1:2" x14ac:dyDescent="0.35">
      <c r="A2816" s="1012">
        <v>42772</v>
      </c>
      <c r="B2816" s="1013">
        <v>1.6760794709383049</v>
      </c>
    </row>
    <row r="2817" spans="1:2" x14ac:dyDescent="0.35">
      <c r="A2817" s="1012">
        <v>42773</v>
      </c>
      <c r="B2817" s="1013">
        <v>1.6886752980332098</v>
      </c>
    </row>
    <row r="2818" spans="1:2" x14ac:dyDescent="0.35">
      <c r="A2818" s="1012">
        <v>42774</v>
      </c>
      <c r="B2818" s="1013">
        <v>1.6961355488476704</v>
      </c>
    </row>
    <row r="2819" spans="1:2" x14ac:dyDescent="0.35">
      <c r="A2819" s="1012">
        <v>42775</v>
      </c>
      <c r="B2819" s="1013">
        <v>1.6907654331073261</v>
      </c>
    </row>
    <row r="2820" spans="1:2" x14ac:dyDescent="0.35">
      <c r="A2820" s="1012">
        <v>42776</v>
      </c>
      <c r="B2820" s="1013">
        <v>1.7059191651592089</v>
      </c>
    </row>
    <row r="2821" spans="1:2" x14ac:dyDescent="0.35">
      <c r="A2821" s="1012">
        <v>42779</v>
      </c>
      <c r="B2821" s="1013">
        <v>1.7308411003729296</v>
      </c>
    </row>
    <row r="2822" spans="1:2" x14ac:dyDescent="0.35">
      <c r="A2822" s="1012">
        <v>42780</v>
      </c>
      <c r="B2822" s="1013">
        <v>1.7331614242425224</v>
      </c>
    </row>
    <row r="2823" spans="1:2" x14ac:dyDescent="0.35">
      <c r="A2823" s="1012">
        <v>42781</v>
      </c>
      <c r="B2823" s="1013">
        <v>1.7201001697660407</v>
      </c>
    </row>
    <row r="2824" spans="1:2" x14ac:dyDescent="0.35">
      <c r="A2824" s="1012">
        <v>42782</v>
      </c>
      <c r="B2824" s="1013">
        <v>1.6865375735263943</v>
      </c>
    </row>
    <row r="2825" spans="1:2" x14ac:dyDescent="0.35">
      <c r="A2825" s="1012">
        <v>42783</v>
      </c>
      <c r="B2825" s="1013">
        <v>1.652984417624608</v>
      </c>
    </row>
    <row r="2826" spans="1:2" x14ac:dyDescent="0.35">
      <c r="A2826" s="1012">
        <v>42786</v>
      </c>
      <c r="B2826" s="1013">
        <v>1.6830275243423918</v>
      </c>
    </row>
    <row r="2827" spans="1:2" x14ac:dyDescent="0.35">
      <c r="A2827" s="1012">
        <v>42787</v>
      </c>
      <c r="B2827" s="1013">
        <v>1.680229634509582</v>
      </c>
    </row>
    <row r="2828" spans="1:2" x14ac:dyDescent="0.35">
      <c r="A2828" s="1012">
        <v>42788</v>
      </c>
      <c r="B2828" s="1013">
        <v>1.6851154281907965</v>
      </c>
    </row>
    <row r="2829" spans="1:2" x14ac:dyDescent="0.35">
      <c r="A2829" s="1012">
        <v>42789</v>
      </c>
      <c r="B2829" s="1013">
        <v>1.6899998487763397</v>
      </c>
    </row>
    <row r="2830" spans="1:2" x14ac:dyDescent="0.35">
      <c r="A2830" s="1012">
        <v>42790</v>
      </c>
      <c r="B2830" s="1013">
        <v>1.64879846762562</v>
      </c>
    </row>
    <row r="2831" spans="1:2" x14ac:dyDescent="0.35">
      <c r="A2831" s="1012">
        <v>42793</v>
      </c>
      <c r="B2831" s="1013">
        <v>1.6327487902471045</v>
      </c>
    </row>
    <row r="2832" spans="1:2" x14ac:dyDescent="0.35">
      <c r="A2832" s="1012">
        <v>42794</v>
      </c>
      <c r="B2832" s="1013">
        <v>1.6248430947036903</v>
      </c>
    </row>
    <row r="2833" spans="1:2" x14ac:dyDescent="0.35">
      <c r="A2833" s="1012">
        <v>42795</v>
      </c>
      <c r="B2833" s="1013">
        <v>1.688576184495536</v>
      </c>
    </row>
    <row r="2834" spans="1:2" x14ac:dyDescent="0.35">
      <c r="A2834" s="1012">
        <v>42796</v>
      </c>
      <c r="B2834" s="1013">
        <v>1.7139200363451044</v>
      </c>
    </row>
    <row r="2835" spans="1:2" x14ac:dyDescent="0.35">
      <c r="A2835" s="1012">
        <v>42797</v>
      </c>
      <c r="B2835" s="1013">
        <v>1.6932176237075054</v>
      </c>
    </row>
    <row r="2836" spans="1:2" x14ac:dyDescent="0.35">
      <c r="A2836" s="1012">
        <v>42800</v>
      </c>
      <c r="B2836" s="1013">
        <v>1.7129581684031736</v>
      </c>
    </row>
    <row r="2837" spans="1:2" x14ac:dyDescent="0.35">
      <c r="A2837" s="1012">
        <v>42801</v>
      </c>
      <c r="B2837" s="1013">
        <v>1.7459497093547207</v>
      </c>
    </row>
    <row r="2838" spans="1:2" x14ac:dyDescent="0.35">
      <c r="A2838" s="1012">
        <v>42802</v>
      </c>
      <c r="B2838" s="1013">
        <v>1.750816690798928</v>
      </c>
    </row>
    <row r="2839" spans="1:2" x14ac:dyDescent="0.35">
      <c r="A2839" s="1012">
        <v>42803</v>
      </c>
      <c r="B2839" s="1013">
        <v>1.7071263190045896</v>
      </c>
    </row>
    <row r="2840" spans="1:2" x14ac:dyDescent="0.35">
      <c r="A2840" s="1012">
        <v>42804</v>
      </c>
      <c r="B2840" s="1013">
        <v>1.701776499596789</v>
      </c>
    </row>
    <row r="2841" spans="1:2" x14ac:dyDescent="0.35">
      <c r="A2841" s="1012">
        <v>42807</v>
      </c>
      <c r="B2841" s="1013">
        <v>1.6959526217004215</v>
      </c>
    </row>
    <row r="2842" spans="1:2" x14ac:dyDescent="0.35">
      <c r="A2842" s="1012">
        <v>42808</v>
      </c>
      <c r="B2842" s="1013">
        <v>1.7493444812006533</v>
      </c>
    </row>
    <row r="2843" spans="1:2" x14ac:dyDescent="0.35">
      <c r="A2843" s="1012">
        <v>42809</v>
      </c>
      <c r="B2843" s="1013">
        <v>1.754206213037155</v>
      </c>
    </row>
    <row r="2844" spans="1:2" x14ac:dyDescent="0.35">
      <c r="A2844" s="1012">
        <v>42810</v>
      </c>
      <c r="B2844" s="1013">
        <v>1.7590665825603424</v>
      </c>
    </row>
    <row r="2845" spans="1:2" x14ac:dyDescent="0.35">
      <c r="A2845" s="1012">
        <v>42811</v>
      </c>
      <c r="B2845" s="1013">
        <v>1.7562674474034807</v>
      </c>
    </row>
    <row r="2846" spans="1:2" x14ac:dyDescent="0.35">
      <c r="A2846" s="1012">
        <v>42814</v>
      </c>
      <c r="B2846" s="1013">
        <v>1.7708395230733711</v>
      </c>
    </row>
    <row r="2847" spans="1:2" x14ac:dyDescent="0.35">
      <c r="A2847" s="1012">
        <v>42815</v>
      </c>
      <c r="B2847" s="1013">
        <v>1.7731428766452906</v>
      </c>
    </row>
    <row r="2848" spans="1:2" x14ac:dyDescent="0.35">
      <c r="A2848" s="1012">
        <v>42816</v>
      </c>
      <c r="B2848" s="1013">
        <v>1.8086076436798333</v>
      </c>
    </row>
    <row r="2849" spans="1:2" x14ac:dyDescent="0.35">
      <c r="A2849" s="1012">
        <v>42817</v>
      </c>
      <c r="B2849" s="1013">
        <v>1.8313096302362095</v>
      </c>
    </row>
    <row r="2850" spans="1:2" x14ac:dyDescent="0.35">
      <c r="A2850" s="1012">
        <v>42818</v>
      </c>
      <c r="B2850" s="1013">
        <v>1.8106516319325938</v>
      </c>
    </row>
    <row r="2851" spans="1:2" x14ac:dyDescent="0.35">
      <c r="A2851" s="1012">
        <v>42821</v>
      </c>
      <c r="B2851" s="1013">
        <v>1.7894986082994107</v>
      </c>
    </row>
    <row r="2852" spans="1:2" x14ac:dyDescent="0.35">
      <c r="A2852" s="1012">
        <v>42822</v>
      </c>
      <c r="B2852" s="1013">
        <v>1.8121873909451935</v>
      </c>
    </row>
    <row r="2853" spans="1:2" x14ac:dyDescent="0.35">
      <c r="A2853" s="1012">
        <v>42823</v>
      </c>
      <c r="B2853" s="1013">
        <v>1.8068370940155574</v>
      </c>
    </row>
    <row r="2854" spans="1:2" x14ac:dyDescent="0.35">
      <c r="A2854" s="1012">
        <v>42824</v>
      </c>
      <c r="B2854" s="1013">
        <v>1.7836517756097856</v>
      </c>
    </row>
    <row r="2855" spans="1:2" x14ac:dyDescent="0.35">
      <c r="A2855" s="1012">
        <v>42825</v>
      </c>
      <c r="B2855" s="1013">
        <v>1.7706638112285977</v>
      </c>
    </row>
    <row r="2856" spans="1:2" x14ac:dyDescent="0.35">
      <c r="A2856" s="1012">
        <v>42830</v>
      </c>
      <c r="B2856" s="1013">
        <v>1.7745187521291588</v>
      </c>
    </row>
    <row r="2857" spans="1:2" x14ac:dyDescent="0.35">
      <c r="A2857" s="1012">
        <v>42831</v>
      </c>
      <c r="B2857" s="1013">
        <v>1.8200913425225811</v>
      </c>
    </row>
    <row r="2858" spans="1:2" x14ac:dyDescent="0.35">
      <c r="A2858" s="1012">
        <v>42832</v>
      </c>
      <c r="B2858" s="1013">
        <v>1.7994753068881841</v>
      </c>
    </row>
    <row r="2859" spans="1:2" x14ac:dyDescent="0.35">
      <c r="A2859" s="1012">
        <v>42835</v>
      </c>
      <c r="B2859" s="1013">
        <v>1.7885449535816542</v>
      </c>
    </row>
    <row r="2860" spans="1:2" x14ac:dyDescent="0.35">
      <c r="A2860" s="1012">
        <v>42836</v>
      </c>
      <c r="B2860" s="1013">
        <v>1.7959266941777232</v>
      </c>
    </row>
    <row r="2861" spans="1:2" x14ac:dyDescent="0.35">
      <c r="A2861" s="1012">
        <v>42837</v>
      </c>
      <c r="B2861" s="1013">
        <v>1.8083932750344283</v>
      </c>
    </row>
    <row r="2862" spans="1:2" x14ac:dyDescent="0.35">
      <c r="A2862" s="1012">
        <v>42838</v>
      </c>
      <c r="B2862" s="1013">
        <v>1.7903392302910248</v>
      </c>
    </row>
    <row r="2863" spans="1:2" x14ac:dyDescent="0.35">
      <c r="A2863" s="1012">
        <v>42839</v>
      </c>
      <c r="B2863" s="1013">
        <v>1.7900894084868164</v>
      </c>
    </row>
    <row r="2864" spans="1:2" x14ac:dyDescent="0.35">
      <c r="A2864" s="1012">
        <v>42842</v>
      </c>
      <c r="B2864" s="1013">
        <v>1.7893403612171941</v>
      </c>
    </row>
    <row r="2865" spans="1:2" x14ac:dyDescent="0.35">
      <c r="A2865" s="1012">
        <v>42843</v>
      </c>
      <c r="B2865" s="1013">
        <v>1.7992561068168746</v>
      </c>
    </row>
    <row r="2866" spans="1:2" x14ac:dyDescent="0.35">
      <c r="A2866" s="1012">
        <v>42844</v>
      </c>
      <c r="B2866" s="1013">
        <v>1.7964642479885604</v>
      </c>
    </row>
    <row r="2867" spans="1:2" x14ac:dyDescent="0.35">
      <c r="A2867" s="1012">
        <v>42845</v>
      </c>
      <c r="B2867" s="1013">
        <v>1.7860513269980258</v>
      </c>
    </row>
    <row r="2868" spans="1:2" x14ac:dyDescent="0.35">
      <c r="A2868" s="1012">
        <v>42846</v>
      </c>
      <c r="B2868" s="1013">
        <v>1.8137451999399814</v>
      </c>
    </row>
    <row r="2869" spans="1:2" x14ac:dyDescent="0.35">
      <c r="A2869" s="1012">
        <v>42849</v>
      </c>
      <c r="B2869" s="1013">
        <v>1.7520462550875542</v>
      </c>
    </row>
    <row r="2870" spans="1:2" x14ac:dyDescent="0.35">
      <c r="A2870" s="1012">
        <v>42850</v>
      </c>
      <c r="B2870" s="1013">
        <v>1.7721129009014758</v>
      </c>
    </row>
    <row r="2871" spans="1:2" x14ac:dyDescent="0.35">
      <c r="A2871" s="1012">
        <v>42851</v>
      </c>
      <c r="B2871" s="1013">
        <v>1.7845584858575907</v>
      </c>
    </row>
    <row r="2872" spans="1:2" x14ac:dyDescent="0.35">
      <c r="A2872" s="1012">
        <v>42852</v>
      </c>
      <c r="B2872" s="1013">
        <v>1.7614666935736405</v>
      </c>
    </row>
    <row r="2873" spans="1:2" x14ac:dyDescent="0.35">
      <c r="A2873" s="1012">
        <v>42853</v>
      </c>
      <c r="B2873" s="1013">
        <v>1.791674775456658</v>
      </c>
    </row>
    <row r="2874" spans="1:2" x14ac:dyDescent="0.35">
      <c r="A2874" s="1012">
        <v>42857</v>
      </c>
      <c r="B2874" s="1013">
        <v>1.7856045082057295</v>
      </c>
    </row>
    <row r="2875" spans="1:2" x14ac:dyDescent="0.35">
      <c r="A2875" s="1012">
        <v>42858</v>
      </c>
      <c r="B2875" s="1013">
        <v>1.7853560059175564</v>
      </c>
    </row>
    <row r="2876" spans="1:2" x14ac:dyDescent="0.35">
      <c r="A2876" s="1012">
        <v>42859</v>
      </c>
      <c r="B2876" s="1013">
        <v>1.7343942894699691</v>
      </c>
    </row>
    <row r="2877" spans="1:2" x14ac:dyDescent="0.35">
      <c r="A2877" s="1012">
        <v>42860</v>
      </c>
      <c r="B2877" s="1013">
        <v>1.6758408196145007</v>
      </c>
    </row>
    <row r="2878" spans="1:2" x14ac:dyDescent="0.35">
      <c r="A2878" s="1012">
        <v>42863</v>
      </c>
      <c r="B2878" s="1013">
        <v>1.7511692345336118</v>
      </c>
    </row>
    <row r="2879" spans="1:2" x14ac:dyDescent="0.35">
      <c r="A2879" s="1012">
        <v>42864</v>
      </c>
      <c r="B2879" s="1013">
        <v>1.735722320740537</v>
      </c>
    </row>
    <row r="2880" spans="1:2" x14ac:dyDescent="0.35">
      <c r="A2880" s="1012">
        <v>42865</v>
      </c>
      <c r="B2880" s="1013">
        <v>1.7253468000494734</v>
      </c>
    </row>
    <row r="2881" spans="1:2" x14ac:dyDescent="0.35">
      <c r="A2881" s="1012">
        <v>42866</v>
      </c>
      <c r="B2881" s="1013">
        <v>1.7529721145250994</v>
      </c>
    </row>
    <row r="2882" spans="1:2" x14ac:dyDescent="0.35">
      <c r="A2882" s="1012">
        <v>42867</v>
      </c>
      <c r="B2882" s="1013">
        <v>1.7223343237426256</v>
      </c>
    </row>
    <row r="2883" spans="1:2" x14ac:dyDescent="0.35">
      <c r="A2883" s="1012">
        <v>42870</v>
      </c>
      <c r="B2883" s="1013">
        <v>1.7519978981304727</v>
      </c>
    </row>
    <row r="2884" spans="1:2" x14ac:dyDescent="0.35">
      <c r="A2884" s="1012">
        <v>42871</v>
      </c>
      <c r="B2884" s="1013">
        <v>1.7441602017292495</v>
      </c>
    </row>
    <row r="2885" spans="1:2" x14ac:dyDescent="0.35">
      <c r="A2885" s="1012">
        <v>42872</v>
      </c>
      <c r="B2885" s="1013">
        <v>1.6932962283934705</v>
      </c>
    </row>
    <row r="2886" spans="1:2" x14ac:dyDescent="0.35">
      <c r="A2886" s="1012">
        <v>42873</v>
      </c>
      <c r="B2886" s="1013">
        <v>1.6702844573152176</v>
      </c>
    </row>
    <row r="2887" spans="1:2" x14ac:dyDescent="0.35">
      <c r="A2887" s="1012">
        <v>42874</v>
      </c>
      <c r="B2887" s="1013">
        <v>1.6877651988056657</v>
      </c>
    </row>
    <row r="2888" spans="1:2" x14ac:dyDescent="0.35">
      <c r="A2888" s="1012">
        <v>42877</v>
      </c>
      <c r="B2888" s="1013">
        <v>1.7072970306191138</v>
      </c>
    </row>
    <row r="2889" spans="1:2" x14ac:dyDescent="0.35">
      <c r="A2889" s="1012">
        <v>42878</v>
      </c>
      <c r="B2889" s="1013">
        <v>1.6994731521660085</v>
      </c>
    </row>
    <row r="2890" spans="1:2" x14ac:dyDescent="0.35">
      <c r="A2890" s="1012">
        <v>42879</v>
      </c>
      <c r="B2890" s="1013">
        <v>1.7219949687410212</v>
      </c>
    </row>
    <row r="2891" spans="1:2" x14ac:dyDescent="0.35">
      <c r="A2891" s="1012">
        <v>42880</v>
      </c>
      <c r="B2891" s="1013">
        <v>1.7166994982093049</v>
      </c>
    </row>
    <row r="2892" spans="1:2" x14ac:dyDescent="0.35">
      <c r="A2892" s="1012">
        <v>42881</v>
      </c>
      <c r="B2892" s="1013">
        <v>1.7316289001274068</v>
      </c>
    </row>
    <row r="2893" spans="1:2" x14ac:dyDescent="0.35">
      <c r="A2893" s="1012">
        <v>42886</v>
      </c>
      <c r="B2893" s="1013">
        <v>1.7076930661756631</v>
      </c>
    </row>
    <row r="2894" spans="1:2" x14ac:dyDescent="0.35">
      <c r="A2894" s="1012">
        <v>42887</v>
      </c>
      <c r="B2894" s="1013">
        <v>1.7074563621300092</v>
      </c>
    </row>
    <row r="2895" spans="1:2" x14ac:dyDescent="0.35">
      <c r="A2895" s="1012">
        <v>42888</v>
      </c>
      <c r="B2895" s="1013">
        <v>1.6617612103417398</v>
      </c>
    </row>
    <row r="2896" spans="1:2" x14ac:dyDescent="0.35">
      <c r="A2896" s="1012">
        <v>42891</v>
      </c>
      <c r="B2896" s="1013">
        <v>1.6459240407668745</v>
      </c>
    </row>
    <row r="2897" spans="1:2" x14ac:dyDescent="0.35">
      <c r="A2897" s="1012">
        <v>42892</v>
      </c>
      <c r="B2897" s="1013">
        <v>1.6557923513819353</v>
      </c>
    </row>
    <row r="2898" spans="1:2" x14ac:dyDescent="0.35">
      <c r="A2898" s="1012">
        <v>42893</v>
      </c>
      <c r="B2898" s="1013">
        <v>1.6197394119386626</v>
      </c>
    </row>
    <row r="2899" spans="1:2" x14ac:dyDescent="0.35">
      <c r="A2899" s="1012">
        <v>42894</v>
      </c>
      <c r="B2899" s="1013">
        <v>1.6143981654171278</v>
      </c>
    </row>
    <row r="2900" spans="1:2" x14ac:dyDescent="0.35">
      <c r="A2900" s="1012">
        <v>42895</v>
      </c>
      <c r="B2900" s="1013">
        <v>1.6499883413106249</v>
      </c>
    </row>
    <row r="2901" spans="1:2" x14ac:dyDescent="0.35">
      <c r="A2901" s="1012">
        <v>42898</v>
      </c>
      <c r="B2901" s="1013">
        <v>1.5981620825008467</v>
      </c>
    </row>
    <row r="2902" spans="1:2" x14ac:dyDescent="0.35">
      <c r="A2902" s="1012">
        <v>42899</v>
      </c>
      <c r="B2902" s="1013">
        <v>1.5851574010139051</v>
      </c>
    </row>
    <row r="2903" spans="1:2" x14ac:dyDescent="0.35">
      <c r="A2903" s="1012">
        <v>42900</v>
      </c>
      <c r="B2903" s="1013">
        <v>1.6053888907910485</v>
      </c>
    </row>
    <row r="2904" spans="1:2" x14ac:dyDescent="0.35">
      <c r="A2904" s="1012">
        <v>42901</v>
      </c>
      <c r="B2904" s="1013">
        <v>1.5770508192021111</v>
      </c>
    </row>
    <row r="2905" spans="1:2" x14ac:dyDescent="0.35">
      <c r="A2905" s="1012">
        <v>42902</v>
      </c>
      <c r="B2905" s="1013">
        <v>1.5972778333510458</v>
      </c>
    </row>
    <row r="2906" spans="1:2" x14ac:dyDescent="0.35">
      <c r="A2906" s="1012">
        <v>42905</v>
      </c>
      <c r="B2906" s="1013">
        <v>1.6068336262049827</v>
      </c>
    </row>
    <row r="2907" spans="1:2" x14ac:dyDescent="0.35">
      <c r="A2907" s="1012">
        <v>42906</v>
      </c>
      <c r="B2907" s="1013">
        <v>1.6193826438498753</v>
      </c>
    </row>
    <row r="2908" spans="1:2" x14ac:dyDescent="0.35">
      <c r="A2908" s="1012">
        <v>42907</v>
      </c>
      <c r="B2908" s="1013">
        <v>1.6012816534412557</v>
      </c>
    </row>
    <row r="2909" spans="1:2" x14ac:dyDescent="0.35">
      <c r="A2909" s="1012">
        <v>42908</v>
      </c>
      <c r="B2909" s="1013">
        <v>1.590846242245588</v>
      </c>
    </row>
    <row r="2910" spans="1:2" x14ac:dyDescent="0.35">
      <c r="A2910" s="1012">
        <v>42909</v>
      </c>
      <c r="B2910" s="1013">
        <v>1.5804137151683706</v>
      </c>
    </row>
    <row r="2911" spans="1:2" x14ac:dyDescent="0.35">
      <c r="A2911" s="1012">
        <v>42912</v>
      </c>
      <c r="B2911" s="1013">
        <v>1.5925193711007637</v>
      </c>
    </row>
    <row r="2912" spans="1:2" x14ac:dyDescent="0.35">
      <c r="A2912" s="1012">
        <v>42913</v>
      </c>
      <c r="B2912" s="1013">
        <v>1.6152652810666013</v>
      </c>
    </row>
    <row r="2913" spans="1:2" x14ac:dyDescent="0.35">
      <c r="A2913" s="1012">
        <v>42914</v>
      </c>
      <c r="B2913" s="1013">
        <v>1.6788274611499281</v>
      </c>
    </row>
    <row r="2914" spans="1:2" x14ac:dyDescent="0.35">
      <c r="A2914" s="1012">
        <v>42915</v>
      </c>
      <c r="B2914" s="1013">
        <v>1.7041062301351313</v>
      </c>
    </row>
    <row r="2915" spans="1:2" x14ac:dyDescent="0.35">
      <c r="A2915" s="1012">
        <v>42916</v>
      </c>
      <c r="B2915" s="1013">
        <v>1.703870968942212</v>
      </c>
    </row>
    <row r="2916" spans="1:2" x14ac:dyDescent="0.35">
      <c r="A2916" s="1012">
        <v>42919</v>
      </c>
      <c r="B2916" s="1013">
        <v>1.6878676805654558</v>
      </c>
    </row>
    <row r="2917" spans="1:2" x14ac:dyDescent="0.35">
      <c r="A2917" s="1012">
        <v>42920</v>
      </c>
      <c r="B2917" s="1013">
        <v>1.6697897089416514</v>
      </c>
    </row>
    <row r="2918" spans="1:2" x14ac:dyDescent="0.35">
      <c r="A2918" s="1012">
        <v>42921</v>
      </c>
      <c r="B2918" s="1013">
        <v>1.6772061810394578</v>
      </c>
    </row>
    <row r="2919" spans="1:2" x14ac:dyDescent="0.35">
      <c r="A2919" s="1012">
        <v>42922</v>
      </c>
      <c r="B2919" s="1013">
        <v>1.6565860735112283</v>
      </c>
    </row>
    <row r="2920" spans="1:2" x14ac:dyDescent="0.35">
      <c r="A2920" s="1012">
        <v>42923</v>
      </c>
      <c r="B2920" s="1013">
        <v>1.6002962596013437</v>
      </c>
    </row>
    <row r="2921" spans="1:2" x14ac:dyDescent="0.35">
      <c r="A2921" s="1012">
        <v>42926</v>
      </c>
      <c r="B2921" s="1013">
        <v>1.5588793682189548</v>
      </c>
    </row>
    <row r="2922" spans="1:2" x14ac:dyDescent="0.35">
      <c r="A2922" s="1012">
        <v>42927</v>
      </c>
      <c r="B2922" s="1013">
        <v>1.5892265313972938</v>
      </c>
    </row>
    <row r="2923" spans="1:2" x14ac:dyDescent="0.35">
      <c r="A2923" s="1012">
        <v>42928</v>
      </c>
      <c r="B2923" s="1013">
        <v>1.5966469519494906</v>
      </c>
    </row>
    <row r="2924" spans="1:2" x14ac:dyDescent="0.35">
      <c r="A2924" s="1012">
        <v>42929</v>
      </c>
      <c r="B2924" s="1013">
        <v>1.6422573589155696</v>
      </c>
    </row>
    <row r="2925" spans="1:2" x14ac:dyDescent="0.35">
      <c r="A2925" s="1012">
        <v>42930</v>
      </c>
      <c r="B2925" s="1013">
        <v>1.6878551966424971</v>
      </c>
    </row>
    <row r="2926" spans="1:2" x14ac:dyDescent="0.35">
      <c r="A2926" s="1012">
        <v>42933</v>
      </c>
      <c r="B2926" s="1013">
        <v>1.6693446515879722</v>
      </c>
    </row>
    <row r="2927" spans="1:2" x14ac:dyDescent="0.35">
      <c r="A2927" s="1012">
        <v>42934</v>
      </c>
      <c r="B2927" s="1013">
        <v>1.6640259961854373</v>
      </c>
    </row>
    <row r="2928" spans="1:2" x14ac:dyDescent="0.35">
      <c r="A2928" s="1012">
        <v>42935</v>
      </c>
      <c r="B2928" s="1013">
        <v>1.6968692841335851</v>
      </c>
    </row>
    <row r="2929" spans="1:2" x14ac:dyDescent="0.35">
      <c r="A2929" s="1012">
        <v>42936</v>
      </c>
      <c r="B2929" s="1013">
        <v>1.6890046221035431</v>
      </c>
    </row>
    <row r="2930" spans="1:2" x14ac:dyDescent="0.35">
      <c r="A2930" s="1012">
        <v>42937</v>
      </c>
      <c r="B2930" s="1013">
        <v>1.6658821362807597</v>
      </c>
    </row>
    <row r="2931" spans="1:2" x14ac:dyDescent="0.35">
      <c r="A2931" s="1012">
        <v>42940</v>
      </c>
      <c r="B2931" s="1013">
        <v>1.682990433682976</v>
      </c>
    </row>
    <row r="2932" spans="1:2" x14ac:dyDescent="0.35">
      <c r="A2932" s="1012">
        <v>42941</v>
      </c>
      <c r="B2932" s="1013">
        <v>1.6471718408548137</v>
      </c>
    </row>
    <row r="2933" spans="1:2" x14ac:dyDescent="0.35">
      <c r="A2933" s="1012">
        <v>42942</v>
      </c>
      <c r="B2933" s="1013">
        <v>1.6367789243669157</v>
      </c>
    </row>
    <row r="2934" spans="1:2" x14ac:dyDescent="0.35">
      <c r="A2934" s="1012">
        <v>42943</v>
      </c>
      <c r="B2934" s="1013">
        <v>1.6136827037983057</v>
      </c>
    </row>
    <row r="2935" spans="1:2" x14ac:dyDescent="0.35">
      <c r="A2935" s="1012">
        <v>42944</v>
      </c>
      <c r="B2935" s="1013">
        <v>1.5931337189171384</v>
      </c>
    </row>
    <row r="2936" spans="1:2" x14ac:dyDescent="0.35">
      <c r="A2936" s="1012">
        <v>42947</v>
      </c>
      <c r="B2936" s="1013">
        <v>1.6026360492891571</v>
      </c>
    </row>
    <row r="2937" spans="1:2" x14ac:dyDescent="0.35">
      <c r="A2937" s="1012">
        <v>42948</v>
      </c>
      <c r="B2937" s="1013">
        <v>1.5897183389334257</v>
      </c>
    </row>
    <row r="2938" spans="1:2" x14ac:dyDescent="0.35">
      <c r="A2938" s="1012">
        <v>42949</v>
      </c>
      <c r="B2938" s="1013">
        <v>1.6047346879322024</v>
      </c>
    </row>
    <row r="2939" spans="1:2" x14ac:dyDescent="0.35">
      <c r="A2939" s="1012">
        <v>42950</v>
      </c>
      <c r="B2939" s="1013">
        <v>1.5968978157799605</v>
      </c>
    </row>
    <row r="2940" spans="1:2" x14ac:dyDescent="0.35">
      <c r="A2940" s="1012">
        <v>42951</v>
      </c>
      <c r="B2940" s="1013">
        <v>1.5941399759729857</v>
      </c>
    </row>
    <row r="2941" spans="1:2" x14ac:dyDescent="0.35">
      <c r="A2941" s="1012">
        <v>42954</v>
      </c>
      <c r="B2941" s="1013">
        <v>1.6112449375516391</v>
      </c>
    </row>
    <row r="2942" spans="1:2" x14ac:dyDescent="0.35">
      <c r="A2942" s="1012">
        <v>42955</v>
      </c>
      <c r="B2942" s="1013">
        <v>1.611023687614292</v>
      </c>
    </row>
    <row r="2943" spans="1:2" x14ac:dyDescent="0.35">
      <c r="A2943" s="1012">
        <v>42956</v>
      </c>
      <c r="B2943" s="1013">
        <v>1.5930456204955186</v>
      </c>
    </row>
    <row r="2944" spans="1:2" x14ac:dyDescent="0.35">
      <c r="A2944" s="1012">
        <v>42957</v>
      </c>
      <c r="B2944" s="1013">
        <v>1.5725361407646286</v>
      </c>
    </row>
    <row r="2945" spans="1:2" x14ac:dyDescent="0.35">
      <c r="A2945" s="1012">
        <v>42958</v>
      </c>
      <c r="B2945" s="1013">
        <v>1.5748562955631202</v>
      </c>
    </row>
    <row r="2946" spans="1:2" x14ac:dyDescent="0.35">
      <c r="A2946" s="1012">
        <v>42961</v>
      </c>
      <c r="B2946" s="1013">
        <v>1.5843478966039921</v>
      </c>
    </row>
    <row r="2947" spans="1:2" x14ac:dyDescent="0.35">
      <c r="A2947" s="1012">
        <v>42962</v>
      </c>
      <c r="B2947" s="1013">
        <v>1.5815959401035042</v>
      </c>
    </row>
    <row r="2948" spans="1:2" x14ac:dyDescent="0.35">
      <c r="A2948" s="1012">
        <v>42963</v>
      </c>
      <c r="B2948" s="1013">
        <v>1.5763104773322036</v>
      </c>
    </row>
    <row r="2949" spans="1:2" x14ac:dyDescent="0.35">
      <c r="A2949" s="1012">
        <v>42964</v>
      </c>
      <c r="B2949" s="1013">
        <v>1.5760942916322038</v>
      </c>
    </row>
    <row r="2950" spans="1:2" x14ac:dyDescent="0.35">
      <c r="A2950" s="1012">
        <v>42965</v>
      </c>
      <c r="B2950" s="1013">
        <v>1.5961466946785974</v>
      </c>
    </row>
    <row r="2951" spans="1:2" x14ac:dyDescent="0.35">
      <c r="A2951" s="1012">
        <v>42968</v>
      </c>
      <c r="B2951" s="1013">
        <v>1.5828277145196614</v>
      </c>
    </row>
    <row r="2952" spans="1:2" x14ac:dyDescent="0.35">
      <c r="A2952" s="1012">
        <v>42969</v>
      </c>
      <c r="B2952" s="1013">
        <v>1.468662807328402</v>
      </c>
    </row>
    <row r="2953" spans="1:2" x14ac:dyDescent="0.35">
      <c r="A2953" s="1012">
        <v>42970</v>
      </c>
      <c r="B2953" s="1013">
        <v>1.4684615507556205</v>
      </c>
    </row>
    <row r="2954" spans="1:2" x14ac:dyDescent="0.35">
      <c r="A2954" s="1012">
        <v>42971</v>
      </c>
      <c r="B2954" s="1013">
        <v>1.4302880989194322</v>
      </c>
    </row>
    <row r="2955" spans="1:2" x14ac:dyDescent="0.35">
      <c r="A2955" s="1012">
        <v>42972</v>
      </c>
      <c r="B2955" s="1013">
        <v>1.4756526127094303</v>
      </c>
    </row>
    <row r="2956" spans="1:2" x14ac:dyDescent="0.35">
      <c r="A2956" s="1012">
        <v>42975</v>
      </c>
      <c r="B2956" s="1013">
        <v>1.4295046439694712</v>
      </c>
    </row>
    <row r="2957" spans="1:2" x14ac:dyDescent="0.35">
      <c r="A2957" s="1012">
        <v>42976</v>
      </c>
      <c r="B2957" s="1013">
        <v>1.429308914321578</v>
      </c>
    </row>
    <row r="2958" spans="1:2" x14ac:dyDescent="0.35">
      <c r="A2958" s="1012">
        <v>42977</v>
      </c>
      <c r="B2958" s="1013">
        <v>1.4291132382654665</v>
      </c>
    </row>
    <row r="2959" spans="1:2" x14ac:dyDescent="0.35">
      <c r="A2959" s="1012">
        <v>42978</v>
      </c>
      <c r="B2959" s="1013">
        <v>1.4339757312332142</v>
      </c>
    </row>
    <row r="2960" spans="1:2" x14ac:dyDescent="0.35">
      <c r="A2960" s="1012">
        <v>42979</v>
      </c>
      <c r="B2960" s="1013">
        <v>1.4489517395391978</v>
      </c>
    </row>
    <row r="2961" spans="1:2" x14ac:dyDescent="0.35">
      <c r="A2961" s="1012">
        <v>42982</v>
      </c>
      <c r="B2961" s="1013">
        <v>1.4382463560375729</v>
      </c>
    </row>
    <row r="2962" spans="1:2" x14ac:dyDescent="0.35">
      <c r="A2962" s="1012">
        <v>42983</v>
      </c>
      <c r="B2962" s="1013">
        <v>1.4329949620755145</v>
      </c>
    </row>
    <row r="2963" spans="1:2" x14ac:dyDescent="0.35">
      <c r="A2963" s="1012">
        <v>42984</v>
      </c>
      <c r="B2963" s="1013">
        <v>1.4378529338315273</v>
      </c>
    </row>
    <row r="2964" spans="1:2" x14ac:dyDescent="0.35">
      <c r="A2964" s="1012">
        <v>42985</v>
      </c>
      <c r="B2964" s="1013">
        <v>1.4307804690520212</v>
      </c>
    </row>
    <row r="2965" spans="1:2" x14ac:dyDescent="0.35">
      <c r="A2965" s="1012">
        <v>42986</v>
      </c>
      <c r="B2965" s="1013">
        <v>1.4356399026643043</v>
      </c>
    </row>
    <row r="2966" spans="1:2" x14ac:dyDescent="0.35">
      <c r="A2966" s="1012">
        <v>42989</v>
      </c>
      <c r="B2966" s="1013">
        <v>1.4502102333676405</v>
      </c>
    </row>
    <row r="2967" spans="1:2" x14ac:dyDescent="0.35">
      <c r="A2967" s="1012">
        <v>42990</v>
      </c>
      <c r="B2967" s="1013">
        <v>1.4500120485834143</v>
      </c>
    </row>
    <row r="2968" spans="1:2" x14ac:dyDescent="0.35">
      <c r="A2968" s="1012">
        <v>42991</v>
      </c>
      <c r="B2968" s="1013">
        <v>1.4624429590566002</v>
      </c>
    </row>
    <row r="2969" spans="1:2" x14ac:dyDescent="0.35">
      <c r="A2969" s="1012">
        <v>42992</v>
      </c>
      <c r="B2969" s="1013">
        <v>1.4622431571656551</v>
      </c>
    </row>
    <row r="2970" spans="1:2" x14ac:dyDescent="0.35">
      <c r="A2970" s="1012">
        <v>42993</v>
      </c>
      <c r="B2970" s="1013">
        <v>1.4556477701518526</v>
      </c>
    </row>
    <row r="2971" spans="1:2" x14ac:dyDescent="0.35">
      <c r="A2971" s="1012">
        <v>42996</v>
      </c>
      <c r="B2971" s="1013">
        <v>1.4857379740677537</v>
      </c>
    </row>
    <row r="2972" spans="1:2" x14ac:dyDescent="0.35">
      <c r="A2972" s="1012">
        <v>42997</v>
      </c>
      <c r="B2972" s="1013">
        <v>1.4727508327084025</v>
      </c>
    </row>
    <row r="2973" spans="1:2" x14ac:dyDescent="0.35">
      <c r="A2973" s="1012">
        <v>42998</v>
      </c>
      <c r="B2973" s="1013">
        <v>1.4802193174807985</v>
      </c>
    </row>
    <row r="2974" spans="1:2" x14ac:dyDescent="0.35">
      <c r="A2974" s="1012">
        <v>42999</v>
      </c>
      <c r="B2974" s="1013">
        <v>1.4646803135334472</v>
      </c>
    </row>
    <row r="2975" spans="1:2" x14ac:dyDescent="0.35">
      <c r="A2975" s="1012">
        <v>43000</v>
      </c>
      <c r="B2975" s="1013">
        <v>1.4644804244446317</v>
      </c>
    </row>
    <row r="2976" spans="1:2" x14ac:dyDescent="0.35">
      <c r="A2976" s="1012">
        <v>43003</v>
      </c>
      <c r="B2976" s="1013">
        <v>1.4459977203646284</v>
      </c>
    </row>
    <row r="2977" spans="1:2" x14ac:dyDescent="0.35">
      <c r="A2977" s="1012">
        <v>43004</v>
      </c>
      <c r="B2977" s="1013">
        <v>1.44835490643396</v>
      </c>
    </row>
    <row r="2978" spans="1:2" x14ac:dyDescent="0.35">
      <c r="A2978" s="1012">
        <v>43005</v>
      </c>
      <c r="B2978" s="1013">
        <v>1.4430492411978959</v>
      </c>
    </row>
    <row r="2979" spans="1:2" x14ac:dyDescent="0.35">
      <c r="A2979" s="1012">
        <v>43006</v>
      </c>
      <c r="B2979" s="1013">
        <v>1.4402987441129553</v>
      </c>
    </row>
    <row r="2980" spans="1:2" x14ac:dyDescent="0.35">
      <c r="A2980" s="1012">
        <v>43007</v>
      </c>
      <c r="B2980" s="1013">
        <v>1.452869235027032</v>
      </c>
    </row>
    <row r="2981" spans="1:2" x14ac:dyDescent="0.35">
      <c r="A2981" s="1012">
        <v>43017</v>
      </c>
      <c r="B2981" s="1013">
        <v>1.4763900165290509</v>
      </c>
    </row>
    <row r="2982" spans="1:2" x14ac:dyDescent="0.35">
      <c r="A2982" s="1012">
        <v>43018</v>
      </c>
      <c r="B2982" s="1013">
        <v>1.4659908260753447</v>
      </c>
    </row>
    <row r="2983" spans="1:2" x14ac:dyDescent="0.35">
      <c r="A2983" s="1012">
        <v>43019</v>
      </c>
      <c r="B2983" s="1013">
        <v>1.481086488878715</v>
      </c>
    </row>
    <row r="2984" spans="1:2" x14ac:dyDescent="0.35">
      <c r="A2984" s="1012">
        <v>43020</v>
      </c>
      <c r="B2984" s="1013">
        <v>1.4757872004536643</v>
      </c>
    </row>
    <row r="2985" spans="1:2" x14ac:dyDescent="0.35">
      <c r="A2985" s="1012">
        <v>43021</v>
      </c>
      <c r="B2985" s="1013">
        <v>1.4730378627260801</v>
      </c>
    </row>
    <row r="2986" spans="1:2" x14ac:dyDescent="0.35">
      <c r="A2986" s="1012">
        <v>43024</v>
      </c>
      <c r="B2986" s="1013">
        <v>1.4851740846658856</v>
      </c>
    </row>
    <row r="2987" spans="1:2" x14ac:dyDescent="0.35">
      <c r="A2987" s="1012">
        <v>43025</v>
      </c>
      <c r="B2987" s="1013">
        <v>1.4671422343679559</v>
      </c>
    </row>
    <row r="2988" spans="1:2" x14ac:dyDescent="0.35">
      <c r="A2988" s="1012">
        <v>43026</v>
      </c>
      <c r="B2988" s="1013">
        <v>1.4491152883838863</v>
      </c>
    </row>
    <row r="2989" spans="1:2" x14ac:dyDescent="0.35">
      <c r="A2989" s="1012">
        <v>43027</v>
      </c>
      <c r="B2989" s="1013">
        <v>1.4336396739741857</v>
      </c>
    </row>
    <row r="2990" spans="1:2" x14ac:dyDescent="0.35">
      <c r="A2990" s="1012">
        <v>43028</v>
      </c>
      <c r="B2990" s="1013">
        <v>1.4487212642733263</v>
      </c>
    </row>
    <row r="2991" spans="1:2" x14ac:dyDescent="0.35">
      <c r="A2991" s="1012">
        <v>43031</v>
      </c>
      <c r="B2991" s="1013">
        <v>1.4404954945800921</v>
      </c>
    </row>
    <row r="2992" spans="1:2" x14ac:dyDescent="0.35">
      <c r="A2992" s="1012">
        <v>43032</v>
      </c>
      <c r="B2992" s="1013">
        <v>1.44029976085713</v>
      </c>
    </row>
    <row r="2993" spans="1:2" x14ac:dyDescent="0.35">
      <c r="A2993" s="1012">
        <v>43033</v>
      </c>
      <c r="B2993" s="1013">
        <v>1.4451927873169135</v>
      </c>
    </row>
    <row r="2994" spans="1:2" x14ac:dyDescent="0.35">
      <c r="A2994" s="1012">
        <v>43034</v>
      </c>
      <c r="B2994" s="1013">
        <v>1.4348204372101963</v>
      </c>
    </row>
    <row r="2995" spans="1:2" x14ac:dyDescent="0.35">
      <c r="A2995" s="1012">
        <v>43035</v>
      </c>
      <c r="B2995" s="1013">
        <v>1.4193635800734183</v>
      </c>
    </row>
    <row r="2996" spans="1:2" x14ac:dyDescent="0.35">
      <c r="A2996" s="1012">
        <v>43038</v>
      </c>
      <c r="B2996" s="1013">
        <v>1.4060723330054472</v>
      </c>
    </row>
    <row r="2997" spans="1:2" x14ac:dyDescent="0.35">
      <c r="A2997" s="1012">
        <v>43039</v>
      </c>
      <c r="B2997" s="1013">
        <v>1.3931700526443271</v>
      </c>
    </row>
    <row r="2998" spans="1:2" x14ac:dyDescent="0.35">
      <c r="A2998" s="1012">
        <v>43040</v>
      </c>
      <c r="B2998" s="1013">
        <v>1.3929809550317969</v>
      </c>
    </row>
    <row r="2999" spans="1:2" x14ac:dyDescent="0.35">
      <c r="A2999" s="1012">
        <v>43041</v>
      </c>
      <c r="B2999" s="1013">
        <v>1.3927919087454548</v>
      </c>
    </row>
    <row r="3000" spans="1:2" x14ac:dyDescent="0.35">
      <c r="A3000" s="1012">
        <v>43042</v>
      </c>
      <c r="B3000" s="1013">
        <v>1.3849791751854046</v>
      </c>
    </row>
    <row r="3001" spans="1:2" x14ac:dyDescent="0.35">
      <c r="A3001" s="1012">
        <v>43045</v>
      </c>
      <c r="B3001" s="1013">
        <v>1.3691743274515593</v>
      </c>
    </row>
    <row r="3002" spans="1:2" x14ac:dyDescent="0.35">
      <c r="A3002" s="1012">
        <v>43046</v>
      </c>
      <c r="B3002" s="1013">
        <v>1.3689886380481511</v>
      </c>
    </row>
    <row r="3003" spans="1:2" x14ac:dyDescent="0.35">
      <c r="A3003" s="1012">
        <v>43047</v>
      </c>
      <c r="B3003" s="1013">
        <v>1.3586449062478507</v>
      </c>
    </row>
    <row r="3004" spans="1:2" x14ac:dyDescent="0.35">
      <c r="A3004" s="1012">
        <v>43048</v>
      </c>
      <c r="B3004" s="1013">
        <v>1.3660782314323205</v>
      </c>
    </row>
    <row r="3005" spans="1:2" x14ac:dyDescent="0.35">
      <c r="A3005" s="1012">
        <v>43049</v>
      </c>
      <c r="B3005" s="1013">
        <v>1.3658930372748332</v>
      </c>
    </row>
    <row r="3006" spans="1:2" x14ac:dyDescent="0.35">
      <c r="A3006" s="1012">
        <v>43052</v>
      </c>
      <c r="B3006" s="1013">
        <v>1.3627999534325528</v>
      </c>
    </row>
    <row r="3007" spans="1:2" x14ac:dyDescent="0.35">
      <c r="A3007" s="1012">
        <v>43053</v>
      </c>
      <c r="B3007" s="1013">
        <v>1.3524654691627118</v>
      </c>
    </row>
    <row r="3008" spans="1:2" x14ac:dyDescent="0.35">
      <c r="A3008" s="1012">
        <v>43054</v>
      </c>
      <c r="B3008" s="1013">
        <v>1.3218368657662318</v>
      </c>
    </row>
    <row r="3009" spans="1:2" x14ac:dyDescent="0.35">
      <c r="A3009" s="1012">
        <v>43055</v>
      </c>
      <c r="B3009" s="1013">
        <v>1.3292681285994832</v>
      </c>
    </row>
    <row r="3010" spans="1:2" x14ac:dyDescent="0.35">
      <c r="A3010" s="1012">
        <v>43056</v>
      </c>
      <c r="B3010" s="1013">
        <v>1.3214788125065238</v>
      </c>
    </row>
    <row r="3011" spans="1:2" x14ac:dyDescent="0.35">
      <c r="A3011" s="1012">
        <v>43059</v>
      </c>
      <c r="B3011" s="1013">
        <v>1.2829111337119254</v>
      </c>
    </row>
    <row r="3012" spans="1:2" x14ac:dyDescent="0.35">
      <c r="A3012" s="1012">
        <v>43060</v>
      </c>
      <c r="B3012" s="1013">
        <v>1.2751323102925243</v>
      </c>
    </row>
    <row r="3013" spans="1:2" x14ac:dyDescent="0.35">
      <c r="A3013" s="1012">
        <v>43061</v>
      </c>
      <c r="B3013" s="1013">
        <v>1.3307233721670988</v>
      </c>
    </row>
    <row r="3014" spans="1:2" x14ac:dyDescent="0.35">
      <c r="A3014" s="1012">
        <v>43062</v>
      </c>
      <c r="B3014" s="1013">
        <v>1.317871447468572</v>
      </c>
    </row>
    <row r="3015" spans="1:2" x14ac:dyDescent="0.35">
      <c r="A3015" s="1012">
        <v>43063</v>
      </c>
      <c r="B3015" s="1013">
        <v>1.3100910512329258</v>
      </c>
    </row>
    <row r="3016" spans="1:2" x14ac:dyDescent="0.35">
      <c r="A3016" s="1012">
        <v>43066</v>
      </c>
      <c r="B3016" s="1013">
        <v>1.2968944786510102</v>
      </c>
    </row>
    <row r="3017" spans="1:2" x14ac:dyDescent="0.35">
      <c r="A3017" s="1012">
        <v>43067</v>
      </c>
      <c r="B3017" s="1013">
        <v>1.2891211280303421</v>
      </c>
    </row>
    <row r="3018" spans="1:2" x14ac:dyDescent="0.35">
      <c r="A3018" s="1012">
        <v>43068</v>
      </c>
      <c r="B3018" s="1013">
        <v>1.2838821916185621</v>
      </c>
    </row>
    <row r="3019" spans="1:2" x14ac:dyDescent="0.35">
      <c r="A3019" s="1012">
        <v>43069</v>
      </c>
      <c r="B3019" s="1013">
        <v>1.2837086111065528</v>
      </c>
    </row>
    <row r="3020" spans="1:2" x14ac:dyDescent="0.35">
      <c r="A3020" s="1012">
        <v>43070</v>
      </c>
      <c r="B3020" s="1013">
        <v>1.3189778607300702</v>
      </c>
    </row>
    <row r="3021" spans="1:2" x14ac:dyDescent="0.35">
      <c r="A3021" s="1012">
        <v>43073</v>
      </c>
      <c r="B3021" s="1013">
        <v>1.3108513702756552</v>
      </c>
    </row>
    <row r="3022" spans="1:2" x14ac:dyDescent="0.35">
      <c r="A3022" s="1012">
        <v>43074</v>
      </c>
      <c r="B3022" s="1013">
        <v>1.3207953000443013</v>
      </c>
    </row>
    <row r="3023" spans="1:2" x14ac:dyDescent="0.35">
      <c r="A3023" s="1012">
        <v>43075</v>
      </c>
      <c r="B3023" s="1013">
        <v>1.2978476171877096</v>
      </c>
    </row>
    <row r="3024" spans="1:2" x14ac:dyDescent="0.35">
      <c r="A3024" s="1012">
        <v>43076</v>
      </c>
      <c r="B3024" s="1013">
        <v>1.2824948604899447</v>
      </c>
    </row>
    <row r="3025" spans="1:2" x14ac:dyDescent="0.35">
      <c r="A3025" s="1012">
        <v>43077</v>
      </c>
      <c r="B3025" s="1013">
        <v>1.2873801229501112</v>
      </c>
    </row>
    <row r="3026" spans="1:2" x14ac:dyDescent="0.35">
      <c r="A3026" s="1012">
        <v>43080</v>
      </c>
      <c r="B3026" s="1013">
        <v>1.2969715768640404</v>
      </c>
    </row>
    <row r="3027" spans="1:2" x14ac:dyDescent="0.35">
      <c r="A3027" s="1012">
        <v>43081</v>
      </c>
      <c r="B3027" s="1013">
        <v>1.314491589790918</v>
      </c>
    </row>
    <row r="3028" spans="1:2" x14ac:dyDescent="0.35">
      <c r="A3028" s="1012">
        <v>43082</v>
      </c>
      <c r="B3028" s="1013">
        <v>1.3218967645302186</v>
      </c>
    </row>
    <row r="3029" spans="1:2" x14ac:dyDescent="0.35">
      <c r="A3029" s="1012">
        <v>43083</v>
      </c>
      <c r="B3029" s="1013">
        <v>1.339408685493493</v>
      </c>
    </row>
    <row r="3030" spans="1:2" x14ac:dyDescent="0.35">
      <c r="A3030" s="1012">
        <v>43084</v>
      </c>
      <c r="B3030" s="1013">
        <v>1.306378976512881</v>
      </c>
    </row>
    <row r="3031" spans="1:2" x14ac:dyDescent="0.35">
      <c r="A3031" s="1012">
        <v>43087</v>
      </c>
      <c r="B3031" s="1013">
        <v>1.3058503966491273</v>
      </c>
    </row>
    <row r="3032" spans="1:2" x14ac:dyDescent="0.35">
      <c r="A3032" s="1012">
        <v>43088</v>
      </c>
      <c r="B3032" s="1013">
        <v>1.3183017094118932</v>
      </c>
    </row>
    <row r="3033" spans="1:2" x14ac:dyDescent="0.35">
      <c r="A3033" s="1012">
        <v>43089</v>
      </c>
      <c r="B3033" s="1013">
        <v>1.3155988143566437</v>
      </c>
    </row>
    <row r="3034" spans="1:2" x14ac:dyDescent="0.35">
      <c r="A3034" s="1012">
        <v>43090</v>
      </c>
      <c r="B3034" s="1013">
        <v>1.3457190642958561</v>
      </c>
    </row>
    <row r="3035" spans="1:2" x14ac:dyDescent="0.35">
      <c r="A3035" s="1012">
        <v>43091</v>
      </c>
      <c r="B3035" s="1013">
        <v>1.3581599675459608</v>
      </c>
    </row>
    <row r="3036" spans="1:2" x14ac:dyDescent="0.35">
      <c r="A3036" s="1012">
        <v>43094</v>
      </c>
      <c r="B3036" s="1013">
        <v>1.3576109546662334</v>
      </c>
    </row>
    <row r="3037" spans="1:2" x14ac:dyDescent="0.35">
      <c r="A3037" s="1012">
        <v>43095</v>
      </c>
      <c r="B3037" s="1013">
        <v>1.3574280489948323</v>
      </c>
    </row>
    <row r="3038" spans="1:2" x14ac:dyDescent="0.35">
      <c r="A3038" s="1012">
        <v>43096</v>
      </c>
      <c r="B3038" s="1013">
        <v>1.3723817560873974</v>
      </c>
    </row>
    <row r="3039" spans="1:2" x14ac:dyDescent="0.35">
      <c r="A3039" s="1012">
        <v>43097</v>
      </c>
      <c r="B3039" s="1013">
        <v>1.367152068628553</v>
      </c>
    </row>
    <row r="3040" spans="1:2" x14ac:dyDescent="0.35">
      <c r="A3040" s="1012">
        <v>43098</v>
      </c>
      <c r="B3040" s="1013">
        <v>1.3795783573964331</v>
      </c>
    </row>
    <row r="3041" spans="1:2" x14ac:dyDescent="0.35">
      <c r="A3041" s="1012">
        <v>43102</v>
      </c>
      <c r="B3041" s="1013">
        <v>1.438993247885747</v>
      </c>
    </row>
    <row r="3042" spans="1:2" x14ac:dyDescent="0.35">
      <c r="A3042" s="1012">
        <v>43103</v>
      </c>
      <c r="B3042" s="1013">
        <v>1.4258642043948988</v>
      </c>
    </row>
    <row r="3043" spans="1:2" x14ac:dyDescent="0.35">
      <c r="A3043" s="1012">
        <v>43104</v>
      </c>
      <c r="B3043" s="1013">
        <v>1.4026718372123885</v>
      </c>
    </row>
    <row r="3044" spans="1:2" x14ac:dyDescent="0.35">
      <c r="A3044" s="1012">
        <v>43105</v>
      </c>
      <c r="B3044" s="1013">
        <v>1.4298432330833133</v>
      </c>
    </row>
    <row r="3045" spans="1:2" x14ac:dyDescent="0.35">
      <c r="A3045" s="1012">
        <v>43108</v>
      </c>
      <c r="B3045" s="1013">
        <v>1.4835769482341123</v>
      </c>
    </row>
    <row r="3046" spans="1:2" x14ac:dyDescent="0.35">
      <c r="A3046" s="1012">
        <v>43109</v>
      </c>
      <c r="B3046" s="1013">
        <v>1.4805149734851955</v>
      </c>
    </row>
    <row r="3047" spans="1:2" x14ac:dyDescent="0.35">
      <c r="A3047" s="1012">
        <v>43110</v>
      </c>
      <c r="B3047" s="1013">
        <v>1.4824806194963425</v>
      </c>
    </row>
    <row r="3048" spans="1:2" x14ac:dyDescent="0.35">
      <c r="A3048" s="1012">
        <v>43111</v>
      </c>
      <c r="B3048" s="1013">
        <v>1.5271445796857936</v>
      </c>
    </row>
    <row r="3049" spans="1:2" x14ac:dyDescent="0.35">
      <c r="A3049" s="1012">
        <v>43112</v>
      </c>
      <c r="B3049" s="1013">
        <v>1.4989616749173045</v>
      </c>
    </row>
    <row r="3050" spans="1:2" x14ac:dyDescent="0.35">
      <c r="A3050" s="1012">
        <v>43115</v>
      </c>
      <c r="B3050" s="1013">
        <v>1.4446342358154476</v>
      </c>
    </row>
    <row r="3051" spans="1:2" x14ac:dyDescent="0.35">
      <c r="A3051" s="1012">
        <v>43116</v>
      </c>
      <c r="B3051" s="1013">
        <v>1.4340731574312393</v>
      </c>
    </row>
    <row r="3052" spans="1:2" x14ac:dyDescent="0.35">
      <c r="A3052" s="1012">
        <v>43117</v>
      </c>
      <c r="B3052" s="1013">
        <v>1.4485818327284823</v>
      </c>
    </row>
    <row r="3053" spans="1:2" x14ac:dyDescent="0.35">
      <c r="A3053" s="1012">
        <v>43118</v>
      </c>
      <c r="B3053" s="1013">
        <v>1.4505534497466417</v>
      </c>
    </row>
    <row r="3054" spans="1:2" x14ac:dyDescent="0.35">
      <c r="A3054" s="1012">
        <v>43119</v>
      </c>
      <c r="B3054" s="1013">
        <v>1.4400018593164112</v>
      </c>
    </row>
    <row r="3055" spans="1:2" x14ac:dyDescent="0.35">
      <c r="A3055" s="1012">
        <v>43122</v>
      </c>
      <c r="B3055" s="1013">
        <v>1.4484190630321068</v>
      </c>
    </row>
    <row r="3056" spans="1:2" x14ac:dyDescent="0.35">
      <c r="A3056" s="1012">
        <v>43123</v>
      </c>
      <c r="B3056" s="1013">
        <v>1.4478864474297501</v>
      </c>
    </row>
    <row r="3057" spans="1:2" x14ac:dyDescent="0.35">
      <c r="A3057" s="1012">
        <v>43124</v>
      </c>
      <c r="B3057" s="1013">
        <v>1.4748514538886188</v>
      </c>
    </row>
    <row r="3058" spans="1:2" x14ac:dyDescent="0.35">
      <c r="A3058" s="1012">
        <v>43125</v>
      </c>
      <c r="B3058" s="1013">
        <v>1.4568177092482346</v>
      </c>
    </row>
    <row r="3059" spans="1:2" x14ac:dyDescent="0.35">
      <c r="A3059" s="1012">
        <v>43126</v>
      </c>
      <c r="B3059" s="1013">
        <v>1.483759625703476</v>
      </c>
    </row>
    <row r="3060" spans="1:2" x14ac:dyDescent="0.35">
      <c r="A3060" s="1012">
        <v>43129</v>
      </c>
      <c r="B3060" s="1013">
        <v>1.4796312335508577</v>
      </c>
    </row>
    <row r="3061" spans="1:2" x14ac:dyDescent="0.35">
      <c r="A3061" s="1012">
        <v>43130</v>
      </c>
      <c r="B3061" s="1013">
        <v>1.4316978423449518</v>
      </c>
    </row>
    <row r="3062" spans="1:2" x14ac:dyDescent="0.35">
      <c r="A3062" s="1012">
        <v>43131</v>
      </c>
      <c r="B3062" s="1013">
        <v>1.4112262588069451</v>
      </c>
    </row>
    <row r="3063" spans="1:2" x14ac:dyDescent="0.35">
      <c r="A3063" s="1012">
        <v>43132</v>
      </c>
      <c r="B3063" s="1013">
        <v>1.4057241940133673</v>
      </c>
    </row>
    <row r="3064" spans="1:2" x14ac:dyDescent="0.35">
      <c r="A3064" s="1012">
        <v>43133</v>
      </c>
      <c r="B3064" s="1013">
        <v>1.4176667002255661</v>
      </c>
    </row>
    <row r="3065" spans="1:2" x14ac:dyDescent="0.35">
      <c r="A3065" s="1012">
        <v>43136</v>
      </c>
      <c r="B3065" s="1013">
        <v>1.4061551383390858</v>
      </c>
    </row>
    <row r="3066" spans="1:2" x14ac:dyDescent="0.35">
      <c r="A3066" s="1012">
        <v>43137</v>
      </c>
      <c r="B3066" s="1013">
        <v>1.3558835190729193</v>
      </c>
    </row>
    <row r="3067" spans="1:2" x14ac:dyDescent="0.35">
      <c r="A3067" s="1012">
        <v>43138</v>
      </c>
      <c r="B3067" s="1013">
        <v>1.3081356188040476</v>
      </c>
    </row>
    <row r="3068" spans="1:2" x14ac:dyDescent="0.35">
      <c r="A3068" s="1012">
        <v>43139</v>
      </c>
      <c r="B3068" s="1013">
        <v>1.3076574021279186</v>
      </c>
    </row>
    <row r="3069" spans="1:2" x14ac:dyDescent="0.35">
      <c r="A3069" s="1012">
        <v>43140</v>
      </c>
      <c r="B3069" s="1013">
        <v>1.2674174198363599</v>
      </c>
    </row>
    <row r="3070" spans="1:2" x14ac:dyDescent="0.35">
      <c r="A3070" s="1012">
        <v>43143</v>
      </c>
      <c r="B3070" s="1013">
        <v>1.26602945560644</v>
      </c>
    </row>
    <row r="3071" spans="1:2" x14ac:dyDescent="0.35">
      <c r="A3071" s="1012">
        <v>43144</v>
      </c>
      <c r="B3071" s="1013">
        <v>1.3077530587004633</v>
      </c>
    </row>
    <row r="3072" spans="1:2" x14ac:dyDescent="0.35">
      <c r="A3072" s="1012">
        <v>43145</v>
      </c>
      <c r="B3072" s="1013">
        <v>1.3221596262529907</v>
      </c>
    </row>
    <row r="3073" spans="1:2" x14ac:dyDescent="0.35">
      <c r="A3073" s="1012">
        <v>43153</v>
      </c>
      <c r="B3073" s="1013">
        <v>1.3133658040348963</v>
      </c>
    </row>
    <row r="3074" spans="1:2" x14ac:dyDescent="0.35">
      <c r="A3074" s="1012">
        <v>43154</v>
      </c>
      <c r="B3074" s="1013">
        <v>1.3301956724512407</v>
      </c>
    </row>
    <row r="3075" spans="1:2" x14ac:dyDescent="0.35">
      <c r="A3075" s="1012">
        <v>43157</v>
      </c>
      <c r="B3075" s="1013">
        <v>1.3410953096286953</v>
      </c>
    </row>
    <row r="3076" spans="1:2" x14ac:dyDescent="0.35">
      <c r="A3076" s="1012">
        <v>43158</v>
      </c>
      <c r="B3076" s="1013">
        <v>1.3233261807657077</v>
      </c>
    </row>
    <row r="3077" spans="1:2" x14ac:dyDescent="0.35">
      <c r="A3077" s="1012">
        <v>43159</v>
      </c>
      <c r="B3077" s="1013">
        <v>1.3154419338608236</v>
      </c>
    </row>
    <row r="3078" spans="1:2" x14ac:dyDescent="0.35">
      <c r="A3078" s="1012">
        <v>43160</v>
      </c>
      <c r="B3078" s="1013">
        <v>1.3075634075458222</v>
      </c>
    </row>
    <row r="3079" spans="1:2" x14ac:dyDescent="0.35">
      <c r="A3079" s="1012">
        <v>43161</v>
      </c>
      <c r="B3079" s="1013">
        <v>1.3021568016606615</v>
      </c>
    </row>
    <row r="3080" spans="1:2" x14ac:dyDescent="0.35">
      <c r="A3080" s="1012">
        <v>43164</v>
      </c>
      <c r="B3080" s="1013">
        <v>1.3007416422194293</v>
      </c>
    </row>
    <row r="3081" spans="1:2" x14ac:dyDescent="0.35">
      <c r="A3081" s="1012">
        <v>43165</v>
      </c>
      <c r="B3081" s="1013">
        <v>1.297807971976829</v>
      </c>
    </row>
    <row r="3082" spans="1:2" x14ac:dyDescent="0.35">
      <c r="A3082" s="1012">
        <v>43166</v>
      </c>
      <c r="B3082" s="1013">
        <v>1.3096468792254452</v>
      </c>
    </row>
    <row r="3083" spans="1:2" x14ac:dyDescent="0.35">
      <c r="A3083" s="1012">
        <v>43167</v>
      </c>
      <c r="B3083" s="1013">
        <v>1.3165555153905668</v>
      </c>
    </row>
    <row r="3084" spans="1:2" x14ac:dyDescent="0.35">
      <c r="A3084" s="1012">
        <v>43168</v>
      </c>
      <c r="B3084" s="1013">
        <v>1.3308390371027459</v>
      </c>
    </row>
    <row r="3085" spans="1:2" x14ac:dyDescent="0.35">
      <c r="A3085" s="1012">
        <v>43171</v>
      </c>
      <c r="B3085" s="1013">
        <v>1.3293963647105609</v>
      </c>
    </row>
    <row r="3086" spans="1:2" x14ac:dyDescent="0.35">
      <c r="A3086" s="1012">
        <v>43172</v>
      </c>
      <c r="B3086" s="1013">
        <v>1.2969828781692687</v>
      </c>
    </row>
    <row r="3087" spans="1:2" x14ac:dyDescent="0.35">
      <c r="A3087" s="1012">
        <v>43173</v>
      </c>
      <c r="B3087" s="1013">
        <v>1.3161587195356075</v>
      </c>
    </row>
    <row r="3088" spans="1:2" x14ac:dyDescent="0.35">
      <c r="A3088" s="1012">
        <v>43174</v>
      </c>
      <c r="B3088" s="1013">
        <v>1.3205929157210765</v>
      </c>
    </row>
    <row r="3089" spans="1:2" x14ac:dyDescent="0.35">
      <c r="A3089" s="1012">
        <v>43175</v>
      </c>
      <c r="B3089" s="1013">
        <v>1.2759489522872571</v>
      </c>
    </row>
    <row r="3090" spans="1:2" x14ac:dyDescent="0.35">
      <c r="A3090" s="1012">
        <v>43178</v>
      </c>
      <c r="B3090" s="1013">
        <v>1.2623137985177253</v>
      </c>
    </row>
    <row r="3091" spans="1:2" x14ac:dyDescent="0.35">
      <c r="A3091" s="1012">
        <v>43179</v>
      </c>
      <c r="B3091" s="1013">
        <v>1.2594087720475393</v>
      </c>
    </row>
    <row r="3092" spans="1:2" x14ac:dyDescent="0.35">
      <c r="A3092" s="1012">
        <v>43180</v>
      </c>
      <c r="B3092" s="1013">
        <v>1.2393605343650422</v>
      </c>
    </row>
    <row r="3093" spans="1:2" x14ac:dyDescent="0.35">
      <c r="A3093" s="1012">
        <v>43181</v>
      </c>
      <c r="B3093" s="1013">
        <v>1.2242236276515632</v>
      </c>
    </row>
    <row r="3094" spans="1:2" x14ac:dyDescent="0.35">
      <c r="A3094" s="1012">
        <v>43182</v>
      </c>
      <c r="B3094" s="1013">
        <v>1.2152165319572861</v>
      </c>
    </row>
    <row r="3095" spans="1:2" x14ac:dyDescent="0.35">
      <c r="A3095" s="1012">
        <v>43185</v>
      </c>
      <c r="B3095" s="1013">
        <v>1.1906790303601726</v>
      </c>
    </row>
    <row r="3096" spans="1:2" x14ac:dyDescent="0.35">
      <c r="A3096" s="1012">
        <v>43186</v>
      </c>
      <c r="B3096" s="1013">
        <v>1.1902511049749245</v>
      </c>
    </row>
    <row r="3097" spans="1:2" x14ac:dyDescent="0.35">
      <c r="A3097" s="1012">
        <v>43187</v>
      </c>
      <c r="B3097" s="1013">
        <v>1.1653917932889459</v>
      </c>
    </row>
    <row r="3098" spans="1:2" x14ac:dyDescent="0.35">
      <c r="A3098" s="1012">
        <v>43188</v>
      </c>
      <c r="B3098" s="1013">
        <v>1.1698578407647506</v>
      </c>
    </row>
    <row r="3099" spans="1:2" x14ac:dyDescent="0.35">
      <c r="A3099" s="1012">
        <v>43189</v>
      </c>
      <c r="B3099" s="1013">
        <v>1.1694378512613384</v>
      </c>
    </row>
    <row r="3100" spans="1:2" x14ac:dyDescent="0.35">
      <c r="A3100" s="1012">
        <v>43192</v>
      </c>
      <c r="B3100" s="1013">
        <v>1.16817969016465</v>
      </c>
    </row>
    <row r="3101" spans="1:2" x14ac:dyDescent="0.35">
      <c r="A3101" s="1012">
        <v>43193</v>
      </c>
      <c r="B3101" s="1013">
        <v>1.1677609045236912</v>
      </c>
    </row>
    <row r="3102" spans="1:2" x14ac:dyDescent="0.35">
      <c r="A3102" s="1012">
        <v>43194</v>
      </c>
      <c r="B3102" s="1013">
        <v>1.1649053784987806</v>
      </c>
    </row>
    <row r="3103" spans="1:2" x14ac:dyDescent="0.35">
      <c r="A3103" s="1012">
        <v>43199</v>
      </c>
      <c r="B3103" s="1013">
        <v>1.1822832538432571</v>
      </c>
    </row>
    <row r="3104" spans="1:2" x14ac:dyDescent="0.35">
      <c r="A3104" s="1012">
        <v>43200</v>
      </c>
      <c r="B3104" s="1013">
        <v>1.2037467781651843</v>
      </c>
    </row>
    <row r="3105" spans="1:2" x14ac:dyDescent="0.35">
      <c r="A3105" s="1012">
        <v>43201</v>
      </c>
      <c r="B3105" s="1013">
        <v>1.2422115540287764</v>
      </c>
    </row>
    <row r="3106" spans="1:2" x14ac:dyDescent="0.35">
      <c r="A3106" s="1012">
        <v>43202</v>
      </c>
      <c r="B3106" s="1013">
        <v>1.2466278079927386</v>
      </c>
    </row>
    <row r="3107" spans="1:2" x14ac:dyDescent="0.35">
      <c r="A3107" s="1012">
        <v>43203</v>
      </c>
      <c r="B3107" s="1013">
        <v>1.234036467353897</v>
      </c>
    </row>
    <row r="3108" spans="1:2" x14ac:dyDescent="0.35">
      <c r="A3108" s="1012">
        <v>43206</v>
      </c>
      <c r="B3108" s="1013">
        <v>1.2096626898112401</v>
      </c>
    </row>
    <row r="3109" spans="1:2" x14ac:dyDescent="0.35">
      <c r="A3109" s="1012">
        <v>43207</v>
      </c>
      <c r="B3109" s="1013">
        <v>1.1764837135654767</v>
      </c>
    </row>
    <row r="3110" spans="1:2" x14ac:dyDescent="0.35">
      <c r="A3110" s="1012">
        <v>43208</v>
      </c>
      <c r="B3110" s="1013">
        <v>1.1930383294141749</v>
      </c>
    </row>
    <row r="3111" spans="1:2" x14ac:dyDescent="0.35">
      <c r="A3111" s="1012">
        <v>43209</v>
      </c>
      <c r="B3111" s="1013">
        <v>1.224125205334855</v>
      </c>
    </row>
    <row r="3112" spans="1:2" x14ac:dyDescent="0.35">
      <c r="A3112" s="1012">
        <v>43210</v>
      </c>
      <c r="B3112" s="1013">
        <v>1.1873418231604895</v>
      </c>
    </row>
    <row r="3113" spans="1:2" x14ac:dyDescent="0.35">
      <c r="A3113" s="1012">
        <v>43213</v>
      </c>
      <c r="B3113" s="1013">
        <v>1.1969664640643034</v>
      </c>
    </row>
    <row r="3114" spans="1:2" x14ac:dyDescent="0.35">
      <c r="A3114" s="1012">
        <v>43214</v>
      </c>
      <c r="B3114" s="1013">
        <v>1.1953307159593836</v>
      </c>
    </row>
    <row r="3115" spans="1:2" x14ac:dyDescent="0.35">
      <c r="A3115" s="1012">
        <v>43215</v>
      </c>
      <c r="B3115" s="1013">
        <v>1.1816019457600566</v>
      </c>
    </row>
    <row r="3116" spans="1:2" x14ac:dyDescent="0.35">
      <c r="A3116" s="1012">
        <v>43216</v>
      </c>
      <c r="B3116" s="1013">
        <v>1.1739278811767071</v>
      </c>
    </row>
    <row r="3117" spans="1:2" x14ac:dyDescent="0.35">
      <c r="A3117" s="1012">
        <v>43217</v>
      </c>
      <c r="B3117" s="1013">
        <v>1.1880133308293532</v>
      </c>
    </row>
    <row r="3118" spans="1:2" x14ac:dyDescent="0.35">
      <c r="A3118" s="1012">
        <v>43222</v>
      </c>
      <c r="B3118" s="1013">
        <v>1.2088276438500289</v>
      </c>
    </row>
    <row r="3119" spans="1:2" x14ac:dyDescent="0.35">
      <c r="A3119" s="1012">
        <v>43223</v>
      </c>
      <c r="B3119" s="1013">
        <v>1.1698073156997317</v>
      </c>
    </row>
    <row r="3120" spans="1:2" x14ac:dyDescent="0.35">
      <c r="A3120" s="1012">
        <v>43224</v>
      </c>
      <c r="B3120" s="1013">
        <v>1.1573369625626164</v>
      </c>
    </row>
    <row r="3121" spans="1:2" x14ac:dyDescent="0.35">
      <c r="A3121" s="1012">
        <v>43227</v>
      </c>
      <c r="B3121" s="1013">
        <v>1.1500858635062756</v>
      </c>
    </row>
    <row r="3122" spans="1:2" x14ac:dyDescent="0.35">
      <c r="A3122" s="1012">
        <v>43228</v>
      </c>
      <c r="B3122" s="1013">
        <v>1.1532902295732239</v>
      </c>
    </row>
    <row r="3123" spans="1:2" x14ac:dyDescent="0.35">
      <c r="A3123" s="1012">
        <v>43229</v>
      </c>
      <c r="B3123" s="1013">
        <v>1.1540854755419756</v>
      </c>
    </row>
    <row r="3124" spans="1:2" x14ac:dyDescent="0.35">
      <c r="A3124" s="1012">
        <v>43230</v>
      </c>
      <c r="B3124" s="1013">
        <v>1.1548801587926494</v>
      </c>
    </row>
    <row r="3125" spans="1:2" x14ac:dyDescent="0.35">
      <c r="A3125" s="1012">
        <v>43231</v>
      </c>
      <c r="B3125" s="1013">
        <v>1.1580794293081995</v>
      </c>
    </row>
    <row r="3126" spans="1:2" x14ac:dyDescent="0.35">
      <c r="A3126" s="1012">
        <v>43234</v>
      </c>
      <c r="B3126" s="1013">
        <v>1.1736701775753242</v>
      </c>
    </row>
    <row r="3127" spans="1:2" x14ac:dyDescent="0.35">
      <c r="A3127" s="1012">
        <v>43235</v>
      </c>
      <c r="B3127" s="1013">
        <v>1.1732556648436732</v>
      </c>
    </row>
    <row r="3128" spans="1:2" x14ac:dyDescent="0.35">
      <c r="A3128" s="1012">
        <v>43236</v>
      </c>
      <c r="B3128" s="1013">
        <v>1.1704405411268606</v>
      </c>
    </row>
    <row r="3129" spans="1:2" x14ac:dyDescent="0.35">
      <c r="A3129" s="1012">
        <v>43237</v>
      </c>
      <c r="B3129" s="1013">
        <v>1.1616272636529361</v>
      </c>
    </row>
    <row r="3130" spans="1:2" x14ac:dyDescent="0.35">
      <c r="A3130" s="1012">
        <v>43238</v>
      </c>
      <c r="B3130" s="1013">
        <v>1.1588182288339632</v>
      </c>
    </row>
    <row r="3131" spans="1:2" x14ac:dyDescent="0.35">
      <c r="A3131" s="1012">
        <v>43241</v>
      </c>
      <c r="B3131" s="1013">
        <v>1.1731713970160909</v>
      </c>
    </row>
    <row r="3132" spans="1:2" x14ac:dyDescent="0.35">
      <c r="A3132" s="1012">
        <v>43242</v>
      </c>
      <c r="B3132" s="1013">
        <v>1.1727580822534587</v>
      </c>
    </row>
    <row r="3133" spans="1:2" x14ac:dyDescent="0.35">
      <c r="A3133" s="1012">
        <v>43243</v>
      </c>
      <c r="B3133" s="1013">
        <v>1.166357596619443</v>
      </c>
    </row>
    <row r="3134" spans="1:2" x14ac:dyDescent="0.35">
      <c r="A3134" s="1012">
        <v>43244</v>
      </c>
      <c r="B3134" s="1013">
        <v>1.1683411133528812</v>
      </c>
    </row>
    <row r="3135" spans="1:2" x14ac:dyDescent="0.35">
      <c r="A3135" s="1012">
        <v>43245</v>
      </c>
      <c r="B3135" s="1013">
        <v>1.1727165330010556</v>
      </c>
    </row>
    <row r="3136" spans="1:2" x14ac:dyDescent="0.35">
      <c r="A3136" s="1012">
        <v>43248</v>
      </c>
      <c r="B3136" s="1013">
        <v>1.1762612336894098</v>
      </c>
    </row>
    <row r="3137" spans="1:2" x14ac:dyDescent="0.35">
      <c r="A3137" s="1012">
        <v>43249</v>
      </c>
      <c r="B3137" s="1013">
        <v>1.1662881112057488</v>
      </c>
    </row>
    <row r="3138" spans="1:2" x14ac:dyDescent="0.35">
      <c r="A3138" s="1012">
        <v>43250</v>
      </c>
      <c r="B3138" s="1013">
        <v>1.1575165436610024</v>
      </c>
    </row>
    <row r="3139" spans="1:2" x14ac:dyDescent="0.35">
      <c r="A3139" s="1012">
        <v>43251</v>
      </c>
      <c r="B3139" s="1013">
        <v>1.1571100331328079</v>
      </c>
    </row>
    <row r="3140" spans="1:2" x14ac:dyDescent="0.35">
      <c r="A3140" s="1012">
        <v>43252</v>
      </c>
      <c r="B3140" s="1013">
        <v>1.1567038080308494</v>
      </c>
    </row>
    <row r="3141" spans="1:2" x14ac:dyDescent="0.35">
      <c r="A3141" s="1012">
        <v>43255</v>
      </c>
      <c r="B3141" s="1013">
        <v>1.1650264653323015</v>
      </c>
    </row>
    <row r="3142" spans="1:2" x14ac:dyDescent="0.35">
      <c r="A3142" s="1012">
        <v>43256</v>
      </c>
      <c r="B3142" s="1013">
        <v>1.1693861739110474</v>
      </c>
    </row>
    <row r="3143" spans="1:2" x14ac:dyDescent="0.35">
      <c r="A3143" s="1012">
        <v>43257</v>
      </c>
      <c r="B3143" s="1013">
        <v>1.1738420242667029</v>
      </c>
    </row>
    <row r="3144" spans="1:2" x14ac:dyDescent="0.35">
      <c r="A3144" s="1012">
        <v>43258</v>
      </c>
      <c r="B3144" s="1013">
        <v>1.1746467817699608</v>
      </c>
    </row>
    <row r="3145" spans="1:2" x14ac:dyDescent="0.35">
      <c r="A3145" s="1012">
        <v>43259</v>
      </c>
      <c r="B3145" s="1013">
        <v>1.1535708126701958</v>
      </c>
    </row>
    <row r="3146" spans="1:2" x14ac:dyDescent="0.35">
      <c r="A3146" s="1012">
        <v>43262</v>
      </c>
      <c r="B3146" s="1013">
        <v>1.1535744041186993</v>
      </c>
    </row>
    <row r="3147" spans="1:2" x14ac:dyDescent="0.35">
      <c r="A3147" s="1012">
        <v>43263</v>
      </c>
      <c r="B3147" s="1013">
        <v>1.153170978197682</v>
      </c>
    </row>
    <row r="3148" spans="1:2" x14ac:dyDescent="0.35">
      <c r="A3148" s="1012">
        <v>43264</v>
      </c>
      <c r="B3148" s="1013">
        <v>1.1527678343487626</v>
      </c>
    </row>
    <row r="3149" spans="1:2" x14ac:dyDescent="0.35">
      <c r="A3149" s="1012">
        <v>43265</v>
      </c>
      <c r="B3149" s="1013">
        <v>1.1402348146733035</v>
      </c>
    </row>
    <row r="3150" spans="1:2" x14ac:dyDescent="0.35">
      <c r="A3150" s="1012">
        <v>43266</v>
      </c>
      <c r="B3150" s="1013">
        <v>1.1252853678772741</v>
      </c>
    </row>
    <row r="3151" spans="1:2" x14ac:dyDescent="0.35">
      <c r="A3151" s="1012">
        <v>43270</v>
      </c>
      <c r="B3151" s="1013">
        <v>1.1007079834923121</v>
      </c>
    </row>
    <row r="3152" spans="1:2" x14ac:dyDescent="0.35">
      <c r="A3152" s="1012">
        <v>43271</v>
      </c>
      <c r="B3152" s="1013">
        <v>1.0954822095529544</v>
      </c>
    </row>
    <row r="3153" spans="1:2" x14ac:dyDescent="0.35">
      <c r="A3153" s="1012">
        <v>43272</v>
      </c>
      <c r="B3153" s="1013">
        <v>1.0951003015689074</v>
      </c>
    </row>
    <row r="3154" spans="1:2" x14ac:dyDescent="0.35">
      <c r="A3154" s="1012">
        <v>43273</v>
      </c>
      <c r="B3154" s="1013">
        <v>1.0753645177230069</v>
      </c>
    </row>
    <row r="3155" spans="1:2" x14ac:dyDescent="0.35">
      <c r="A3155" s="1012">
        <v>43276</v>
      </c>
      <c r="B3155" s="1013">
        <v>1.0210730970065527</v>
      </c>
    </row>
    <row r="3156" spans="1:2" x14ac:dyDescent="0.35">
      <c r="A3156" s="1012">
        <v>43277</v>
      </c>
      <c r="B3156" s="1013">
        <v>1.0038064490188445</v>
      </c>
    </row>
    <row r="3157" spans="1:2" x14ac:dyDescent="0.35">
      <c r="A3157" s="1012">
        <v>43278</v>
      </c>
      <c r="B3157" s="1013">
        <v>0.96964639827247112</v>
      </c>
    </row>
    <row r="3158" spans="1:2" x14ac:dyDescent="0.35">
      <c r="A3158" s="1012">
        <v>43279</v>
      </c>
      <c r="B3158" s="1013">
        <v>0.95240964478179191</v>
      </c>
    </row>
    <row r="3159" spans="1:2" x14ac:dyDescent="0.35">
      <c r="A3159" s="1012">
        <v>43280</v>
      </c>
      <c r="B3159" s="1013">
        <v>0.97138558093011729</v>
      </c>
    </row>
    <row r="3160" spans="1:2" x14ac:dyDescent="0.35">
      <c r="A3160" s="1012">
        <v>43283</v>
      </c>
      <c r="B3160" s="1013">
        <v>0.97037352606787142</v>
      </c>
    </row>
    <row r="3161" spans="1:2" x14ac:dyDescent="0.35">
      <c r="A3161" s="1012">
        <v>43284</v>
      </c>
      <c r="B3161" s="1013">
        <v>0.96521658506557451</v>
      </c>
    </row>
    <row r="3162" spans="1:2" x14ac:dyDescent="0.35">
      <c r="A3162" s="1012">
        <v>43285</v>
      </c>
      <c r="B3162" s="1013">
        <v>0.9335621056383816</v>
      </c>
    </row>
    <row r="3163" spans="1:2" x14ac:dyDescent="0.35">
      <c r="A3163" s="1012">
        <v>43286</v>
      </c>
      <c r="B3163" s="1013">
        <v>0.95611761593092692</v>
      </c>
    </row>
    <row r="3164" spans="1:2" x14ac:dyDescent="0.35">
      <c r="A3164" s="1012">
        <v>43287</v>
      </c>
      <c r="B3164" s="1013">
        <v>0.94856346289805193</v>
      </c>
    </row>
    <row r="3165" spans="1:2" x14ac:dyDescent="0.35">
      <c r="A3165" s="1012">
        <v>43290</v>
      </c>
      <c r="B3165" s="1013">
        <v>0.97283028442078967</v>
      </c>
    </row>
    <row r="3166" spans="1:2" x14ac:dyDescent="0.35">
      <c r="A3166" s="1012">
        <v>43291</v>
      </c>
      <c r="B3166" s="1013">
        <v>0.97008918081016748</v>
      </c>
    </row>
    <row r="3167" spans="1:2" x14ac:dyDescent="0.35">
      <c r="A3167" s="1012">
        <v>43292</v>
      </c>
      <c r="B3167" s="1013">
        <v>0.95292985132442753</v>
      </c>
    </row>
    <row r="3168" spans="1:2" x14ac:dyDescent="0.35">
      <c r="A3168" s="1012">
        <v>43293</v>
      </c>
      <c r="B3168" s="1013">
        <v>0.94899627121724173</v>
      </c>
    </row>
    <row r="3169" spans="1:2" x14ac:dyDescent="0.35">
      <c r="A3169" s="1012">
        <v>43294</v>
      </c>
      <c r="B3169" s="1013">
        <v>0.9498687949136434</v>
      </c>
    </row>
    <row r="3170" spans="1:2" x14ac:dyDescent="0.35">
      <c r="A3170" s="1012">
        <v>43297</v>
      </c>
      <c r="B3170" s="1013">
        <v>0.93568834125605538</v>
      </c>
    </row>
    <row r="3171" spans="1:2" x14ac:dyDescent="0.35">
      <c r="A3171" s="1012">
        <v>43298</v>
      </c>
      <c r="B3171" s="1013">
        <v>0.95695041871185027</v>
      </c>
    </row>
    <row r="3172" spans="1:2" x14ac:dyDescent="0.35">
      <c r="A3172" s="1012">
        <v>43299</v>
      </c>
      <c r="B3172" s="1013">
        <v>0.9590174603922188</v>
      </c>
    </row>
    <row r="3173" spans="1:2" x14ac:dyDescent="0.35">
      <c r="A3173" s="1012">
        <v>43300</v>
      </c>
      <c r="B3173" s="1013">
        <v>0.96228143272574274</v>
      </c>
    </row>
    <row r="3174" spans="1:2" x14ac:dyDescent="0.35">
      <c r="A3174" s="1012">
        <v>43301</v>
      </c>
      <c r="B3174" s="1013">
        <v>0.95116781977050069</v>
      </c>
    </row>
    <row r="3175" spans="1:2" x14ac:dyDescent="0.35">
      <c r="A3175" s="1012">
        <v>43304</v>
      </c>
      <c r="B3175" s="1013">
        <v>1.0028390371459679</v>
      </c>
    </row>
    <row r="3176" spans="1:2" x14ac:dyDescent="0.35">
      <c r="A3176" s="1012">
        <v>43305</v>
      </c>
      <c r="B3176" s="1013">
        <v>1.0970005374898231</v>
      </c>
    </row>
    <row r="3177" spans="1:2" x14ac:dyDescent="0.35">
      <c r="A3177" s="1012">
        <v>43306</v>
      </c>
      <c r="B3177" s="1013">
        <v>1.1157566709755029</v>
      </c>
    </row>
    <row r="3178" spans="1:2" x14ac:dyDescent="0.35">
      <c r="A3178" s="1012">
        <v>43307</v>
      </c>
      <c r="B3178" s="1013">
        <v>1.1117859774797796</v>
      </c>
    </row>
    <row r="3179" spans="1:2" x14ac:dyDescent="0.35">
      <c r="A3179" s="1012">
        <v>43308</v>
      </c>
      <c r="B3179" s="1013">
        <v>1.1675708778677656</v>
      </c>
    </row>
    <row r="3180" spans="1:2" x14ac:dyDescent="0.35">
      <c r="A3180" s="1012">
        <v>43311</v>
      </c>
      <c r="B3180" s="1013">
        <v>1.1377143607228566</v>
      </c>
    </row>
    <row r="3181" spans="1:2" x14ac:dyDescent="0.35">
      <c r="A3181" s="1012">
        <v>43312</v>
      </c>
      <c r="B3181" s="1013">
        <v>1.1158417393653519</v>
      </c>
    </row>
    <row r="3182" spans="1:2" x14ac:dyDescent="0.35">
      <c r="A3182" s="1012">
        <v>43313</v>
      </c>
      <c r="B3182" s="1013">
        <v>1.109493198310284</v>
      </c>
    </row>
    <row r="3183" spans="1:2" x14ac:dyDescent="0.35">
      <c r="A3183" s="1012">
        <v>43314</v>
      </c>
      <c r="B3183" s="1013">
        <v>1.1079193939857783</v>
      </c>
    </row>
    <row r="3184" spans="1:2" x14ac:dyDescent="0.35">
      <c r="A3184" s="1012">
        <v>43315</v>
      </c>
      <c r="B3184" s="1013">
        <v>1.0753498890523816</v>
      </c>
    </row>
    <row r="3185" spans="1:2" x14ac:dyDescent="0.35">
      <c r="A3185" s="1012">
        <v>43318</v>
      </c>
      <c r="B3185" s="1013">
        <v>1.0539967074505014</v>
      </c>
    </row>
    <row r="3186" spans="1:2" x14ac:dyDescent="0.35">
      <c r="A3186" s="1012">
        <v>43319</v>
      </c>
      <c r="B3186" s="1013">
        <v>1.0857799880554875</v>
      </c>
    </row>
    <row r="3187" spans="1:2" x14ac:dyDescent="0.35">
      <c r="A3187" s="1012">
        <v>43320</v>
      </c>
      <c r="B3187" s="1013">
        <v>1.086597832404357</v>
      </c>
    </row>
    <row r="3188" spans="1:2" x14ac:dyDescent="0.35">
      <c r="A3188" s="1012">
        <v>43321</v>
      </c>
      <c r="B3188" s="1013">
        <v>1.0886048481698725</v>
      </c>
    </row>
    <row r="3189" spans="1:2" x14ac:dyDescent="0.35">
      <c r="A3189" s="1012">
        <v>43322</v>
      </c>
      <c r="B3189" s="1013">
        <v>1.0941784617797417</v>
      </c>
    </row>
    <row r="3190" spans="1:2" x14ac:dyDescent="0.35">
      <c r="A3190" s="1012">
        <v>43325</v>
      </c>
      <c r="B3190" s="1013">
        <v>1.0811738309084189</v>
      </c>
    </row>
    <row r="3191" spans="1:2" x14ac:dyDescent="0.35">
      <c r="A3191" s="1012">
        <v>43326</v>
      </c>
      <c r="B3191" s="1013">
        <v>1.0796161791590464</v>
      </c>
    </row>
    <row r="3192" spans="1:2" x14ac:dyDescent="0.35">
      <c r="A3192" s="1012">
        <v>43327</v>
      </c>
      <c r="B3192" s="1013">
        <v>1.0471900452188154</v>
      </c>
    </row>
    <row r="3193" spans="1:2" x14ac:dyDescent="0.35">
      <c r="A3193" s="1012">
        <v>43328</v>
      </c>
      <c r="B3193" s="1013">
        <v>1.0587008067615979</v>
      </c>
    </row>
    <row r="3194" spans="1:2" x14ac:dyDescent="0.35">
      <c r="A3194" s="1012">
        <v>43329</v>
      </c>
      <c r="B3194" s="1013">
        <v>1.0595253914796388</v>
      </c>
    </row>
    <row r="3195" spans="1:2" x14ac:dyDescent="0.35">
      <c r="A3195" s="1012">
        <v>43332</v>
      </c>
      <c r="B3195" s="1013">
        <v>1.0667368192321385</v>
      </c>
    </row>
    <row r="3196" spans="1:2" x14ac:dyDescent="0.35">
      <c r="A3196" s="1012">
        <v>43333</v>
      </c>
      <c r="B3196" s="1013">
        <v>0.98817201337997285</v>
      </c>
    </row>
    <row r="3197" spans="1:2" x14ac:dyDescent="0.35">
      <c r="A3197" s="1012">
        <v>43334</v>
      </c>
      <c r="B3197" s="1013">
        <v>0.97835917095336766</v>
      </c>
    </row>
    <row r="3198" spans="1:2" x14ac:dyDescent="0.35">
      <c r="A3198" s="1012">
        <v>43335</v>
      </c>
      <c r="B3198" s="1013">
        <v>0.96973707356087369</v>
      </c>
    </row>
    <row r="3199" spans="1:2" x14ac:dyDescent="0.35">
      <c r="A3199" s="1012">
        <v>43336</v>
      </c>
      <c r="B3199" s="1013">
        <v>0.96822273490226318</v>
      </c>
    </row>
    <row r="3200" spans="1:2" x14ac:dyDescent="0.35">
      <c r="A3200" s="1012">
        <v>43339</v>
      </c>
      <c r="B3200" s="1013">
        <v>0.96959809298462585</v>
      </c>
    </row>
    <row r="3201" spans="1:2" x14ac:dyDescent="0.35">
      <c r="A3201" s="1012">
        <v>43340</v>
      </c>
      <c r="B3201" s="1013">
        <v>0.97636010263217732</v>
      </c>
    </row>
    <row r="3202" spans="1:2" x14ac:dyDescent="0.35">
      <c r="A3202" s="1012">
        <v>43341</v>
      </c>
      <c r="B3202" s="1013">
        <v>0.97602771854960946</v>
      </c>
    </row>
    <row r="3203" spans="1:2" x14ac:dyDescent="0.35">
      <c r="A3203" s="1012">
        <v>43342</v>
      </c>
      <c r="B3203" s="1013">
        <v>0.96388326577457772</v>
      </c>
    </row>
    <row r="3204" spans="1:2" x14ac:dyDescent="0.35">
      <c r="A3204" s="1012">
        <v>43343</v>
      </c>
      <c r="B3204" s="1013">
        <v>0.96473618010684781</v>
      </c>
    </row>
    <row r="3205" spans="1:2" x14ac:dyDescent="0.35">
      <c r="A3205" s="1012">
        <v>43346</v>
      </c>
      <c r="B3205" s="1013">
        <v>0.95549520758325668</v>
      </c>
    </row>
    <row r="3206" spans="1:2" x14ac:dyDescent="0.35">
      <c r="A3206" s="1012">
        <v>43347</v>
      </c>
      <c r="B3206" s="1013">
        <v>0.95045369783671219</v>
      </c>
    </row>
    <row r="3207" spans="1:2" x14ac:dyDescent="0.35">
      <c r="A3207" s="1012">
        <v>43348</v>
      </c>
      <c r="B3207" s="1013">
        <v>0.92773327561839669</v>
      </c>
    </row>
    <row r="3208" spans="1:2" x14ac:dyDescent="0.35">
      <c r="A3208" s="1012">
        <v>43349</v>
      </c>
      <c r="B3208" s="1013">
        <v>0.91092039209878128</v>
      </c>
    </row>
    <row r="3209" spans="1:2" x14ac:dyDescent="0.35">
      <c r="A3209" s="1012">
        <v>43350</v>
      </c>
      <c r="B3209" s="1013">
        <v>0.90236507695111767</v>
      </c>
    </row>
    <row r="3210" spans="1:2" x14ac:dyDescent="0.35">
      <c r="A3210" s="1012">
        <v>43353</v>
      </c>
      <c r="B3210" s="1013">
        <v>0.87908758749294647</v>
      </c>
    </row>
    <row r="3211" spans="1:2" x14ac:dyDescent="0.35">
      <c r="A3211" s="1012">
        <v>43354</v>
      </c>
      <c r="B3211" s="1013">
        <v>0.85643755757604578</v>
      </c>
    </row>
    <row r="3212" spans="1:2" x14ac:dyDescent="0.35">
      <c r="A3212" s="1012">
        <v>43355</v>
      </c>
      <c r="B3212" s="1013">
        <v>0.87496380791526074</v>
      </c>
    </row>
    <row r="3213" spans="1:2" x14ac:dyDescent="0.35">
      <c r="A3213" s="1012">
        <v>43356</v>
      </c>
      <c r="B3213" s="1013">
        <v>0.88642373868412583</v>
      </c>
    </row>
    <row r="3214" spans="1:2" x14ac:dyDescent="0.35">
      <c r="A3214" s="1012">
        <v>43357</v>
      </c>
      <c r="B3214" s="1013">
        <v>0.87907222511244143</v>
      </c>
    </row>
    <row r="3215" spans="1:2" x14ac:dyDescent="0.35">
      <c r="A3215" s="1012">
        <v>43360</v>
      </c>
      <c r="B3215" s="1013">
        <v>0.8805282777368495</v>
      </c>
    </row>
    <row r="3216" spans="1:2" x14ac:dyDescent="0.35">
      <c r="A3216" s="1012">
        <v>43361</v>
      </c>
      <c r="B3216" s="1013">
        <v>0.94250535911283284</v>
      </c>
    </row>
    <row r="3217" spans="1:2" x14ac:dyDescent="0.35">
      <c r="A3217" s="1012">
        <v>43362</v>
      </c>
      <c r="B3217" s="1013">
        <v>1.0008489787294719</v>
      </c>
    </row>
    <row r="3218" spans="1:2" x14ac:dyDescent="0.35">
      <c r="A3218" s="1012">
        <v>43363</v>
      </c>
      <c r="B3218" s="1013">
        <v>0.98854295828798877</v>
      </c>
    </row>
    <row r="3219" spans="1:2" x14ac:dyDescent="0.35">
      <c r="A3219" s="1012">
        <v>43364</v>
      </c>
      <c r="B3219" s="1013">
        <v>0.99060179928993219</v>
      </c>
    </row>
    <row r="3220" spans="1:2" x14ac:dyDescent="0.35">
      <c r="A3220" s="1012">
        <v>43368</v>
      </c>
      <c r="B3220" s="1013">
        <v>1.0012128024320663</v>
      </c>
    </row>
    <row r="3221" spans="1:2" x14ac:dyDescent="0.35">
      <c r="A3221" s="1012">
        <v>43369</v>
      </c>
      <c r="B3221" s="1013">
        <v>0.97937666385177891</v>
      </c>
    </row>
    <row r="3222" spans="1:2" x14ac:dyDescent="0.35">
      <c r="A3222" s="1012">
        <v>43370</v>
      </c>
      <c r="B3222" s="1013">
        <v>0.98024047142638526</v>
      </c>
    </row>
    <row r="3223" spans="1:2" x14ac:dyDescent="0.35">
      <c r="A3223" s="1012">
        <v>43371</v>
      </c>
      <c r="B3223" s="1013">
        <v>0.98707148085549856</v>
      </c>
    </row>
    <row r="3224" spans="1:2" x14ac:dyDescent="0.35">
      <c r="A3224" s="1012">
        <v>43381</v>
      </c>
      <c r="B3224" s="1013">
        <v>0.98970405930126537</v>
      </c>
    </row>
    <row r="3225" spans="1:2" x14ac:dyDescent="0.35">
      <c r="A3225" s="1012">
        <v>43382</v>
      </c>
      <c r="B3225" s="1013">
        <v>0.99293921678804808</v>
      </c>
    </row>
    <row r="3226" spans="1:2" x14ac:dyDescent="0.35">
      <c r="A3226" s="1012">
        <v>43383</v>
      </c>
      <c r="B3226" s="1013">
        <v>0.97239720972133115</v>
      </c>
    </row>
    <row r="3227" spans="1:2" x14ac:dyDescent="0.35">
      <c r="A3227" s="1012">
        <v>43384</v>
      </c>
      <c r="B3227" s="1013">
        <v>0.90552330615258847</v>
      </c>
    </row>
    <row r="3228" spans="1:2" x14ac:dyDescent="0.35">
      <c r="A3228" s="1012">
        <v>43385</v>
      </c>
      <c r="B3228" s="1013">
        <v>0.92185091757522442</v>
      </c>
    </row>
    <row r="3229" spans="1:2" x14ac:dyDescent="0.35">
      <c r="A3229" s="1012">
        <v>43388</v>
      </c>
      <c r="B3229" s="1013">
        <v>0.90786992331353689</v>
      </c>
    </row>
    <row r="3230" spans="1:2" x14ac:dyDescent="0.35">
      <c r="A3230" s="1012">
        <v>43389</v>
      </c>
      <c r="B3230" s="1013">
        <v>0.90163402188796871</v>
      </c>
    </row>
    <row r="3231" spans="1:2" x14ac:dyDescent="0.35">
      <c r="A3231" s="1012">
        <v>43390</v>
      </c>
      <c r="B3231" s="1013">
        <v>0.90133211313236739</v>
      </c>
    </row>
    <row r="3232" spans="1:2" x14ac:dyDescent="0.35">
      <c r="A3232" s="1012">
        <v>43391</v>
      </c>
      <c r="B3232" s="1013">
        <v>0.87494794735972148</v>
      </c>
    </row>
    <row r="3233" spans="1:2" x14ac:dyDescent="0.35">
      <c r="A3233" s="1012">
        <v>43392</v>
      </c>
      <c r="B3233" s="1013">
        <v>0.87702550962135728</v>
      </c>
    </row>
    <row r="3234" spans="1:2" x14ac:dyDescent="0.35">
      <c r="A3234" s="1012">
        <v>43395</v>
      </c>
      <c r="B3234" s="1013">
        <v>0.83352265834365702</v>
      </c>
    </row>
    <row r="3235" spans="1:2" x14ac:dyDescent="0.35">
      <c r="A3235" s="1012">
        <v>43396</v>
      </c>
      <c r="B3235" s="1013">
        <v>0.74329162623541645</v>
      </c>
    </row>
    <row r="3236" spans="1:2" x14ac:dyDescent="0.35">
      <c r="A3236" s="1012">
        <v>43397</v>
      </c>
      <c r="B3236" s="1013">
        <v>0.70991399985258663</v>
      </c>
    </row>
    <row r="3237" spans="1:2" x14ac:dyDescent="0.35">
      <c r="A3237" s="1012">
        <v>43398</v>
      </c>
      <c r="B3237" s="1013">
        <v>0.69193499982624895</v>
      </c>
    </row>
    <row r="3238" spans="1:2" x14ac:dyDescent="0.35">
      <c r="A3238" s="1012">
        <v>43399</v>
      </c>
      <c r="B3238" s="1013">
        <v>0.67633280403876495</v>
      </c>
    </row>
    <row r="3239" spans="1:2" x14ac:dyDescent="0.35">
      <c r="A3239" s="1012">
        <v>43402</v>
      </c>
      <c r="B3239" s="1013">
        <v>0.66738760162478128</v>
      </c>
    </row>
    <row r="3240" spans="1:2" x14ac:dyDescent="0.35">
      <c r="A3240" s="1012">
        <v>43403</v>
      </c>
      <c r="B3240" s="1013">
        <v>0.63882534158574855</v>
      </c>
    </row>
    <row r="3241" spans="1:2" x14ac:dyDescent="0.35">
      <c r="A3241" s="1012">
        <v>43404</v>
      </c>
      <c r="B3241" s="1013">
        <v>0.65986016480985032</v>
      </c>
    </row>
    <row r="3242" spans="1:2" x14ac:dyDescent="0.35">
      <c r="A3242" s="1012">
        <v>43405</v>
      </c>
      <c r="B3242" s="1013">
        <v>0.67144068080469155</v>
      </c>
    </row>
    <row r="3243" spans="1:2" x14ac:dyDescent="0.35">
      <c r="A3243" s="1012">
        <v>43406</v>
      </c>
      <c r="B3243" s="1013">
        <v>0.70188777587639473</v>
      </c>
    </row>
    <row r="3244" spans="1:2" x14ac:dyDescent="0.35">
      <c r="A3244" s="1012">
        <v>43409</v>
      </c>
      <c r="B3244" s="1013">
        <v>0.66936858281774403</v>
      </c>
    </row>
    <row r="3245" spans="1:2" x14ac:dyDescent="0.35">
      <c r="A3245" s="1012">
        <v>43410</v>
      </c>
      <c r="B3245" s="1013">
        <v>0.66561171679784614</v>
      </c>
    </row>
    <row r="3246" spans="1:2" x14ac:dyDescent="0.35">
      <c r="A3246" s="1012">
        <v>43411</v>
      </c>
      <c r="B3246" s="1013">
        <v>0.66774575973447148</v>
      </c>
    </row>
    <row r="3247" spans="1:2" x14ac:dyDescent="0.35">
      <c r="A3247" s="1012">
        <v>43412</v>
      </c>
      <c r="B3247" s="1013">
        <v>0.66987838396965149</v>
      </c>
    </row>
    <row r="3248" spans="1:2" x14ac:dyDescent="0.35">
      <c r="A3248" s="1012">
        <v>43413</v>
      </c>
      <c r="B3248" s="1013">
        <v>0.66259439524803521</v>
      </c>
    </row>
    <row r="3249" spans="1:2" x14ac:dyDescent="0.35">
      <c r="A3249" s="1012">
        <v>43416</v>
      </c>
      <c r="B3249" s="1013">
        <v>0.66663744793863577</v>
      </c>
    </row>
    <row r="3250" spans="1:2" x14ac:dyDescent="0.35">
      <c r="A3250" s="1012">
        <v>43417</v>
      </c>
      <c r="B3250" s="1013">
        <v>0.66171487788258476</v>
      </c>
    </row>
    <row r="3251" spans="1:2" x14ac:dyDescent="0.35">
      <c r="A3251" s="1012">
        <v>43418</v>
      </c>
      <c r="B3251" s="1013">
        <v>0.67206988948380042</v>
      </c>
    </row>
    <row r="3252" spans="1:2" x14ac:dyDescent="0.35">
      <c r="A3252" s="1012">
        <v>43419</v>
      </c>
      <c r="B3252" s="1013">
        <v>0.71413109144057796</v>
      </c>
    </row>
    <row r="3253" spans="1:2" x14ac:dyDescent="0.35">
      <c r="A3253" s="1012">
        <v>43420</v>
      </c>
      <c r="B3253" s="1013">
        <v>0.74911939548343731</v>
      </c>
    </row>
    <row r="3254" spans="1:2" x14ac:dyDescent="0.35">
      <c r="A3254" s="1012">
        <v>43423</v>
      </c>
      <c r="B3254" s="1013">
        <v>0.73781808494175671</v>
      </c>
    </row>
    <row r="3255" spans="1:2" x14ac:dyDescent="0.35">
      <c r="A3255" s="1012">
        <v>43424</v>
      </c>
      <c r="B3255" s="1013">
        <v>0.74109165045901082</v>
      </c>
    </row>
    <row r="3256" spans="1:2" x14ac:dyDescent="0.35">
      <c r="A3256" s="1012">
        <v>43425</v>
      </c>
      <c r="B3256" s="1013">
        <v>0.74319082381503498</v>
      </c>
    </row>
    <row r="3257" spans="1:2" x14ac:dyDescent="0.35">
      <c r="A3257" s="1012">
        <v>43426</v>
      </c>
      <c r="B3257" s="1013">
        <v>0.75231963271966451</v>
      </c>
    </row>
    <row r="3258" spans="1:2" x14ac:dyDescent="0.35">
      <c r="A3258" s="1012">
        <v>43427</v>
      </c>
      <c r="B3258" s="1013">
        <v>0.73801340593113907</v>
      </c>
    </row>
    <row r="3259" spans="1:2" x14ac:dyDescent="0.35">
      <c r="A3259" s="1012">
        <v>43430</v>
      </c>
      <c r="B3259" s="1013">
        <v>0.73260068682202872</v>
      </c>
    </row>
    <row r="3260" spans="1:2" x14ac:dyDescent="0.35">
      <c r="A3260" s="1012">
        <v>43431</v>
      </c>
      <c r="B3260" s="1013">
        <v>0.75575674194612985</v>
      </c>
    </row>
    <row r="3261" spans="1:2" x14ac:dyDescent="0.35">
      <c r="A3261" s="1012">
        <v>43432</v>
      </c>
      <c r="B3261" s="1013">
        <v>0.79293169397334018</v>
      </c>
    </row>
    <row r="3262" spans="1:2" x14ac:dyDescent="0.35">
      <c r="A3262" s="1012">
        <v>43433</v>
      </c>
      <c r="B3262" s="1013">
        <v>0.79150082271554834</v>
      </c>
    </row>
    <row r="3263" spans="1:2" x14ac:dyDescent="0.35">
      <c r="A3263" s="1012">
        <v>43434</v>
      </c>
      <c r="B3263" s="1013">
        <v>0.79708335936049923</v>
      </c>
    </row>
    <row r="3264" spans="1:2" x14ac:dyDescent="0.35">
      <c r="A3264" s="1012">
        <v>43437</v>
      </c>
      <c r="B3264" s="1013">
        <v>0.8056357688554362</v>
      </c>
    </row>
    <row r="3265" spans="1:2" x14ac:dyDescent="0.35">
      <c r="A3265" s="1012">
        <v>43438</v>
      </c>
      <c r="B3265" s="1013">
        <v>0.79953425551968871</v>
      </c>
    </row>
    <row r="3266" spans="1:2" x14ac:dyDescent="0.35">
      <c r="A3266" s="1012">
        <v>43439</v>
      </c>
      <c r="B3266" s="1013">
        <v>0.77126720576517471</v>
      </c>
    </row>
    <row r="3267" spans="1:2" x14ac:dyDescent="0.35">
      <c r="A3267" s="1012">
        <v>43440</v>
      </c>
      <c r="B3267" s="1013">
        <v>0.74885094700844401</v>
      </c>
    </row>
    <row r="3268" spans="1:2" x14ac:dyDescent="0.35">
      <c r="A3268" s="1012">
        <v>43441</v>
      </c>
      <c r="B3268" s="1013">
        <v>0.74277415489443122</v>
      </c>
    </row>
    <row r="3269" spans="1:2" x14ac:dyDescent="0.35">
      <c r="A3269" s="1012">
        <v>43444</v>
      </c>
      <c r="B3269" s="1013">
        <v>0.71291876298043833</v>
      </c>
    </row>
    <row r="3270" spans="1:2" x14ac:dyDescent="0.35">
      <c r="A3270" s="1012">
        <v>43445</v>
      </c>
      <c r="B3270" s="1013">
        <v>0.70919081088739078</v>
      </c>
    </row>
    <row r="3271" spans="1:2" x14ac:dyDescent="0.35">
      <c r="A3271" s="1012">
        <v>43446</v>
      </c>
      <c r="B3271" s="1013">
        <v>0.72176318785859606</v>
      </c>
    </row>
    <row r="3272" spans="1:2" x14ac:dyDescent="0.35">
      <c r="A3272" s="1012">
        <v>43447</v>
      </c>
      <c r="B3272" s="1013">
        <v>0.75643858459653057</v>
      </c>
    </row>
    <row r="3273" spans="1:2" x14ac:dyDescent="0.35">
      <c r="A3273" s="1012">
        <v>43448</v>
      </c>
      <c r="B3273" s="1013">
        <v>0.75386338061895619</v>
      </c>
    </row>
    <row r="3274" spans="1:2" x14ac:dyDescent="0.35">
      <c r="A3274" s="1012">
        <v>43451</v>
      </c>
      <c r="B3274" s="1013">
        <v>0.72871454676675407</v>
      </c>
    </row>
    <row r="3275" spans="1:2" x14ac:dyDescent="0.35">
      <c r="A3275" s="1012">
        <v>43452</v>
      </c>
      <c r="B3275" s="1013">
        <v>0.72847550212425294</v>
      </c>
    </row>
    <row r="3276" spans="1:2" x14ac:dyDescent="0.35">
      <c r="A3276" s="1012">
        <v>43453</v>
      </c>
      <c r="B3276" s="1013">
        <v>0.72126784283251066</v>
      </c>
    </row>
    <row r="3277" spans="1:2" x14ac:dyDescent="0.35">
      <c r="A3277" s="1012">
        <v>43454</v>
      </c>
      <c r="B3277" s="1013">
        <v>0.7163870714908841</v>
      </c>
    </row>
    <row r="3278" spans="1:2" x14ac:dyDescent="0.35">
      <c r="A3278" s="1012">
        <v>43455</v>
      </c>
      <c r="B3278" s="1013">
        <v>0.7022238939300306</v>
      </c>
    </row>
    <row r="3279" spans="1:2" x14ac:dyDescent="0.35">
      <c r="A3279" s="1012">
        <v>43458</v>
      </c>
      <c r="B3279" s="1013">
        <v>0.70617242972185046</v>
      </c>
    </row>
    <row r="3280" spans="1:2" x14ac:dyDescent="0.35">
      <c r="A3280" s="1012">
        <v>43459</v>
      </c>
      <c r="B3280" s="1013">
        <v>0.70594131041466912</v>
      </c>
    </row>
    <row r="3281" spans="1:2" x14ac:dyDescent="0.35">
      <c r="A3281" s="1012">
        <v>43460</v>
      </c>
      <c r="B3281" s="1013">
        <v>0.70571034234153551</v>
      </c>
    </row>
    <row r="3282" spans="1:2" x14ac:dyDescent="0.35">
      <c r="A3282" s="1012">
        <v>43461</v>
      </c>
      <c r="B3282" s="1013">
        <v>0.6950537195606481</v>
      </c>
    </row>
    <row r="3283" spans="1:2" x14ac:dyDescent="0.35">
      <c r="A3283" s="1012">
        <v>43462</v>
      </c>
      <c r="B3283" s="1013">
        <v>0.70524885930403702</v>
      </c>
    </row>
    <row r="3284" spans="1:2" x14ac:dyDescent="0.35">
      <c r="A3284" s="1012">
        <v>43467</v>
      </c>
      <c r="B3284" s="1013">
        <v>0.69486563532576839</v>
      </c>
    </row>
    <row r="3285" spans="1:2" x14ac:dyDescent="0.35">
      <c r="A3285" s="1012">
        <v>43468</v>
      </c>
      <c r="B3285" s="1013">
        <v>0.69350011447256321</v>
      </c>
    </row>
    <row r="3286" spans="1:2" x14ac:dyDescent="0.35">
      <c r="A3286" s="1012">
        <v>43469</v>
      </c>
      <c r="B3286" s="1013">
        <v>0.70369026588067995</v>
      </c>
    </row>
    <row r="3287" spans="1:2" x14ac:dyDescent="0.35">
      <c r="A3287" s="1012">
        <v>43472</v>
      </c>
      <c r="B3287" s="1013">
        <v>0.74923158449979155</v>
      </c>
    </row>
    <row r="3288" spans="1:2" x14ac:dyDescent="0.35">
      <c r="A3288" s="1012">
        <v>43473</v>
      </c>
      <c r="B3288" s="1013">
        <v>0.76631721482414805</v>
      </c>
    </row>
    <row r="3289" spans="1:2" x14ac:dyDescent="0.35">
      <c r="A3289" s="1012">
        <v>43474</v>
      </c>
      <c r="B3289" s="1013">
        <v>0.7880075302509375</v>
      </c>
    </row>
    <row r="3290" spans="1:2" x14ac:dyDescent="0.35">
      <c r="A3290" s="1012">
        <v>43475</v>
      </c>
      <c r="B3290" s="1013">
        <v>0.77969645716545788</v>
      </c>
    </row>
    <row r="3291" spans="1:2" x14ac:dyDescent="0.35">
      <c r="A3291" s="1012">
        <v>43476</v>
      </c>
      <c r="B3291" s="1013">
        <v>0.79560443606462117</v>
      </c>
    </row>
    <row r="3292" spans="1:2" x14ac:dyDescent="0.35">
      <c r="A3292" s="1012">
        <v>43479</v>
      </c>
      <c r="B3292" s="1013">
        <v>0.7776064156019229</v>
      </c>
    </row>
    <row r="3293" spans="1:2" x14ac:dyDescent="0.35">
      <c r="A3293" s="1012">
        <v>43480</v>
      </c>
      <c r="B3293" s="1013">
        <v>0.80731584766823739</v>
      </c>
    </row>
    <row r="3294" spans="1:2" x14ac:dyDescent="0.35">
      <c r="A3294" s="1012">
        <v>43481</v>
      </c>
      <c r="B3294" s="1013">
        <v>0.8324021513839589</v>
      </c>
    </row>
    <row r="3295" spans="1:2" x14ac:dyDescent="0.35">
      <c r="A3295" s="1012">
        <v>43482</v>
      </c>
      <c r="B3295" s="1013">
        <v>0.8114345392640937</v>
      </c>
    </row>
    <row r="3296" spans="1:2" x14ac:dyDescent="0.35">
      <c r="A3296" s="1012">
        <v>43483</v>
      </c>
      <c r="B3296" s="1013">
        <v>0.80428702739261881</v>
      </c>
    </row>
    <row r="3297" spans="1:2" x14ac:dyDescent="0.35">
      <c r="A3297" s="1012">
        <v>43486</v>
      </c>
      <c r="B3297" s="1013">
        <v>0.82655462352823172</v>
      </c>
    </row>
    <row r="3298" spans="1:2" x14ac:dyDescent="0.35">
      <c r="A3298" s="1012">
        <v>43487</v>
      </c>
      <c r="B3298" s="1013">
        <v>0.81711266476214295</v>
      </c>
    </row>
    <row r="3299" spans="1:2" x14ac:dyDescent="0.35">
      <c r="A3299" s="1012">
        <v>43488</v>
      </c>
      <c r="B3299" s="1013">
        <v>0.80422967175456517</v>
      </c>
    </row>
    <row r="3300" spans="1:2" x14ac:dyDescent="0.35">
      <c r="A3300" s="1012">
        <v>43489</v>
      </c>
      <c r="B3300" s="1013">
        <v>0.80973128533616578</v>
      </c>
    </row>
    <row r="3301" spans="1:2" x14ac:dyDescent="0.35">
      <c r="A3301" s="1012">
        <v>43490</v>
      </c>
      <c r="B3301" s="1013">
        <v>0.831304550275484</v>
      </c>
    </row>
    <row r="3302" spans="1:2" x14ac:dyDescent="0.35">
      <c r="A3302" s="1012">
        <v>43493</v>
      </c>
      <c r="B3302" s="1013">
        <v>0.84891246939596721</v>
      </c>
    </row>
    <row r="3303" spans="1:2" x14ac:dyDescent="0.35">
      <c r="A3303" s="1012">
        <v>43494</v>
      </c>
      <c r="B3303" s="1013">
        <v>0.85897980987663802</v>
      </c>
    </row>
    <row r="3304" spans="1:2" x14ac:dyDescent="0.35">
      <c r="A3304" s="1012">
        <v>43495</v>
      </c>
      <c r="B3304" s="1013">
        <v>0.83693934056007846</v>
      </c>
    </row>
    <row r="3305" spans="1:2" x14ac:dyDescent="0.35">
      <c r="A3305" s="1012">
        <v>43496</v>
      </c>
      <c r="B3305" s="1013">
        <v>0.85502728300205233</v>
      </c>
    </row>
    <row r="3306" spans="1:2" x14ac:dyDescent="0.35">
      <c r="A3306" s="1012">
        <v>43497</v>
      </c>
      <c r="B3306" s="1013">
        <v>0.85935472782602851</v>
      </c>
    </row>
    <row r="3307" spans="1:2" x14ac:dyDescent="0.35">
      <c r="A3307" s="1012">
        <v>43507</v>
      </c>
      <c r="B3307" s="1013">
        <v>0.86136120128919069</v>
      </c>
    </row>
    <row r="3308" spans="1:2" x14ac:dyDescent="0.35">
      <c r="A3308" s="1012">
        <v>43508</v>
      </c>
      <c r="B3308" s="1013">
        <v>0.86909870891251084</v>
      </c>
    </row>
    <row r="3309" spans="1:2" x14ac:dyDescent="0.35">
      <c r="A3309" s="1012">
        <v>43509</v>
      </c>
      <c r="B3309" s="1013">
        <v>0.8882486819363492</v>
      </c>
    </row>
    <row r="3310" spans="1:2" x14ac:dyDescent="0.35">
      <c r="A3310" s="1012">
        <v>43510</v>
      </c>
      <c r="B3310" s="1013">
        <v>0.89711493356188554</v>
      </c>
    </row>
    <row r="3311" spans="1:2" x14ac:dyDescent="0.35">
      <c r="A3311" s="1012">
        <v>43511</v>
      </c>
      <c r="B3311" s="1013">
        <v>0.86718096475691131</v>
      </c>
    </row>
    <row r="3312" spans="1:2" x14ac:dyDescent="0.35">
      <c r="A3312" s="1012">
        <v>43514</v>
      </c>
      <c r="B3312" s="1013">
        <v>0.9017469255020184</v>
      </c>
    </row>
    <row r="3313" spans="1:2" x14ac:dyDescent="0.35">
      <c r="A3313" s="1012">
        <v>43515</v>
      </c>
      <c r="B3313" s="1013">
        <v>0.93794803934631021</v>
      </c>
    </row>
    <row r="3314" spans="1:2" x14ac:dyDescent="0.35">
      <c r="A3314" s="1012">
        <v>43516</v>
      </c>
      <c r="B3314" s="1013">
        <v>0.93311171691641837</v>
      </c>
    </row>
    <row r="3315" spans="1:2" x14ac:dyDescent="0.35">
      <c r="A3315" s="1012">
        <v>43517</v>
      </c>
      <c r="B3315" s="1013">
        <v>0.952197097448089</v>
      </c>
    </row>
    <row r="3316" spans="1:2" x14ac:dyDescent="0.35">
      <c r="A3316" s="1012">
        <v>43518</v>
      </c>
      <c r="B3316" s="1013">
        <v>0.95874594596107143</v>
      </c>
    </row>
    <row r="3317" spans="1:2" x14ac:dyDescent="0.35">
      <c r="A3317" s="1012">
        <v>43521</v>
      </c>
      <c r="B3317" s="1013">
        <v>0.95675401773220536</v>
      </c>
    </row>
    <row r="3318" spans="1:2" x14ac:dyDescent="0.35">
      <c r="A3318" s="1012">
        <v>43522</v>
      </c>
      <c r="B3318" s="1013">
        <v>0.99172625376008428</v>
      </c>
    </row>
    <row r="3319" spans="1:2" x14ac:dyDescent="0.35">
      <c r="A3319" s="1012">
        <v>43523</v>
      </c>
      <c r="B3319" s="1013">
        <v>0.97324045926208536</v>
      </c>
    </row>
    <row r="3320" spans="1:2" x14ac:dyDescent="0.35">
      <c r="A3320" s="1012">
        <v>43524</v>
      </c>
      <c r="B3320" s="1013">
        <v>0.94339937858141576</v>
      </c>
    </row>
    <row r="3321" spans="1:2" x14ac:dyDescent="0.35">
      <c r="A3321" s="1012">
        <v>43525</v>
      </c>
      <c r="B3321" s="1013">
        <v>0.96584527727235847</v>
      </c>
    </row>
    <row r="3322" spans="1:2" x14ac:dyDescent="0.35">
      <c r="A3322" s="1012">
        <v>43528</v>
      </c>
      <c r="B3322" s="1013">
        <v>0.97747450725013807</v>
      </c>
    </row>
    <row r="3323" spans="1:2" x14ac:dyDescent="0.35">
      <c r="A3323" s="1012">
        <v>43529</v>
      </c>
      <c r="B3323" s="1013">
        <v>0.97945475310373753</v>
      </c>
    </row>
    <row r="3324" spans="1:2" x14ac:dyDescent="0.35">
      <c r="A3324" s="1012">
        <v>43530</v>
      </c>
      <c r="B3324" s="1013">
        <v>0.98256843134155969</v>
      </c>
    </row>
    <row r="3325" spans="1:2" x14ac:dyDescent="0.35">
      <c r="A3325" s="1012">
        <v>43531</v>
      </c>
      <c r="B3325" s="1013">
        <v>0.95845779549875232</v>
      </c>
    </row>
    <row r="3326" spans="1:2" x14ac:dyDescent="0.35">
      <c r="A3326" s="1012">
        <v>43532</v>
      </c>
      <c r="B3326" s="1013">
        <v>0.92415603149179126</v>
      </c>
    </row>
    <row r="3327" spans="1:2" x14ac:dyDescent="0.35">
      <c r="A3327" s="1012">
        <v>43535</v>
      </c>
      <c r="B3327" s="1013">
        <v>0.92107011796243754</v>
      </c>
    </row>
    <row r="3328" spans="1:2" x14ac:dyDescent="0.35">
      <c r="A3328" s="1012">
        <v>43536</v>
      </c>
      <c r="B3328" s="1013">
        <v>0.96270368354901048</v>
      </c>
    </row>
    <row r="3329" spans="1:2" x14ac:dyDescent="0.35">
      <c r="A3329" s="1012">
        <v>43537</v>
      </c>
      <c r="B3329" s="1013">
        <v>0.94543523081559921</v>
      </c>
    </row>
    <row r="3330" spans="1:2" x14ac:dyDescent="0.35">
      <c r="A3330" s="1012">
        <v>43538</v>
      </c>
      <c r="B3330" s="1013">
        <v>0.92704506142067911</v>
      </c>
    </row>
    <row r="3331" spans="1:2" x14ac:dyDescent="0.35">
      <c r="A3331" s="1012">
        <v>43539</v>
      </c>
      <c r="B3331" s="1013">
        <v>0.91998164569461682</v>
      </c>
    </row>
    <row r="3332" spans="1:2" x14ac:dyDescent="0.35">
      <c r="A3332" s="1012">
        <v>43542</v>
      </c>
      <c r="B3332" s="1013">
        <v>0.93273401853623827</v>
      </c>
    </row>
    <row r="3333" spans="1:2" x14ac:dyDescent="0.35">
      <c r="A3333" s="1012">
        <v>43543</v>
      </c>
      <c r="B3333" s="1013">
        <v>0.91889574298888732</v>
      </c>
    </row>
    <row r="3334" spans="1:2" x14ac:dyDescent="0.35">
      <c r="A3334" s="1012">
        <v>43544</v>
      </c>
      <c r="B3334" s="1013">
        <v>0.90845539097590511</v>
      </c>
    </row>
    <row r="3335" spans="1:2" x14ac:dyDescent="0.35">
      <c r="A3335" s="1012">
        <v>43545</v>
      </c>
      <c r="B3335" s="1013">
        <v>0.91157623391230702</v>
      </c>
    </row>
    <row r="3336" spans="1:2" x14ac:dyDescent="0.35">
      <c r="A3336" s="1012">
        <v>43546</v>
      </c>
      <c r="B3336" s="1013">
        <v>0.82887197986003924</v>
      </c>
    </row>
    <row r="3337" spans="1:2" x14ac:dyDescent="0.35">
      <c r="A3337" s="1012">
        <v>43549</v>
      </c>
      <c r="B3337" s="1013">
        <v>0.81347218489554607</v>
      </c>
    </row>
    <row r="3338" spans="1:2" x14ac:dyDescent="0.35">
      <c r="A3338" s="1012">
        <v>43550</v>
      </c>
      <c r="B3338" s="1013">
        <v>0.83240732827292652</v>
      </c>
    </row>
    <row r="3339" spans="1:2" x14ac:dyDescent="0.35">
      <c r="A3339" s="1012">
        <v>43551</v>
      </c>
      <c r="B3339" s="1013">
        <v>0.824269135148886</v>
      </c>
    </row>
    <row r="3340" spans="1:2" x14ac:dyDescent="0.35">
      <c r="A3340" s="1012">
        <v>43552</v>
      </c>
      <c r="B3340" s="1013">
        <v>0.83191736245359771</v>
      </c>
    </row>
    <row r="3341" spans="1:2" x14ac:dyDescent="0.35">
      <c r="A3341" s="1012">
        <v>43553</v>
      </c>
      <c r="B3341" s="1013">
        <v>0.82829181287082443</v>
      </c>
    </row>
    <row r="3342" spans="1:2" x14ac:dyDescent="0.35">
      <c r="A3342" s="1012">
        <v>43556</v>
      </c>
      <c r="B3342" s="1013">
        <v>0.81517608570150779</v>
      </c>
    </row>
    <row r="3343" spans="1:2" x14ac:dyDescent="0.35">
      <c r="A3343" s="1012">
        <v>43557</v>
      </c>
      <c r="B3343" s="1013">
        <v>0.8183133353898524</v>
      </c>
    </row>
    <row r="3344" spans="1:2" x14ac:dyDescent="0.35">
      <c r="A3344" s="1012">
        <v>43558</v>
      </c>
      <c r="B3344" s="1013">
        <v>0.82144874170717508</v>
      </c>
    </row>
    <row r="3345" spans="1:2" x14ac:dyDescent="0.35">
      <c r="A3345" s="1012">
        <v>43559</v>
      </c>
      <c r="B3345" s="1013">
        <v>0.80995806346511312</v>
      </c>
    </row>
    <row r="3346" spans="1:2" x14ac:dyDescent="0.35">
      <c r="A3346" s="1012">
        <v>43563</v>
      </c>
      <c r="B3346" s="1013">
        <v>0.81799661031198245</v>
      </c>
    </row>
    <row r="3347" spans="1:2" x14ac:dyDescent="0.35">
      <c r="A3347" s="1012">
        <v>43564</v>
      </c>
      <c r="B3347" s="1013">
        <v>0.82674305333718756</v>
      </c>
    </row>
    <row r="3348" spans="1:2" x14ac:dyDescent="0.35">
      <c r="A3348" s="1012">
        <v>43565</v>
      </c>
      <c r="B3348" s="1013">
        <v>0.82537770197551119</v>
      </c>
    </row>
    <row r="3349" spans="1:2" x14ac:dyDescent="0.35">
      <c r="A3349" s="1012">
        <v>43566</v>
      </c>
      <c r="B3349" s="1013">
        <v>0.82625841842109005</v>
      </c>
    </row>
    <row r="3350" spans="1:2" x14ac:dyDescent="0.35">
      <c r="A3350" s="1012">
        <v>43567</v>
      </c>
      <c r="B3350" s="1013">
        <v>0.86193006675081552</v>
      </c>
    </row>
    <row r="3351" spans="1:2" x14ac:dyDescent="0.35">
      <c r="A3351" s="1012">
        <v>43570</v>
      </c>
      <c r="B3351" s="1013">
        <v>0.88023548661440387</v>
      </c>
    </row>
    <row r="3352" spans="1:2" x14ac:dyDescent="0.35">
      <c r="A3352" s="1012">
        <v>43571</v>
      </c>
      <c r="B3352" s="1013">
        <v>0.86876795897477965</v>
      </c>
    </row>
    <row r="3353" spans="1:2" x14ac:dyDescent="0.35">
      <c r="A3353" s="1012">
        <v>43572</v>
      </c>
      <c r="B3353" s="1013">
        <v>0.89989233312915218</v>
      </c>
    </row>
    <row r="3354" spans="1:2" x14ac:dyDescent="0.35">
      <c r="A3354" s="1012">
        <v>43573</v>
      </c>
      <c r="B3354" s="1013">
        <v>0.9052307914301444</v>
      </c>
    </row>
    <row r="3355" spans="1:2" x14ac:dyDescent="0.35">
      <c r="A3355" s="1012">
        <v>43574</v>
      </c>
      <c r="B3355" s="1013">
        <v>0.90496608997402506</v>
      </c>
    </row>
    <row r="3356" spans="1:2" x14ac:dyDescent="0.35">
      <c r="A3356" s="1012">
        <v>43577</v>
      </c>
      <c r="B3356" s="1013">
        <v>0.9041729136180584</v>
      </c>
    </row>
    <row r="3357" spans="1:2" x14ac:dyDescent="0.35">
      <c r="A3357" s="1012">
        <v>43578</v>
      </c>
      <c r="B3357" s="1013">
        <v>0.89831533514759188</v>
      </c>
    </row>
    <row r="3358" spans="1:2" x14ac:dyDescent="0.35">
      <c r="A3358" s="1012">
        <v>43579</v>
      </c>
      <c r="B3358" s="1013">
        <v>0.9070000185776278</v>
      </c>
    </row>
    <row r="3359" spans="1:2" x14ac:dyDescent="0.35">
      <c r="A3359" s="1012">
        <v>43580</v>
      </c>
      <c r="B3359" s="1013">
        <v>0.89331871289931875</v>
      </c>
    </row>
    <row r="3360" spans="1:2" x14ac:dyDescent="0.35">
      <c r="A3360" s="1012">
        <v>43581</v>
      </c>
      <c r="B3360" s="1013">
        <v>0.90311750545058667</v>
      </c>
    </row>
    <row r="3361" spans="1:2" x14ac:dyDescent="0.35">
      <c r="A3361" s="1012">
        <v>43584</v>
      </c>
      <c r="B3361" s="1013">
        <v>0.91237824315253258</v>
      </c>
    </row>
    <row r="3362" spans="1:2" x14ac:dyDescent="0.35">
      <c r="A3362" s="1012">
        <v>43585</v>
      </c>
      <c r="B3362" s="1013">
        <v>0.90764664095231573</v>
      </c>
    </row>
    <row r="3363" spans="1:2" x14ac:dyDescent="0.35">
      <c r="A3363" s="1012">
        <v>43591</v>
      </c>
      <c r="B3363" s="1013">
        <v>0.85256763100370281</v>
      </c>
    </row>
    <row r="3364" spans="1:2" x14ac:dyDescent="0.35">
      <c r="A3364" s="1012">
        <v>43592</v>
      </c>
      <c r="B3364" s="1013">
        <v>0.86011863745706141</v>
      </c>
    </row>
    <row r="3365" spans="1:2" x14ac:dyDescent="0.35">
      <c r="A3365" s="1012">
        <v>43593</v>
      </c>
      <c r="B3365" s="1013">
        <v>0.85764087837822089</v>
      </c>
    </row>
    <row r="3366" spans="1:2" x14ac:dyDescent="0.35">
      <c r="A3366" s="1012">
        <v>43594</v>
      </c>
      <c r="B3366" s="1013">
        <v>0.85405106441247769</v>
      </c>
    </row>
    <row r="3367" spans="1:2" x14ac:dyDescent="0.35">
      <c r="A3367" s="1012">
        <v>43595</v>
      </c>
      <c r="B3367" s="1013">
        <v>0.85157650895886738</v>
      </c>
    </row>
    <row r="3368" spans="1:2" x14ac:dyDescent="0.35">
      <c r="A3368" s="1012">
        <v>43598</v>
      </c>
      <c r="B3368" s="1013">
        <v>0.8508346783618842</v>
      </c>
    </row>
    <row r="3369" spans="1:2" x14ac:dyDescent="0.35">
      <c r="A3369" s="1012">
        <v>43599</v>
      </c>
      <c r="B3369" s="1013">
        <v>0.83835701597841861</v>
      </c>
    </row>
    <row r="3370" spans="1:2" x14ac:dyDescent="0.35">
      <c r="A3370" s="1012">
        <v>43600</v>
      </c>
      <c r="B3370" s="1013">
        <v>0.83922527567968985</v>
      </c>
    </row>
    <row r="3371" spans="1:2" x14ac:dyDescent="0.35">
      <c r="A3371" s="1012">
        <v>43601</v>
      </c>
      <c r="B3371" s="1013">
        <v>0.84231549991483534</v>
      </c>
    </row>
    <row r="3372" spans="1:2" x14ac:dyDescent="0.35">
      <c r="A3372" s="1012">
        <v>43602</v>
      </c>
      <c r="B3372" s="1013">
        <v>0.82985116542925863</v>
      </c>
    </row>
    <row r="3373" spans="1:2" x14ac:dyDescent="0.35">
      <c r="A3373" s="1012">
        <v>43605</v>
      </c>
      <c r="B3373" s="1013">
        <v>0.83911924154449635</v>
      </c>
    </row>
    <row r="3374" spans="1:2" x14ac:dyDescent="0.35">
      <c r="A3374" s="1012">
        <v>43606</v>
      </c>
      <c r="B3374" s="1013">
        <v>0.84664351840139773</v>
      </c>
    </row>
    <row r="3375" spans="1:2" x14ac:dyDescent="0.35">
      <c r="A3375" s="1012">
        <v>43607</v>
      </c>
      <c r="B3375" s="1013">
        <v>0.83308667678679671</v>
      </c>
    </row>
    <row r="3376" spans="1:2" x14ac:dyDescent="0.35">
      <c r="A3376" s="1012">
        <v>43608</v>
      </c>
      <c r="B3376" s="1013">
        <v>0.81621073957385137</v>
      </c>
    </row>
    <row r="3377" spans="1:2" x14ac:dyDescent="0.35">
      <c r="A3377" s="1012">
        <v>43609</v>
      </c>
      <c r="B3377" s="1013">
        <v>0.82484377457846225</v>
      </c>
    </row>
    <row r="3378" spans="1:2" x14ac:dyDescent="0.35">
      <c r="A3378" s="1012">
        <v>43612</v>
      </c>
      <c r="B3378" s="1013">
        <v>0.83077433548449608</v>
      </c>
    </row>
    <row r="3379" spans="1:2" x14ac:dyDescent="0.35">
      <c r="A3379" s="1012">
        <v>43613</v>
      </c>
      <c r="B3379" s="1013">
        <v>0.84271531270174749</v>
      </c>
    </row>
    <row r="3380" spans="1:2" x14ac:dyDescent="0.35">
      <c r="A3380" s="1012">
        <v>43614</v>
      </c>
      <c r="B3380" s="1013">
        <v>0.86239879879932924</v>
      </c>
    </row>
    <row r="3381" spans="1:2" x14ac:dyDescent="0.35">
      <c r="A3381" s="1012">
        <v>43615</v>
      </c>
      <c r="B3381" s="1013">
        <v>0.87321699858263813</v>
      </c>
    </row>
    <row r="3382" spans="1:2" x14ac:dyDescent="0.35">
      <c r="A3382" s="1012">
        <v>43616</v>
      </c>
      <c r="B3382" s="1013">
        <v>0.88845462519297547</v>
      </c>
    </row>
    <row r="3383" spans="1:2" x14ac:dyDescent="0.35">
      <c r="A3383" s="1012">
        <v>43619</v>
      </c>
      <c r="B3383" s="1013">
        <v>0.88989628243347485</v>
      </c>
    </row>
    <row r="3384" spans="1:2" x14ac:dyDescent="0.35">
      <c r="A3384" s="1012">
        <v>43620</v>
      </c>
      <c r="B3384" s="1013">
        <v>0.88742923420288755</v>
      </c>
    </row>
    <row r="3385" spans="1:2" x14ac:dyDescent="0.35">
      <c r="A3385" s="1012">
        <v>43621</v>
      </c>
      <c r="B3385" s="1013">
        <v>0.88385878572509025</v>
      </c>
    </row>
    <row r="3386" spans="1:2" x14ac:dyDescent="0.35">
      <c r="A3386" s="1012">
        <v>43622</v>
      </c>
      <c r="B3386" s="1013">
        <v>0.8981811327000776</v>
      </c>
    </row>
    <row r="3387" spans="1:2" x14ac:dyDescent="0.35">
      <c r="A3387" s="1012">
        <v>43626</v>
      </c>
      <c r="B3387" s="1013">
        <v>0.8915461433336338</v>
      </c>
    </row>
    <row r="3388" spans="1:2" x14ac:dyDescent="0.35">
      <c r="A3388" s="1012">
        <v>43627</v>
      </c>
      <c r="B3388" s="1013">
        <v>0.93383841460186268</v>
      </c>
    </row>
    <row r="3389" spans="1:2" x14ac:dyDescent="0.35">
      <c r="A3389" s="1012">
        <v>43628</v>
      </c>
      <c r="B3389" s="1013">
        <v>0.93468898068177386</v>
      </c>
    </row>
    <row r="3390" spans="1:2" x14ac:dyDescent="0.35">
      <c r="A3390" s="1012">
        <v>43629</v>
      </c>
      <c r="B3390" s="1013">
        <v>0.93665812305950036</v>
      </c>
    </row>
    <row r="3391" spans="1:2" x14ac:dyDescent="0.35">
      <c r="A3391" s="1012">
        <v>43630</v>
      </c>
      <c r="B3391" s="1013">
        <v>0.94533859578660751</v>
      </c>
    </row>
    <row r="3392" spans="1:2" x14ac:dyDescent="0.35">
      <c r="A3392" s="1012">
        <v>43633</v>
      </c>
      <c r="B3392" s="1013">
        <v>0.9121077768058472</v>
      </c>
    </row>
    <row r="3393" spans="1:2" x14ac:dyDescent="0.35">
      <c r="A3393" s="1012">
        <v>43634</v>
      </c>
      <c r="B3393" s="1013">
        <v>0.90625837355540484</v>
      </c>
    </row>
    <row r="3394" spans="1:2" x14ac:dyDescent="0.35">
      <c r="A3394" s="1012">
        <v>43635</v>
      </c>
      <c r="B3394" s="1013">
        <v>0.91940365832673077</v>
      </c>
    </row>
    <row r="3395" spans="1:2" x14ac:dyDescent="0.35">
      <c r="A3395" s="1012">
        <v>43636</v>
      </c>
      <c r="B3395" s="1013">
        <v>0.92919094416525871</v>
      </c>
    </row>
    <row r="3396" spans="1:2" x14ac:dyDescent="0.35">
      <c r="A3396" s="1012">
        <v>43637</v>
      </c>
      <c r="B3396" s="1013">
        <v>0.93339013280710614</v>
      </c>
    </row>
    <row r="3397" spans="1:2" x14ac:dyDescent="0.35">
      <c r="A3397" s="1012">
        <v>43640</v>
      </c>
      <c r="B3397" s="1013">
        <v>0.90916060494762774</v>
      </c>
    </row>
    <row r="3398" spans="1:2" x14ac:dyDescent="0.35">
      <c r="A3398" s="1012">
        <v>43641</v>
      </c>
      <c r="B3398" s="1013">
        <v>0.89217164440886143</v>
      </c>
    </row>
    <row r="3399" spans="1:2" x14ac:dyDescent="0.35">
      <c r="A3399" s="1012">
        <v>43642</v>
      </c>
      <c r="B3399" s="1013">
        <v>0.89191584790319245</v>
      </c>
    </row>
    <row r="3400" spans="1:2" x14ac:dyDescent="0.35">
      <c r="A3400" s="1012">
        <v>43643</v>
      </c>
      <c r="B3400" s="1013">
        <v>0.89611849902562135</v>
      </c>
    </row>
    <row r="3401" spans="1:2" x14ac:dyDescent="0.35">
      <c r="A3401" s="1012">
        <v>43644</v>
      </c>
      <c r="B3401" s="1013">
        <v>0.89363320641625954</v>
      </c>
    </row>
    <row r="3402" spans="1:2" x14ac:dyDescent="0.35">
      <c r="A3402" s="1012">
        <v>43647</v>
      </c>
      <c r="B3402" s="1013">
        <v>0.89286566008076163</v>
      </c>
    </row>
    <row r="3403" spans="1:2" x14ac:dyDescent="0.35">
      <c r="A3403" s="1012">
        <v>43648</v>
      </c>
      <c r="B3403" s="1013">
        <v>0.89594904475771386</v>
      </c>
    </row>
    <row r="3404" spans="1:2" x14ac:dyDescent="0.35">
      <c r="A3404" s="1012">
        <v>43649</v>
      </c>
      <c r="B3404" s="1013">
        <v>0.90014332660197283</v>
      </c>
    </row>
    <row r="3405" spans="1:2" x14ac:dyDescent="0.35">
      <c r="A3405" s="1012">
        <v>43650</v>
      </c>
      <c r="B3405" s="1013">
        <v>0.90211052198590647</v>
      </c>
    </row>
    <row r="3406" spans="1:2" x14ac:dyDescent="0.35">
      <c r="A3406" s="1012">
        <v>43651</v>
      </c>
      <c r="B3406" s="1013">
        <v>0.90630064289267387</v>
      </c>
    </row>
    <row r="3407" spans="1:2" x14ac:dyDescent="0.35">
      <c r="A3407" s="1012">
        <v>43654</v>
      </c>
      <c r="B3407" s="1013">
        <v>0.89441305221666945</v>
      </c>
    </row>
    <row r="3408" spans="1:2" x14ac:dyDescent="0.35">
      <c r="A3408" s="1012">
        <v>43655</v>
      </c>
      <c r="B3408" s="1013">
        <v>0.89415756533771606</v>
      </c>
    </row>
    <row r="3409" spans="1:2" x14ac:dyDescent="0.35">
      <c r="A3409" s="1012">
        <v>43656</v>
      </c>
      <c r="B3409" s="1013">
        <v>0.89057091173804959</v>
      </c>
    </row>
    <row r="3410" spans="1:2" x14ac:dyDescent="0.35">
      <c r="A3410" s="1012">
        <v>43657</v>
      </c>
      <c r="B3410" s="1013">
        <v>0.88587618547275471</v>
      </c>
    </row>
    <row r="3411" spans="1:2" x14ac:dyDescent="0.35">
      <c r="A3411" s="1012">
        <v>43658</v>
      </c>
      <c r="B3411" s="1013">
        <v>0.8711959056715336</v>
      </c>
    </row>
    <row r="3412" spans="1:2" x14ac:dyDescent="0.35">
      <c r="A3412" s="1012">
        <v>43661</v>
      </c>
      <c r="B3412" s="1013">
        <v>0.87045061813361546</v>
      </c>
    </row>
    <row r="3413" spans="1:2" x14ac:dyDescent="0.35">
      <c r="A3413" s="1012">
        <v>43662</v>
      </c>
      <c r="B3413" s="1013">
        <v>0.88350493041497324</v>
      </c>
    </row>
    <row r="3414" spans="1:2" x14ac:dyDescent="0.35">
      <c r="A3414" s="1012">
        <v>43663</v>
      </c>
      <c r="B3414" s="1013">
        <v>0.87660380130064008</v>
      </c>
    </row>
    <row r="3415" spans="1:2" x14ac:dyDescent="0.35">
      <c r="A3415" s="1012">
        <v>43664</v>
      </c>
      <c r="B3415" s="1013">
        <v>0.87856985667955645</v>
      </c>
    </row>
    <row r="3416" spans="1:2" x14ac:dyDescent="0.35">
      <c r="A3416" s="1012">
        <v>43665</v>
      </c>
      <c r="B3416" s="1013">
        <v>0.88385756486022293</v>
      </c>
    </row>
    <row r="3417" spans="1:2" x14ac:dyDescent="0.35">
      <c r="A3417" s="1012">
        <v>43668</v>
      </c>
      <c r="B3417" s="1013">
        <v>0.87978301595416863</v>
      </c>
    </row>
    <row r="3418" spans="1:2" x14ac:dyDescent="0.35">
      <c r="A3418" s="1012">
        <v>43669</v>
      </c>
      <c r="B3418" s="1013">
        <v>0.90055298768473058</v>
      </c>
    </row>
    <row r="3419" spans="1:2" x14ac:dyDescent="0.35">
      <c r="A3419" s="1012">
        <v>43670</v>
      </c>
      <c r="B3419" s="1013">
        <v>0.89919082866919697</v>
      </c>
    </row>
    <row r="3420" spans="1:2" x14ac:dyDescent="0.35">
      <c r="A3420" s="1012">
        <v>43671</v>
      </c>
      <c r="B3420" s="1013">
        <v>0.88566673016090125</v>
      </c>
    </row>
    <row r="3421" spans="1:2" x14ac:dyDescent="0.35">
      <c r="A3421" s="1012">
        <v>43672</v>
      </c>
      <c r="B3421" s="1013">
        <v>0.87878264239524195</v>
      </c>
    </row>
    <row r="3422" spans="1:2" x14ac:dyDescent="0.35">
      <c r="A3422" s="1012">
        <v>43675</v>
      </c>
      <c r="B3422" s="1013">
        <v>0.86919829311974539</v>
      </c>
    </row>
    <row r="3423" spans="1:2" x14ac:dyDescent="0.35">
      <c r="A3423" s="1012">
        <v>43676</v>
      </c>
      <c r="B3423" s="1013">
        <v>0.87999280423580029</v>
      </c>
    </row>
    <row r="3424" spans="1:2" x14ac:dyDescent="0.35">
      <c r="A3424" s="1012">
        <v>43677</v>
      </c>
      <c r="B3424" s="1013">
        <v>0.89409264123978538</v>
      </c>
    </row>
    <row r="3425" spans="1:2" x14ac:dyDescent="0.35">
      <c r="A3425" s="1012">
        <v>43678</v>
      </c>
      <c r="B3425" s="1013">
        <v>0.88611437903904366</v>
      </c>
    </row>
    <row r="3426" spans="1:2" x14ac:dyDescent="0.35">
      <c r="A3426" s="1012">
        <v>43679</v>
      </c>
      <c r="B3426" s="1013">
        <v>0.85497361671219141</v>
      </c>
    </row>
    <row r="3427" spans="1:2" x14ac:dyDescent="0.35">
      <c r="A3427" s="1012">
        <v>43682</v>
      </c>
      <c r="B3427" s="1013">
        <v>0.77819106056069165</v>
      </c>
    </row>
    <row r="3428" spans="1:2" x14ac:dyDescent="0.35">
      <c r="A3428" s="1012">
        <v>43683</v>
      </c>
      <c r="B3428" s="1013">
        <v>0.75372782807052308</v>
      </c>
    </row>
    <row r="3429" spans="1:2" x14ac:dyDescent="0.35">
      <c r="A3429" s="1012">
        <v>43684</v>
      </c>
      <c r="B3429" s="1013">
        <v>0.76012407095719159</v>
      </c>
    </row>
    <row r="3430" spans="1:2" x14ac:dyDescent="0.35">
      <c r="A3430" s="1012">
        <v>43685</v>
      </c>
      <c r="B3430" s="1013">
        <v>0.77202327617178823</v>
      </c>
    </row>
    <row r="3431" spans="1:2" x14ac:dyDescent="0.35">
      <c r="A3431" s="1012">
        <v>43686</v>
      </c>
      <c r="B3431" s="1013">
        <v>0.74978458012534621</v>
      </c>
    </row>
    <row r="3432" spans="1:2" x14ac:dyDescent="0.35">
      <c r="A3432" s="1012">
        <v>43689</v>
      </c>
      <c r="B3432" s="1013">
        <v>0.745848025449242</v>
      </c>
    </row>
    <row r="3433" spans="1:2" x14ac:dyDescent="0.35">
      <c r="A3433" s="1012">
        <v>43690</v>
      </c>
      <c r="B3433" s="1013">
        <v>0.71044477393452132</v>
      </c>
    </row>
    <row r="3434" spans="1:2" x14ac:dyDescent="0.35">
      <c r="A3434" s="1012">
        <v>43691</v>
      </c>
      <c r="B3434" s="1013">
        <v>0.70914445399469794</v>
      </c>
    </row>
    <row r="3435" spans="1:2" x14ac:dyDescent="0.35">
      <c r="A3435" s="1012">
        <v>43692</v>
      </c>
      <c r="B3435" s="1013">
        <v>0.71004314514317579</v>
      </c>
    </row>
    <row r="3436" spans="1:2" x14ac:dyDescent="0.35">
      <c r="A3436" s="1012">
        <v>43693</v>
      </c>
      <c r="B3436" s="1013">
        <v>0.71313898318876057</v>
      </c>
    </row>
    <row r="3437" spans="1:2" x14ac:dyDescent="0.35">
      <c r="A3437" s="1012">
        <v>43696</v>
      </c>
      <c r="B3437" s="1013">
        <v>0.74437394173019977</v>
      </c>
    </row>
    <row r="3438" spans="1:2" x14ac:dyDescent="0.35">
      <c r="A3438" s="1012">
        <v>43697</v>
      </c>
      <c r="B3438" s="1013">
        <v>0.75623728838952042</v>
      </c>
    </row>
    <row r="3439" spans="1:2" x14ac:dyDescent="0.35">
      <c r="A3439" s="1012">
        <v>43698</v>
      </c>
      <c r="B3439" s="1013">
        <v>0.7527320610177477</v>
      </c>
    </row>
    <row r="3440" spans="1:2" x14ac:dyDescent="0.35">
      <c r="A3440" s="1012">
        <v>43699</v>
      </c>
      <c r="B3440" s="1013">
        <v>0.75581061638620028</v>
      </c>
    </row>
    <row r="3441" spans="1:2" x14ac:dyDescent="0.35">
      <c r="A3441" s="1012">
        <v>43700</v>
      </c>
      <c r="B3441" s="1013">
        <v>0.74901751202003408</v>
      </c>
    </row>
    <row r="3442" spans="1:2" x14ac:dyDescent="0.35">
      <c r="A3442" s="1012">
        <v>43703</v>
      </c>
      <c r="B3442" s="1013">
        <v>0.72975690025774997</v>
      </c>
    </row>
    <row r="3443" spans="1:2" x14ac:dyDescent="0.35">
      <c r="A3443" s="1012">
        <v>43704</v>
      </c>
      <c r="B3443" s="1013">
        <v>0.74926892775347731</v>
      </c>
    </row>
    <row r="3444" spans="1:2" x14ac:dyDescent="0.35">
      <c r="A3444" s="1012">
        <v>43705</v>
      </c>
      <c r="B3444" s="1013">
        <v>0.75015302861335231</v>
      </c>
    </row>
    <row r="3445" spans="1:2" x14ac:dyDescent="0.35">
      <c r="A3445" s="1012">
        <v>43706</v>
      </c>
      <c r="B3445" s="1013">
        <v>0.75760546515608829</v>
      </c>
    </row>
    <row r="3446" spans="1:2" x14ac:dyDescent="0.35">
      <c r="A3446" s="1012">
        <v>43707</v>
      </c>
      <c r="B3446" s="1013">
        <v>0.77380968594637656</v>
      </c>
    </row>
    <row r="3447" spans="1:2" x14ac:dyDescent="0.35">
      <c r="A3447" s="1012">
        <v>43710</v>
      </c>
      <c r="B3447" s="1013">
        <v>0.75784679592246218</v>
      </c>
    </row>
    <row r="3448" spans="1:2" x14ac:dyDescent="0.35">
      <c r="A3448" s="1012">
        <v>43711</v>
      </c>
      <c r="B3448" s="1013">
        <v>0.74560779498377339</v>
      </c>
    </row>
    <row r="3449" spans="1:2" x14ac:dyDescent="0.35">
      <c r="A3449" s="1012">
        <v>43712</v>
      </c>
      <c r="B3449" s="1013">
        <v>0.78146588224339275</v>
      </c>
    </row>
    <row r="3450" spans="1:2" x14ac:dyDescent="0.35">
      <c r="A3450" s="1012">
        <v>43713</v>
      </c>
      <c r="B3450" s="1013">
        <v>0.79763607888760812</v>
      </c>
    </row>
    <row r="3451" spans="1:2" x14ac:dyDescent="0.35">
      <c r="A3451" s="1012">
        <v>43714</v>
      </c>
      <c r="B3451" s="1013">
        <v>0.80833546457511862</v>
      </c>
    </row>
    <row r="3452" spans="1:2" x14ac:dyDescent="0.35">
      <c r="A3452" s="1012">
        <v>43717</v>
      </c>
      <c r="B3452" s="1013">
        <v>0.80219769459892332</v>
      </c>
    </row>
    <row r="3453" spans="1:2" x14ac:dyDescent="0.35">
      <c r="A3453" s="1012">
        <v>43718</v>
      </c>
      <c r="B3453" s="1013">
        <v>0.80415483793906817</v>
      </c>
    </row>
    <row r="3454" spans="1:2" x14ac:dyDescent="0.35">
      <c r="A3454" s="1012">
        <v>43719</v>
      </c>
      <c r="B3454" s="1013">
        <v>0.81483738807191497</v>
      </c>
    </row>
    <row r="3455" spans="1:2" x14ac:dyDescent="0.35">
      <c r="A3455" s="1012">
        <v>43720</v>
      </c>
      <c r="B3455" s="1013">
        <v>0.83641901851330402</v>
      </c>
    </row>
    <row r="3456" spans="1:2" x14ac:dyDescent="0.35">
      <c r="A3456" s="1012">
        <v>43724</v>
      </c>
      <c r="B3456" s="1013">
        <v>0.87687464703594153</v>
      </c>
    </row>
    <row r="3457" spans="1:2" x14ac:dyDescent="0.35">
      <c r="A3457" s="1012">
        <v>43725</v>
      </c>
      <c r="B3457" s="1013">
        <v>0.87440695271692159</v>
      </c>
    </row>
    <row r="3458" spans="1:2" x14ac:dyDescent="0.35">
      <c r="A3458" s="1012">
        <v>43726</v>
      </c>
      <c r="B3458" s="1013">
        <v>0.87082988823523089</v>
      </c>
    </row>
    <row r="3459" spans="1:2" x14ac:dyDescent="0.35">
      <c r="A3459" s="1012">
        <v>43727</v>
      </c>
      <c r="B3459" s="1013">
        <v>0.86059217701827295</v>
      </c>
    </row>
    <row r="3460" spans="1:2" x14ac:dyDescent="0.35">
      <c r="A3460" s="1012">
        <v>43728</v>
      </c>
      <c r="B3460" s="1013">
        <v>0.86146150311640368</v>
      </c>
    </row>
    <row r="3461" spans="1:2" x14ac:dyDescent="0.35">
      <c r="A3461" s="1012">
        <v>43731</v>
      </c>
      <c r="B3461" s="1013">
        <v>0.86739416397075109</v>
      </c>
    </row>
    <row r="3462" spans="1:2" x14ac:dyDescent="0.35">
      <c r="A3462" s="1012">
        <v>43732</v>
      </c>
      <c r="B3462" s="1013">
        <v>0.85273616153078524</v>
      </c>
    </row>
    <row r="3463" spans="1:2" x14ac:dyDescent="0.35">
      <c r="A3463" s="1012">
        <v>43733</v>
      </c>
      <c r="B3463" s="1013">
        <v>0.8314348716504838</v>
      </c>
    </row>
    <row r="3464" spans="1:2" x14ac:dyDescent="0.35">
      <c r="A3464" s="1012">
        <v>43734</v>
      </c>
      <c r="B3464" s="1013">
        <v>0.83120261546234486</v>
      </c>
    </row>
    <row r="3465" spans="1:2" x14ac:dyDescent="0.35">
      <c r="A3465" s="1012">
        <v>43735</v>
      </c>
      <c r="B3465" s="1013">
        <v>0.81767496117268179</v>
      </c>
    </row>
    <row r="3466" spans="1:2" x14ac:dyDescent="0.35">
      <c r="A3466" s="1012">
        <v>43738</v>
      </c>
      <c r="B3466" s="1013">
        <v>0.81588345547607155</v>
      </c>
    </row>
    <row r="3467" spans="1:2" x14ac:dyDescent="0.35">
      <c r="A3467" s="1012">
        <v>43746</v>
      </c>
      <c r="B3467" s="1013">
        <v>0.78976576589955361</v>
      </c>
    </row>
    <row r="3468" spans="1:2" x14ac:dyDescent="0.35">
      <c r="A3468" s="1012">
        <v>43747</v>
      </c>
      <c r="B3468" s="1013">
        <v>0.78292038757779514</v>
      </c>
    </row>
    <row r="3469" spans="1:2" x14ac:dyDescent="0.35">
      <c r="A3469" s="1012">
        <v>43748</v>
      </c>
      <c r="B3469" s="1013">
        <v>0.78491044119024467</v>
      </c>
    </row>
    <row r="3470" spans="1:2" x14ac:dyDescent="0.35">
      <c r="A3470" s="1012">
        <v>43749</v>
      </c>
      <c r="B3470" s="1013">
        <v>0.79462490755820991</v>
      </c>
    </row>
    <row r="3471" spans="1:2" x14ac:dyDescent="0.35">
      <c r="A3471" s="1012">
        <v>43752</v>
      </c>
      <c r="B3471" s="1013">
        <v>0.78955141675416951</v>
      </c>
    </row>
    <row r="3472" spans="1:2" x14ac:dyDescent="0.35">
      <c r="A3472" s="1012">
        <v>43753</v>
      </c>
      <c r="B3472" s="1013">
        <v>0.78492234876291644</v>
      </c>
    </row>
    <row r="3473" spans="1:2" x14ac:dyDescent="0.35">
      <c r="A3473" s="1012">
        <v>43754</v>
      </c>
      <c r="B3473" s="1013">
        <v>0.7825000781784921</v>
      </c>
    </row>
    <row r="3474" spans="1:2" x14ac:dyDescent="0.35">
      <c r="A3474" s="1012">
        <v>43755</v>
      </c>
      <c r="B3474" s="1013">
        <v>0.77346831271464866</v>
      </c>
    </row>
    <row r="3475" spans="1:2" x14ac:dyDescent="0.35">
      <c r="A3475" s="1012">
        <v>43756</v>
      </c>
      <c r="B3475" s="1013">
        <v>0.80629859315807939</v>
      </c>
    </row>
    <row r="3476" spans="1:2" x14ac:dyDescent="0.35">
      <c r="A3476" s="1012">
        <v>43759</v>
      </c>
      <c r="B3476" s="1013">
        <v>0.80232582334035063</v>
      </c>
    </row>
    <row r="3477" spans="1:2" x14ac:dyDescent="0.35">
      <c r="A3477" s="1012">
        <v>43760</v>
      </c>
      <c r="B3477" s="1013">
        <v>0.80540415133766674</v>
      </c>
    </row>
    <row r="3478" spans="1:2" x14ac:dyDescent="0.35">
      <c r="A3478" s="1012">
        <v>43761</v>
      </c>
      <c r="B3478" s="1013">
        <v>0.82498037998521612</v>
      </c>
    </row>
    <row r="3479" spans="1:2" x14ac:dyDescent="0.35">
      <c r="A3479" s="1012">
        <v>43762</v>
      </c>
      <c r="B3479" s="1013">
        <v>0.83464873593302891</v>
      </c>
    </row>
    <row r="3480" spans="1:2" x14ac:dyDescent="0.35">
      <c r="A3480" s="1012">
        <v>43763</v>
      </c>
      <c r="B3480" s="1013">
        <v>0.80803271388921372</v>
      </c>
    </row>
    <row r="3481" spans="1:2" x14ac:dyDescent="0.35">
      <c r="A3481" s="1012">
        <v>43766</v>
      </c>
      <c r="B3481" s="1013">
        <v>0.81505071422706776</v>
      </c>
    </row>
    <row r="3482" spans="1:2" x14ac:dyDescent="0.35">
      <c r="A3482" s="1012">
        <v>43767</v>
      </c>
      <c r="B3482" s="1013">
        <v>0.81262882039900119</v>
      </c>
    </row>
    <row r="3483" spans="1:2" x14ac:dyDescent="0.35">
      <c r="A3483" s="1012">
        <v>43768</v>
      </c>
      <c r="B3483" s="1013">
        <v>0.80471905102224572</v>
      </c>
    </row>
    <row r="3484" spans="1:2" x14ac:dyDescent="0.35">
      <c r="A3484" s="1012">
        <v>43769</v>
      </c>
      <c r="B3484" s="1013">
        <v>0.79242350005348683</v>
      </c>
    </row>
    <row r="3485" spans="1:2" x14ac:dyDescent="0.35">
      <c r="A3485" s="1012">
        <v>43770</v>
      </c>
      <c r="B3485" s="1013">
        <v>0.79659328909460292</v>
      </c>
    </row>
    <row r="3486" spans="1:2" x14ac:dyDescent="0.35">
      <c r="A3486" s="1012">
        <v>43773</v>
      </c>
      <c r="B3486" s="1013">
        <v>0.80251087123691001</v>
      </c>
    </row>
    <row r="3487" spans="1:2" x14ac:dyDescent="0.35">
      <c r="A3487" s="1012">
        <v>43774</v>
      </c>
      <c r="B3487" s="1013">
        <v>0.80886531275587192</v>
      </c>
    </row>
    <row r="3488" spans="1:2" x14ac:dyDescent="0.35">
      <c r="A3488" s="1012">
        <v>43775</v>
      </c>
      <c r="B3488" s="1013">
        <v>0.80754619901722247</v>
      </c>
    </row>
    <row r="3489" spans="1:2" x14ac:dyDescent="0.35">
      <c r="A3489" s="1012">
        <v>43776</v>
      </c>
      <c r="B3489" s="1013">
        <v>0.79855988612888273</v>
      </c>
    </row>
    <row r="3490" spans="1:2" x14ac:dyDescent="0.35">
      <c r="A3490" s="1012">
        <v>43777</v>
      </c>
      <c r="B3490" s="1013">
        <v>0.78848341833369517</v>
      </c>
    </row>
    <row r="3491" spans="1:2" x14ac:dyDescent="0.35">
      <c r="A3491" s="1012">
        <v>43780</v>
      </c>
      <c r="B3491" s="1013">
        <v>0.76704104209000312</v>
      </c>
    </row>
    <row r="3492" spans="1:2" x14ac:dyDescent="0.35">
      <c r="A3492" s="1012">
        <v>43781</v>
      </c>
      <c r="B3492" s="1013">
        <v>0.75917219419929705</v>
      </c>
    </row>
    <row r="3493" spans="1:2" x14ac:dyDescent="0.35">
      <c r="A3493" s="1012">
        <v>43782</v>
      </c>
      <c r="B3493" s="1013">
        <v>0.73380997993018116</v>
      </c>
    </row>
    <row r="3494" spans="1:2" x14ac:dyDescent="0.35">
      <c r="A3494" s="1012">
        <v>43783</v>
      </c>
      <c r="B3494" s="1013">
        <v>0.72048810064808577</v>
      </c>
    </row>
    <row r="3495" spans="1:2" x14ac:dyDescent="0.35">
      <c r="A3495" s="1012">
        <v>43784</v>
      </c>
      <c r="B3495" s="1013">
        <v>0.69842952993877927</v>
      </c>
    </row>
    <row r="3496" spans="1:2" x14ac:dyDescent="0.35">
      <c r="A3496" s="1012">
        <v>43787</v>
      </c>
      <c r="B3496" s="1013">
        <v>0.70986587805181267</v>
      </c>
    </row>
    <row r="3497" spans="1:2" x14ac:dyDescent="0.35">
      <c r="A3497" s="1012">
        <v>43788</v>
      </c>
      <c r="B3497" s="1013">
        <v>0.74460815418067727</v>
      </c>
    </row>
    <row r="3498" spans="1:2" x14ac:dyDescent="0.35">
      <c r="A3498" s="1012">
        <v>43789</v>
      </c>
      <c r="B3498" s="1013">
        <v>0.73021379414636955</v>
      </c>
    </row>
    <row r="3499" spans="1:2" x14ac:dyDescent="0.35">
      <c r="A3499" s="1012">
        <v>43790</v>
      </c>
      <c r="B3499" s="1013">
        <v>0.71255375150226619</v>
      </c>
    </row>
    <row r="3500" spans="1:2" x14ac:dyDescent="0.35">
      <c r="A3500" s="1012">
        <v>43791</v>
      </c>
      <c r="B3500" s="1013">
        <v>0.71235782369916989</v>
      </c>
    </row>
    <row r="3501" spans="1:2" x14ac:dyDescent="0.35">
      <c r="A3501" s="1012">
        <v>43794</v>
      </c>
      <c r="B3501" s="1013">
        <v>0.7292107030524293</v>
      </c>
    </row>
    <row r="3502" spans="1:2" x14ac:dyDescent="0.35">
      <c r="A3502" s="1012">
        <v>43795</v>
      </c>
      <c r="B3502" s="1013">
        <v>0.72792071378138223</v>
      </c>
    </row>
    <row r="3503" spans="1:2" x14ac:dyDescent="0.35">
      <c r="A3503" s="1012">
        <v>43796</v>
      </c>
      <c r="B3503" s="1013">
        <v>0.71464800601175682</v>
      </c>
    </row>
    <row r="3504" spans="1:2" x14ac:dyDescent="0.35">
      <c r="A3504" s="1012">
        <v>43797</v>
      </c>
      <c r="B3504" s="1013">
        <v>0.70682810226393744</v>
      </c>
    </row>
    <row r="3505" spans="1:2" x14ac:dyDescent="0.35">
      <c r="A3505" s="1012">
        <v>43798</v>
      </c>
      <c r="B3505" s="1013">
        <v>0.67179237809972814</v>
      </c>
    </row>
    <row r="3506" spans="1:2" x14ac:dyDescent="0.35">
      <c r="A3506" s="1012">
        <v>43801</v>
      </c>
      <c r="B3506" s="1013">
        <v>0.67885509989001314</v>
      </c>
    </row>
    <row r="3507" spans="1:2" x14ac:dyDescent="0.35">
      <c r="A3507" s="1012">
        <v>43802</v>
      </c>
      <c r="B3507" s="1013">
        <v>0.69172032787856275</v>
      </c>
    </row>
    <row r="3508" spans="1:2" x14ac:dyDescent="0.35">
      <c r="A3508" s="1012">
        <v>43803</v>
      </c>
      <c r="B3508" s="1013">
        <v>0.68174494150914799</v>
      </c>
    </row>
    <row r="3509" spans="1:2" x14ac:dyDescent="0.35">
      <c r="A3509" s="1012">
        <v>43804</v>
      </c>
      <c r="B3509" s="1013">
        <v>0.68481919654988155</v>
      </c>
    </row>
    <row r="3510" spans="1:2" x14ac:dyDescent="0.35">
      <c r="A3510" s="1012">
        <v>43805</v>
      </c>
      <c r="B3510" s="1013">
        <v>0.69332535170573284</v>
      </c>
    </row>
    <row r="3511" spans="1:2" x14ac:dyDescent="0.35">
      <c r="A3511" s="1012">
        <v>43808</v>
      </c>
      <c r="B3511" s="1013">
        <v>0.69709938908165603</v>
      </c>
    </row>
    <row r="3512" spans="1:2" x14ac:dyDescent="0.35">
      <c r="A3512" s="1012">
        <v>43809</v>
      </c>
      <c r="B3512" s="1013">
        <v>0.69148101721671573</v>
      </c>
    </row>
    <row r="3513" spans="1:2" x14ac:dyDescent="0.35">
      <c r="A3513" s="1012">
        <v>43810</v>
      </c>
      <c r="B3513" s="1013">
        <v>0.69237710242075723</v>
      </c>
    </row>
    <row r="3514" spans="1:2" x14ac:dyDescent="0.35">
      <c r="A3514" s="1012">
        <v>43811</v>
      </c>
      <c r="B3514" s="1013">
        <v>0.69001789613778608</v>
      </c>
    </row>
    <row r="3515" spans="1:2" x14ac:dyDescent="0.35">
      <c r="A3515" s="1012">
        <v>43812</v>
      </c>
      <c r="B3515" s="1013">
        <v>0.68549070542337953</v>
      </c>
    </row>
    <row r="3516" spans="1:2" x14ac:dyDescent="0.35">
      <c r="A3516" s="1012">
        <v>43815</v>
      </c>
      <c r="B3516" s="1013">
        <v>0.67517521824358651</v>
      </c>
    </row>
    <row r="3517" spans="1:2" x14ac:dyDescent="0.35">
      <c r="A3517" s="1012">
        <v>43816</v>
      </c>
      <c r="B3517" s="1013">
        <v>0.71724547873135791</v>
      </c>
    </row>
    <row r="3518" spans="1:2" x14ac:dyDescent="0.35">
      <c r="A3518" s="1012">
        <v>43817</v>
      </c>
      <c r="B3518" s="1013">
        <v>0.7495443584066287</v>
      </c>
    </row>
    <row r="3519" spans="1:2" x14ac:dyDescent="0.35">
      <c r="A3519" s="1012">
        <v>43818</v>
      </c>
      <c r="B3519" s="1013">
        <v>0.7395940297137219</v>
      </c>
    </row>
    <row r="3520" spans="1:2" x14ac:dyDescent="0.35">
      <c r="A3520" s="1012">
        <v>43819</v>
      </c>
      <c r="B3520" s="1013">
        <v>0.74155735145301549</v>
      </c>
    </row>
    <row r="3521" spans="1:2" x14ac:dyDescent="0.35">
      <c r="A3521" s="1012">
        <v>43822</v>
      </c>
      <c r="B3521" s="1013">
        <v>0.75068593332877454</v>
      </c>
    </row>
    <row r="3522" spans="1:2" x14ac:dyDescent="0.35">
      <c r="A3522" s="1012">
        <v>43823</v>
      </c>
      <c r="B3522" s="1013">
        <v>0.74074885415361025</v>
      </c>
    </row>
    <row r="3523" spans="1:2" x14ac:dyDescent="0.35">
      <c r="A3523" s="1012">
        <v>43824</v>
      </c>
      <c r="B3523" s="1013">
        <v>0.7405470052161589</v>
      </c>
    </row>
    <row r="3524" spans="1:2" x14ac:dyDescent="0.35">
      <c r="A3524" s="1012">
        <v>43825</v>
      </c>
      <c r="B3524" s="1013">
        <v>0.74034526625361796</v>
      </c>
    </row>
    <row r="3525" spans="1:2" x14ac:dyDescent="0.35">
      <c r="A3525" s="1012">
        <v>43826</v>
      </c>
      <c r="B3525" s="1013">
        <v>0.7563511620778014</v>
      </c>
    </row>
    <row r="3526" spans="1:2" x14ac:dyDescent="0.35">
      <c r="A3526" s="1012">
        <v>43829</v>
      </c>
      <c r="B3526" s="1013">
        <v>0.7665298977130528</v>
      </c>
    </row>
    <row r="3527" spans="1:2" x14ac:dyDescent="0.35">
      <c r="A3527" s="1012">
        <v>43830</v>
      </c>
      <c r="B3527" s="1013">
        <v>0.76416271283149406</v>
      </c>
    </row>
    <row r="3528" spans="1:2" x14ac:dyDescent="0.35">
      <c r="A3528" s="1012">
        <v>43832</v>
      </c>
      <c r="B3528" s="1013">
        <v>0.78527633706251876</v>
      </c>
    </row>
    <row r="3529" spans="1:2" x14ac:dyDescent="0.35">
      <c r="A3529" s="1012">
        <v>43833</v>
      </c>
      <c r="B3529" s="1013">
        <v>0.78393899807273104</v>
      </c>
    </row>
    <row r="3530" spans="1:2" x14ac:dyDescent="0.35">
      <c r="A3530" s="1012">
        <v>43836</v>
      </c>
      <c r="B3530" s="1013">
        <v>0.77023697858606088</v>
      </c>
    </row>
    <row r="3531" spans="1:2" x14ac:dyDescent="0.35">
      <c r="A3531" s="1012">
        <v>43837</v>
      </c>
      <c r="B3531" s="1013">
        <v>0.77859845274738337</v>
      </c>
    </row>
    <row r="3532" spans="1:2" x14ac:dyDescent="0.35">
      <c r="A3532" s="1012">
        <v>43838</v>
      </c>
      <c r="B3532" s="1013">
        <v>0.76219388424309287</v>
      </c>
    </row>
    <row r="3533" spans="1:2" x14ac:dyDescent="0.35">
      <c r="A3533" s="1012">
        <v>43839</v>
      </c>
      <c r="B3533" s="1013">
        <v>0.77700964492728697</v>
      </c>
    </row>
    <row r="3534" spans="1:2" x14ac:dyDescent="0.35">
      <c r="A3534" s="1012">
        <v>43840</v>
      </c>
      <c r="B3534" s="1013">
        <v>0.77890561651116275</v>
      </c>
    </row>
    <row r="3535" spans="1:2" x14ac:dyDescent="0.35">
      <c r="A3535" s="1012">
        <v>43843</v>
      </c>
      <c r="B3535" s="1013">
        <v>0.77276352189955488</v>
      </c>
    </row>
    <row r="3536" spans="1:2" x14ac:dyDescent="0.35">
      <c r="A3536" s="1012">
        <v>43844</v>
      </c>
      <c r="B3536" s="1013">
        <v>0.77250955214996486</v>
      </c>
    </row>
    <row r="3537" spans="1:2" x14ac:dyDescent="0.35">
      <c r="A3537" s="1012">
        <v>43845</v>
      </c>
      <c r="B3537" s="1013">
        <v>0.77870016443445544</v>
      </c>
    </row>
    <row r="3538" spans="1:2" x14ac:dyDescent="0.35">
      <c r="A3538" s="1012">
        <v>43846</v>
      </c>
      <c r="B3538" s="1013">
        <v>0.77414954598665731</v>
      </c>
    </row>
    <row r="3539" spans="1:2" x14ac:dyDescent="0.35">
      <c r="A3539" s="1012">
        <v>43847</v>
      </c>
      <c r="B3539" s="1013">
        <v>0.77818882691973801</v>
      </c>
    </row>
    <row r="3540" spans="1:2" x14ac:dyDescent="0.35">
      <c r="A3540" s="1012">
        <v>43850</v>
      </c>
      <c r="B3540" s="1013">
        <v>0.77206154008249794</v>
      </c>
    </row>
    <row r="3541" spans="1:2" x14ac:dyDescent="0.35">
      <c r="A3541" s="1012">
        <v>43851</v>
      </c>
      <c r="B3541" s="1013">
        <v>0.75251317385595085</v>
      </c>
    </row>
    <row r="3542" spans="1:2" x14ac:dyDescent="0.35">
      <c r="A3542" s="1012">
        <v>43852</v>
      </c>
      <c r="B3542" s="1013">
        <v>0.76405415978045443</v>
      </c>
    </row>
    <row r="3543" spans="1:2" x14ac:dyDescent="0.35">
      <c r="A3543" s="1012">
        <v>43853</v>
      </c>
      <c r="B3543" s="1013">
        <v>0.75309125725962822</v>
      </c>
    </row>
    <row r="3544" spans="1:2" x14ac:dyDescent="0.35">
      <c r="A3544" s="1012">
        <v>43864</v>
      </c>
      <c r="B3544" s="1013">
        <v>0.65111771988313183</v>
      </c>
    </row>
    <row r="3545" spans="1:2" x14ac:dyDescent="0.35">
      <c r="A3545" s="1012">
        <v>43865</v>
      </c>
      <c r="B3545" s="1013">
        <v>0.66157577294119174</v>
      </c>
    </row>
    <row r="3546" spans="1:2" x14ac:dyDescent="0.35">
      <c r="A3546" s="1012">
        <v>43866</v>
      </c>
      <c r="B3546" s="1013">
        <v>0.65922648692937535</v>
      </c>
    </row>
    <row r="3547" spans="1:2" x14ac:dyDescent="0.35">
      <c r="A3547" s="1012">
        <v>43867</v>
      </c>
      <c r="B3547" s="1013">
        <v>0.70913045096394833</v>
      </c>
    </row>
    <row r="3548" spans="1:2" x14ac:dyDescent="0.35">
      <c r="A3548" s="1012">
        <v>43868</v>
      </c>
      <c r="B3548" s="1013">
        <v>0.70570117660012821</v>
      </c>
    </row>
    <row r="3549" spans="1:2" x14ac:dyDescent="0.35">
      <c r="A3549" s="1012">
        <v>43871</v>
      </c>
      <c r="B3549" s="1013">
        <v>0.71033636790200094</v>
      </c>
    </row>
    <row r="3550" spans="1:2" x14ac:dyDescent="0.35">
      <c r="A3550" s="1012">
        <v>43872</v>
      </c>
      <c r="B3550" s="1013">
        <v>0.73139754867572659</v>
      </c>
    </row>
    <row r="3551" spans="1:2" x14ac:dyDescent="0.35">
      <c r="A3551" s="1012">
        <v>43873</v>
      </c>
      <c r="B3551" s="1013">
        <v>0.70987386995189816</v>
      </c>
    </row>
    <row r="3552" spans="1:2" x14ac:dyDescent="0.35">
      <c r="A3552" s="1012">
        <v>43874</v>
      </c>
      <c r="B3552" s="1013">
        <v>0.72241003439935803</v>
      </c>
    </row>
    <row r="3553" spans="1:2" x14ac:dyDescent="0.35">
      <c r="A3553" s="1012">
        <v>43875</v>
      </c>
      <c r="B3553" s="1013">
        <v>0.72536576638793238</v>
      </c>
    </row>
    <row r="3554" spans="1:2" x14ac:dyDescent="0.35">
      <c r="A3554" s="1012">
        <v>43878</v>
      </c>
      <c r="B3554" s="1013">
        <v>0.73103378698022048</v>
      </c>
    </row>
    <row r="3555" spans="1:2" x14ac:dyDescent="0.35">
      <c r="A3555" s="1012">
        <v>43879</v>
      </c>
      <c r="B3555" s="1013">
        <v>0.72442304071001784</v>
      </c>
    </row>
    <row r="3556" spans="1:2" x14ac:dyDescent="0.35">
      <c r="A3556" s="1012">
        <v>43880</v>
      </c>
      <c r="B3556" s="1013">
        <v>0.73374447178077951</v>
      </c>
    </row>
    <row r="3557" spans="1:2" x14ac:dyDescent="0.35">
      <c r="A3557" s="1012">
        <v>43881</v>
      </c>
      <c r="B3557" s="1013">
        <v>0.73032168061228431</v>
      </c>
    </row>
    <row r="3558" spans="1:2" x14ac:dyDescent="0.35">
      <c r="A3558" s="1012">
        <v>43882</v>
      </c>
      <c r="B3558" s="1013">
        <v>0.7247787724910183</v>
      </c>
    </row>
    <row r="3559" spans="1:2" x14ac:dyDescent="0.35">
      <c r="A3559" s="1012">
        <v>43885</v>
      </c>
      <c r="B3559" s="1013">
        <v>0.69438983471335192</v>
      </c>
    </row>
    <row r="3560" spans="1:2" x14ac:dyDescent="0.35">
      <c r="A3560" s="1012">
        <v>43886</v>
      </c>
      <c r="B3560" s="1013">
        <v>0.6909853493409065</v>
      </c>
    </row>
    <row r="3561" spans="1:2" x14ac:dyDescent="0.35">
      <c r="A3561" s="1012">
        <v>43887</v>
      </c>
      <c r="B3561" s="1013">
        <v>0.69499922078385068</v>
      </c>
    </row>
    <row r="3562" spans="1:2" x14ac:dyDescent="0.35">
      <c r="A3562" s="1012">
        <v>43888</v>
      </c>
      <c r="B3562" s="1013">
        <v>0.67782835540038155</v>
      </c>
    </row>
    <row r="3563" spans="1:2" x14ac:dyDescent="0.35">
      <c r="A3563" s="1012">
        <v>43889</v>
      </c>
      <c r="B3563" s="1013">
        <v>0.66807995859455171</v>
      </c>
    </row>
    <row r="3564" spans="1:2" x14ac:dyDescent="0.35">
      <c r="A3564" s="1012">
        <v>43892</v>
      </c>
      <c r="B3564" s="1013">
        <v>0.69599036750864629</v>
      </c>
    </row>
    <row r="3565" spans="1:2" x14ac:dyDescent="0.35">
      <c r="A3565" s="1012">
        <v>43893</v>
      </c>
      <c r="B3565" s="1013">
        <v>0.69470786055324651</v>
      </c>
    </row>
    <row r="3566" spans="1:2" x14ac:dyDescent="0.35">
      <c r="A3566" s="1012">
        <v>43894</v>
      </c>
      <c r="B3566" s="1013">
        <v>0.69448323507260457</v>
      </c>
    </row>
    <row r="3567" spans="1:2" x14ac:dyDescent="0.35">
      <c r="A3567" s="1012">
        <v>43895</v>
      </c>
      <c r="B3567" s="1013">
        <v>0.68791849220397805</v>
      </c>
    </row>
    <row r="3568" spans="1:2" x14ac:dyDescent="0.35">
      <c r="A3568" s="1012">
        <v>43896</v>
      </c>
      <c r="B3568" s="1013">
        <v>0.67924525389481338</v>
      </c>
    </row>
    <row r="3569" spans="1:2" x14ac:dyDescent="0.35">
      <c r="A3569" s="1012">
        <v>43899</v>
      </c>
      <c r="B3569" s="1013">
        <v>0.64376102383765887</v>
      </c>
    </row>
    <row r="3570" spans="1:2" x14ac:dyDescent="0.35">
      <c r="A3570" s="1012">
        <v>43900</v>
      </c>
      <c r="B3570" s="1013">
        <v>0.64144326371133442</v>
      </c>
    </row>
    <row r="3571" spans="1:2" x14ac:dyDescent="0.35">
      <c r="A3571" s="1012">
        <v>43901</v>
      </c>
      <c r="B3571" s="1013">
        <v>0.63701766901046142</v>
      </c>
    </row>
    <row r="3572" spans="1:2" x14ac:dyDescent="0.35">
      <c r="A3572" s="1012">
        <v>43902</v>
      </c>
      <c r="B3572" s="1013">
        <v>0.6188887053935378</v>
      </c>
    </row>
    <row r="3573" spans="1:2" x14ac:dyDescent="0.35">
      <c r="A3573" s="1012">
        <v>43903</v>
      </c>
      <c r="B3573" s="1013">
        <v>0.57652977708027164</v>
      </c>
    </row>
    <row r="3574" spans="1:2" x14ac:dyDescent="0.35">
      <c r="A3574" s="1012">
        <v>43906</v>
      </c>
      <c r="B3574" s="1013">
        <v>0.55175446616803125</v>
      </c>
    </row>
    <row r="3575" spans="1:2" x14ac:dyDescent="0.35">
      <c r="A3575" s="1012">
        <v>43907</v>
      </c>
      <c r="B3575" s="1013">
        <v>0.52736637723079771</v>
      </c>
    </row>
    <row r="3576" spans="1:2" x14ac:dyDescent="0.35">
      <c r="A3576" s="1012">
        <v>43908</v>
      </c>
      <c r="B3576" s="1013">
        <v>0.50720314313202908</v>
      </c>
    </row>
    <row r="3577" spans="1:2" x14ac:dyDescent="0.35">
      <c r="A3577" s="1012">
        <v>43909</v>
      </c>
      <c r="B3577" s="1013">
        <v>0.45865023312787812</v>
      </c>
    </row>
    <row r="3578" spans="1:2" x14ac:dyDescent="0.35">
      <c r="A3578" s="1012">
        <v>43910</v>
      </c>
      <c r="B3578" s="1013">
        <v>0.47743170776162253</v>
      </c>
    </row>
    <row r="3579" spans="1:2" x14ac:dyDescent="0.35">
      <c r="A3579" s="1012">
        <v>43913</v>
      </c>
      <c r="B3579" s="1013">
        <v>0.44755468044114671</v>
      </c>
    </row>
    <row r="3580" spans="1:2" x14ac:dyDescent="0.35">
      <c r="A3580" s="1012">
        <v>43914</v>
      </c>
      <c r="B3580" s="1013">
        <v>0.46001402269736763</v>
      </c>
    </row>
    <row r="3581" spans="1:2" x14ac:dyDescent="0.35">
      <c r="A3581" s="1012">
        <v>43915</v>
      </c>
      <c r="B3581" s="1013">
        <v>0.50254406227150694</v>
      </c>
    </row>
    <row r="3582" spans="1:2" x14ac:dyDescent="0.35">
      <c r="A3582" s="1012">
        <v>43916</v>
      </c>
      <c r="B3582" s="1013">
        <v>0.53324232036065278</v>
      </c>
    </row>
    <row r="3583" spans="1:2" x14ac:dyDescent="0.35">
      <c r="A3583" s="1012">
        <v>43917</v>
      </c>
      <c r="B3583" s="1013">
        <v>0.54602088062208398</v>
      </c>
    </row>
    <row r="3584" spans="1:2" x14ac:dyDescent="0.35">
      <c r="A3584" s="1012">
        <v>43920</v>
      </c>
      <c r="B3584" s="1013">
        <v>0.54953265762101555</v>
      </c>
    </row>
    <row r="3585" spans="1:2" x14ac:dyDescent="0.35">
      <c r="A3585" s="1012">
        <v>43921</v>
      </c>
      <c r="B3585" s="1013">
        <v>0.5702397578691023</v>
      </c>
    </row>
    <row r="3586" spans="1:2" x14ac:dyDescent="0.35">
      <c r="A3586" s="1012">
        <v>43922</v>
      </c>
      <c r="B3586" s="1013">
        <v>0.57603763043617606</v>
      </c>
    </row>
    <row r="3587" spans="1:2" x14ac:dyDescent="0.35">
      <c r="A3587" s="1012">
        <v>43923</v>
      </c>
      <c r="B3587" s="1013">
        <v>0.57984645170299731</v>
      </c>
    </row>
    <row r="3588" spans="1:2" x14ac:dyDescent="0.35">
      <c r="A3588" s="1012">
        <v>43924</v>
      </c>
      <c r="B3588" s="1013">
        <v>0.57074922605922462</v>
      </c>
    </row>
    <row r="3589" spans="1:2" x14ac:dyDescent="0.35">
      <c r="A3589" s="1012">
        <v>43928</v>
      </c>
      <c r="B3589" s="1013">
        <v>0.61472212063915921</v>
      </c>
    </row>
    <row r="3590" spans="1:2" x14ac:dyDescent="0.35">
      <c r="A3590" s="1012">
        <v>43929</v>
      </c>
      <c r="B3590" s="1013">
        <v>0.60860151037715982</v>
      </c>
    </row>
    <row r="3591" spans="1:2" x14ac:dyDescent="0.35">
      <c r="A3591" s="1012">
        <v>43930</v>
      </c>
      <c r="B3591" s="1013">
        <v>0.60743899246464061</v>
      </c>
    </row>
    <row r="3592" spans="1:2" x14ac:dyDescent="0.35">
      <c r="A3592" s="1012">
        <v>43931</v>
      </c>
      <c r="B3592" s="1013">
        <v>0.60726777879527039</v>
      </c>
    </row>
    <row r="3593" spans="1:2" x14ac:dyDescent="0.35">
      <c r="A3593" s="1012">
        <v>43934</v>
      </c>
      <c r="B3593" s="1013">
        <v>0.60675471640040635</v>
      </c>
    </row>
    <row r="3594" spans="1:2" x14ac:dyDescent="0.35">
      <c r="A3594" s="1012">
        <v>43935</v>
      </c>
      <c r="B3594" s="1013">
        <v>0.60955248798081951</v>
      </c>
    </row>
    <row r="3595" spans="1:2" x14ac:dyDescent="0.35">
      <c r="A3595" s="1012">
        <v>43936</v>
      </c>
      <c r="B3595" s="1013">
        <v>0.59553135401741952</v>
      </c>
    </row>
    <row r="3596" spans="1:2" x14ac:dyDescent="0.35">
      <c r="A3596" s="1012">
        <v>43937</v>
      </c>
      <c r="B3596" s="1013">
        <v>0.5795401579877657</v>
      </c>
    </row>
    <row r="3597" spans="1:2" x14ac:dyDescent="0.35">
      <c r="A3597" s="1012">
        <v>43938</v>
      </c>
      <c r="B3597" s="1013">
        <v>0.5971736967063066</v>
      </c>
    </row>
    <row r="3598" spans="1:2" x14ac:dyDescent="0.35">
      <c r="A3598" s="1012">
        <v>43941</v>
      </c>
      <c r="B3598" s="1013">
        <v>0.60951239360208975</v>
      </c>
    </row>
    <row r="3599" spans="1:2" x14ac:dyDescent="0.35">
      <c r="A3599" s="1012">
        <v>43942</v>
      </c>
      <c r="B3599" s="1013">
        <v>0.59551490972085563</v>
      </c>
    </row>
    <row r="3600" spans="1:2" x14ac:dyDescent="0.35">
      <c r="A3600" s="1012">
        <v>43943</v>
      </c>
      <c r="B3600" s="1013">
        <v>0.58053798045377392</v>
      </c>
    </row>
    <row r="3601" spans="1:2" x14ac:dyDescent="0.35">
      <c r="A3601" s="1012">
        <v>43944</v>
      </c>
      <c r="B3601" s="1013">
        <v>0.59123230097493684</v>
      </c>
    </row>
    <row r="3602" spans="1:2" x14ac:dyDescent="0.35">
      <c r="A3602" s="1012">
        <v>43945</v>
      </c>
      <c r="B3602" s="1013">
        <v>0.57725173882961256</v>
      </c>
    </row>
    <row r="3603" spans="1:2" x14ac:dyDescent="0.35">
      <c r="A3603" s="1012">
        <v>43948</v>
      </c>
      <c r="B3603" s="1013">
        <v>0.58563927374645242</v>
      </c>
    </row>
    <row r="3604" spans="1:2" x14ac:dyDescent="0.35">
      <c r="A3604" s="1012">
        <v>43949</v>
      </c>
      <c r="B3604" s="1013">
        <v>0.59237457531357607</v>
      </c>
    </row>
    <row r="3605" spans="1:2" x14ac:dyDescent="0.35">
      <c r="A3605" s="1012">
        <v>43950</v>
      </c>
      <c r="B3605" s="1013">
        <v>0.5912231252579595</v>
      </c>
    </row>
    <row r="3606" spans="1:2" x14ac:dyDescent="0.35">
      <c r="A3606" s="1012">
        <v>43951</v>
      </c>
      <c r="B3606" s="1013">
        <v>0.59105741635655629</v>
      </c>
    </row>
    <row r="3607" spans="1:2" x14ac:dyDescent="0.35">
      <c r="A3607" s="1012">
        <v>43957</v>
      </c>
      <c r="B3607" s="1013">
        <v>0.58908166851838772</v>
      </c>
    </row>
    <row r="3608" spans="1:2" x14ac:dyDescent="0.35">
      <c r="A3608" s="1012">
        <v>43958</v>
      </c>
      <c r="B3608" s="1013">
        <v>0.58498421613253204</v>
      </c>
    </row>
    <row r="3609" spans="1:2" x14ac:dyDescent="0.35">
      <c r="A3609" s="1012">
        <v>43959</v>
      </c>
      <c r="B3609" s="1013">
        <v>0.60939291777101301</v>
      </c>
    </row>
    <row r="3610" spans="1:2" x14ac:dyDescent="0.35">
      <c r="A3610" s="1012">
        <v>43962</v>
      </c>
      <c r="B3610" s="1013">
        <v>0.60200761284683779</v>
      </c>
    </row>
    <row r="3611" spans="1:2" x14ac:dyDescent="0.35">
      <c r="A3611" s="1012">
        <v>43963</v>
      </c>
      <c r="B3611" s="1013">
        <v>0.59398509844965341</v>
      </c>
    </row>
    <row r="3612" spans="1:2" x14ac:dyDescent="0.35">
      <c r="A3612" s="1012">
        <v>43964</v>
      </c>
      <c r="B3612" s="1013">
        <v>0.59185618108027793</v>
      </c>
    </row>
    <row r="3613" spans="1:2" x14ac:dyDescent="0.35">
      <c r="A3613" s="1012">
        <v>43965</v>
      </c>
      <c r="B3613" s="1013">
        <v>0.57304728157104057</v>
      </c>
    </row>
    <row r="3614" spans="1:2" x14ac:dyDescent="0.35">
      <c r="A3614" s="1012">
        <v>43966</v>
      </c>
      <c r="B3614" s="1013">
        <v>0.56602053915283035</v>
      </c>
    </row>
    <row r="3615" spans="1:2" x14ac:dyDescent="0.35">
      <c r="A3615" s="1012">
        <v>43969</v>
      </c>
      <c r="B3615" s="1013">
        <v>0.55672563606678838</v>
      </c>
    </row>
    <row r="3616" spans="1:2" x14ac:dyDescent="0.35">
      <c r="A3616" s="1012">
        <v>43970</v>
      </c>
      <c r="B3616" s="1013">
        <v>0.5712685853105931</v>
      </c>
    </row>
    <row r="3617" spans="1:2" x14ac:dyDescent="0.35">
      <c r="A3617" s="1012">
        <v>43971</v>
      </c>
      <c r="B3617" s="1013">
        <v>0.55543569153736261</v>
      </c>
    </row>
    <row r="3618" spans="1:2" x14ac:dyDescent="0.35">
      <c r="A3618" s="1012">
        <v>43972</v>
      </c>
      <c r="B3618" s="1013">
        <v>0.55136359839509752</v>
      </c>
    </row>
    <row r="3619" spans="1:2" x14ac:dyDescent="0.35">
      <c r="A3619" s="1012">
        <v>43973</v>
      </c>
      <c r="B3619" s="1013">
        <v>0.5130267218935719</v>
      </c>
    </row>
    <row r="3620" spans="1:2" x14ac:dyDescent="0.35">
      <c r="A3620" s="1012">
        <v>43976</v>
      </c>
      <c r="B3620" s="1013">
        <v>0.51357658895872049</v>
      </c>
    </row>
    <row r="3621" spans="1:2" x14ac:dyDescent="0.35">
      <c r="A3621" s="1012">
        <v>43977</v>
      </c>
      <c r="B3621" s="1013">
        <v>0.51441165325868732</v>
      </c>
    </row>
    <row r="3622" spans="1:2" x14ac:dyDescent="0.35">
      <c r="A3622" s="1012">
        <v>43978</v>
      </c>
      <c r="B3622" s="1013">
        <v>0.51133546546953645</v>
      </c>
    </row>
    <row r="3623" spans="1:2" x14ac:dyDescent="0.35">
      <c r="A3623" s="1012">
        <v>43979</v>
      </c>
      <c r="B3623" s="1013">
        <v>0.49750931389002095</v>
      </c>
    </row>
    <row r="3624" spans="1:2" x14ac:dyDescent="0.35">
      <c r="A3624" s="1012">
        <v>43980</v>
      </c>
      <c r="B3624" s="1013">
        <v>0.46707924529244227</v>
      </c>
    </row>
    <row r="3625" spans="1:2" x14ac:dyDescent="0.35">
      <c r="A3625" s="1012">
        <v>43983</v>
      </c>
      <c r="B3625" s="1013">
        <v>0.48816945132818512</v>
      </c>
    </row>
    <row r="3626" spans="1:2" x14ac:dyDescent="0.35">
      <c r="A3626" s="1012">
        <v>43984</v>
      </c>
      <c r="B3626" s="1013">
        <v>0.47924927055213079</v>
      </c>
    </row>
    <row r="3627" spans="1:2" x14ac:dyDescent="0.35">
      <c r="A3627" s="1012">
        <v>43985</v>
      </c>
      <c r="B3627" s="1013">
        <v>0.49375316536611324</v>
      </c>
    </row>
    <row r="3628" spans="1:2" x14ac:dyDescent="0.35">
      <c r="A3628" s="1012">
        <v>43986</v>
      </c>
      <c r="B3628" s="1013">
        <v>0.4926405939580672</v>
      </c>
    </row>
    <row r="3629" spans="1:2" x14ac:dyDescent="0.35">
      <c r="A3629" s="1012">
        <v>43987</v>
      </c>
      <c r="B3629" s="1013">
        <v>0.49933068189090635</v>
      </c>
    </row>
    <row r="3630" spans="1:2" x14ac:dyDescent="0.35">
      <c r="A3630" s="1012">
        <v>43990</v>
      </c>
      <c r="B3630" s="1013">
        <v>0.51645535549596966</v>
      </c>
    </row>
    <row r="3631" spans="1:2" x14ac:dyDescent="0.35">
      <c r="A3631" s="1012">
        <v>43991</v>
      </c>
      <c r="B3631" s="1013">
        <v>0.53579568701416325</v>
      </c>
    </row>
    <row r="3632" spans="1:2" x14ac:dyDescent="0.35">
      <c r="A3632" s="1012">
        <v>43992</v>
      </c>
      <c r="B3632" s="1013">
        <v>0.51714304284410051</v>
      </c>
    </row>
    <row r="3633" spans="1:2" x14ac:dyDescent="0.35">
      <c r="A3633" s="1012">
        <v>43993</v>
      </c>
      <c r="B3633" s="1013">
        <v>0.49655346451385501</v>
      </c>
    </row>
    <row r="3634" spans="1:2" x14ac:dyDescent="0.35">
      <c r="A3634" s="1012">
        <v>43994</v>
      </c>
      <c r="B3634" s="1013">
        <v>0.48960239492457053</v>
      </c>
    </row>
    <row r="3635" spans="1:2" x14ac:dyDescent="0.35">
      <c r="A3635" s="1012">
        <v>43997</v>
      </c>
      <c r="B3635" s="1013">
        <v>0.48015537346800052</v>
      </c>
    </row>
    <row r="3636" spans="1:2" x14ac:dyDescent="0.35">
      <c r="A3636" s="1012">
        <v>43998</v>
      </c>
      <c r="B3636" s="1013">
        <v>0.48906062597098648</v>
      </c>
    </row>
    <row r="3637" spans="1:2" x14ac:dyDescent="0.35">
      <c r="A3637" s="1012">
        <v>43999</v>
      </c>
      <c r="B3637" s="1013">
        <v>0.50197676692217075</v>
      </c>
    </row>
    <row r="3638" spans="1:2" x14ac:dyDescent="0.35">
      <c r="A3638" s="1012">
        <v>44000</v>
      </c>
      <c r="B3638" s="1013">
        <v>0.49681959843667045</v>
      </c>
    </row>
    <row r="3639" spans="1:2" x14ac:dyDescent="0.35">
      <c r="A3639" s="1012">
        <v>44001</v>
      </c>
      <c r="B3639" s="1013">
        <v>0.48464149118796906</v>
      </c>
    </row>
    <row r="3640" spans="1:2" x14ac:dyDescent="0.35">
      <c r="A3640" s="1012">
        <v>44004</v>
      </c>
      <c r="B3640" s="1013">
        <v>0.47120657461483745</v>
      </c>
    </row>
    <row r="3641" spans="1:2" x14ac:dyDescent="0.35">
      <c r="A3641" s="1012">
        <v>44005</v>
      </c>
      <c r="B3641" s="1013">
        <v>0.4710764732420607</v>
      </c>
    </row>
    <row r="3642" spans="1:2" x14ac:dyDescent="0.35">
      <c r="A3642" s="1012">
        <v>44006</v>
      </c>
      <c r="B3642" s="1013">
        <v>0.47695852595201399</v>
      </c>
    </row>
    <row r="3643" spans="1:2" x14ac:dyDescent="0.35">
      <c r="A3643" s="1012">
        <v>44011</v>
      </c>
      <c r="B3643" s="1013">
        <v>0.45929041145446153</v>
      </c>
    </row>
    <row r="3644" spans="1:2" x14ac:dyDescent="0.35">
      <c r="A3644" s="1012">
        <v>44012</v>
      </c>
      <c r="B3644" s="1013">
        <v>0.45216134606117425</v>
      </c>
    </row>
    <row r="3645" spans="1:2" x14ac:dyDescent="0.35">
      <c r="A3645" s="1012">
        <v>44013</v>
      </c>
      <c r="B3645" s="1013">
        <v>0.45203677827396499</v>
      </c>
    </row>
    <row r="3646" spans="1:2" x14ac:dyDescent="0.35">
      <c r="A3646" s="1012">
        <v>44014</v>
      </c>
      <c r="B3646" s="1013">
        <v>0.45991072652099174</v>
      </c>
    </row>
    <row r="3647" spans="1:2" x14ac:dyDescent="0.35">
      <c r="A3647" s="1012">
        <v>44015</v>
      </c>
      <c r="B3647" s="1013">
        <v>0.47277799189571018</v>
      </c>
    </row>
    <row r="3648" spans="1:2" x14ac:dyDescent="0.35">
      <c r="A3648" s="1012">
        <v>44018</v>
      </c>
      <c r="B3648" s="1013">
        <v>0.52432048210740212</v>
      </c>
    </row>
    <row r="3649" spans="1:2" x14ac:dyDescent="0.35">
      <c r="A3649" s="1012">
        <v>44019</v>
      </c>
      <c r="B3649" s="1013">
        <v>0.50420765334109463</v>
      </c>
    </row>
    <row r="3650" spans="1:2" x14ac:dyDescent="0.35">
      <c r="A3650" s="1012">
        <v>44020</v>
      </c>
      <c r="B3650" s="1013">
        <v>0.51504873556928676</v>
      </c>
    </row>
    <row r="3651" spans="1:2" x14ac:dyDescent="0.35">
      <c r="A3651" s="1012">
        <v>44021</v>
      </c>
      <c r="B3651" s="1013">
        <v>0.50891986221758512</v>
      </c>
    </row>
    <row r="3652" spans="1:2" x14ac:dyDescent="0.35">
      <c r="A3652" s="1012">
        <v>44022</v>
      </c>
      <c r="B3652" s="1013">
        <v>0.49281827892981755</v>
      </c>
    </row>
    <row r="3653" spans="1:2" x14ac:dyDescent="0.35">
      <c r="A3653" s="1012">
        <v>44025</v>
      </c>
      <c r="B3653" s="1013">
        <v>0.5033769621179599</v>
      </c>
    </row>
    <row r="3654" spans="1:2" x14ac:dyDescent="0.35">
      <c r="A3654" s="1012">
        <v>44026</v>
      </c>
      <c r="B3654" s="1013">
        <v>0.49825621744580756</v>
      </c>
    </row>
    <row r="3655" spans="1:2" x14ac:dyDescent="0.35">
      <c r="A3655" s="1012">
        <v>44027</v>
      </c>
      <c r="B3655" s="1013">
        <v>0.49214204444690118</v>
      </c>
    </row>
    <row r="3656" spans="1:2" x14ac:dyDescent="0.35">
      <c r="A3656" s="1012">
        <v>44028</v>
      </c>
      <c r="B3656" s="1013">
        <v>0.480055432653678</v>
      </c>
    </row>
    <row r="3657" spans="1:2" x14ac:dyDescent="0.35">
      <c r="A3657" s="1012">
        <v>44029</v>
      </c>
      <c r="B3657" s="1013">
        <v>0.48091945305729461</v>
      </c>
    </row>
    <row r="3658" spans="1:2" x14ac:dyDescent="0.35">
      <c r="A3658" s="1012">
        <v>44032</v>
      </c>
      <c r="B3658" s="1013">
        <v>0.49743690612280794</v>
      </c>
    </row>
    <row r="3659" spans="1:2" x14ac:dyDescent="0.35">
      <c r="A3659" s="1012">
        <v>44033</v>
      </c>
      <c r="B3659" s="1013">
        <v>0.4883492050370406</v>
      </c>
    </row>
    <row r="3660" spans="1:2" x14ac:dyDescent="0.35">
      <c r="A3660" s="1012">
        <v>44034</v>
      </c>
      <c r="B3660" s="1013">
        <v>0.48224946877026703</v>
      </c>
    </row>
    <row r="3661" spans="1:2" x14ac:dyDescent="0.35">
      <c r="A3661" s="1012">
        <v>44035</v>
      </c>
      <c r="B3661" s="1013">
        <v>0.47814118617939805</v>
      </c>
    </row>
    <row r="3662" spans="1:2" x14ac:dyDescent="0.35">
      <c r="A3662" s="1012">
        <v>44036</v>
      </c>
      <c r="B3662" s="1013">
        <v>0.46707866223688665</v>
      </c>
    </row>
    <row r="3663" spans="1:2" x14ac:dyDescent="0.35">
      <c r="A3663" s="1012">
        <v>44039</v>
      </c>
      <c r="B3663" s="1013">
        <v>0.45577271767978783</v>
      </c>
    </row>
    <row r="3664" spans="1:2" x14ac:dyDescent="0.35">
      <c r="A3664" s="1012">
        <v>44040</v>
      </c>
      <c r="B3664" s="1013">
        <v>0.45664077940972503</v>
      </c>
    </row>
    <row r="3665" spans="1:2" x14ac:dyDescent="0.35">
      <c r="A3665" s="1012">
        <v>44041</v>
      </c>
      <c r="B3665" s="1013">
        <v>0.45552351459365742</v>
      </c>
    </row>
    <row r="3666" spans="1:2" x14ac:dyDescent="0.35">
      <c r="A3666" s="1012">
        <v>44042</v>
      </c>
      <c r="B3666" s="1013">
        <v>0.45837547936707207</v>
      </c>
    </row>
    <row r="3667" spans="1:2" x14ac:dyDescent="0.35">
      <c r="A3667" s="1012">
        <v>44043</v>
      </c>
      <c r="B3667" s="1013">
        <v>0.45428270024741391</v>
      </c>
    </row>
    <row r="3668" spans="1:2" x14ac:dyDescent="0.35">
      <c r="A3668" s="1012">
        <v>44046</v>
      </c>
      <c r="B3668" s="1013">
        <v>0.45886598244424892</v>
      </c>
    </row>
    <row r="3669" spans="1:2" x14ac:dyDescent="0.35">
      <c r="A3669" s="1012">
        <v>44047</v>
      </c>
      <c r="B3669" s="1013">
        <v>0.46963954877769587</v>
      </c>
    </row>
    <row r="3670" spans="1:2" x14ac:dyDescent="0.35">
      <c r="A3670" s="1012">
        <v>44048</v>
      </c>
      <c r="B3670" s="1013">
        <v>0.46356821918522645</v>
      </c>
    </row>
    <row r="3671" spans="1:2" x14ac:dyDescent="0.35">
      <c r="A3671" s="1012">
        <v>44049</v>
      </c>
      <c r="B3671" s="1013">
        <v>0.46245150285949982</v>
      </c>
    </row>
    <row r="3672" spans="1:2" x14ac:dyDescent="0.35">
      <c r="A3672" s="1012">
        <v>44050</v>
      </c>
      <c r="B3672" s="1013">
        <v>0.46529535610014461</v>
      </c>
    </row>
    <row r="3673" spans="1:2" x14ac:dyDescent="0.35">
      <c r="A3673" s="1012">
        <v>44053</v>
      </c>
      <c r="B3673" s="1013">
        <v>0.46392580843601444</v>
      </c>
    </row>
    <row r="3674" spans="1:2" x14ac:dyDescent="0.35">
      <c r="A3674" s="1012">
        <v>44054</v>
      </c>
      <c r="B3674" s="1013">
        <v>0.47072180662760238</v>
      </c>
    </row>
    <row r="3675" spans="1:2" x14ac:dyDescent="0.35">
      <c r="A3675" s="1012">
        <v>44055</v>
      </c>
      <c r="B3675" s="1013">
        <v>0.4765254611000444</v>
      </c>
    </row>
    <row r="3676" spans="1:2" x14ac:dyDescent="0.35">
      <c r="A3676" s="1012">
        <v>44056</v>
      </c>
      <c r="B3676" s="1013">
        <v>0.48331432812418068</v>
      </c>
    </row>
    <row r="3677" spans="1:2" x14ac:dyDescent="0.35">
      <c r="A3677" s="1012">
        <v>44057</v>
      </c>
      <c r="B3677" s="1013">
        <v>0.50195674531424117</v>
      </c>
    </row>
    <row r="3678" spans="1:2" x14ac:dyDescent="0.35">
      <c r="A3678" s="1012">
        <v>44060</v>
      </c>
      <c r="B3678" s="1013">
        <v>0.51240746374751189</v>
      </c>
    </row>
    <row r="3679" spans="1:2" x14ac:dyDescent="0.35">
      <c r="A3679" s="1012">
        <v>44061</v>
      </c>
      <c r="B3679" s="1013">
        <v>0.51720328674189797</v>
      </c>
    </row>
    <row r="3680" spans="1:2" x14ac:dyDescent="0.35">
      <c r="A3680" s="1012">
        <v>44062</v>
      </c>
      <c r="B3680" s="1013">
        <v>0.52100974161581237</v>
      </c>
    </row>
    <row r="3681" spans="1:2" x14ac:dyDescent="0.35">
      <c r="A3681" s="1012">
        <v>44063</v>
      </c>
      <c r="B3681" s="1013">
        <v>0.52481412767524815</v>
      </c>
    </row>
    <row r="3682" spans="1:2" x14ac:dyDescent="0.35">
      <c r="A3682" s="1012">
        <v>44064</v>
      </c>
      <c r="B3682" s="1013">
        <v>0.56806543515906593</v>
      </c>
    </row>
    <row r="3683" spans="1:2" x14ac:dyDescent="0.35">
      <c r="A3683" s="1012">
        <v>44067</v>
      </c>
      <c r="B3683" s="1013">
        <v>0.57844245848757603</v>
      </c>
    </row>
    <row r="3684" spans="1:2" x14ac:dyDescent="0.35">
      <c r="A3684" s="1012">
        <v>44068</v>
      </c>
      <c r="B3684" s="1013">
        <v>0.63542441962971496</v>
      </c>
    </row>
    <row r="3685" spans="1:2" x14ac:dyDescent="0.35">
      <c r="A3685" s="1012">
        <v>44069</v>
      </c>
      <c r="B3685" s="1013">
        <v>0.63919157104744151</v>
      </c>
    </row>
    <row r="3686" spans="1:2" x14ac:dyDescent="0.35">
      <c r="A3686" s="1012">
        <v>44070</v>
      </c>
      <c r="B3686" s="1013">
        <v>0.60554112943833638</v>
      </c>
    </row>
    <row r="3687" spans="1:2" x14ac:dyDescent="0.35">
      <c r="A3687" s="1012">
        <v>44071</v>
      </c>
      <c r="B3687" s="1013">
        <v>0.59651775552235975</v>
      </c>
    </row>
    <row r="3688" spans="1:2" x14ac:dyDescent="0.35">
      <c r="A3688" s="1012">
        <v>44074</v>
      </c>
      <c r="B3688" s="1013">
        <v>0.59111512919549436</v>
      </c>
    </row>
    <row r="3689" spans="1:2" x14ac:dyDescent="0.35">
      <c r="A3689" s="1012">
        <v>44075</v>
      </c>
      <c r="B3689" s="1013">
        <v>0.60177116367312589</v>
      </c>
    </row>
    <row r="3690" spans="1:2" x14ac:dyDescent="0.35">
      <c r="A3690" s="1012">
        <v>44076</v>
      </c>
      <c r="B3690" s="1013">
        <v>0.62421766633044584</v>
      </c>
    </row>
    <row r="3691" spans="1:2" x14ac:dyDescent="0.35">
      <c r="A3691" s="1012">
        <v>44077</v>
      </c>
      <c r="B3691" s="1013">
        <v>0.64468650786877457</v>
      </c>
    </row>
    <row r="3692" spans="1:2" x14ac:dyDescent="0.35">
      <c r="A3692" s="1012">
        <v>44078</v>
      </c>
      <c r="B3692" s="1013">
        <v>0.63468714658830261</v>
      </c>
    </row>
    <row r="3693" spans="1:2" x14ac:dyDescent="0.35">
      <c r="A3693" s="1012">
        <v>44081</v>
      </c>
      <c r="B3693" s="1013">
        <v>0.6351539257915072</v>
      </c>
    </row>
    <row r="3694" spans="1:2" x14ac:dyDescent="0.35">
      <c r="A3694" s="1012">
        <v>44082</v>
      </c>
      <c r="B3694" s="1013">
        <v>0.61535370158318503</v>
      </c>
    </row>
    <row r="3695" spans="1:2" x14ac:dyDescent="0.35">
      <c r="A3695" s="1012">
        <v>44083</v>
      </c>
      <c r="B3695" s="1013">
        <v>0.61028158215567363</v>
      </c>
    </row>
    <row r="3696" spans="1:2" x14ac:dyDescent="0.35">
      <c r="A3696" s="1012">
        <v>44084</v>
      </c>
      <c r="B3696" s="1013">
        <v>0.60521220379079887</v>
      </c>
    </row>
    <row r="3697" spans="1:2" x14ac:dyDescent="0.35">
      <c r="A3697" s="1012">
        <v>44085</v>
      </c>
      <c r="B3697" s="1013">
        <v>0.59622304423929318</v>
      </c>
    </row>
    <row r="3698" spans="1:2" x14ac:dyDescent="0.35">
      <c r="A3698" s="1012">
        <v>44088</v>
      </c>
      <c r="B3698" s="1013">
        <v>0.59476041597255946</v>
      </c>
    </row>
    <row r="3699" spans="1:2" x14ac:dyDescent="0.35">
      <c r="A3699" s="1012">
        <v>44089</v>
      </c>
      <c r="B3699" s="1013">
        <v>0.59166120869252781</v>
      </c>
    </row>
    <row r="3700" spans="1:2" x14ac:dyDescent="0.35">
      <c r="A3700" s="1012">
        <v>44090</v>
      </c>
      <c r="B3700" s="1013">
        <v>0.58954298084483858</v>
      </c>
    </row>
    <row r="3701" spans="1:2" x14ac:dyDescent="0.35">
      <c r="A3701" s="1012">
        <v>44091</v>
      </c>
      <c r="B3701" s="1013">
        <v>0.5600126871040132</v>
      </c>
    </row>
    <row r="3702" spans="1:2" x14ac:dyDescent="0.35">
      <c r="A3702" s="1012">
        <v>44092</v>
      </c>
      <c r="B3702" s="1013">
        <v>0.57095805118135001</v>
      </c>
    </row>
    <row r="3703" spans="1:2" x14ac:dyDescent="0.35">
      <c r="A3703" s="1012">
        <v>44095</v>
      </c>
      <c r="B3703" s="1013">
        <v>0.54731386552344841</v>
      </c>
    </row>
    <row r="3704" spans="1:2" x14ac:dyDescent="0.35">
      <c r="A3704" s="1012">
        <v>44096</v>
      </c>
      <c r="B3704" s="1013">
        <v>0.52398997482450516</v>
      </c>
    </row>
    <row r="3705" spans="1:2" x14ac:dyDescent="0.35">
      <c r="A3705" s="1012">
        <v>44097</v>
      </c>
      <c r="B3705" s="1013">
        <v>0.53493030242777984</v>
      </c>
    </row>
    <row r="3706" spans="1:2" x14ac:dyDescent="0.35">
      <c r="A3706" s="1012">
        <v>44098</v>
      </c>
      <c r="B3706" s="1013">
        <v>0.51464369395418919</v>
      </c>
    </row>
    <row r="3707" spans="1:2" x14ac:dyDescent="0.35">
      <c r="A3707" s="1012">
        <v>44099</v>
      </c>
      <c r="B3707" s="1013">
        <v>0.49839544238313982</v>
      </c>
    </row>
    <row r="3708" spans="1:2" x14ac:dyDescent="0.35">
      <c r="A3708" s="1012">
        <v>44102</v>
      </c>
      <c r="B3708" s="1013">
        <v>0.5080538578157785</v>
      </c>
    </row>
    <row r="3709" spans="1:2" x14ac:dyDescent="0.35">
      <c r="A3709" s="1012">
        <v>44103</v>
      </c>
      <c r="B3709" s="1013">
        <v>0.50691150159651988</v>
      </c>
    </row>
    <row r="3710" spans="1:2" x14ac:dyDescent="0.35">
      <c r="A3710" s="1012">
        <v>44104</v>
      </c>
      <c r="B3710" s="1013">
        <v>0.50778077236821606</v>
      </c>
    </row>
    <row r="3711" spans="1:2" x14ac:dyDescent="0.35">
      <c r="A3711" s="1012">
        <v>44113</v>
      </c>
      <c r="B3711" s="1013">
        <v>0.50354627139849339</v>
      </c>
    </row>
    <row r="3712" spans="1:2" x14ac:dyDescent="0.35">
      <c r="A3712" s="1012">
        <v>44116</v>
      </c>
      <c r="B3712" s="1013">
        <v>0.52418933815917745</v>
      </c>
    </row>
    <row r="3713" spans="1:2" x14ac:dyDescent="0.35">
      <c r="A3713" s="1012">
        <v>44117</v>
      </c>
      <c r="B3713" s="1013">
        <v>0.52404894941669411</v>
      </c>
    </row>
    <row r="3714" spans="1:2" x14ac:dyDescent="0.35">
      <c r="A3714" s="1012">
        <v>44118</v>
      </c>
      <c r="B3714" s="1013">
        <v>0.54594685762789708</v>
      </c>
    </row>
    <row r="3715" spans="1:2" x14ac:dyDescent="0.35">
      <c r="A3715" s="1012">
        <v>44119</v>
      </c>
      <c r="B3715" s="1013">
        <v>0.55080806610468558</v>
      </c>
    </row>
    <row r="3716" spans="1:2" x14ac:dyDescent="0.35">
      <c r="A3716" s="1012">
        <v>44120</v>
      </c>
      <c r="B3716" s="1013">
        <v>0.51161381946792395</v>
      </c>
    </row>
    <row r="3717" spans="1:2" x14ac:dyDescent="0.35">
      <c r="A3717" s="1012">
        <v>44123</v>
      </c>
      <c r="B3717" s="1013">
        <v>0.50420063014846817</v>
      </c>
    </row>
    <row r="3718" spans="1:2" x14ac:dyDescent="0.35">
      <c r="A3718" s="1012">
        <v>44124</v>
      </c>
      <c r="B3718" s="1013">
        <v>0.5290691137223269</v>
      </c>
    </row>
    <row r="3719" spans="1:2" x14ac:dyDescent="0.35">
      <c r="A3719" s="1012">
        <v>44125</v>
      </c>
      <c r="B3719" s="1013">
        <v>0.51193004378318474</v>
      </c>
    </row>
    <row r="3720" spans="1:2" x14ac:dyDescent="0.35">
      <c r="A3720" s="1012">
        <v>44126</v>
      </c>
      <c r="B3720" s="1013">
        <v>0.51679124914856933</v>
      </c>
    </row>
    <row r="3721" spans="1:2" x14ac:dyDescent="0.35">
      <c r="A3721" s="1012">
        <v>44127</v>
      </c>
      <c r="B3721" s="1013">
        <v>0.52964449143945103</v>
      </c>
    </row>
    <row r="3722" spans="1:2" x14ac:dyDescent="0.35">
      <c r="A3722" s="1012">
        <v>44130</v>
      </c>
      <c r="B3722" s="1013">
        <v>0.52922041868436687</v>
      </c>
    </row>
    <row r="3723" spans="1:2" x14ac:dyDescent="0.35">
      <c r="A3723" s="1012">
        <v>44131</v>
      </c>
      <c r="B3723" s="1013">
        <v>0.52907921196759533</v>
      </c>
    </row>
    <row r="3724" spans="1:2" x14ac:dyDescent="0.35">
      <c r="A3724" s="1012">
        <v>44132</v>
      </c>
      <c r="B3724" s="1013">
        <v>0.5299360769628032</v>
      </c>
    </row>
    <row r="3725" spans="1:2" x14ac:dyDescent="0.35">
      <c r="A3725" s="1012">
        <v>44133</v>
      </c>
      <c r="B3725" s="1013">
        <v>0.53378567564862411</v>
      </c>
    </row>
    <row r="3726" spans="1:2" x14ac:dyDescent="0.35">
      <c r="A3726" s="1012">
        <v>44134</v>
      </c>
      <c r="B3726" s="1013">
        <v>0.53464082897636689</v>
      </c>
    </row>
    <row r="3727" spans="1:2" x14ac:dyDescent="0.35">
      <c r="A3727" s="1012">
        <v>44137</v>
      </c>
      <c r="B3727" s="1013">
        <v>0.55913023099475467</v>
      </c>
    </row>
    <row r="3728" spans="1:2" x14ac:dyDescent="0.35">
      <c r="A3728" s="1012">
        <v>44138</v>
      </c>
      <c r="B3728" s="1013">
        <v>0.56695253500454645</v>
      </c>
    </row>
    <row r="3729" spans="1:2" x14ac:dyDescent="0.35">
      <c r="A3729" s="1012">
        <v>44139</v>
      </c>
      <c r="B3729" s="1013">
        <v>0.56281703741477951</v>
      </c>
    </row>
    <row r="3730" spans="1:2" x14ac:dyDescent="0.35">
      <c r="A3730" s="1012">
        <v>44140</v>
      </c>
      <c r="B3730" s="1013">
        <v>0.56565483978468301</v>
      </c>
    </row>
    <row r="3731" spans="1:2" x14ac:dyDescent="0.35">
      <c r="A3731" s="1012">
        <v>44141</v>
      </c>
      <c r="B3731" s="1013">
        <v>0.55554825140910313</v>
      </c>
    </row>
    <row r="3732" spans="1:2" x14ac:dyDescent="0.35">
      <c r="A3732" s="1012">
        <v>44144</v>
      </c>
      <c r="B3732" s="1013">
        <v>0.54416216206574097</v>
      </c>
    </row>
    <row r="3733" spans="1:2" x14ac:dyDescent="0.35">
      <c r="A3733" s="1012">
        <v>44145</v>
      </c>
      <c r="B3733" s="1013">
        <v>0.57484848293718149</v>
      </c>
    </row>
    <row r="3734" spans="1:2" x14ac:dyDescent="0.35">
      <c r="A3734" s="1012">
        <v>44146</v>
      </c>
      <c r="B3734" s="1013">
        <v>0.60352992714267995</v>
      </c>
    </row>
    <row r="3735" spans="1:2" x14ac:dyDescent="0.35">
      <c r="A3735" s="1012">
        <v>44147</v>
      </c>
      <c r="B3735" s="1013">
        <v>0.58845929159244958</v>
      </c>
    </row>
    <row r="3736" spans="1:2" x14ac:dyDescent="0.35">
      <c r="A3736" s="1012">
        <v>44148</v>
      </c>
      <c r="B3736" s="1013">
        <v>0.55252780604485918</v>
      </c>
    </row>
    <row r="3737" spans="1:2" x14ac:dyDescent="0.35">
      <c r="A3737" s="1012">
        <v>44151</v>
      </c>
      <c r="B3737" s="1013">
        <v>0.53917934739126427</v>
      </c>
    </row>
    <row r="3738" spans="1:2" x14ac:dyDescent="0.35">
      <c r="A3738" s="1012">
        <v>44152</v>
      </c>
      <c r="B3738" s="1013">
        <v>0.5291092816335583</v>
      </c>
    </row>
    <row r="3739" spans="1:2" x14ac:dyDescent="0.35">
      <c r="A3739" s="1012">
        <v>44153</v>
      </c>
      <c r="B3739" s="1013">
        <v>0.53095380247788504</v>
      </c>
    </row>
    <row r="3740" spans="1:2" x14ac:dyDescent="0.35">
      <c r="A3740" s="1012">
        <v>44154</v>
      </c>
      <c r="B3740" s="1013">
        <v>0.52882864970760501</v>
      </c>
    </row>
    <row r="3741" spans="1:2" x14ac:dyDescent="0.35">
      <c r="A3741" s="1012">
        <v>44155</v>
      </c>
      <c r="B3741" s="1013">
        <v>0.52174506989253078</v>
      </c>
    </row>
    <row r="3742" spans="1:2" x14ac:dyDescent="0.35">
      <c r="A3742" s="1012">
        <v>44158</v>
      </c>
      <c r="B3742" s="1013">
        <v>0.51736593076801662</v>
      </c>
    </row>
    <row r="3743" spans="1:2" x14ac:dyDescent="0.35">
      <c r="A3743" s="1012">
        <v>44159</v>
      </c>
      <c r="B3743" s="1013">
        <v>0.51326547081150498</v>
      </c>
    </row>
    <row r="3744" spans="1:2" x14ac:dyDescent="0.35">
      <c r="A3744" s="1012">
        <v>44160</v>
      </c>
      <c r="B3744" s="1013">
        <v>0.50916718222477964</v>
      </c>
    </row>
    <row r="3745" spans="1:2" x14ac:dyDescent="0.35">
      <c r="A3745" s="1012">
        <v>44161</v>
      </c>
      <c r="B3745" s="1013">
        <v>0.50903240495635904</v>
      </c>
    </row>
    <row r="3746" spans="1:2" x14ac:dyDescent="0.35">
      <c r="A3746" s="1016"/>
      <c r="B3746" s="1013"/>
    </row>
    <row r="3747" spans="1:2" x14ac:dyDescent="0.35">
      <c r="A3747" s="1016"/>
      <c r="B3747" s="1013"/>
    </row>
    <row r="3748" spans="1:2" x14ac:dyDescent="0.35">
      <c r="A3748" s="1016"/>
      <c r="B3748" s="1013"/>
    </row>
    <row r="3749" spans="1:2" x14ac:dyDescent="0.35">
      <c r="A3749" s="1016"/>
      <c r="B3749" s="1013"/>
    </row>
    <row r="3750" spans="1:2" x14ac:dyDescent="0.35">
      <c r="A3750" s="1016"/>
      <c r="B3750" s="1013"/>
    </row>
    <row r="3751" spans="1:2" x14ac:dyDescent="0.35">
      <c r="A3751" s="1016"/>
      <c r="B3751" s="1013"/>
    </row>
    <row r="3752" spans="1:2" x14ac:dyDescent="0.35">
      <c r="A3752" s="1016"/>
      <c r="B3752" s="1013"/>
    </row>
    <row r="3753" spans="1:2" x14ac:dyDescent="0.35">
      <c r="A3753" s="1016"/>
      <c r="B3753" s="1013"/>
    </row>
    <row r="3754" spans="1:2" x14ac:dyDescent="0.35">
      <c r="A3754" s="1016"/>
      <c r="B3754" s="1013"/>
    </row>
    <row r="3755" spans="1:2" x14ac:dyDescent="0.35">
      <c r="A3755" s="1016"/>
      <c r="B3755" s="1013"/>
    </row>
    <row r="3756" spans="1:2" x14ac:dyDescent="0.35">
      <c r="A3756" s="1016"/>
      <c r="B3756" s="1013"/>
    </row>
    <row r="3757" spans="1:2" x14ac:dyDescent="0.35">
      <c r="A3757" s="1016"/>
      <c r="B3757" s="1013"/>
    </row>
    <row r="3758" spans="1:2" x14ac:dyDescent="0.35">
      <c r="A3758" s="1016"/>
      <c r="B3758" s="1013"/>
    </row>
    <row r="3759" spans="1:2" x14ac:dyDescent="0.35">
      <c r="A3759" s="1016"/>
      <c r="B3759" s="1013"/>
    </row>
    <row r="3760" spans="1:2" x14ac:dyDescent="0.35">
      <c r="A3760" s="1016"/>
      <c r="B3760" s="1013"/>
    </row>
    <row r="3761" spans="1:2" x14ac:dyDescent="0.35">
      <c r="A3761" s="1016"/>
      <c r="B3761" s="1013"/>
    </row>
    <row r="3762" spans="1:2" x14ac:dyDescent="0.35">
      <c r="A3762" s="1016"/>
      <c r="B3762" s="1013"/>
    </row>
    <row r="3763" spans="1:2" x14ac:dyDescent="0.35">
      <c r="A3763" s="1016"/>
      <c r="B3763" s="1013"/>
    </row>
    <row r="3764" spans="1:2" x14ac:dyDescent="0.35">
      <c r="A3764" s="1016"/>
      <c r="B3764" s="1013"/>
    </row>
    <row r="3765" spans="1:2" x14ac:dyDescent="0.35">
      <c r="A3765" s="1016"/>
      <c r="B3765" s="1013"/>
    </row>
    <row r="3766" spans="1:2" x14ac:dyDescent="0.35">
      <c r="A3766" s="1016"/>
      <c r="B3766" s="1013"/>
    </row>
    <row r="3767" spans="1:2" x14ac:dyDescent="0.35">
      <c r="A3767" s="1016"/>
      <c r="B3767" s="1013"/>
    </row>
    <row r="3768" spans="1:2" x14ac:dyDescent="0.35">
      <c r="A3768" s="1016"/>
      <c r="B3768" s="1013"/>
    </row>
    <row r="3769" spans="1:2" x14ac:dyDescent="0.35">
      <c r="A3769" s="1016"/>
      <c r="B3769" s="1013"/>
    </row>
    <row r="3770" spans="1:2" x14ac:dyDescent="0.35">
      <c r="A3770" s="1016"/>
      <c r="B3770" s="1013"/>
    </row>
    <row r="3771" spans="1:2" x14ac:dyDescent="0.35">
      <c r="A3771" s="1016"/>
      <c r="B3771" s="1013"/>
    </row>
    <row r="3772" spans="1:2" x14ac:dyDescent="0.35">
      <c r="A3772" s="1016"/>
      <c r="B3772" s="1013"/>
    </row>
    <row r="3773" spans="1:2" x14ac:dyDescent="0.35">
      <c r="A3773" s="1016"/>
      <c r="B3773" s="1013"/>
    </row>
    <row r="3774" spans="1:2" x14ac:dyDescent="0.35">
      <c r="A3774" s="1016"/>
      <c r="B3774" s="1013"/>
    </row>
    <row r="3775" spans="1:2" x14ac:dyDescent="0.35">
      <c r="A3775" s="1016"/>
      <c r="B3775" s="1013"/>
    </row>
    <row r="3776" spans="1:2" x14ac:dyDescent="0.35">
      <c r="A3776" s="1016"/>
      <c r="B3776" s="1013"/>
    </row>
    <row r="3777" spans="1:2" x14ac:dyDescent="0.35">
      <c r="A3777" s="1016"/>
      <c r="B3777" s="1013"/>
    </row>
    <row r="3778" spans="1:2" x14ac:dyDescent="0.35">
      <c r="A3778" s="1016"/>
      <c r="B3778" s="1013"/>
    </row>
    <row r="3779" spans="1:2" x14ac:dyDescent="0.35">
      <c r="A3779" s="1016"/>
      <c r="B3779" s="1013"/>
    </row>
    <row r="3780" spans="1:2" x14ac:dyDescent="0.35">
      <c r="A3780" s="1016"/>
      <c r="B3780" s="1013"/>
    </row>
    <row r="3781" spans="1:2" x14ac:dyDescent="0.35">
      <c r="A3781" s="1016"/>
      <c r="B3781" s="1013"/>
    </row>
    <row r="3782" spans="1:2" x14ac:dyDescent="0.35">
      <c r="A3782" s="1016"/>
      <c r="B3782" s="1013"/>
    </row>
    <row r="3783" spans="1:2" x14ac:dyDescent="0.35">
      <c r="A3783" s="1016"/>
      <c r="B3783" s="1013"/>
    </row>
    <row r="3784" spans="1:2" x14ac:dyDescent="0.35">
      <c r="A3784" s="1016"/>
      <c r="B3784" s="1013"/>
    </row>
    <row r="3785" spans="1:2" x14ac:dyDescent="0.35">
      <c r="A3785" s="1016"/>
      <c r="B3785" s="1013"/>
    </row>
    <row r="3786" spans="1:2" x14ac:dyDescent="0.35">
      <c r="A3786" s="1016"/>
      <c r="B3786" s="1013"/>
    </row>
    <row r="3787" spans="1:2" x14ac:dyDescent="0.35">
      <c r="A3787" s="1016"/>
      <c r="B3787" s="1013"/>
    </row>
    <row r="3788" spans="1:2" x14ac:dyDescent="0.35">
      <c r="A3788" s="1016"/>
      <c r="B3788" s="1013"/>
    </row>
    <row r="3789" spans="1:2" x14ac:dyDescent="0.35">
      <c r="A3789" s="1016"/>
      <c r="B3789" s="1013"/>
    </row>
    <row r="3790" spans="1:2" x14ac:dyDescent="0.35">
      <c r="A3790" s="1016"/>
      <c r="B3790" s="1013"/>
    </row>
    <row r="3791" spans="1:2" x14ac:dyDescent="0.35">
      <c r="A3791" s="1016"/>
      <c r="B3791" s="1013"/>
    </row>
    <row r="3792" spans="1:2" x14ac:dyDescent="0.35">
      <c r="A3792" s="1016"/>
      <c r="B3792" s="1013"/>
    </row>
    <row r="3793" spans="1:2" x14ac:dyDescent="0.35">
      <c r="A3793" s="1016"/>
      <c r="B3793" s="1013"/>
    </row>
    <row r="3794" spans="1:2" x14ac:dyDescent="0.35">
      <c r="A3794" s="1016"/>
      <c r="B3794" s="1013"/>
    </row>
    <row r="3795" spans="1:2" x14ac:dyDescent="0.35">
      <c r="A3795" s="1016"/>
      <c r="B3795" s="1013"/>
    </row>
    <row r="3796" spans="1:2" x14ac:dyDescent="0.35">
      <c r="A3796" s="1016"/>
      <c r="B3796" s="1013"/>
    </row>
    <row r="3797" spans="1:2" x14ac:dyDescent="0.35">
      <c r="A3797" s="1016"/>
      <c r="B3797" s="1013"/>
    </row>
    <row r="3798" spans="1:2" x14ac:dyDescent="0.35">
      <c r="A3798" s="1016"/>
      <c r="B3798" s="1013"/>
    </row>
    <row r="3799" spans="1:2" x14ac:dyDescent="0.35">
      <c r="A3799" s="1016"/>
      <c r="B3799" s="1013"/>
    </row>
    <row r="3800" spans="1:2" x14ac:dyDescent="0.35">
      <c r="A3800" s="1016"/>
      <c r="B3800" s="1013"/>
    </row>
    <row r="3801" spans="1:2" x14ac:dyDescent="0.35">
      <c r="A3801" s="1016"/>
      <c r="B3801" s="1013"/>
    </row>
    <row r="3802" spans="1:2" x14ac:dyDescent="0.35">
      <c r="A3802" s="1016"/>
      <c r="B3802" s="1013"/>
    </row>
    <row r="3803" spans="1:2" x14ac:dyDescent="0.35">
      <c r="A3803" s="1016"/>
      <c r="B3803" s="1013"/>
    </row>
    <row r="3804" spans="1:2" x14ac:dyDescent="0.35">
      <c r="A3804" s="1016"/>
      <c r="B3804" s="1013"/>
    </row>
    <row r="3805" spans="1:2" x14ac:dyDescent="0.35">
      <c r="A3805" s="1016"/>
      <c r="B3805" s="1013"/>
    </row>
    <row r="3806" spans="1:2" x14ac:dyDescent="0.35">
      <c r="A3806" s="1016"/>
      <c r="B3806" s="1013"/>
    </row>
    <row r="3807" spans="1:2" x14ac:dyDescent="0.35">
      <c r="A3807" s="1016"/>
      <c r="B3807" s="1013"/>
    </row>
    <row r="3808" spans="1:2" x14ac:dyDescent="0.35">
      <c r="A3808" s="1016"/>
      <c r="B3808" s="1013"/>
    </row>
    <row r="3809" spans="1:2" x14ac:dyDescent="0.35">
      <c r="A3809" s="1016"/>
      <c r="B3809" s="1013"/>
    </row>
    <row r="3810" spans="1:2" x14ac:dyDescent="0.35">
      <c r="A3810" s="1016"/>
      <c r="B3810" s="1013"/>
    </row>
    <row r="3811" spans="1:2" x14ac:dyDescent="0.35">
      <c r="A3811" s="1016"/>
      <c r="B3811" s="1013"/>
    </row>
    <row r="3812" spans="1:2" x14ac:dyDescent="0.35">
      <c r="A3812" s="1016"/>
      <c r="B3812" s="1013"/>
    </row>
    <row r="3813" spans="1:2" x14ac:dyDescent="0.35">
      <c r="A3813" s="1016"/>
      <c r="B3813" s="1013"/>
    </row>
    <row r="3814" spans="1:2" x14ac:dyDescent="0.35">
      <c r="A3814" s="1016"/>
      <c r="B3814" s="1013"/>
    </row>
    <row r="3815" spans="1:2" x14ac:dyDescent="0.35">
      <c r="A3815" s="1016"/>
      <c r="B3815" s="1013"/>
    </row>
    <row r="3816" spans="1:2" x14ac:dyDescent="0.35">
      <c r="A3816" s="1016"/>
      <c r="B3816" s="1013"/>
    </row>
    <row r="3817" spans="1:2" x14ac:dyDescent="0.35">
      <c r="A3817" s="1016"/>
      <c r="B3817" s="1013"/>
    </row>
    <row r="3818" spans="1:2" x14ac:dyDescent="0.35">
      <c r="A3818" s="1016"/>
      <c r="B3818" s="1013"/>
    </row>
    <row r="3819" spans="1:2" x14ac:dyDescent="0.35">
      <c r="A3819" s="1016"/>
      <c r="B3819" s="1013"/>
    </row>
    <row r="3820" spans="1:2" x14ac:dyDescent="0.35">
      <c r="A3820" s="1016"/>
      <c r="B3820" s="1013"/>
    </row>
    <row r="3821" spans="1:2" x14ac:dyDescent="0.35">
      <c r="A3821" s="1016"/>
      <c r="B3821" s="1013"/>
    </row>
    <row r="3822" spans="1:2" x14ac:dyDescent="0.35">
      <c r="A3822" s="1016"/>
      <c r="B3822" s="1013"/>
    </row>
    <row r="3823" spans="1:2" x14ac:dyDescent="0.35">
      <c r="A3823" s="1016"/>
      <c r="B3823" s="1013"/>
    </row>
    <row r="3824" spans="1:2" x14ac:dyDescent="0.35">
      <c r="A3824" s="1016"/>
      <c r="B3824" s="1013"/>
    </row>
    <row r="3825" spans="1:2" x14ac:dyDescent="0.35">
      <c r="A3825" s="1016"/>
      <c r="B3825" s="1013"/>
    </row>
    <row r="3826" spans="1:2" x14ac:dyDescent="0.35">
      <c r="A3826" s="1016"/>
      <c r="B3826" s="1013"/>
    </row>
    <row r="3827" spans="1:2" x14ac:dyDescent="0.35">
      <c r="A3827" s="1016"/>
      <c r="B3827" s="1013"/>
    </row>
    <row r="3828" spans="1:2" x14ac:dyDescent="0.35">
      <c r="A3828" s="1016"/>
      <c r="B3828" s="1013"/>
    </row>
    <row r="3829" spans="1:2" x14ac:dyDescent="0.35">
      <c r="A3829" s="1016"/>
      <c r="B3829" s="1013"/>
    </row>
    <row r="3830" spans="1:2" x14ac:dyDescent="0.35">
      <c r="A3830" s="1016"/>
      <c r="B3830" s="1013"/>
    </row>
    <row r="3831" spans="1:2" x14ac:dyDescent="0.35">
      <c r="A3831" s="1016"/>
      <c r="B3831" s="1013"/>
    </row>
    <row r="3832" spans="1:2" x14ac:dyDescent="0.35">
      <c r="A3832" s="1016"/>
      <c r="B3832" s="1013"/>
    </row>
    <row r="3833" spans="1:2" x14ac:dyDescent="0.35">
      <c r="A3833" s="1016"/>
      <c r="B3833" s="1013"/>
    </row>
    <row r="3834" spans="1:2" x14ac:dyDescent="0.35">
      <c r="A3834" s="1016"/>
      <c r="B3834" s="1013"/>
    </row>
    <row r="3835" spans="1:2" x14ac:dyDescent="0.35">
      <c r="A3835" s="1016"/>
      <c r="B3835" s="1013"/>
    </row>
    <row r="3836" spans="1:2" x14ac:dyDescent="0.35">
      <c r="A3836" s="1016"/>
      <c r="B3836" s="1013"/>
    </row>
    <row r="3837" spans="1:2" x14ac:dyDescent="0.35">
      <c r="A3837" s="1016"/>
      <c r="B3837" s="1013"/>
    </row>
    <row r="3838" spans="1:2" x14ac:dyDescent="0.35">
      <c r="A3838" s="1016"/>
      <c r="B3838" s="1013"/>
    </row>
    <row r="3839" spans="1:2" x14ac:dyDescent="0.35">
      <c r="A3839" s="1016"/>
      <c r="B3839" s="1013"/>
    </row>
    <row r="3840" spans="1:2" x14ac:dyDescent="0.35">
      <c r="A3840" s="1016"/>
      <c r="B3840" s="1013"/>
    </row>
    <row r="3841" spans="1:2" x14ac:dyDescent="0.35">
      <c r="A3841" s="1016"/>
      <c r="B3841" s="1013"/>
    </row>
    <row r="3842" spans="1:2" x14ac:dyDescent="0.35">
      <c r="A3842" s="1016"/>
      <c r="B3842" s="1013"/>
    </row>
    <row r="3843" spans="1:2" x14ac:dyDescent="0.35">
      <c r="A3843" s="1016"/>
      <c r="B3843" s="1013"/>
    </row>
    <row r="3844" spans="1:2" x14ac:dyDescent="0.35">
      <c r="A3844" s="1016"/>
      <c r="B3844" s="1013"/>
    </row>
    <row r="3845" spans="1:2" x14ac:dyDescent="0.35">
      <c r="A3845" s="1016"/>
      <c r="B3845" s="1013"/>
    </row>
    <row r="3846" spans="1:2" x14ac:dyDescent="0.35">
      <c r="A3846" s="1016"/>
      <c r="B3846" s="1013"/>
    </row>
    <row r="3847" spans="1:2" x14ac:dyDescent="0.35">
      <c r="A3847" s="1016"/>
      <c r="B3847" s="1013"/>
    </row>
    <row r="3848" spans="1:2" x14ac:dyDescent="0.35">
      <c r="A3848" s="1016"/>
      <c r="B3848" s="1013"/>
    </row>
    <row r="3849" spans="1:2" x14ac:dyDescent="0.35">
      <c r="A3849" s="1016"/>
      <c r="B3849" s="1013"/>
    </row>
    <row r="3850" spans="1:2" x14ac:dyDescent="0.35">
      <c r="A3850" s="1016"/>
      <c r="B3850" s="1013"/>
    </row>
    <row r="3851" spans="1:2" x14ac:dyDescent="0.35">
      <c r="A3851" s="1016"/>
      <c r="B3851" s="1013"/>
    </row>
    <row r="3852" spans="1:2" x14ac:dyDescent="0.35">
      <c r="A3852" s="1016"/>
      <c r="B3852" s="1013"/>
    </row>
    <row r="3853" spans="1:2" x14ac:dyDescent="0.35">
      <c r="A3853" s="1016"/>
      <c r="B3853" s="1013"/>
    </row>
    <row r="3854" spans="1:2" x14ac:dyDescent="0.35">
      <c r="A3854" s="1016"/>
      <c r="B3854" s="1013"/>
    </row>
    <row r="3855" spans="1:2" x14ac:dyDescent="0.35">
      <c r="A3855" s="1016"/>
      <c r="B3855" s="1013"/>
    </row>
    <row r="3856" spans="1:2" x14ac:dyDescent="0.35">
      <c r="A3856" s="1016"/>
      <c r="B3856" s="1013"/>
    </row>
    <row r="3857" spans="1:2" x14ac:dyDescent="0.35">
      <c r="A3857" s="1016"/>
      <c r="B3857" s="1013"/>
    </row>
    <row r="3858" spans="1:2" x14ac:dyDescent="0.35">
      <c r="A3858" s="1016"/>
      <c r="B3858" s="1013"/>
    </row>
    <row r="3859" spans="1:2" x14ac:dyDescent="0.35">
      <c r="A3859" s="1016"/>
      <c r="B3859" s="1013"/>
    </row>
    <row r="3860" spans="1:2" x14ac:dyDescent="0.35">
      <c r="A3860" s="1016"/>
      <c r="B3860" s="1013"/>
    </row>
    <row r="3861" spans="1:2" x14ac:dyDescent="0.35">
      <c r="A3861" s="1016"/>
      <c r="B3861" s="1013"/>
    </row>
    <row r="3862" spans="1:2" x14ac:dyDescent="0.35">
      <c r="A3862" s="1016"/>
      <c r="B3862" s="1013"/>
    </row>
    <row r="3863" spans="1:2" x14ac:dyDescent="0.35">
      <c r="A3863" s="1016"/>
      <c r="B3863" s="1013"/>
    </row>
    <row r="3864" spans="1:2" x14ac:dyDescent="0.35">
      <c r="A3864" s="1016"/>
      <c r="B3864" s="1013"/>
    </row>
    <row r="3865" spans="1:2" x14ac:dyDescent="0.35">
      <c r="A3865" s="1016"/>
      <c r="B3865" s="1013"/>
    </row>
    <row r="3866" spans="1:2" x14ac:dyDescent="0.35">
      <c r="A3866" s="1016"/>
      <c r="B3866" s="1013"/>
    </row>
    <row r="3867" spans="1:2" x14ac:dyDescent="0.35">
      <c r="A3867" s="1016"/>
      <c r="B3867" s="1013"/>
    </row>
    <row r="3868" spans="1:2" x14ac:dyDescent="0.35">
      <c r="A3868" s="1016"/>
      <c r="B3868" s="1013"/>
    </row>
    <row r="3869" spans="1:2" x14ac:dyDescent="0.35">
      <c r="A3869" s="1016"/>
      <c r="B3869" s="1013"/>
    </row>
    <row r="3870" spans="1:2" x14ac:dyDescent="0.35">
      <c r="A3870" s="1016"/>
      <c r="B3870" s="1013"/>
    </row>
    <row r="3871" spans="1:2" x14ac:dyDescent="0.35">
      <c r="A3871" s="1016"/>
      <c r="B3871" s="1013"/>
    </row>
    <row r="3872" spans="1:2" x14ac:dyDescent="0.35">
      <c r="A3872" s="1016"/>
      <c r="B3872" s="1013"/>
    </row>
    <row r="3873" spans="1:2" x14ac:dyDescent="0.35">
      <c r="A3873" s="1016"/>
      <c r="B3873" s="1013"/>
    </row>
    <row r="3874" spans="1:2" x14ac:dyDescent="0.35">
      <c r="A3874" s="1016"/>
      <c r="B3874" s="1013"/>
    </row>
    <row r="3875" spans="1:2" x14ac:dyDescent="0.35">
      <c r="A3875" s="1016"/>
      <c r="B3875" s="1013"/>
    </row>
    <row r="3876" spans="1:2" x14ac:dyDescent="0.35">
      <c r="A3876" s="1016"/>
      <c r="B3876" s="1013"/>
    </row>
    <row r="3877" spans="1:2" x14ac:dyDescent="0.35">
      <c r="A3877" s="1016"/>
      <c r="B3877" s="1013"/>
    </row>
    <row r="3878" spans="1:2" x14ac:dyDescent="0.35">
      <c r="A3878" s="1016"/>
      <c r="B3878" s="1013"/>
    </row>
    <row r="3879" spans="1:2" x14ac:dyDescent="0.35">
      <c r="A3879" s="1016"/>
      <c r="B3879" s="1013"/>
    </row>
    <row r="3880" spans="1:2" x14ac:dyDescent="0.35">
      <c r="A3880" s="1016"/>
      <c r="B3880" s="1013"/>
    </row>
    <row r="3881" spans="1:2" x14ac:dyDescent="0.35">
      <c r="A3881" s="1016"/>
      <c r="B3881" s="1013"/>
    </row>
    <row r="3882" spans="1:2" x14ac:dyDescent="0.35">
      <c r="A3882" s="1016"/>
      <c r="B3882" s="1013"/>
    </row>
    <row r="3883" spans="1:2" x14ac:dyDescent="0.35">
      <c r="A3883" s="1016"/>
      <c r="B3883" s="1013"/>
    </row>
    <row r="3884" spans="1:2" x14ac:dyDescent="0.35">
      <c r="A3884" s="1016"/>
      <c r="B3884" s="1013"/>
    </row>
    <row r="3885" spans="1:2" x14ac:dyDescent="0.35">
      <c r="A3885" s="1016"/>
      <c r="B3885" s="1013"/>
    </row>
    <row r="3886" spans="1:2" x14ac:dyDescent="0.35">
      <c r="A3886" s="1016"/>
      <c r="B3886" s="1013"/>
    </row>
    <row r="3887" spans="1:2" x14ac:dyDescent="0.35">
      <c r="A3887" s="1016"/>
      <c r="B3887" s="1013"/>
    </row>
    <row r="3888" spans="1:2" x14ac:dyDescent="0.35">
      <c r="A3888" s="1016"/>
      <c r="B3888" s="1013"/>
    </row>
    <row r="3889" spans="1:2" x14ac:dyDescent="0.35">
      <c r="A3889" s="1016"/>
      <c r="B3889" s="1013"/>
    </row>
    <row r="3890" spans="1:2" x14ac:dyDescent="0.35">
      <c r="A3890" s="1016"/>
      <c r="B3890" s="1013"/>
    </row>
    <row r="3891" spans="1:2" x14ac:dyDescent="0.35">
      <c r="A3891" s="1016"/>
      <c r="B3891" s="1013"/>
    </row>
    <row r="3892" spans="1:2" x14ac:dyDescent="0.35">
      <c r="A3892" s="1016"/>
      <c r="B3892" s="1013"/>
    </row>
    <row r="3893" spans="1:2" x14ac:dyDescent="0.35">
      <c r="A3893" s="1016"/>
      <c r="B3893" s="1013"/>
    </row>
    <row r="3894" spans="1:2" x14ac:dyDescent="0.35">
      <c r="A3894" s="1016"/>
      <c r="B3894" s="1013"/>
    </row>
    <row r="3895" spans="1:2" x14ac:dyDescent="0.35">
      <c r="A3895" s="1016"/>
      <c r="B3895" s="1013"/>
    </row>
    <row r="3896" spans="1:2" x14ac:dyDescent="0.35">
      <c r="A3896" s="1016"/>
      <c r="B3896" s="1013"/>
    </row>
    <row r="3897" spans="1:2" x14ac:dyDescent="0.35">
      <c r="A3897" s="1016"/>
      <c r="B3897" s="1013"/>
    </row>
    <row r="3898" spans="1:2" x14ac:dyDescent="0.35">
      <c r="A3898" s="1016"/>
      <c r="B3898" s="1013"/>
    </row>
    <row r="3899" spans="1:2" x14ac:dyDescent="0.35">
      <c r="A3899" s="1016"/>
      <c r="B3899" s="1013"/>
    </row>
    <row r="3900" spans="1:2" x14ac:dyDescent="0.35">
      <c r="A3900" s="1016"/>
      <c r="B3900" s="1013"/>
    </row>
    <row r="3901" spans="1:2" x14ac:dyDescent="0.35">
      <c r="A3901" s="1016"/>
      <c r="B3901" s="1013"/>
    </row>
    <row r="3902" spans="1:2" x14ac:dyDescent="0.35">
      <c r="A3902" s="1016"/>
      <c r="B3902" s="1013"/>
    </row>
    <row r="3903" spans="1:2" x14ac:dyDescent="0.35">
      <c r="A3903" s="1016"/>
      <c r="B3903" s="1013"/>
    </row>
    <row r="3904" spans="1:2" x14ac:dyDescent="0.35">
      <c r="A3904" s="1016"/>
      <c r="B3904" s="1013"/>
    </row>
    <row r="3905" spans="1:2" x14ac:dyDescent="0.35">
      <c r="A3905" s="1016"/>
      <c r="B3905" s="1013"/>
    </row>
    <row r="3906" spans="1:2" x14ac:dyDescent="0.35">
      <c r="A3906" s="1016"/>
      <c r="B3906" s="1013"/>
    </row>
    <row r="3907" spans="1:2" x14ac:dyDescent="0.35">
      <c r="A3907" s="1016"/>
      <c r="B3907" s="1013"/>
    </row>
    <row r="3908" spans="1:2" x14ac:dyDescent="0.35">
      <c r="A3908" s="1016"/>
      <c r="B3908" s="1013"/>
    </row>
    <row r="3909" spans="1:2" x14ac:dyDescent="0.35">
      <c r="A3909" s="1016"/>
      <c r="B3909" s="1013"/>
    </row>
    <row r="3910" spans="1:2" x14ac:dyDescent="0.35">
      <c r="A3910" s="1016"/>
      <c r="B3910" s="1013"/>
    </row>
    <row r="3911" spans="1:2" x14ac:dyDescent="0.35">
      <c r="A3911" s="1016"/>
      <c r="B3911" s="1013"/>
    </row>
    <row r="3912" spans="1:2" x14ac:dyDescent="0.35">
      <c r="A3912" s="1016"/>
      <c r="B3912" s="1013"/>
    </row>
    <row r="3913" spans="1:2" x14ac:dyDescent="0.35">
      <c r="A3913" s="1016"/>
      <c r="B3913" s="1013"/>
    </row>
    <row r="3914" spans="1:2" x14ac:dyDescent="0.35">
      <c r="A3914" s="1016"/>
      <c r="B3914" s="1013"/>
    </row>
    <row r="3915" spans="1:2" x14ac:dyDescent="0.35">
      <c r="A3915" s="1016"/>
      <c r="B3915" s="1013"/>
    </row>
    <row r="3916" spans="1:2" x14ac:dyDescent="0.35">
      <c r="A3916" s="1016"/>
      <c r="B3916" s="1013"/>
    </row>
    <row r="3917" spans="1:2" x14ac:dyDescent="0.35">
      <c r="A3917" s="1016"/>
      <c r="B3917" s="1013"/>
    </row>
    <row r="3918" spans="1:2" x14ac:dyDescent="0.35">
      <c r="A3918" s="1016"/>
      <c r="B3918" s="1013"/>
    </row>
    <row r="3919" spans="1:2" x14ac:dyDescent="0.35">
      <c r="A3919" s="1016"/>
      <c r="B3919" s="1013"/>
    </row>
    <row r="3920" spans="1:2" x14ac:dyDescent="0.35">
      <c r="A3920" s="1016"/>
      <c r="B3920" s="1013"/>
    </row>
    <row r="3921" spans="1:2" x14ac:dyDescent="0.35">
      <c r="A3921" s="1016"/>
      <c r="B3921" s="1013"/>
    </row>
    <row r="3922" spans="1:2" x14ac:dyDescent="0.35">
      <c r="A3922" s="1016"/>
      <c r="B3922" s="1013"/>
    </row>
    <row r="3923" spans="1:2" x14ac:dyDescent="0.35">
      <c r="A3923" s="1016"/>
      <c r="B3923" s="1013"/>
    </row>
    <row r="3924" spans="1:2" x14ac:dyDescent="0.35">
      <c r="A3924" s="1016"/>
      <c r="B3924" s="1013"/>
    </row>
    <row r="3925" spans="1:2" x14ac:dyDescent="0.35">
      <c r="A3925" s="1016"/>
      <c r="B3925" s="1013"/>
    </row>
    <row r="3926" spans="1:2" x14ac:dyDescent="0.35">
      <c r="A3926" s="1016"/>
      <c r="B3926" s="1013"/>
    </row>
    <row r="3927" spans="1:2" x14ac:dyDescent="0.35">
      <c r="A3927" s="1016"/>
      <c r="B3927" s="1013"/>
    </row>
    <row r="3928" spans="1:2" x14ac:dyDescent="0.35">
      <c r="A3928" s="1016"/>
      <c r="B3928" s="1013"/>
    </row>
    <row r="3929" spans="1:2" x14ac:dyDescent="0.35">
      <c r="A3929" s="1016"/>
      <c r="B3929" s="1013"/>
    </row>
    <row r="3930" spans="1:2" x14ac:dyDescent="0.35">
      <c r="A3930" s="1016"/>
      <c r="B3930" s="1013"/>
    </row>
    <row r="3931" spans="1:2" x14ac:dyDescent="0.35">
      <c r="A3931" s="1016"/>
      <c r="B3931" s="1013"/>
    </row>
    <row r="3932" spans="1:2" x14ac:dyDescent="0.35">
      <c r="A3932" s="1016"/>
      <c r="B3932" s="1013"/>
    </row>
    <row r="3933" spans="1:2" x14ac:dyDescent="0.35">
      <c r="A3933" s="1016"/>
      <c r="B3933" s="1013"/>
    </row>
    <row r="3934" spans="1:2" x14ac:dyDescent="0.35">
      <c r="A3934" s="1016"/>
      <c r="B3934" s="1013"/>
    </row>
    <row r="3935" spans="1:2" x14ac:dyDescent="0.35">
      <c r="A3935" s="1016"/>
      <c r="B3935" s="1013"/>
    </row>
    <row r="3936" spans="1:2" x14ac:dyDescent="0.35">
      <c r="A3936" s="1016"/>
      <c r="B3936" s="1013"/>
    </row>
    <row r="3937" spans="1:2" x14ac:dyDescent="0.35">
      <c r="A3937" s="1016"/>
      <c r="B3937" s="1013"/>
    </row>
    <row r="3938" spans="1:2" x14ac:dyDescent="0.35">
      <c r="A3938" s="1016"/>
      <c r="B3938" s="1013"/>
    </row>
    <row r="3939" spans="1:2" x14ac:dyDescent="0.35">
      <c r="A3939" s="1016"/>
      <c r="B3939" s="1013"/>
    </row>
    <row r="3940" spans="1:2" x14ac:dyDescent="0.35">
      <c r="A3940" s="1016"/>
      <c r="B3940" s="1013"/>
    </row>
    <row r="3941" spans="1:2" x14ac:dyDescent="0.35">
      <c r="A3941" s="1016"/>
      <c r="B3941" s="1013"/>
    </row>
    <row r="3942" spans="1:2" x14ac:dyDescent="0.35">
      <c r="A3942" s="1016"/>
      <c r="B3942" s="1013"/>
    </row>
    <row r="3943" spans="1:2" x14ac:dyDescent="0.35">
      <c r="A3943" s="1016"/>
      <c r="B3943" s="1013"/>
    </row>
    <row r="3944" spans="1:2" x14ac:dyDescent="0.35">
      <c r="A3944" s="1016"/>
      <c r="B3944" s="1013"/>
    </row>
    <row r="3945" spans="1:2" x14ac:dyDescent="0.35">
      <c r="A3945" s="1016"/>
      <c r="B3945" s="1013"/>
    </row>
    <row r="3946" spans="1:2" x14ac:dyDescent="0.35">
      <c r="A3946" s="1016"/>
      <c r="B3946" s="1013"/>
    </row>
    <row r="3947" spans="1:2" x14ac:dyDescent="0.35">
      <c r="A3947" s="1016"/>
      <c r="B3947" s="1013"/>
    </row>
    <row r="3948" spans="1:2" x14ac:dyDescent="0.35">
      <c r="A3948" s="1016"/>
      <c r="B3948" s="1013"/>
    </row>
    <row r="3949" spans="1:2" x14ac:dyDescent="0.35">
      <c r="A3949" s="1016"/>
      <c r="B3949" s="1013"/>
    </row>
    <row r="3950" spans="1:2" x14ac:dyDescent="0.35">
      <c r="A3950" s="1016"/>
      <c r="B3950" s="1013"/>
    </row>
    <row r="3951" spans="1:2" x14ac:dyDescent="0.35">
      <c r="A3951" s="1016"/>
      <c r="B3951" s="1013"/>
    </row>
    <row r="3952" spans="1:2" x14ac:dyDescent="0.35">
      <c r="A3952" s="1016"/>
      <c r="B3952" s="1013"/>
    </row>
    <row r="3953" spans="1:2" x14ac:dyDescent="0.35">
      <c r="A3953" s="1016"/>
      <c r="B3953" s="1013"/>
    </row>
    <row r="3954" spans="1:2" x14ac:dyDescent="0.35">
      <c r="A3954" s="1016"/>
      <c r="B3954" s="1013"/>
    </row>
    <row r="3955" spans="1:2" x14ac:dyDescent="0.35">
      <c r="A3955" s="1016"/>
      <c r="B3955" s="1013"/>
    </row>
    <row r="3956" spans="1:2" x14ac:dyDescent="0.35">
      <c r="A3956" s="1016"/>
      <c r="B3956" s="1013"/>
    </row>
    <row r="3957" spans="1:2" x14ac:dyDescent="0.35">
      <c r="A3957" s="1016"/>
      <c r="B3957" s="1013"/>
    </row>
    <row r="3958" spans="1:2" x14ac:dyDescent="0.35">
      <c r="A3958" s="1016"/>
      <c r="B3958" s="1013"/>
    </row>
    <row r="3959" spans="1:2" x14ac:dyDescent="0.35">
      <c r="A3959" s="1016"/>
      <c r="B3959" s="1013"/>
    </row>
    <row r="3960" spans="1:2" x14ac:dyDescent="0.35">
      <c r="A3960" s="1016"/>
      <c r="B3960" s="1013"/>
    </row>
    <row r="3961" spans="1:2" x14ac:dyDescent="0.35">
      <c r="A3961" s="1016"/>
      <c r="B3961" s="1013"/>
    </row>
    <row r="3962" spans="1:2" x14ac:dyDescent="0.35">
      <c r="A3962" s="1016"/>
      <c r="B3962" s="1013"/>
    </row>
    <row r="3963" spans="1:2" x14ac:dyDescent="0.35">
      <c r="A3963" s="1016"/>
      <c r="B3963" s="1013"/>
    </row>
    <row r="3964" spans="1:2" x14ac:dyDescent="0.35">
      <c r="A3964" s="1016"/>
      <c r="B3964" s="1013"/>
    </row>
    <row r="3965" spans="1:2" x14ac:dyDescent="0.35">
      <c r="A3965" s="1016"/>
      <c r="B3965" s="1013"/>
    </row>
    <row r="3966" spans="1:2" x14ac:dyDescent="0.35">
      <c r="A3966" s="1016"/>
      <c r="B3966" s="1013"/>
    </row>
    <row r="3967" spans="1:2" x14ac:dyDescent="0.35">
      <c r="A3967" s="1016"/>
      <c r="B3967" s="1013"/>
    </row>
    <row r="3968" spans="1:2" x14ac:dyDescent="0.35">
      <c r="A3968" s="1016"/>
      <c r="B3968" s="1013"/>
    </row>
    <row r="3969" spans="1:2" x14ac:dyDescent="0.35">
      <c r="A3969" s="1016"/>
      <c r="B3969" s="1013"/>
    </row>
    <row r="3970" spans="1:2" x14ac:dyDescent="0.35">
      <c r="A3970" s="1016"/>
      <c r="B3970" s="1013"/>
    </row>
    <row r="3971" spans="1:2" x14ac:dyDescent="0.35">
      <c r="A3971" s="1016"/>
      <c r="B3971" s="1013"/>
    </row>
    <row r="3972" spans="1:2" x14ac:dyDescent="0.35">
      <c r="A3972" s="1016"/>
      <c r="B3972" s="1013"/>
    </row>
    <row r="3973" spans="1:2" x14ac:dyDescent="0.35">
      <c r="A3973" s="1016"/>
      <c r="B3973" s="1013"/>
    </row>
    <row r="3974" spans="1:2" x14ac:dyDescent="0.35">
      <c r="A3974" s="1016"/>
      <c r="B3974" s="1013"/>
    </row>
    <row r="3975" spans="1:2" x14ac:dyDescent="0.35">
      <c r="A3975" s="1016"/>
      <c r="B3975" s="1013"/>
    </row>
    <row r="3976" spans="1:2" x14ac:dyDescent="0.35">
      <c r="A3976" s="1016"/>
      <c r="B3976" s="1013"/>
    </row>
    <row r="3977" spans="1:2" x14ac:dyDescent="0.35">
      <c r="A3977" s="1016"/>
      <c r="B3977" s="1013"/>
    </row>
    <row r="3978" spans="1:2" x14ac:dyDescent="0.35">
      <c r="A3978" s="1016"/>
      <c r="B3978" s="1013"/>
    </row>
    <row r="3979" spans="1:2" x14ac:dyDescent="0.35">
      <c r="A3979" s="1016"/>
      <c r="B3979" s="1013"/>
    </row>
    <row r="3980" spans="1:2" x14ac:dyDescent="0.35">
      <c r="A3980" s="1016"/>
      <c r="B3980" s="1013"/>
    </row>
    <row r="3981" spans="1:2" x14ac:dyDescent="0.35">
      <c r="A3981" s="1016"/>
      <c r="B3981" s="1013"/>
    </row>
    <row r="3982" spans="1:2" x14ac:dyDescent="0.35">
      <c r="A3982" s="1016"/>
      <c r="B3982" s="1013"/>
    </row>
    <row r="3983" spans="1:2" x14ac:dyDescent="0.35">
      <c r="A3983" s="1016"/>
      <c r="B3983" s="1013"/>
    </row>
    <row r="3984" spans="1:2" x14ac:dyDescent="0.35">
      <c r="A3984" s="1016"/>
      <c r="B3984" s="1013"/>
    </row>
    <row r="3985" spans="1:2" x14ac:dyDescent="0.35">
      <c r="A3985" s="1016"/>
      <c r="B3985" s="1013"/>
    </row>
    <row r="3986" spans="1:2" x14ac:dyDescent="0.35">
      <c r="A3986" s="1016"/>
      <c r="B3986" s="1013"/>
    </row>
    <row r="3987" spans="1:2" x14ac:dyDescent="0.35">
      <c r="A3987" s="1016"/>
      <c r="B3987" s="1013"/>
    </row>
    <row r="3988" spans="1:2" x14ac:dyDescent="0.35">
      <c r="A3988" s="1016"/>
      <c r="B3988" s="1013"/>
    </row>
    <row r="3989" spans="1:2" x14ac:dyDescent="0.35">
      <c r="A3989" s="1016"/>
      <c r="B3989" s="1013"/>
    </row>
    <row r="3990" spans="1:2" x14ac:dyDescent="0.35">
      <c r="A3990" s="1016"/>
      <c r="B3990" s="1013"/>
    </row>
    <row r="3991" spans="1:2" x14ac:dyDescent="0.35">
      <c r="A3991" s="1016"/>
      <c r="B3991" s="1013"/>
    </row>
    <row r="3992" spans="1:2" x14ac:dyDescent="0.35">
      <c r="A3992" s="1016"/>
      <c r="B3992" s="1013"/>
    </row>
    <row r="3993" spans="1:2" x14ac:dyDescent="0.35">
      <c r="A3993" s="1016"/>
      <c r="B3993" s="1013"/>
    </row>
    <row r="3994" spans="1:2" x14ac:dyDescent="0.35">
      <c r="A3994" s="1016"/>
      <c r="B3994" s="1013"/>
    </row>
    <row r="3995" spans="1:2" x14ac:dyDescent="0.35">
      <c r="A3995" s="1016"/>
      <c r="B3995" s="1013"/>
    </row>
  </sheetData>
  <phoneticPr fontId="51"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O31"/>
  <sheetViews>
    <sheetView showGridLines="0" workbookViewId="0">
      <selection activeCell="B36" sqref="B36"/>
    </sheetView>
  </sheetViews>
  <sheetFormatPr defaultColWidth="7" defaultRowHeight="10.5" x14ac:dyDescent="0.4"/>
  <cols>
    <col min="1" max="1" width="20.0625" style="1017" customWidth="1"/>
    <col min="2" max="2" width="6" style="1017" customWidth="1"/>
    <col min="3" max="14" width="4.5625" style="1017" customWidth="1"/>
    <col min="15" max="16384" width="7" style="1017"/>
  </cols>
  <sheetData>
    <row r="1" spans="1:15" x14ac:dyDescent="0.4">
      <c r="A1" s="1018" t="s">
        <v>2573</v>
      </c>
    </row>
    <row r="2" spans="1:15" x14ac:dyDescent="0.4">
      <c r="A2" s="1756" t="s">
        <v>2574</v>
      </c>
      <c r="B2" s="1761" t="s">
        <v>2012</v>
      </c>
      <c r="C2" s="1761" t="s">
        <v>2494</v>
      </c>
      <c r="D2" s="1761"/>
      <c r="E2" s="1761"/>
      <c r="F2" s="1761"/>
      <c r="G2" s="1761" t="s">
        <v>2508</v>
      </c>
      <c r="H2" s="1761"/>
      <c r="I2" s="1761"/>
      <c r="J2" s="1761"/>
      <c r="K2" s="1761" t="s">
        <v>2575</v>
      </c>
      <c r="L2" s="1761"/>
      <c r="M2" s="1761"/>
      <c r="N2" s="1761"/>
      <c r="O2" s="1761" t="s">
        <v>2576</v>
      </c>
    </row>
    <row r="3" spans="1:15" x14ac:dyDescent="0.4">
      <c r="A3" s="1756"/>
      <c r="B3" s="1761"/>
      <c r="C3" s="1020" t="s">
        <v>2577</v>
      </c>
      <c r="D3" s="1020" t="s">
        <v>2578</v>
      </c>
      <c r="E3" s="1020" t="s">
        <v>480</v>
      </c>
      <c r="F3" s="1020" t="s">
        <v>1983</v>
      </c>
      <c r="G3" s="1020" t="s">
        <v>2577</v>
      </c>
      <c r="H3" s="1020" t="s">
        <v>2578</v>
      </c>
      <c r="I3" s="1020" t="s">
        <v>480</v>
      </c>
      <c r="J3" s="1020" t="s">
        <v>1983</v>
      </c>
      <c r="K3" s="1020" t="s">
        <v>2577</v>
      </c>
      <c r="L3" s="1020" t="s">
        <v>2578</v>
      </c>
      <c r="M3" s="1020" t="s">
        <v>480</v>
      </c>
      <c r="N3" s="1020" t="s">
        <v>1983</v>
      </c>
      <c r="O3" s="1761"/>
    </row>
    <row r="4" spans="1:15" x14ac:dyDescent="0.4">
      <c r="A4" s="1021" t="s">
        <v>2579</v>
      </c>
      <c r="B4" s="1022">
        <v>-390</v>
      </c>
      <c r="C4" s="1759">
        <v>-170</v>
      </c>
      <c r="D4" s="1759"/>
      <c r="E4" s="1759"/>
      <c r="F4" s="1760"/>
      <c r="G4" s="1759">
        <v>-160</v>
      </c>
      <c r="H4" s="1759"/>
      <c r="I4" s="1759"/>
      <c r="J4" s="1760"/>
      <c r="K4" s="1759">
        <v>-80</v>
      </c>
      <c r="L4" s="1759"/>
      <c r="M4" s="1759"/>
      <c r="N4" s="1760"/>
      <c r="O4" s="1024">
        <f>SUM(B4:N4)</f>
        <v>-800</v>
      </c>
    </row>
    <row r="5" spans="1:15" x14ac:dyDescent="0.4">
      <c r="A5" s="1018" t="s">
        <v>2580</v>
      </c>
      <c r="B5" s="1025">
        <v>0</v>
      </c>
      <c r="C5" s="1026">
        <v>380</v>
      </c>
      <c r="D5" s="1026">
        <v>0</v>
      </c>
      <c r="E5" s="1026">
        <v>0</v>
      </c>
      <c r="F5" s="1025">
        <v>160</v>
      </c>
      <c r="G5" s="1026">
        <v>0</v>
      </c>
      <c r="H5" s="1026">
        <v>0</v>
      </c>
      <c r="I5" s="1026">
        <v>0</v>
      </c>
      <c r="J5" s="1025">
        <v>0</v>
      </c>
      <c r="K5" s="1026">
        <v>325</v>
      </c>
      <c r="L5" s="1026">
        <v>0</v>
      </c>
      <c r="M5" s="1026">
        <v>0</v>
      </c>
      <c r="N5" s="1025">
        <v>215</v>
      </c>
      <c r="O5" s="1027">
        <f>SUM(B5:N5)</f>
        <v>1080</v>
      </c>
    </row>
    <row r="6" spans="1:15" x14ac:dyDescent="0.4">
      <c r="A6" s="1021" t="s">
        <v>2581</v>
      </c>
      <c r="B6" s="1022">
        <v>-390</v>
      </c>
      <c r="C6" s="1759">
        <v>370</v>
      </c>
      <c r="D6" s="1759"/>
      <c r="E6" s="1759"/>
      <c r="F6" s="1760"/>
      <c r="G6" s="1759">
        <v>-160</v>
      </c>
      <c r="H6" s="1759"/>
      <c r="I6" s="1759"/>
      <c r="J6" s="1760"/>
      <c r="K6" s="1759">
        <v>460</v>
      </c>
      <c r="L6" s="1759"/>
      <c r="M6" s="1759"/>
      <c r="N6" s="1760"/>
      <c r="O6" s="1024">
        <f>SUM(B6:N6)</f>
        <v>280</v>
      </c>
    </row>
    <row r="7" spans="1:15" x14ac:dyDescent="0.4">
      <c r="A7" s="1018" t="s">
        <v>2582</v>
      </c>
      <c r="B7" s="1025">
        <v>-390</v>
      </c>
      <c r="C7" s="1757">
        <v>-20</v>
      </c>
      <c r="D7" s="1757"/>
      <c r="E7" s="1757"/>
      <c r="F7" s="1758"/>
      <c r="G7" s="1757">
        <v>-180</v>
      </c>
      <c r="H7" s="1757"/>
      <c r="I7" s="1757"/>
      <c r="J7" s="1758"/>
      <c r="K7" s="1757">
        <v>280</v>
      </c>
      <c r="L7" s="1757"/>
      <c r="M7" s="1757"/>
      <c r="N7" s="1758"/>
      <c r="O7" s="1027">
        <f>K7</f>
        <v>280</v>
      </c>
    </row>
    <row r="9" spans="1:15" x14ac:dyDescent="0.4">
      <c r="A9" s="1018" t="s">
        <v>2583</v>
      </c>
    </row>
    <row r="10" spans="1:15" x14ac:dyDescent="0.4">
      <c r="A10" s="1019" t="s">
        <v>2574</v>
      </c>
      <c r="B10" s="1020" t="s">
        <v>2012</v>
      </c>
      <c r="C10" s="1020" t="s">
        <v>2494</v>
      </c>
      <c r="D10" s="1020" t="s">
        <v>2508</v>
      </c>
      <c r="E10" s="1020" t="s">
        <v>1164</v>
      </c>
      <c r="F10" s="1020" t="s">
        <v>1522</v>
      </c>
      <c r="G10" s="1020" t="s">
        <v>1523</v>
      </c>
      <c r="H10" s="1020" t="s">
        <v>1524</v>
      </c>
      <c r="I10" s="1020" t="s">
        <v>1986</v>
      </c>
      <c r="J10" s="1020" t="s">
        <v>1808</v>
      </c>
      <c r="K10" s="1020" t="s">
        <v>1987</v>
      </c>
      <c r="L10" s="1020" t="s">
        <v>1988</v>
      </c>
      <c r="M10" s="1020" t="s">
        <v>1989</v>
      </c>
      <c r="N10" s="1020" t="s">
        <v>2576</v>
      </c>
      <c r="O10" s="1028"/>
    </row>
    <row r="11" spans="1:15" x14ac:dyDescent="0.4">
      <c r="A11" s="1021" t="s">
        <v>2579</v>
      </c>
      <c r="B11" s="1023">
        <v>-265</v>
      </c>
      <c r="C11" s="1023">
        <v>-210</v>
      </c>
      <c r="D11" s="1023">
        <v>-245</v>
      </c>
      <c r="E11" s="1023">
        <v>0</v>
      </c>
      <c r="F11" s="1023">
        <v>0</v>
      </c>
      <c r="G11" s="1023">
        <v>0</v>
      </c>
      <c r="H11" s="1023">
        <v>0</v>
      </c>
      <c r="I11" s="1023">
        <v>0</v>
      </c>
      <c r="J11" s="1023">
        <v>0</v>
      </c>
      <c r="K11" s="1023">
        <v>0</v>
      </c>
      <c r="L11" s="1023">
        <v>0</v>
      </c>
      <c r="M11" s="1023">
        <v>0</v>
      </c>
      <c r="N11" s="1024">
        <f>SUM(B11:M11)</f>
        <v>-720</v>
      </c>
      <c r="O11" s="1029"/>
    </row>
    <row r="12" spans="1:15" x14ac:dyDescent="0.4">
      <c r="A12" s="1018" t="s">
        <v>2580</v>
      </c>
      <c r="B12" s="1026">
        <v>0</v>
      </c>
      <c r="C12" s="1026">
        <v>0</v>
      </c>
      <c r="D12" s="1026">
        <v>0</v>
      </c>
      <c r="E12" s="1026">
        <v>130</v>
      </c>
      <c r="F12" s="1026">
        <v>104</v>
      </c>
      <c r="G12" s="1026">
        <v>102</v>
      </c>
      <c r="H12" s="1026">
        <v>102</v>
      </c>
      <c r="I12" s="1026">
        <v>102</v>
      </c>
      <c r="J12" s="1026">
        <v>102</v>
      </c>
      <c r="K12" s="1026">
        <v>102</v>
      </c>
      <c r="L12" s="1026">
        <v>102</v>
      </c>
      <c r="M12" s="1026">
        <v>102</v>
      </c>
      <c r="N12" s="1027">
        <f>SUM(B12:M12)</f>
        <v>948</v>
      </c>
      <c r="O12" s="1029"/>
    </row>
    <row r="13" spans="1:15" x14ac:dyDescent="0.4">
      <c r="A13" s="1021" t="s">
        <v>2581</v>
      </c>
      <c r="B13" s="1023">
        <f t="shared" ref="B13:M13" si="0">B12+B11</f>
        <v>-265</v>
      </c>
      <c r="C13" s="1023">
        <f t="shared" si="0"/>
        <v>-210</v>
      </c>
      <c r="D13" s="1023">
        <f t="shared" si="0"/>
        <v>-245</v>
      </c>
      <c r="E13" s="1023">
        <f t="shared" si="0"/>
        <v>130</v>
      </c>
      <c r="F13" s="1023">
        <f t="shared" si="0"/>
        <v>104</v>
      </c>
      <c r="G13" s="1023">
        <f t="shared" si="0"/>
        <v>102</v>
      </c>
      <c r="H13" s="1023">
        <f t="shared" si="0"/>
        <v>102</v>
      </c>
      <c r="I13" s="1023">
        <f t="shared" si="0"/>
        <v>102</v>
      </c>
      <c r="J13" s="1023">
        <f t="shared" si="0"/>
        <v>102</v>
      </c>
      <c r="K13" s="1023">
        <f t="shared" si="0"/>
        <v>102</v>
      </c>
      <c r="L13" s="1023">
        <f t="shared" si="0"/>
        <v>102</v>
      </c>
      <c r="M13" s="1023">
        <f t="shared" si="0"/>
        <v>102</v>
      </c>
      <c r="N13" s="1024">
        <f>SUM(B13:M13)</f>
        <v>228</v>
      </c>
      <c r="O13" s="1029"/>
    </row>
    <row r="14" spans="1:15" x14ac:dyDescent="0.4">
      <c r="A14" s="1018" t="s">
        <v>2582</v>
      </c>
      <c r="B14" s="1026">
        <f>SUM($B$13:B13)</f>
        <v>-265</v>
      </c>
      <c r="C14" s="1026">
        <f>SUM($B$13:C13)</f>
        <v>-475</v>
      </c>
      <c r="D14" s="1026">
        <f>SUM($B$13:D13)</f>
        <v>-720</v>
      </c>
      <c r="E14" s="1026">
        <f>SUM($B$13:E13)</f>
        <v>-590</v>
      </c>
      <c r="F14" s="1026">
        <f>SUM($B$13:F13)</f>
        <v>-486</v>
      </c>
      <c r="G14" s="1026">
        <f>SUM($B$13:G13)</f>
        <v>-384</v>
      </c>
      <c r="H14" s="1026">
        <f>SUM($B$13:H13)</f>
        <v>-282</v>
      </c>
      <c r="I14" s="1026">
        <f>SUM($B$13:I13)</f>
        <v>-180</v>
      </c>
      <c r="J14" s="1026">
        <f>SUM($B$13:J13)</f>
        <v>-78</v>
      </c>
      <c r="K14" s="1026">
        <f>SUM($B$13:K13)</f>
        <v>24</v>
      </c>
      <c r="L14" s="1026">
        <f>SUM($B$13:L13)</f>
        <v>126</v>
      </c>
      <c r="M14" s="1026">
        <f>SUM($B$13:M13)</f>
        <v>228</v>
      </c>
      <c r="N14" s="1027">
        <f>M14</f>
        <v>228</v>
      </c>
      <c r="O14" s="1029"/>
    </row>
    <row r="16" spans="1:15" x14ac:dyDescent="0.4">
      <c r="A16" s="1018" t="s">
        <v>2584</v>
      </c>
    </row>
    <row r="17" spans="1:15" x14ac:dyDescent="0.4">
      <c r="A17" s="1756" t="s">
        <v>2585</v>
      </c>
      <c r="B17" s="1761" t="s">
        <v>2012</v>
      </c>
      <c r="C17" s="1761" t="s">
        <v>2494</v>
      </c>
      <c r="D17" s="1761"/>
      <c r="E17" s="1761"/>
      <c r="F17" s="1761"/>
      <c r="G17" s="1761" t="s">
        <v>2508</v>
      </c>
      <c r="H17" s="1761"/>
      <c r="I17" s="1761"/>
      <c r="J17" s="1761"/>
      <c r="K17" s="1761" t="s">
        <v>2575</v>
      </c>
      <c r="L17" s="1761"/>
      <c r="M17" s="1761"/>
      <c r="N17" s="1761"/>
      <c r="O17" s="1761" t="s">
        <v>2586</v>
      </c>
    </row>
    <row r="18" spans="1:15" x14ac:dyDescent="0.4">
      <c r="A18" s="1756"/>
      <c r="B18" s="1761"/>
      <c r="C18" s="1020" t="s">
        <v>2577</v>
      </c>
      <c r="D18" s="1020" t="s">
        <v>2578</v>
      </c>
      <c r="E18" s="1020" t="s">
        <v>480</v>
      </c>
      <c r="F18" s="1020" t="s">
        <v>1983</v>
      </c>
      <c r="G18" s="1020" t="s">
        <v>2577</v>
      </c>
      <c r="H18" s="1020" t="s">
        <v>2578</v>
      </c>
      <c r="I18" s="1020" t="s">
        <v>480</v>
      </c>
      <c r="J18" s="1020" t="s">
        <v>1983</v>
      </c>
      <c r="K18" s="1020" t="s">
        <v>2577</v>
      </c>
      <c r="L18" s="1020" t="s">
        <v>2578</v>
      </c>
      <c r="M18" s="1020" t="s">
        <v>480</v>
      </c>
      <c r="N18" s="1020" t="s">
        <v>1983</v>
      </c>
      <c r="O18" s="1761"/>
    </row>
    <row r="19" spans="1:15" x14ac:dyDescent="0.4">
      <c r="A19" s="1018" t="s">
        <v>2587</v>
      </c>
      <c r="B19" s="1025">
        <f t="shared" ref="B19:C22" si="1">B4</f>
        <v>-390</v>
      </c>
      <c r="C19" s="1757">
        <f t="shared" si="1"/>
        <v>-170</v>
      </c>
      <c r="D19" s="1757"/>
      <c r="E19" s="1757"/>
      <c r="F19" s="1758"/>
      <c r="G19" s="1757">
        <f>G4</f>
        <v>-160</v>
      </c>
      <c r="H19" s="1757"/>
      <c r="I19" s="1757"/>
      <c r="J19" s="1758"/>
      <c r="K19" s="1757">
        <f>K4</f>
        <v>-80</v>
      </c>
      <c r="L19" s="1757"/>
      <c r="M19" s="1757"/>
      <c r="N19" s="1758"/>
      <c r="O19" s="1027">
        <f>SUM(B19:N19)</f>
        <v>-800</v>
      </c>
    </row>
    <row r="20" spans="1:15" x14ac:dyDescent="0.4">
      <c r="A20" s="1018" t="s">
        <v>2588</v>
      </c>
      <c r="B20" s="1025">
        <f t="shared" si="1"/>
        <v>0</v>
      </c>
      <c r="C20" s="1026">
        <f t="shared" si="1"/>
        <v>380</v>
      </c>
      <c r="D20" s="1026">
        <f>D5</f>
        <v>0</v>
      </c>
      <c r="E20" s="1026">
        <f>E5</f>
        <v>0</v>
      </c>
      <c r="F20" s="1025">
        <f>F5</f>
        <v>160</v>
      </c>
      <c r="G20" s="1026">
        <f>G5</f>
        <v>0</v>
      </c>
      <c r="H20" s="1026">
        <f>H5</f>
        <v>0</v>
      </c>
      <c r="I20" s="1026">
        <f>I5</f>
        <v>0</v>
      </c>
      <c r="J20" s="1025">
        <f>J5</f>
        <v>0</v>
      </c>
      <c r="K20" s="1026">
        <f>K5</f>
        <v>325</v>
      </c>
      <c r="L20" s="1026">
        <f>L5</f>
        <v>0</v>
      </c>
      <c r="M20" s="1026">
        <f>M5</f>
        <v>0</v>
      </c>
      <c r="N20" s="1025">
        <f>N5</f>
        <v>215</v>
      </c>
      <c r="O20" s="1027">
        <f>SUM(B20:N20)</f>
        <v>1080</v>
      </c>
    </row>
    <row r="21" spans="1:15" x14ac:dyDescent="0.4">
      <c r="A21" s="1018" t="s">
        <v>2589</v>
      </c>
      <c r="B21" s="1025">
        <f t="shared" si="1"/>
        <v>-390</v>
      </c>
      <c r="C21" s="1757">
        <f t="shared" si="1"/>
        <v>370</v>
      </c>
      <c r="D21" s="1757"/>
      <c r="E21" s="1757"/>
      <c r="F21" s="1758"/>
      <c r="G21" s="1757">
        <f>G6</f>
        <v>-160</v>
      </c>
      <c r="H21" s="1757"/>
      <c r="I21" s="1757"/>
      <c r="J21" s="1758"/>
      <c r="K21" s="1757">
        <f>K6</f>
        <v>460</v>
      </c>
      <c r="L21" s="1757"/>
      <c r="M21" s="1757"/>
      <c r="N21" s="1758"/>
      <c r="O21" s="1027">
        <f>SUM(B21:N21)</f>
        <v>280</v>
      </c>
    </row>
    <row r="22" spans="1:15" x14ac:dyDescent="0.4">
      <c r="A22" s="1018" t="s">
        <v>2590</v>
      </c>
      <c r="B22" s="1025">
        <f t="shared" si="1"/>
        <v>-390</v>
      </c>
      <c r="C22" s="1757">
        <f t="shared" si="1"/>
        <v>-20</v>
      </c>
      <c r="D22" s="1757"/>
      <c r="E22" s="1757"/>
      <c r="F22" s="1758"/>
      <c r="G22" s="1757">
        <f>G7</f>
        <v>-180</v>
      </c>
      <c r="H22" s="1757"/>
      <c r="I22" s="1757"/>
      <c r="J22" s="1758"/>
      <c r="K22" s="1757">
        <f>K7</f>
        <v>280</v>
      </c>
      <c r="L22" s="1757"/>
      <c r="M22" s="1757"/>
      <c r="N22" s="1758"/>
      <c r="O22" s="1027">
        <f>K22</f>
        <v>280</v>
      </c>
    </row>
    <row r="24" spans="1:15" x14ac:dyDescent="0.4">
      <c r="A24" s="1018" t="s">
        <v>2591</v>
      </c>
    </row>
    <row r="25" spans="1:15" x14ac:dyDescent="0.4">
      <c r="A25" s="1019" t="s">
        <v>2585</v>
      </c>
      <c r="B25" s="1020" t="s">
        <v>2012</v>
      </c>
      <c r="C25" s="1020" t="s">
        <v>2494</v>
      </c>
      <c r="D25" s="1020" t="s">
        <v>2508</v>
      </c>
      <c r="E25" s="1020" t="s">
        <v>1164</v>
      </c>
      <c r="F25" s="1020" t="s">
        <v>1522</v>
      </c>
      <c r="G25" s="1020" t="s">
        <v>1523</v>
      </c>
      <c r="H25" s="1020" t="s">
        <v>1524</v>
      </c>
      <c r="I25" s="1020" t="s">
        <v>1986</v>
      </c>
      <c r="J25" s="1020" t="s">
        <v>1808</v>
      </c>
      <c r="K25" s="1020" t="s">
        <v>1987</v>
      </c>
      <c r="L25" s="1020" t="s">
        <v>1988</v>
      </c>
      <c r="M25" s="1020" t="s">
        <v>1989</v>
      </c>
      <c r="N25" s="1020" t="s">
        <v>2576</v>
      </c>
    </row>
    <row r="26" spans="1:15" x14ac:dyDescent="0.4">
      <c r="A26" s="1018" t="s">
        <v>2587</v>
      </c>
      <c r="B26" s="1026">
        <f t="shared" ref="B26:M26" si="2">B11</f>
        <v>-265</v>
      </c>
      <c r="C26" s="1026">
        <f t="shared" si="2"/>
        <v>-210</v>
      </c>
      <c r="D26" s="1026">
        <f t="shared" si="2"/>
        <v>-245</v>
      </c>
      <c r="E26" s="1026">
        <f t="shared" si="2"/>
        <v>0</v>
      </c>
      <c r="F26" s="1026">
        <f t="shared" si="2"/>
        <v>0</v>
      </c>
      <c r="G26" s="1026">
        <f t="shared" si="2"/>
        <v>0</v>
      </c>
      <c r="H26" s="1026">
        <f t="shared" si="2"/>
        <v>0</v>
      </c>
      <c r="I26" s="1026">
        <f t="shared" si="2"/>
        <v>0</v>
      </c>
      <c r="J26" s="1026">
        <f t="shared" si="2"/>
        <v>0</v>
      </c>
      <c r="K26" s="1026">
        <f t="shared" si="2"/>
        <v>0</v>
      </c>
      <c r="L26" s="1026">
        <f t="shared" si="2"/>
        <v>0</v>
      </c>
      <c r="M26" s="1026">
        <f t="shared" si="2"/>
        <v>0</v>
      </c>
      <c r="N26" s="1027">
        <f>SUM(B26:M26)</f>
        <v>-720</v>
      </c>
    </row>
    <row r="27" spans="1:15" x14ac:dyDescent="0.4">
      <c r="A27" s="1018" t="s">
        <v>2588</v>
      </c>
      <c r="B27" s="1026">
        <f t="shared" ref="B27:M27" si="3">B12</f>
        <v>0</v>
      </c>
      <c r="C27" s="1026">
        <f t="shared" si="3"/>
        <v>0</v>
      </c>
      <c r="D27" s="1026">
        <f t="shared" si="3"/>
        <v>0</v>
      </c>
      <c r="E27" s="1026">
        <f t="shared" si="3"/>
        <v>130</v>
      </c>
      <c r="F27" s="1026">
        <f t="shared" si="3"/>
        <v>104</v>
      </c>
      <c r="G27" s="1026">
        <f t="shared" si="3"/>
        <v>102</v>
      </c>
      <c r="H27" s="1026">
        <f t="shared" si="3"/>
        <v>102</v>
      </c>
      <c r="I27" s="1026">
        <f t="shared" si="3"/>
        <v>102</v>
      </c>
      <c r="J27" s="1026">
        <f t="shared" si="3"/>
        <v>102</v>
      </c>
      <c r="K27" s="1026">
        <f t="shared" si="3"/>
        <v>102</v>
      </c>
      <c r="L27" s="1026">
        <f t="shared" si="3"/>
        <v>102</v>
      </c>
      <c r="M27" s="1026">
        <f t="shared" si="3"/>
        <v>102</v>
      </c>
      <c r="N27" s="1027">
        <f>SUM(B27:M27)</f>
        <v>948</v>
      </c>
    </row>
    <row r="28" spans="1:15" x14ac:dyDescent="0.4">
      <c r="A28" s="1018" t="s">
        <v>2589</v>
      </c>
      <c r="B28" s="1026">
        <f t="shared" ref="B28:M28" si="4">B13</f>
        <v>-265</v>
      </c>
      <c r="C28" s="1026">
        <f t="shared" si="4"/>
        <v>-210</v>
      </c>
      <c r="D28" s="1026">
        <f t="shared" si="4"/>
        <v>-245</v>
      </c>
      <c r="E28" s="1026">
        <f t="shared" si="4"/>
        <v>130</v>
      </c>
      <c r="F28" s="1026">
        <f t="shared" si="4"/>
        <v>104</v>
      </c>
      <c r="G28" s="1026">
        <f t="shared" si="4"/>
        <v>102</v>
      </c>
      <c r="H28" s="1026">
        <f t="shared" si="4"/>
        <v>102</v>
      </c>
      <c r="I28" s="1026">
        <f t="shared" si="4"/>
        <v>102</v>
      </c>
      <c r="J28" s="1026">
        <f t="shared" si="4"/>
        <v>102</v>
      </c>
      <c r="K28" s="1026">
        <f t="shared" si="4"/>
        <v>102</v>
      </c>
      <c r="L28" s="1026">
        <f t="shared" si="4"/>
        <v>102</v>
      </c>
      <c r="M28" s="1026">
        <f t="shared" si="4"/>
        <v>102</v>
      </c>
      <c r="N28" s="1027">
        <f>SUM(B28:M28)</f>
        <v>228</v>
      </c>
    </row>
    <row r="29" spans="1:15" x14ac:dyDescent="0.4">
      <c r="A29" s="1018" t="s">
        <v>2590</v>
      </c>
      <c r="B29" s="1026">
        <f t="shared" ref="B29:M29" si="5">B14</f>
        <v>-265</v>
      </c>
      <c r="C29" s="1026">
        <f t="shared" si="5"/>
        <v>-475</v>
      </c>
      <c r="D29" s="1026">
        <f t="shared" si="5"/>
        <v>-720</v>
      </c>
      <c r="E29" s="1026">
        <f t="shared" si="5"/>
        <v>-590</v>
      </c>
      <c r="F29" s="1026">
        <f t="shared" si="5"/>
        <v>-486</v>
      </c>
      <c r="G29" s="1026">
        <f t="shared" si="5"/>
        <v>-384</v>
      </c>
      <c r="H29" s="1026">
        <f t="shared" si="5"/>
        <v>-282</v>
      </c>
      <c r="I29" s="1026">
        <f t="shared" si="5"/>
        <v>-180</v>
      </c>
      <c r="J29" s="1026">
        <f t="shared" si="5"/>
        <v>-78</v>
      </c>
      <c r="K29" s="1026">
        <f t="shared" si="5"/>
        <v>24</v>
      </c>
      <c r="L29" s="1026">
        <f t="shared" si="5"/>
        <v>126</v>
      </c>
      <c r="M29" s="1026">
        <f t="shared" si="5"/>
        <v>228</v>
      </c>
      <c r="N29" s="1027">
        <f>M29</f>
        <v>228</v>
      </c>
    </row>
    <row r="31" spans="1:15" x14ac:dyDescent="0.4">
      <c r="A31" s="1018"/>
      <c r="B31" s="1018"/>
      <c r="C31" s="1018"/>
      <c r="D31" s="1018"/>
      <c r="E31" s="1018"/>
      <c r="F31" s="1018"/>
      <c r="G31" s="1018"/>
      <c r="H31" s="1018"/>
    </row>
  </sheetData>
  <mergeCells count="30">
    <mergeCell ref="O2:O3"/>
    <mergeCell ref="B17:B18"/>
    <mergeCell ref="G21:J21"/>
    <mergeCell ref="K19:N19"/>
    <mergeCell ref="K17:N17"/>
    <mergeCell ref="G17:J17"/>
    <mergeCell ref="C19:F19"/>
    <mergeCell ref="O17:O18"/>
    <mergeCell ref="K7:N7"/>
    <mergeCell ref="A17:A18"/>
    <mergeCell ref="C17:F17"/>
    <mergeCell ref="K21:N21"/>
    <mergeCell ref="G22:J22"/>
    <mergeCell ref="C21:F21"/>
    <mergeCell ref="G19:J19"/>
    <mergeCell ref="K22:N22"/>
    <mergeCell ref="C22:F22"/>
    <mergeCell ref="A2:A3"/>
    <mergeCell ref="G7:J7"/>
    <mergeCell ref="K4:N4"/>
    <mergeCell ref="K2:N2"/>
    <mergeCell ref="C7:F7"/>
    <mergeCell ref="B2:B3"/>
    <mergeCell ref="K6:N6"/>
    <mergeCell ref="C4:F4"/>
    <mergeCell ref="G6:J6"/>
    <mergeCell ref="G2:J2"/>
    <mergeCell ref="C6:F6"/>
    <mergeCell ref="G4:J4"/>
    <mergeCell ref="C2:F2"/>
  </mergeCells>
  <phoneticPr fontId="5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2"/>
  <sheetViews>
    <sheetView showGridLines="0" workbookViewId="0">
      <selection activeCell="H10" sqref="H10"/>
    </sheetView>
  </sheetViews>
  <sheetFormatPr defaultColWidth="9" defaultRowHeight="13.5" outlineLevelCol="1" x14ac:dyDescent="0.4"/>
  <cols>
    <col min="1" max="1" width="40.5" style="1030" bestFit="1" customWidth="1"/>
    <col min="2" max="2" width="11.8125" style="1030" hidden="1" customWidth="1" outlineLevel="1"/>
    <col min="3" max="16384" width="9" style="1030"/>
  </cols>
  <sheetData>
    <row r="1" spans="1:9" x14ac:dyDescent="0.4">
      <c r="A1" s="1030" t="s">
        <v>2701</v>
      </c>
      <c r="C1" s="1030">
        <v>2015</v>
      </c>
      <c r="D1" s="1030">
        <v>2016</v>
      </c>
      <c r="E1" s="1030">
        <v>2017</v>
      </c>
      <c r="F1" s="1030">
        <v>2018</v>
      </c>
      <c r="G1" s="1030">
        <v>2019</v>
      </c>
      <c r="H1" s="1030">
        <v>2020</v>
      </c>
      <c r="I1" s="1030">
        <v>2021</v>
      </c>
    </row>
    <row r="2" spans="1:9" x14ac:dyDescent="0.4">
      <c r="A2" s="1030" t="s">
        <v>2700</v>
      </c>
      <c r="B2" s="1030" t="s">
        <v>2699</v>
      </c>
      <c r="C2" s="1031">
        <v>24.9</v>
      </c>
      <c r="D2" s="1031">
        <v>26.5</v>
      </c>
      <c r="E2" s="1031">
        <v>26.4</v>
      </c>
      <c r="F2" s="1031">
        <v>27.9</v>
      </c>
      <c r="G2" s="1031">
        <v>50.1</v>
      </c>
      <c r="H2" s="1031">
        <v>65.599999999999994</v>
      </c>
      <c r="I2" s="1031">
        <v>82.1</v>
      </c>
    </row>
  </sheetData>
  <phoneticPr fontId="51"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12"/>
  <sheetViews>
    <sheetView showGridLines="0" workbookViewId="0">
      <selection activeCell="B36" sqref="B36"/>
    </sheetView>
  </sheetViews>
  <sheetFormatPr defaultColWidth="9" defaultRowHeight="13.5" x14ac:dyDescent="0.4"/>
  <cols>
    <col min="1" max="1" width="17.3125" style="1032" customWidth="1"/>
    <col min="2" max="2" width="33" style="1032" customWidth="1"/>
    <col min="3" max="3" width="9.5625" style="1032" customWidth="1"/>
    <col min="4" max="4" width="21.5625" style="1032" customWidth="1"/>
    <col min="5" max="6" width="11.5625" style="1032" bestFit="1" customWidth="1"/>
    <col min="7" max="7" width="9" style="1032"/>
    <col min="8" max="8" width="15.5625" style="1032" customWidth="1"/>
    <col min="9" max="9" width="13.0625" style="1032" customWidth="1"/>
    <col min="10" max="10" width="19.3125" style="1032" bestFit="1" customWidth="1"/>
    <col min="11" max="11" width="17.0625" style="1032" bestFit="1" customWidth="1"/>
    <col min="12" max="12" width="15" style="1032" bestFit="1" customWidth="1"/>
    <col min="13" max="16384" width="9" style="1032"/>
  </cols>
  <sheetData>
    <row r="1" spans="1:13" s="1030" customFormat="1" x14ac:dyDescent="0.4">
      <c r="A1" s="1030" t="s">
        <v>2745</v>
      </c>
      <c r="B1" s="1030" t="s">
        <v>2744</v>
      </c>
      <c r="C1" s="1030" t="s">
        <v>2743</v>
      </c>
      <c r="D1" s="1030" t="s">
        <v>2742</v>
      </c>
      <c r="E1" s="1030" t="s">
        <v>2741</v>
      </c>
      <c r="F1" s="1030" t="s">
        <v>2740</v>
      </c>
      <c r="G1" s="1030" t="s">
        <v>2739</v>
      </c>
      <c r="H1" s="1030" t="s">
        <v>2738</v>
      </c>
      <c r="I1" s="1030" t="s">
        <v>2737</v>
      </c>
      <c r="J1" s="1030" t="s">
        <v>2736</v>
      </c>
      <c r="K1" s="1030" t="s">
        <v>2735</v>
      </c>
      <c r="L1" s="1030" t="s">
        <v>2734</v>
      </c>
      <c r="M1" s="1030" t="s">
        <v>2733</v>
      </c>
    </row>
    <row r="2" spans="1:13" x14ac:dyDescent="0.4">
      <c r="A2" s="1033" t="s">
        <v>2732</v>
      </c>
      <c r="B2" s="1030" t="s">
        <v>2731</v>
      </c>
      <c r="C2" s="1030">
        <v>10</v>
      </c>
      <c r="D2" s="1034">
        <v>43068</v>
      </c>
      <c r="E2" s="1034">
        <v>43069</v>
      </c>
      <c r="F2" s="1034">
        <v>46720</v>
      </c>
      <c r="G2" s="1033" t="s">
        <v>923</v>
      </c>
      <c r="H2" s="1030" t="s">
        <v>2713</v>
      </c>
      <c r="I2" s="1030">
        <v>2.5</v>
      </c>
      <c r="J2" s="1030">
        <v>3.875</v>
      </c>
      <c r="K2" s="1030">
        <v>2</v>
      </c>
      <c r="L2" s="1030"/>
      <c r="M2" s="1030"/>
    </row>
    <row r="3" spans="1:13" x14ac:dyDescent="0.4">
      <c r="A3" s="1033" t="s">
        <v>2730</v>
      </c>
      <c r="B3" s="1030" t="s">
        <v>2729</v>
      </c>
      <c r="C3" s="1030">
        <v>5</v>
      </c>
      <c r="D3" s="1034">
        <v>43068</v>
      </c>
      <c r="E3" s="1034">
        <v>43069</v>
      </c>
      <c r="F3" s="1034">
        <v>44894</v>
      </c>
      <c r="G3" s="1033" t="s">
        <v>923</v>
      </c>
      <c r="H3" s="1030" t="s">
        <v>2713</v>
      </c>
      <c r="I3" s="1033">
        <v>5.5</v>
      </c>
      <c r="J3" s="1030">
        <v>3.375</v>
      </c>
      <c r="K3" s="1030">
        <v>2</v>
      </c>
      <c r="L3" s="1030" t="s">
        <v>2728</v>
      </c>
      <c r="M3" s="1030"/>
    </row>
    <row r="4" spans="1:13" x14ac:dyDescent="0.4">
      <c r="A4" s="1033" t="s">
        <v>2727</v>
      </c>
      <c r="B4" s="1030" t="s">
        <v>2726</v>
      </c>
      <c r="C4" s="1030"/>
      <c r="D4" s="1034">
        <v>43437</v>
      </c>
      <c r="E4" s="1034">
        <v>43438</v>
      </c>
      <c r="F4" s="1034"/>
      <c r="G4" s="1033" t="s">
        <v>923</v>
      </c>
      <c r="H4" s="1030" t="s">
        <v>2713</v>
      </c>
      <c r="I4" s="1030">
        <v>5</v>
      </c>
      <c r="J4" s="1030">
        <v>6</v>
      </c>
      <c r="K4" s="1030">
        <v>2</v>
      </c>
      <c r="L4" s="1030"/>
      <c r="M4" s="1030" t="s">
        <v>2725</v>
      </c>
    </row>
    <row r="5" spans="1:13" x14ac:dyDescent="0.4">
      <c r="A5" s="1033" t="s">
        <v>2724</v>
      </c>
      <c r="B5" s="1030" t="s">
        <v>2723</v>
      </c>
      <c r="C5" s="1030"/>
      <c r="D5" s="1034">
        <v>43802</v>
      </c>
      <c r="E5" s="1034">
        <v>43803</v>
      </c>
      <c r="F5" s="1034"/>
      <c r="G5" s="1033" t="s">
        <v>923</v>
      </c>
      <c r="H5" s="1030" t="s">
        <v>2713</v>
      </c>
      <c r="I5" s="1030">
        <v>5</v>
      </c>
      <c r="J5" s="1030">
        <v>0</v>
      </c>
      <c r="K5" s="1030">
        <v>0</v>
      </c>
      <c r="L5" s="1030"/>
      <c r="M5" s="1030"/>
    </row>
    <row r="6" spans="1:13" x14ac:dyDescent="0.4">
      <c r="A6" s="1030" t="s">
        <v>2722</v>
      </c>
      <c r="B6" s="1030" t="s">
        <v>2721</v>
      </c>
      <c r="C6" s="1030">
        <v>3</v>
      </c>
      <c r="D6" s="1034">
        <v>44039</v>
      </c>
      <c r="E6" s="1034">
        <v>44048</v>
      </c>
      <c r="F6" s="1034">
        <v>45136</v>
      </c>
      <c r="G6" s="1033" t="s">
        <v>2704</v>
      </c>
      <c r="H6" s="1030" t="s">
        <v>2720</v>
      </c>
      <c r="I6" s="1030">
        <v>20</v>
      </c>
      <c r="J6" s="1033">
        <v>3.48</v>
      </c>
      <c r="K6" s="1030">
        <v>1</v>
      </c>
      <c r="L6" s="1030" t="s">
        <v>2702</v>
      </c>
      <c r="M6" s="1030"/>
    </row>
    <row r="7" spans="1:13" x14ac:dyDescent="0.4">
      <c r="A7" s="1030" t="s">
        <v>2719</v>
      </c>
      <c r="B7" s="1030" t="s">
        <v>2718</v>
      </c>
      <c r="C7" s="1030">
        <v>3</v>
      </c>
      <c r="D7" s="1034">
        <v>44130</v>
      </c>
      <c r="E7" s="1034">
        <v>44133</v>
      </c>
      <c r="F7" s="1034">
        <v>45227</v>
      </c>
      <c r="G7" s="1033" t="s">
        <v>2704</v>
      </c>
      <c r="H7" s="1030" t="s">
        <v>2703</v>
      </c>
      <c r="I7" s="1030">
        <v>5</v>
      </c>
      <c r="J7" s="1030">
        <v>3.45</v>
      </c>
      <c r="K7" s="1030">
        <v>1</v>
      </c>
      <c r="L7" s="1030" t="s">
        <v>2702</v>
      </c>
      <c r="M7" s="1030"/>
    </row>
    <row r="8" spans="1:13" x14ac:dyDescent="0.4">
      <c r="A8" s="1030" t="s">
        <v>2717</v>
      </c>
      <c r="B8" s="1030" t="s">
        <v>2716</v>
      </c>
      <c r="C8" s="1030">
        <v>3</v>
      </c>
      <c r="D8" s="1034">
        <v>44343</v>
      </c>
      <c r="E8" s="1034">
        <v>44348</v>
      </c>
      <c r="F8" s="1034">
        <v>45443</v>
      </c>
      <c r="G8" s="1033" t="s">
        <v>2704</v>
      </c>
      <c r="H8" s="1030" t="s">
        <v>2703</v>
      </c>
      <c r="I8" s="1030">
        <v>10</v>
      </c>
      <c r="J8" s="1030">
        <v>3.52</v>
      </c>
      <c r="K8" s="1030">
        <v>1</v>
      </c>
      <c r="L8" s="1030" t="s">
        <v>2702</v>
      </c>
      <c r="M8" s="1030"/>
    </row>
    <row r="9" spans="1:13" x14ac:dyDescent="0.4">
      <c r="A9" s="1033" t="s">
        <v>2715</v>
      </c>
      <c r="B9" s="1030" t="s">
        <v>2714</v>
      </c>
      <c r="C9" s="1030"/>
      <c r="D9" s="1034">
        <v>44355</v>
      </c>
      <c r="E9" s="1034">
        <v>44356</v>
      </c>
      <c r="F9" s="1034"/>
      <c r="G9" s="1033" t="s">
        <v>923</v>
      </c>
      <c r="H9" s="1030" t="s">
        <v>2713</v>
      </c>
      <c r="I9" s="1030">
        <v>5</v>
      </c>
      <c r="J9" s="1030">
        <v>3.4</v>
      </c>
      <c r="K9" s="1030">
        <v>2</v>
      </c>
      <c r="L9" s="1030"/>
      <c r="M9" s="1030"/>
    </row>
    <row r="10" spans="1:13" x14ac:dyDescent="0.4">
      <c r="A10" s="1030" t="s">
        <v>2712</v>
      </c>
      <c r="B10" s="1030" t="s">
        <v>2711</v>
      </c>
      <c r="C10" s="1030">
        <v>3</v>
      </c>
      <c r="D10" s="1034">
        <v>44463</v>
      </c>
      <c r="E10" s="1034">
        <v>44491</v>
      </c>
      <c r="F10" s="1034">
        <v>45468</v>
      </c>
      <c r="G10" s="1033" t="s">
        <v>2704</v>
      </c>
      <c r="H10" s="1030" t="s">
        <v>2708</v>
      </c>
      <c r="I10" s="1030">
        <v>0.22</v>
      </c>
      <c r="J10" s="1030"/>
      <c r="K10" s="1030"/>
      <c r="L10" s="1030"/>
      <c r="M10" s="1030"/>
    </row>
    <row r="11" spans="1:13" x14ac:dyDescent="0.4">
      <c r="A11" s="1030" t="s">
        <v>2710</v>
      </c>
      <c r="B11" s="1030" t="s">
        <v>2709</v>
      </c>
      <c r="C11" s="1030">
        <v>3</v>
      </c>
      <c r="D11" s="1034">
        <v>44463</v>
      </c>
      <c r="E11" s="1034">
        <v>44491</v>
      </c>
      <c r="F11" s="1034">
        <v>45468</v>
      </c>
      <c r="G11" s="1033" t="s">
        <v>2704</v>
      </c>
      <c r="H11" s="1030" t="s">
        <v>2708</v>
      </c>
      <c r="I11" s="1030">
        <v>4.03</v>
      </c>
      <c r="J11" s="1030">
        <v>3.4</v>
      </c>
      <c r="K11" s="1030">
        <v>2</v>
      </c>
      <c r="L11" s="1030" t="s">
        <v>2707</v>
      </c>
      <c r="M11" s="1030"/>
    </row>
    <row r="12" spans="1:13" x14ac:dyDescent="0.4">
      <c r="A12" s="1030" t="s">
        <v>2706</v>
      </c>
      <c r="B12" s="1030" t="s">
        <v>2705</v>
      </c>
      <c r="C12" s="1030">
        <v>3</v>
      </c>
      <c r="D12" s="1034">
        <v>44557</v>
      </c>
      <c r="E12" s="1034">
        <v>44560</v>
      </c>
      <c r="F12" s="1034">
        <v>45655</v>
      </c>
      <c r="G12" s="1033" t="s">
        <v>2704</v>
      </c>
      <c r="H12" s="1030" t="s">
        <v>2703</v>
      </c>
      <c r="I12" s="1033">
        <v>15</v>
      </c>
      <c r="J12" s="1030">
        <v>3.1</v>
      </c>
      <c r="K12" s="1030">
        <v>1</v>
      </c>
      <c r="L12" s="1030" t="s">
        <v>2702</v>
      </c>
      <c r="M12" s="1030"/>
    </row>
  </sheetData>
  <phoneticPr fontId="51"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2:L36"/>
  <sheetViews>
    <sheetView showGridLines="0" workbookViewId="0">
      <pane xSplit="2" ySplit="3" topLeftCell="C12" activePane="bottomRight" state="frozen"/>
      <selection pane="topRight"/>
      <selection pane="bottomLeft"/>
      <selection pane="bottomRight" activeCell="I27" sqref="I27"/>
    </sheetView>
  </sheetViews>
  <sheetFormatPr defaultColWidth="9" defaultRowHeight="12.75" x14ac:dyDescent="0.35"/>
  <cols>
    <col min="1" max="1" width="18.25" style="1035" customWidth="1"/>
    <col min="2" max="2" width="24.75" style="1035" customWidth="1"/>
    <col min="3" max="12" width="8.25" style="1035" customWidth="1"/>
    <col min="13" max="16384" width="9" style="1035"/>
  </cols>
  <sheetData>
    <row r="2" spans="1:12" ht="13.15" x14ac:dyDescent="0.4">
      <c r="C2" s="1036">
        <v>2006</v>
      </c>
      <c r="D2" s="1036">
        <v>2007</v>
      </c>
      <c r="E2" s="1036">
        <v>2008</v>
      </c>
      <c r="F2" s="1036">
        <v>2009</v>
      </c>
      <c r="G2" s="1036">
        <v>2010</v>
      </c>
      <c r="H2" s="1036">
        <v>2011</v>
      </c>
      <c r="I2" s="1036">
        <v>2012</v>
      </c>
      <c r="J2" s="1036" t="s">
        <v>843</v>
      </c>
      <c r="K2" s="1036" t="s">
        <v>844</v>
      </c>
      <c r="L2" s="1036" t="s">
        <v>845</v>
      </c>
    </row>
    <row r="4" spans="1:12" x14ac:dyDescent="0.35">
      <c r="A4" s="1762" t="s">
        <v>858</v>
      </c>
      <c r="B4" s="1035" t="s">
        <v>842</v>
      </c>
      <c r="C4" s="1037" t="e">
        <f>#REF!</f>
        <v>#REF!</v>
      </c>
      <c r="D4" s="1037" t="e">
        <f>#REF!</f>
        <v>#REF!</v>
      </c>
      <c r="E4" s="1037" t="e">
        <f>#REF!</f>
        <v>#REF!</v>
      </c>
      <c r="F4" s="1037" t="e">
        <f>#REF!</f>
        <v>#REF!</v>
      </c>
      <c r="G4" s="1037" t="e">
        <f>#REF!</f>
        <v>#REF!</v>
      </c>
      <c r="H4" s="1037" t="e">
        <f>#REF!</f>
        <v>#REF!</v>
      </c>
      <c r="I4" s="1037" t="e">
        <f>#REF!</f>
        <v>#REF!</v>
      </c>
      <c r="J4" s="1037" t="e">
        <f>#REF!</f>
        <v>#REF!</v>
      </c>
      <c r="K4" s="1037" t="e">
        <f>#REF!</f>
        <v>#REF!</v>
      </c>
      <c r="L4" s="1037"/>
    </row>
    <row r="5" spans="1:12" x14ac:dyDescent="0.35">
      <c r="A5" s="1762"/>
      <c r="B5" s="1035" t="s">
        <v>838</v>
      </c>
      <c r="C5" s="1038" t="e">
        <f>#REF!</f>
        <v>#REF!</v>
      </c>
      <c r="D5" s="1038" t="e">
        <f>#REF!</f>
        <v>#REF!</v>
      </c>
      <c r="E5" s="1038" t="e">
        <f>#REF!</f>
        <v>#REF!</v>
      </c>
      <c r="F5" s="1038" t="e">
        <f>#REF!</f>
        <v>#REF!</v>
      </c>
      <c r="G5" s="1038" t="e">
        <f>#REF!</f>
        <v>#REF!</v>
      </c>
      <c r="H5" s="1038" t="e">
        <f>#REF!</f>
        <v>#REF!</v>
      </c>
      <c r="I5" s="1038" t="e">
        <f>#REF!</f>
        <v>#REF!</v>
      </c>
      <c r="J5" s="1038" t="e">
        <f>#REF!</f>
        <v>#REF!</v>
      </c>
      <c r="K5" s="1038" t="e">
        <f>#REF!</f>
        <v>#REF!</v>
      </c>
      <c r="L5" s="1038"/>
    </row>
    <row r="6" spans="1:12" x14ac:dyDescent="0.35">
      <c r="A6" s="1763"/>
      <c r="B6" s="1039" t="s">
        <v>839</v>
      </c>
      <c r="C6" s="1040" t="e">
        <f>#REF!</f>
        <v>#REF!</v>
      </c>
      <c r="D6" s="1040" t="e">
        <f>#REF!</f>
        <v>#REF!</v>
      </c>
      <c r="E6" s="1040" t="e">
        <f>#REF!</f>
        <v>#REF!</v>
      </c>
      <c r="F6" s="1040" t="e">
        <f>#REF!</f>
        <v>#REF!</v>
      </c>
      <c r="G6" s="1040" t="e">
        <f>#REF!</f>
        <v>#REF!</v>
      </c>
      <c r="H6" s="1040" t="e">
        <f>#REF!</f>
        <v>#REF!</v>
      </c>
      <c r="I6" s="1040" t="e">
        <f>#REF!</f>
        <v>#REF!</v>
      </c>
      <c r="J6" s="1040" t="e">
        <f>#REF!</f>
        <v>#REF!</v>
      </c>
      <c r="K6" s="1040" t="e">
        <f>#REF!</f>
        <v>#REF!</v>
      </c>
      <c r="L6" s="1040"/>
    </row>
    <row r="8" spans="1:12" x14ac:dyDescent="0.35">
      <c r="A8" s="1762" t="s">
        <v>846</v>
      </c>
      <c r="B8" s="1035" t="s">
        <v>262</v>
      </c>
      <c r="C8" s="1041" t="e">
        <f>#REF!+#REF!+#REF!</f>
        <v>#REF!</v>
      </c>
      <c r="D8" s="1041" t="e">
        <f>#REF!+#REF!+#REF!</f>
        <v>#REF!</v>
      </c>
      <c r="E8" s="1041" t="e">
        <f>#REF!+#REF!+#REF!</f>
        <v>#REF!</v>
      </c>
      <c r="F8" s="1041" t="e">
        <f>#REF!+#REF!+#REF!</f>
        <v>#REF!</v>
      </c>
      <c r="G8" s="1041" t="e">
        <f>#REF!+#REF!+#REF!</f>
        <v>#REF!</v>
      </c>
      <c r="H8" s="1041" t="e">
        <f>#REF!+#REF!+#REF!</f>
        <v>#REF!</v>
      </c>
      <c r="I8" s="1041" t="e">
        <f>#REF!+#REF!+#REF!+#REF!</f>
        <v>#REF!</v>
      </c>
      <c r="J8" s="1041" t="e">
        <f>#REF!+#REF!+#REF!+#REF!</f>
        <v>#REF!</v>
      </c>
      <c r="K8" s="1041" t="e">
        <f>#REF!+#REF!+#REF!+#REF!</f>
        <v>#REF!</v>
      </c>
      <c r="L8" s="1041"/>
    </row>
    <row r="9" spans="1:12" x14ac:dyDescent="0.35">
      <c r="A9" s="1762"/>
      <c r="B9" s="1035" t="s">
        <v>854</v>
      </c>
      <c r="C9" s="1041" t="e">
        <f>#REF!+#REF!+#REF!</f>
        <v>#REF!</v>
      </c>
      <c r="D9" s="1041" t="e">
        <f>#REF!+#REF!+#REF!</f>
        <v>#REF!</v>
      </c>
      <c r="E9" s="1041" t="e">
        <f>#REF!+#REF!+#REF!</f>
        <v>#REF!</v>
      </c>
      <c r="F9" s="1041" t="e">
        <f>#REF!+#REF!+#REF!</f>
        <v>#REF!</v>
      </c>
      <c r="G9" s="1041" t="e">
        <f>#REF!+#REF!+#REF!</f>
        <v>#REF!</v>
      </c>
      <c r="H9" s="1041" t="e">
        <f>#REF!+#REF!+#REF!</f>
        <v>#REF!</v>
      </c>
      <c r="I9" s="1041" t="e">
        <f>#REF!+#REF!+#REF!+#REF!</f>
        <v>#REF!</v>
      </c>
      <c r="J9" s="1041" t="e">
        <f>#REF!+#REF!+#REF!+#REF!</f>
        <v>#REF!</v>
      </c>
      <c r="K9" s="1041" t="e">
        <f>#REF!+#REF!+#REF!+#REF!</f>
        <v>#REF!</v>
      </c>
      <c r="L9" s="1041"/>
    </row>
    <row r="10" spans="1:12" x14ac:dyDescent="0.35">
      <c r="A10" s="1762"/>
      <c r="B10" s="1042" t="s">
        <v>837</v>
      </c>
      <c r="C10" s="1043" t="e">
        <f t="shared" ref="C10:J10" si="0">C9/C8</f>
        <v>#REF!</v>
      </c>
      <c r="D10" s="1043" t="e">
        <f t="shared" si="0"/>
        <v>#REF!</v>
      </c>
      <c r="E10" s="1043" t="e">
        <f t="shared" si="0"/>
        <v>#REF!</v>
      </c>
      <c r="F10" s="1043" t="e">
        <f t="shared" si="0"/>
        <v>#REF!</v>
      </c>
      <c r="G10" s="1043" t="e">
        <f t="shared" si="0"/>
        <v>#REF!</v>
      </c>
      <c r="H10" s="1043" t="e">
        <f t="shared" si="0"/>
        <v>#REF!</v>
      </c>
      <c r="I10" s="1043" t="e">
        <f t="shared" si="0"/>
        <v>#REF!</v>
      </c>
      <c r="J10" s="1043" t="e">
        <f t="shared" si="0"/>
        <v>#REF!</v>
      </c>
      <c r="K10" s="1043" t="e">
        <f>K9/K8</f>
        <v>#REF!</v>
      </c>
      <c r="L10" s="1044"/>
    </row>
    <row r="11" spans="1:12" x14ac:dyDescent="0.35">
      <c r="A11" s="1762"/>
      <c r="B11" s="1035" t="s">
        <v>855</v>
      </c>
      <c r="C11" s="1041" t="e">
        <f>#REF!+#REF!+#REF!</f>
        <v>#REF!</v>
      </c>
      <c r="D11" s="1041" t="e">
        <f>#REF!+#REF!+#REF!</f>
        <v>#REF!</v>
      </c>
      <c r="E11" s="1041" t="e">
        <f>#REF!+#REF!+#REF!</f>
        <v>#REF!</v>
      </c>
      <c r="F11" s="1041" t="e">
        <f>#REF!+#REF!+#REF!</f>
        <v>#REF!</v>
      </c>
      <c r="G11" s="1041" t="e">
        <f>#REF!+#REF!+#REF!</f>
        <v>#REF!</v>
      </c>
      <c r="H11" s="1041" t="e">
        <f>#REF!+#REF!+#REF!</f>
        <v>#REF!</v>
      </c>
      <c r="I11" s="1041" t="e">
        <f>#REF!+#REF!+#REF!+#REF!</f>
        <v>#REF!</v>
      </c>
      <c r="J11" s="1041" t="e">
        <f>#REF!+#REF!+#REF!+#REF!</f>
        <v>#REF!</v>
      </c>
      <c r="K11" s="1041" t="e">
        <f>#REF!+#REF!+#REF!+#REF!</f>
        <v>#REF!</v>
      </c>
      <c r="L11" s="1041"/>
    </row>
    <row r="12" spans="1:12" x14ac:dyDescent="0.35">
      <c r="A12" s="1762"/>
      <c r="B12" s="1042" t="s">
        <v>853</v>
      </c>
      <c r="C12" s="1043" t="e">
        <f>C11/C8</f>
        <v>#REF!</v>
      </c>
      <c r="D12" s="1043" t="e">
        <f t="shared" ref="D12:J12" si="1">D11/D8</f>
        <v>#REF!</v>
      </c>
      <c r="E12" s="1043" t="e">
        <f t="shared" si="1"/>
        <v>#REF!</v>
      </c>
      <c r="F12" s="1043" t="e">
        <f t="shared" si="1"/>
        <v>#REF!</v>
      </c>
      <c r="G12" s="1043" t="e">
        <f t="shared" si="1"/>
        <v>#REF!</v>
      </c>
      <c r="H12" s="1043" t="e">
        <f t="shared" si="1"/>
        <v>#REF!</v>
      </c>
      <c r="I12" s="1043" t="e">
        <f t="shared" si="1"/>
        <v>#REF!</v>
      </c>
      <c r="J12" s="1043" t="e">
        <f t="shared" si="1"/>
        <v>#REF!</v>
      </c>
      <c r="K12" s="1043" t="e">
        <f>K11/K8</f>
        <v>#REF!</v>
      </c>
      <c r="L12" s="1041"/>
    </row>
    <row r="13" spans="1:12" ht="13.15" x14ac:dyDescent="0.35">
      <c r="A13" s="1762"/>
      <c r="B13" s="1035" t="s">
        <v>849</v>
      </c>
      <c r="C13" s="1041">
        <v>96.73</v>
      </c>
      <c r="D13" s="1041" t="e">
        <f t="shared" ref="D13:J13" si="2">C13*D8/C8</f>
        <v>#REF!</v>
      </c>
      <c r="E13" s="1041" t="e">
        <f t="shared" si="2"/>
        <v>#REF!</v>
      </c>
      <c r="F13" s="1041" t="e">
        <f t="shared" si="2"/>
        <v>#REF!</v>
      </c>
      <c r="G13" s="1041" t="e">
        <f t="shared" si="2"/>
        <v>#REF!</v>
      </c>
      <c r="H13" s="1041" t="e">
        <f t="shared" si="2"/>
        <v>#REF!</v>
      </c>
      <c r="I13" s="1041" t="e">
        <f t="shared" si="2"/>
        <v>#REF!</v>
      </c>
      <c r="J13" s="1041" t="e">
        <f t="shared" si="2"/>
        <v>#REF!</v>
      </c>
      <c r="K13" s="1041" t="e">
        <f>J13*K8/J8</f>
        <v>#REF!</v>
      </c>
      <c r="L13" s="1041"/>
    </row>
    <row r="14" spans="1:12" ht="13.15" x14ac:dyDescent="0.35">
      <c r="A14" s="1762"/>
      <c r="B14" s="1035" t="s">
        <v>850</v>
      </c>
      <c r="C14" s="1044">
        <v>0.12830245823027611</v>
      </c>
      <c r="D14" s="1044">
        <v>0.13844433984466939</v>
      </c>
      <c r="E14" s="1044">
        <v>0.11613818965592769</v>
      </c>
      <c r="F14" s="1044">
        <v>9.0389088879482535E-2</v>
      </c>
      <c r="G14" s="1044">
        <v>0.15989747027860465</v>
      </c>
      <c r="H14" s="1044">
        <v>0.1811645712928639</v>
      </c>
      <c r="I14" s="1044">
        <v>0.15283466187353312</v>
      </c>
      <c r="J14" s="1044" t="e">
        <f>#REF!</f>
        <v>#REF!</v>
      </c>
      <c r="K14" s="1044" t="e">
        <f>#REF!</f>
        <v>#REF!</v>
      </c>
      <c r="L14" s="1044"/>
    </row>
    <row r="15" spans="1:12" x14ac:dyDescent="0.35">
      <c r="A15" s="1762"/>
      <c r="B15" s="1035" t="s">
        <v>856</v>
      </c>
      <c r="C15" s="1038" t="e">
        <f t="shared" ref="C15:J15" si="3">(C11-C13)*(1-C14)</f>
        <v>#REF!</v>
      </c>
      <c r="D15" s="1038" t="e">
        <f t="shared" si="3"/>
        <v>#REF!</v>
      </c>
      <c r="E15" s="1038" t="e">
        <f t="shared" si="3"/>
        <v>#REF!</v>
      </c>
      <c r="F15" s="1038" t="e">
        <f t="shared" si="3"/>
        <v>#REF!</v>
      </c>
      <c r="G15" s="1038" t="e">
        <f t="shared" si="3"/>
        <v>#REF!</v>
      </c>
      <c r="H15" s="1038" t="e">
        <f t="shared" si="3"/>
        <v>#REF!</v>
      </c>
      <c r="I15" s="1038" t="e">
        <f t="shared" si="3"/>
        <v>#REF!</v>
      </c>
      <c r="J15" s="1038" t="e">
        <f t="shared" si="3"/>
        <v>#REF!</v>
      </c>
      <c r="K15" s="1038" t="e">
        <f>(K11-K13)*(1-K14)</f>
        <v>#REF!</v>
      </c>
      <c r="L15" s="1038"/>
    </row>
    <row r="16" spans="1:12" x14ac:dyDescent="0.35">
      <c r="A16" s="1762"/>
      <c r="B16" s="1042" t="s">
        <v>847</v>
      </c>
      <c r="C16" s="1045" t="e">
        <f t="shared" ref="C16:J16" si="4">C15/C8</f>
        <v>#REF!</v>
      </c>
      <c r="D16" s="1045" t="e">
        <f t="shared" si="4"/>
        <v>#REF!</v>
      </c>
      <c r="E16" s="1045" t="e">
        <f t="shared" si="4"/>
        <v>#REF!</v>
      </c>
      <c r="F16" s="1045" t="e">
        <f t="shared" si="4"/>
        <v>#REF!</v>
      </c>
      <c r="G16" s="1045" t="e">
        <f t="shared" si="4"/>
        <v>#REF!</v>
      </c>
      <c r="H16" s="1045" t="e">
        <f t="shared" si="4"/>
        <v>#REF!</v>
      </c>
      <c r="I16" s="1045" t="e">
        <f t="shared" si="4"/>
        <v>#REF!</v>
      </c>
      <c r="J16" s="1045" t="e">
        <f t="shared" si="4"/>
        <v>#REF!</v>
      </c>
      <c r="K16" s="1045" t="e">
        <f>K15/K8</f>
        <v>#REF!</v>
      </c>
      <c r="L16" s="1045"/>
    </row>
    <row r="17" spans="1:12" x14ac:dyDescent="0.35">
      <c r="A17" s="1762"/>
      <c r="B17" s="1035" t="s">
        <v>833</v>
      </c>
      <c r="C17" s="1046" t="e">
        <f>C15/3887</f>
        <v>#REF!</v>
      </c>
      <c r="D17" s="1046" t="e">
        <f t="shared" ref="D17:J17" si="5">D15/3887</f>
        <v>#REF!</v>
      </c>
      <c r="E17" s="1046" t="e">
        <f t="shared" si="5"/>
        <v>#REF!</v>
      </c>
      <c r="F17" s="1046" t="e">
        <f t="shared" si="5"/>
        <v>#REF!</v>
      </c>
      <c r="G17" s="1046" t="e">
        <f t="shared" si="5"/>
        <v>#REF!</v>
      </c>
      <c r="H17" s="1046" t="e">
        <f>H15/3887</f>
        <v>#REF!</v>
      </c>
      <c r="I17" s="1046" t="e">
        <f t="shared" si="5"/>
        <v>#REF!</v>
      </c>
      <c r="J17" s="1046" t="e">
        <f t="shared" si="5"/>
        <v>#REF!</v>
      </c>
      <c r="K17" s="1046" t="e">
        <f>K15/3887</f>
        <v>#REF!</v>
      </c>
      <c r="L17" s="1046"/>
    </row>
    <row r="18" spans="1:12" x14ac:dyDescent="0.35">
      <c r="A18" s="1762"/>
      <c r="B18" s="1047" t="s">
        <v>861</v>
      </c>
      <c r="C18" s="1047" t="e">
        <f t="shared" ref="C18:I18" si="6">C17*8</f>
        <v>#REF!</v>
      </c>
      <c r="D18" s="1047" t="e">
        <f t="shared" si="6"/>
        <v>#REF!</v>
      </c>
      <c r="E18" s="1047" t="e">
        <f t="shared" si="6"/>
        <v>#REF!</v>
      </c>
      <c r="F18" s="1047" t="e">
        <f t="shared" si="6"/>
        <v>#REF!</v>
      </c>
      <c r="G18" s="1047" t="e">
        <f t="shared" si="6"/>
        <v>#REF!</v>
      </c>
      <c r="H18" s="1047" t="e">
        <f t="shared" si="6"/>
        <v>#REF!</v>
      </c>
      <c r="I18" s="1047" t="e">
        <f t="shared" si="6"/>
        <v>#REF!</v>
      </c>
      <c r="J18" s="1047" t="e">
        <f>J17*8</f>
        <v>#REF!</v>
      </c>
      <c r="K18" s="1047" t="e">
        <f>K17*8</f>
        <v>#REF!</v>
      </c>
      <c r="L18" s="1046"/>
    </row>
    <row r="19" spans="1:12" x14ac:dyDescent="0.35">
      <c r="A19" s="1763"/>
      <c r="B19" s="1039" t="s">
        <v>836</v>
      </c>
      <c r="C19" s="1048">
        <v>764.21399999999994</v>
      </c>
      <c r="D19" s="1040" t="e">
        <f t="shared" ref="D19:J19" si="7">C19*(D8/C8)</f>
        <v>#REF!</v>
      </c>
      <c r="E19" s="1040" t="e">
        <f t="shared" si="7"/>
        <v>#REF!</v>
      </c>
      <c r="F19" s="1040" t="e">
        <f t="shared" si="7"/>
        <v>#REF!</v>
      </c>
      <c r="G19" s="1040" t="e">
        <f t="shared" si="7"/>
        <v>#REF!</v>
      </c>
      <c r="H19" s="1040" t="e">
        <f t="shared" si="7"/>
        <v>#REF!</v>
      </c>
      <c r="I19" s="1040" t="e">
        <f>H19*(I8/H8)</f>
        <v>#REF!</v>
      </c>
      <c r="J19" s="1040" t="e">
        <f t="shared" si="7"/>
        <v>#REF!</v>
      </c>
      <c r="K19" s="1040" t="e">
        <f>J19*(K8/J8)</f>
        <v>#REF!</v>
      </c>
      <c r="L19" s="1040"/>
    </row>
    <row r="20" spans="1:12" x14ac:dyDescent="0.35">
      <c r="C20" s="1038"/>
      <c r="D20" s="1038"/>
      <c r="E20" s="1038"/>
      <c r="F20" s="1038"/>
      <c r="G20" s="1038"/>
      <c r="H20" s="1038"/>
      <c r="I20" s="1038"/>
      <c r="J20" s="1038"/>
      <c r="K20" s="1038"/>
      <c r="L20" s="1038"/>
    </row>
    <row r="21" spans="1:12" x14ac:dyDescent="0.35">
      <c r="A21" s="1762" t="s">
        <v>848</v>
      </c>
      <c r="B21" s="1049" t="s">
        <v>841</v>
      </c>
      <c r="C21" s="1041" t="e">
        <f t="shared" ref="C21:K21" si="8">C4-C8</f>
        <v>#REF!</v>
      </c>
      <c r="D21" s="1041" t="e">
        <f t="shared" si="8"/>
        <v>#REF!</v>
      </c>
      <c r="E21" s="1041" t="e">
        <f t="shared" si="8"/>
        <v>#REF!</v>
      </c>
      <c r="F21" s="1041" t="e">
        <f t="shared" si="8"/>
        <v>#REF!</v>
      </c>
      <c r="G21" s="1041" t="e">
        <f t="shared" si="8"/>
        <v>#REF!</v>
      </c>
      <c r="H21" s="1041" t="e">
        <f t="shared" si="8"/>
        <v>#REF!</v>
      </c>
      <c r="I21" s="1041" t="e">
        <f t="shared" si="8"/>
        <v>#REF!</v>
      </c>
      <c r="J21" s="1041" t="e">
        <f t="shared" si="8"/>
        <v>#REF!</v>
      </c>
      <c r="K21" s="1041" t="e">
        <f t="shared" si="8"/>
        <v>#REF!</v>
      </c>
      <c r="L21" s="1041"/>
    </row>
    <row r="22" spans="1:12" x14ac:dyDescent="0.35">
      <c r="A22" s="1762"/>
      <c r="B22" s="1035" t="s">
        <v>836</v>
      </c>
      <c r="C22" s="1038" t="e">
        <f t="shared" ref="C22:K22" si="9">C5-C19</f>
        <v>#REF!</v>
      </c>
      <c r="D22" s="1038" t="e">
        <f t="shared" si="9"/>
        <v>#REF!</v>
      </c>
      <c r="E22" s="1038" t="e">
        <f t="shared" si="9"/>
        <v>#REF!</v>
      </c>
      <c r="F22" s="1038" t="e">
        <f t="shared" si="9"/>
        <v>#REF!</v>
      </c>
      <c r="G22" s="1038" t="e">
        <f t="shared" si="9"/>
        <v>#REF!</v>
      </c>
      <c r="H22" s="1038" t="e">
        <f t="shared" si="9"/>
        <v>#REF!</v>
      </c>
      <c r="I22" s="1038" t="e">
        <f>I5-I19</f>
        <v>#REF!</v>
      </c>
      <c r="J22" s="1038" t="e">
        <f t="shared" si="9"/>
        <v>#REF!</v>
      </c>
      <c r="K22" s="1038" t="e">
        <f t="shared" si="9"/>
        <v>#REF!</v>
      </c>
      <c r="L22" s="1038"/>
    </row>
    <row r="23" spans="1:12" x14ac:dyDescent="0.35">
      <c r="A23" s="1762"/>
      <c r="B23" s="1035" t="s">
        <v>835</v>
      </c>
      <c r="C23" s="1050">
        <v>0.65</v>
      </c>
      <c r="D23" s="1050">
        <v>0.65</v>
      </c>
      <c r="E23" s="1050">
        <v>0.65</v>
      </c>
      <c r="F23" s="1050">
        <v>0.65</v>
      </c>
      <c r="G23" s="1050">
        <v>0.65</v>
      </c>
      <c r="H23" s="1050">
        <v>0.65</v>
      </c>
      <c r="I23" s="1050">
        <v>0.65</v>
      </c>
      <c r="J23" s="1050">
        <v>0.65</v>
      </c>
      <c r="K23" s="1050">
        <v>0.65</v>
      </c>
      <c r="L23" s="1050"/>
    </row>
    <row r="24" spans="1:12" x14ac:dyDescent="0.35">
      <c r="A24" s="1762"/>
      <c r="B24" s="1035" t="s">
        <v>856</v>
      </c>
      <c r="C24" s="1038" t="e">
        <f t="shared" ref="C24:K24" si="10">C6-C15</f>
        <v>#REF!</v>
      </c>
      <c r="D24" s="1038" t="e">
        <f t="shared" si="10"/>
        <v>#REF!</v>
      </c>
      <c r="E24" s="1038" t="e">
        <f t="shared" si="10"/>
        <v>#REF!</v>
      </c>
      <c r="F24" s="1038" t="e">
        <f t="shared" si="10"/>
        <v>#REF!</v>
      </c>
      <c r="G24" s="1038" t="e">
        <f t="shared" si="10"/>
        <v>#REF!</v>
      </c>
      <c r="H24" s="1038" t="e">
        <f t="shared" si="10"/>
        <v>#REF!</v>
      </c>
      <c r="I24" s="1038" t="e">
        <f t="shared" si="10"/>
        <v>#REF!</v>
      </c>
      <c r="J24" s="1038" t="e">
        <f>J6-J15</f>
        <v>#REF!</v>
      </c>
      <c r="K24" s="1038" t="e">
        <f t="shared" si="10"/>
        <v>#REF!</v>
      </c>
      <c r="L24" s="1038"/>
    </row>
    <row r="25" spans="1:12" x14ac:dyDescent="0.35">
      <c r="A25" s="1762"/>
      <c r="B25" s="1051" t="s">
        <v>293</v>
      </c>
      <c r="C25" s="1038"/>
      <c r="D25" s="1052" t="e">
        <f t="shared" ref="D25:K25" si="11">D24/C24-1</f>
        <v>#REF!</v>
      </c>
      <c r="E25" s="1052" t="e">
        <f t="shared" si="11"/>
        <v>#REF!</v>
      </c>
      <c r="F25" s="1052" t="e">
        <f t="shared" si="11"/>
        <v>#REF!</v>
      </c>
      <c r="G25" s="1052" t="e">
        <f t="shared" si="11"/>
        <v>#REF!</v>
      </c>
      <c r="H25" s="1052" t="e">
        <f t="shared" si="11"/>
        <v>#REF!</v>
      </c>
      <c r="I25" s="1052" t="e">
        <f t="shared" si="11"/>
        <v>#REF!</v>
      </c>
      <c r="J25" s="1052" t="e">
        <f t="shared" si="11"/>
        <v>#REF!</v>
      </c>
      <c r="K25" s="1052" t="e">
        <f t="shared" si="11"/>
        <v>#REF!</v>
      </c>
      <c r="L25" s="1038"/>
    </row>
    <row r="26" spans="1:12" x14ac:dyDescent="0.35">
      <c r="A26" s="1762"/>
      <c r="B26" s="1042" t="s">
        <v>840</v>
      </c>
      <c r="C26" s="1053" t="e">
        <f>C24/C21</f>
        <v>#REF!</v>
      </c>
      <c r="D26" s="1053" t="e">
        <f t="shared" ref="D26:I26" si="12">D24/D21</f>
        <v>#REF!</v>
      </c>
      <c r="E26" s="1053" t="e">
        <f t="shared" si="12"/>
        <v>#REF!</v>
      </c>
      <c r="F26" s="1053" t="e">
        <f t="shared" si="12"/>
        <v>#REF!</v>
      </c>
      <c r="G26" s="1053" t="e">
        <f>G24/G21</f>
        <v>#REF!</v>
      </c>
      <c r="H26" s="1053" t="e">
        <f>H24/H21</f>
        <v>#REF!</v>
      </c>
      <c r="I26" s="1053" t="e">
        <f t="shared" si="12"/>
        <v>#REF!</v>
      </c>
      <c r="J26" s="1053" t="e">
        <f>J24/J21</f>
        <v>#REF!</v>
      </c>
      <c r="K26" s="1053" t="e">
        <f>K24/K21</f>
        <v>#REF!</v>
      </c>
      <c r="L26" s="1052"/>
    </row>
    <row r="27" spans="1:12" x14ac:dyDescent="0.35">
      <c r="A27" s="1762"/>
      <c r="B27" s="1035" t="s">
        <v>528</v>
      </c>
      <c r="C27" s="1046" t="e">
        <f>C24/3887</f>
        <v>#REF!</v>
      </c>
      <c r="D27" s="1046" t="e">
        <f t="shared" ref="D27:K27" si="13">D24/3887</f>
        <v>#REF!</v>
      </c>
      <c r="E27" s="1046" t="e">
        <f t="shared" si="13"/>
        <v>#REF!</v>
      </c>
      <c r="F27" s="1046" t="e">
        <f t="shared" si="13"/>
        <v>#REF!</v>
      </c>
      <c r="G27" s="1046" t="e">
        <f t="shared" si="13"/>
        <v>#REF!</v>
      </c>
      <c r="H27" s="1046" t="e">
        <f t="shared" si="13"/>
        <v>#REF!</v>
      </c>
      <c r="I27" s="1046" t="e">
        <f t="shared" si="13"/>
        <v>#REF!</v>
      </c>
      <c r="J27" s="1046" t="e">
        <f t="shared" si="13"/>
        <v>#REF!</v>
      </c>
      <c r="K27" s="1046" t="e">
        <f t="shared" si="13"/>
        <v>#REF!</v>
      </c>
      <c r="L27" s="1052"/>
    </row>
    <row r="28" spans="1:12" x14ac:dyDescent="0.35">
      <c r="A28" s="1762"/>
      <c r="B28" s="1035" t="s">
        <v>834</v>
      </c>
      <c r="C28" s="1052"/>
      <c r="D28" s="1052" t="e">
        <f t="shared" ref="D28:K28" si="14">D24/D22</f>
        <v>#REF!</v>
      </c>
      <c r="E28" s="1052" t="e">
        <f t="shared" si="14"/>
        <v>#REF!</v>
      </c>
      <c r="F28" s="1052" t="e">
        <f t="shared" si="14"/>
        <v>#REF!</v>
      </c>
      <c r="G28" s="1052" t="e">
        <f t="shared" si="14"/>
        <v>#REF!</v>
      </c>
      <c r="H28" s="1052" t="e">
        <f>H24/H22</f>
        <v>#REF!</v>
      </c>
      <c r="I28" s="1052" t="e">
        <f>I24/I22</f>
        <v>#REF!</v>
      </c>
      <c r="J28" s="1052" t="e">
        <f>J24/J22</f>
        <v>#REF!</v>
      </c>
      <c r="K28" s="1052" t="e">
        <f t="shared" si="14"/>
        <v>#REF!</v>
      </c>
      <c r="L28" s="1052"/>
    </row>
    <row r="29" spans="1:12" ht="13.15" x14ac:dyDescent="0.35">
      <c r="A29" s="1762"/>
      <c r="B29" s="1035" t="s">
        <v>851</v>
      </c>
      <c r="C29" s="1044" t="e">
        <f>#REF!</f>
        <v>#REF!</v>
      </c>
      <c r="D29" s="1044" t="e">
        <f>#REF!</f>
        <v>#REF!</v>
      </c>
      <c r="E29" s="1044" t="e">
        <f>#REF!</f>
        <v>#REF!</v>
      </c>
      <c r="F29" s="1044" t="e">
        <f>#REF!</f>
        <v>#REF!</v>
      </c>
      <c r="G29" s="1044" t="e">
        <f>#REF!</f>
        <v>#REF!</v>
      </c>
      <c r="H29" s="1044" t="e">
        <f>#REF!</f>
        <v>#REF!</v>
      </c>
      <c r="I29" s="1044" t="e">
        <f>#REF!</f>
        <v>#REF!</v>
      </c>
      <c r="J29" s="1044" t="e">
        <f>#REF!</f>
        <v>#REF!</v>
      </c>
      <c r="K29" s="1044" t="e">
        <f>#REF!</f>
        <v>#REF!</v>
      </c>
      <c r="L29" s="1044"/>
    </row>
    <row r="30" spans="1:12" ht="13.15" x14ac:dyDescent="0.35">
      <c r="A30" s="1762"/>
      <c r="B30" s="1035" t="s">
        <v>852</v>
      </c>
      <c r="H30" s="1054">
        <v>7.1999999999999995E-2</v>
      </c>
      <c r="I30" s="1054">
        <v>7.1999999999999995E-2</v>
      </c>
      <c r="J30" s="1054">
        <f>I30</f>
        <v>7.1999999999999995E-2</v>
      </c>
      <c r="K30" s="1054">
        <f>J30</f>
        <v>7.1999999999999995E-2</v>
      </c>
      <c r="L30" s="1054"/>
    </row>
    <row r="31" spans="1:12" x14ac:dyDescent="0.35">
      <c r="A31" s="1762"/>
      <c r="B31" s="1046" t="s">
        <v>857</v>
      </c>
      <c r="C31" s="1055"/>
      <c r="D31" s="1055">
        <v>3</v>
      </c>
      <c r="E31" s="1055">
        <v>3</v>
      </c>
      <c r="F31" s="1055">
        <v>3</v>
      </c>
      <c r="G31" s="1055">
        <v>3</v>
      </c>
      <c r="H31" s="1055">
        <v>3</v>
      </c>
      <c r="I31" s="1055">
        <v>3</v>
      </c>
      <c r="J31" s="1055" t="e">
        <f>J33*J28</f>
        <v>#REF!</v>
      </c>
      <c r="K31" s="1055" t="e">
        <f>K33*K28</f>
        <v>#REF!</v>
      </c>
    </row>
    <row r="32" spans="1:12" x14ac:dyDescent="0.35">
      <c r="A32" s="1762"/>
      <c r="B32" s="1047" t="s">
        <v>862</v>
      </c>
      <c r="C32" s="1056"/>
      <c r="D32" s="1056" t="e">
        <f t="shared" ref="D32:K32" si="15">D22/3887*D31</f>
        <v>#REF!</v>
      </c>
      <c r="E32" s="1056" t="e">
        <f t="shared" si="15"/>
        <v>#REF!</v>
      </c>
      <c r="F32" s="1056" t="e">
        <f t="shared" si="15"/>
        <v>#REF!</v>
      </c>
      <c r="G32" s="1056" t="e">
        <f t="shared" si="15"/>
        <v>#REF!</v>
      </c>
      <c r="H32" s="1056" t="e">
        <f t="shared" si="15"/>
        <v>#REF!</v>
      </c>
      <c r="I32" s="1056" t="e">
        <f>I22/3887*I31</f>
        <v>#REF!</v>
      </c>
      <c r="J32" s="1056" t="e">
        <f>J22/3887*J31</f>
        <v>#REF!</v>
      </c>
      <c r="K32" s="1056" t="e">
        <f t="shared" si="15"/>
        <v>#REF!</v>
      </c>
      <c r="L32" s="1046"/>
    </row>
    <row r="33" spans="1:12" x14ac:dyDescent="0.35">
      <c r="A33" s="1762"/>
      <c r="B33" s="1035" t="s">
        <v>70</v>
      </c>
      <c r="D33" s="1055" t="e">
        <f t="shared" ref="D33:I33" si="16">D32/D27</f>
        <v>#REF!</v>
      </c>
      <c r="E33" s="1055" t="e">
        <f t="shared" si="16"/>
        <v>#REF!</v>
      </c>
      <c r="F33" s="1055" t="e">
        <f t="shared" si="16"/>
        <v>#REF!</v>
      </c>
      <c r="G33" s="1055" t="e">
        <f t="shared" si="16"/>
        <v>#REF!</v>
      </c>
      <c r="H33" s="1055" t="e">
        <f t="shared" si="16"/>
        <v>#REF!</v>
      </c>
      <c r="I33" s="1055" t="e">
        <f t="shared" si="16"/>
        <v>#REF!</v>
      </c>
      <c r="J33" s="1057">
        <v>20</v>
      </c>
      <c r="K33" s="1057">
        <v>18</v>
      </c>
    </row>
    <row r="34" spans="1:12" x14ac:dyDescent="0.35">
      <c r="A34" s="1058"/>
      <c r="B34" s="1058"/>
      <c r="C34" s="1058"/>
      <c r="D34" s="1058"/>
      <c r="E34" s="1058"/>
      <c r="F34" s="1058"/>
      <c r="G34" s="1058"/>
      <c r="H34" s="1058"/>
      <c r="I34" s="1058"/>
      <c r="J34" s="1058"/>
      <c r="K34" s="1058"/>
      <c r="L34" s="1058"/>
    </row>
    <row r="35" spans="1:12" x14ac:dyDescent="0.35">
      <c r="A35" s="1059" t="s">
        <v>859</v>
      </c>
      <c r="B35" s="1047" t="s">
        <v>860</v>
      </c>
      <c r="C35" s="1056" t="e">
        <f t="shared" ref="C35:J35" si="17">C18+C32</f>
        <v>#REF!</v>
      </c>
      <c r="D35" s="1056" t="e">
        <f t="shared" si="17"/>
        <v>#REF!</v>
      </c>
      <c r="E35" s="1056" t="e">
        <f t="shared" si="17"/>
        <v>#REF!</v>
      </c>
      <c r="F35" s="1056" t="e">
        <f t="shared" si="17"/>
        <v>#REF!</v>
      </c>
      <c r="G35" s="1056" t="e">
        <f t="shared" si="17"/>
        <v>#REF!</v>
      </c>
      <c r="H35" s="1056" t="e">
        <f t="shared" si="17"/>
        <v>#REF!</v>
      </c>
      <c r="I35" s="1056" t="e">
        <f t="shared" si="17"/>
        <v>#REF!</v>
      </c>
      <c r="J35" s="1056" t="e">
        <f t="shared" si="17"/>
        <v>#REF!</v>
      </c>
      <c r="K35" s="1056" t="e">
        <f>K18+K32</f>
        <v>#REF!</v>
      </c>
      <c r="L35" s="1060"/>
    </row>
    <row r="36" spans="1:12" x14ac:dyDescent="0.35">
      <c r="A36" s="1039"/>
      <c r="B36" s="1039"/>
      <c r="C36" s="1039"/>
      <c r="D36" s="1061" t="e">
        <f t="shared" ref="D36:K36" si="18">D35/C35-1</f>
        <v>#REF!</v>
      </c>
      <c r="E36" s="1061" t="e">
        <f t="shared" si="18"/>
        <v>#REF!</v>
      </c>
      <c r="F36" s="1061" t="e">
        <f t="shared" si="18"/>
        <v>#REF!</v>
      </c>
      <c r="G36" s="1061" t="e">
        <f t="shared" si="18"/>
        <v>#REF!</v>
      </c>
      <c r="H36" s="1061" t="e">
        <f t="shared" si="18"/>
        <v>#REF!</v>
      </c>
      <c r="I36" s="1061" t="e">
        <f t="shared" si="18"/>
        <v>#REF!</v>
      </c>
      <c r="J36" s="1061" t="e">
        <f t="shared" si="18"/>
        <v>#REF!</v>
      </c>
      <c r="K36" s="1061" t="e">
        <f t="shared" si="18"/>
        <v>#REF!</v>
      </c>
      <c r="L36" s="1039"/>
    </row>
  </sheetData>
  <mergeCells count="3">
    <mergeCell ref="A8:A19"/>
    <mergeCell ref="A21:A33"/>
    <mergeCell ref="A4:A6"/>
  </mergeCells>
  <phoneticPr fontId="51"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2:BM118"/>
  <sheetViews>
    <sheetView showGridLines="0" topLeftCell="A26" workbookViewId="0">
      <selection activeCell="D41" sqref="D41"/>
    </sheetView>
  </sheetViews>
  <sheetFormatPr defaultColWidth="10" defaultRowHeight="15.75" outlineLevelRow="1" outlineLevelCol="2" x14ac:dyDescent="0.3"/>
  <cols>
    <col min="1" max="1" width="7.75" style="1062" customWidth="1"/>
    <col min="2" max="2" width="19.75" style="1062" customWidth="1" outlineLevel="1"/>
    <col min="3" max="3" width="17.3125" style="1062" hidden="1" customWidth="1"/>
    <col min="4" max="4" width="6.8125" style="1062" hidden="1" customWidth="1" outlineLevel="1"/>
    <col min="5" max="5" width="7.75" style="1062" hidden="1" customWidth="1" outlineLevel="2"/>
    <col min="6" max="14" width="6.8125" style="1062" customWidth="1"/>
    <col min="15" max="15" width="10.25" style="1062" customWidth="1"/>
    <col min="16" max="16" width="6.25" style="1062" customWidth="1"/>
    <col min="17" max="17" width="7" style="1062" customWidth="1"/>
    <col min="18" max="18" width="7.5" style="1062" customWidth="1"/>
  </cols>
  <sheetData>
    <row r="2" spans="1:18" x14ac:dyDescent="0.3">
      <c r="B2" s="1063" t="s">
        <v>637</v>
      </c>
      <c r="C2" s="1063"/>
    </row>
    <row r="3" spans="1:18" x14ac:dyDescent="0.3">
      <c r="A3" s="1064"/>
      <c r="B3" s="1064"/>
      <c r="C3" s="1064"/>
    </row>
    <row r="4" spans="1:18" x14ac:dyDescent="0.3">
      <c r="A4" s="1065"/>
      <c r="B4" s="1066" t="s">
        <v>638</v>
      </c>
      <c r="C4" s="1066" t="s">
        <v>638</v>
      </c>
      <c r="D4" s="1067">
        <f>F11</f>
        <v>9.9822222222222243E-2</v>
      </c>
      <c r="E4" s="1068"/>
    </row>
    <row r="5" spans="1:18" x14ac:dyDescent="0.3">
      <c r="B5" s="1069" t="s">
        <v>639</v>
      </c>
      <c r="C5" s="1062" t="s">
        <v>640</v>
      </c>
      <c r="D5" s="1070">
        <f>D9+D11*D10</f>
        <v>0.13600000000000001</v>
      </c>
      <c r="E5" s="1071" t="s">
        <v>641</v>
      </c>
      <c r="F5" s="1070">
        <v>7.0000000000000007E-2</v>
      </c>
      <c r="J5" s="1072"/>
      <c r="K5" s="1070"/>
      <c r="L5" s="1070"/>
      <c r="M5" s="1070"/>
    </row>
    <row r="6" spans="1:18" x14ac:dyDescent="0.3">
      <c r="B6" s="1069" t="s">
        <v>642</v>
      </c>
      <c r="C6" s="1062" t="s">
        <v>188</v>
      </c>
      <c r="D6" s="1070">
        <f>F5</f>
        <v>7.0000000000000007E-2</v>
      </c>
      <c r="E6" s="1071"/>
      <c r="F6" s="1070"/>
      <c r="J6" s="1072"/>
      <c r="K6" s="1070"/>
      <c r="L6" s="1070"/>
      <c r="M6" s="1070"/>
    </row>
    <row r="7" spans="1:18" x14ac:dyDescent="0.3">
      <c r="B7" s="1069" t="s">
        <v>643</v>
      </c>
      <c r="C7" s="1062" t="s">
        <v>189</v>
      </c>
      <c r="D7" s="1073">
        <f>F9</f>
        <v>0.22</v>
      </c>
      <c r="E7" s="1071"/>
      <c r="F7" s="1070"/>
      <c r="J7" s="1072"/>
      <c r="K7" s="1070"/>
      <c r="L7" s="1070"/>
      <c r="M7" s="1070"/>
    </row>
    <row r="8" spans="1:18" x14ac:dyDescent="0.3">
      <c r="B8" s="1069" t="s">
        <v>644</v>
      </c>
      <c r="C8" s="1062" t="s">
        <v>190</v>
      </c>
      <c r="D8" s="1073">
        <f>F10</f>
        <v>0.8</v>
      </c>
      <c r="E8" s="1071"/>
      <c r="F8" s="1070"/>
      <c r="J8" s="1072"/>
      <c r="K8" s="1070"/>
      <c r="L8" s="1070"/>
      <c r="M8" s="1070"/>
    </row>
    <row r="9" spans="1:18" x14ac:dyDescent="0.3">
      <c r="B9" s="1069" t="s">
        <v>645</v>
      </c>
      <c r="C9" s="1062" t="s">
        <v>646</v>
      </c>
      <c r="D9" s="1070">
        <v>0.04</v>
      </c>
      <c r="E9" s="1071" t="s">
        <v>647</v>
      </c>
      <c r="F9" s="1070">
        <v>0.22</v>
      </c>
      <c r="J9" s="1070"/>
      <c r="K9" s="1070"/>
      <c r="L9" s="1070"/>
      <c r="M9" s="1070"/>
    </row>
    <row r="10" spans="1:18" x14ac:dyDescent="0.3">
      <c r="B10" s="1069" t="s">
        <v>648</v>
      </c>
      <c r="C10" s="1062" t="s">
        <v>649</v>
      </c>
      <c r="D10" s="1070">
        <v>0.08</v>
      </c>
      <c r="E10" s="1071" t="s">
        <v>650</v>
      </c>
      <c r="F10" s="1070">
        <v>0.8</v>
      </c>
    </row>
    <row r="11" spans="1:18" x14ac:dyDescent="0.3">
      <c r="B11" s="1069" t="s">
        <v>651</v>
      </c>
      <c r="C11" s="1062" t="s">
        <v>652</v>
      </c>
      <c r="D11" s="1074">
        <v>1.2</v>
      </c>
      <c r="E11" s="1075" t="s">
        <v>638</v>
      </c>
      <c r="F11" s="1076">
        <f>(1/(1+F10)*D5+(1/(1/F10+1)*F5*(1-F9)))</f>
        <v>9.9822222222222243E-2</v>
      </c>
    </row>
    <row r="12" spans="1:18" x14ac:dyDescent="0.3">
      <c r="A12" s="1077"/>
      <c r="B12" s="1078" t="s">
        <v>653</v>
      </c>
      <c r="C12" s="1065" t="s">
        <v>654</v>
      </c>
      <c r="D12" s="1076">
        <v>0.02</v>
      </c>
      <c r="F12" s="1079"/>
    </row>
    <row r="13" spans="1:18" x14ac:dyDescent="0.3">
      <c r="D13" s="1070"/>
    </row>
    <row r="15" spans="1:18" s="1080" customFormat="1" x14ac:dyDescent="0.4">
      <c r="A15" s="1065"/>
      <c r="B15" s="1081" t="s">
        <v>655</v>
      </c>
      <c r="C15" s="1065" t="s">
        <v>656</v>
      </c>
      <c r="D15" s="1082" t="s">
        <v>523</v>
      </c>
      <c r="E15" s="1082" t="s">
        <v>657</v>
      </c>
      <c r="F15" s="1082" t="s">
        <v>658</v>
      </c>
      <c r="G15" s="1082" t="s">
        <v>659</v>
      </c>
      <c r="H15" s="1082" t="s">
        <v>660</v>
      </c>
      <c r="I15" s="1082" t="s">
        <v>661</v>
      </c>
      <c r="J15" s="1082" t="s">
        <v>662</v>
      </c>
      <c r="K15" s="1082" t="s">
        <v>663</v>
      </c>
      <c r="L15" s="1082" t="s">
        <v>664</v>
      </c>
      <c r="M15" s="1082" t="s">
        <v>501</v>
      </c>
      <c r="N15" s="1065"/>
      <c r="O15" s="1065"/>
      <c r="P15" s="1065"/>
      <c r="Q15" s="1065"/>
    </row>
    <row r="16" spans="1:18" hidden="1" outlineLevel="1" x14ac:dyDescent="0.3">
      <c r="B16" s="1069" t="s">
        <v>665</v>
      </c>
      <c r="C16" s="1062" t="s">
        <v>666</v>
      </c>
      <c r="D16" s="1083" t="e">
        <f>#REF!</f>
        <v>#REF!</v>
      </c>
      <c r="E16" s="1083" t="e">
        <f>#REF!</f>
        <v>#REF!</v>
      </c>
      <c r="F16" s="1083" t="e">
        <f>#REF!</f>
        <v>#REF!</v>
      </c>
      <c r="G16" s="1083" t="e">
        <f>#REF!</f>
        <v>#REF!</v>
      </c>
      <c r="H16" s="1083" t="e">
        <f>#REF!</f>
        <v>#REF!</v>
      </c>
      <c r="I16" s="1083" t="e">
        <f>#REF!</f>
        <v>#REF!</v>
      </c>
      <c r="J16" s="1083" t="e">
        <f>#REF!</f>
        <v>#REF!</v>
      </c>
      <c r="K16" s="1083" t="e">
        <f>#REF!</f>
        <v>#REF!</v>
      </c>
      <c r="L16" s="1083" t="e">
        <f>#REF!</f>
        <v>#REF!</v>
      </c>
      <c r="M16" s="1083" t="e">
        <f>#REF!</f>
        <v>#REF!</v>
      </c>
      <c r="R16"/>
    </row>
    <row r="17" spans="1:18" hidden="1" outlineLevel="1" x14ac:dyDescent="0.3">
      <c r="B17" s="1084" t="s">
        <v>667</v>
      </c>
      <c r="C17" s="1085" t="s">
        <v>667</v>
      </c>
      <c r="D17" s="1086"/>
      <c r="E17" s="1086" t="e">
        <f t="shared" ref="E17:M17" si="0">E16/D16-1</f>
        <v>#REF!</v>
      </c>
      <c r="F17" s="1086" t="e">
        <f t="shared" si="0"/>
        <v>#REF!</v>
      </c>
      <c r="G17" s="1086" t="e">
        <f t="shared" si="0"/>
        <v>#REF!</v>
      </c>
      <c r="H17" s="1086" t="e">
        <f t="shared" si="0"/>
        <v>#REF!</v>
      </c>
      <c r="I17" s="1086" t="e">
        <f t="shared" si="0"/>
        <v>#REF!</v>
      </c>
      <c r="J17" s="1086" t="e">
        <f t="shared" si="0"/>
        <v>#REF!</v>
      </c>
      <c r="K17" s="1086" t="e">
        <f t="shared" si="0"/>
        <v>#REF!</v>
      </c>
      <c r="L17" s="1086" t="e">
        <f t="shared" si="0"/>
        <v>#REF!</v>
      </c>
      <c r="M17" s="1086" t="e">
        <f t="shared" si="0"/>
        <v>#REF!</v>
      </c>
      <c r="R17"/>
    </row>
    <row r="18" spans="1:18" hidden="1" outlineLevel="1" x14ac:dyDescent="0.3">
      <c r="B18" s="1062" t="s">
        <v>668</v>
      </c>
      <c r="C18" s="1062" t="s">
        <v>668</v>
      </c>
      <c r="D18" s="1083" t="e">
        <f>#REF!+#REF!</f>
        <v>#REF!</v>
      </c>
      <c r="E18" s="1083" t="e">
        <f>#REF!+#REF!</f>
        <v>#REF!</v>
      </c>
      <c r="F18" s="1083" t="e">
        <f>#REF!+#REF!</f>
        <v>#REF!</v>
      </c>
      <c r="G18" s="1083" t="e">
        <f>#REF!+#REF!</f>
        <v>#REF!</v>
      </c>
      <c r="H18" s="1083" t="e">
        <f>#REF!+#REF!</f>
        <v>#REF!</v>
      </c>
      <c r="I18" s="1083" t="e">
        <f>#REF!+#REF!</f>
        <v>#REF!</v>
      </c>
      <c r="J18" s="1083" t="e">
        <f>#REF!+#REF!</f>
        <v>#REF!</v>
      </c>
      <c r="K18" s="1083" t="e">
        <f>#REF!+#REF!</f>
        <v>#REF!</v>
      </c>
      <c r="L18" s="1083" t="e">
        <f>#REF!+#REF!</f>
        <v>#REF!</v>
      </c>
      <c r="M18" s="1083" t="e">
        <f>#REF!+#REF!</f>
        <v>#REF!</v>
      </c>
      <c r="R18"/>
    </row>
    <row r="19" spans="1:18" hidden="1" outlineLevel="1" x14ac:dyDescent="0.3">
      <c r="B19" s="1084" t="s">
        <v>667</v>
      </c>
      <c r="C19" s="1085" t="s">
        <v>667</v>
      </c>
      <c r="D19" s="1086"/>
      <c r="E19" s="1086" t="e">
        <f t="shared" ref="E19:M19" si="1">E18/D18-1</f>
        <v>#REF!</v>
      </c>
      <c r="F19" s="1086" t="e">
        <f t="shared" si="1"/>
        <v>#REF!</v>
      </c>
      <c r="G19" s="1086" t="e">
        <f t="shared" si="1"/>
        <v>#REF!</v>
      </c>
      <c r="H19" s="1086" t="e">
        <f t="shared" si="1"/>
        <v>#REF!</v>
      </c>
      <c r="I19" s="1086" t="e">
        <f t="shared" si="1"/>
        <v>#REF!</v>
      </c>
      <c r="J19" s="1086" t="e">
        <f t="shared" si="1"/>
        <v>#REF!</v>
      </c>
      <c r="K19" s="1086" t="e">
        <f t="shared" si="1"/>
        <v>#REF!</v>
      </c>
      <c r="L19" s="1086" t="e">
        <f t="shared" si="1"/>
        <v>#REF!</v>
      </c>
      <c r="M19" s="1086" t="e">
        <f t="shared" si="1"/>
        <v>#REF!</v>
      </c>
      <c r="R19"/>
    </row>
    <row r="20" spans="1:18" hidden="1" outlineLevel="1" x14ac:dyDescent="0.3">
      <c r="B20" s="1084" t="s">
        <v>669</v>
      </c>
      <c r="C20" s="1084" t="s">
        <v>669</v>
      </c>
      <c r="D20" s="1070" t="e">
        <f t="shared" ref="D20:M20" si="2">D18/D16</f>
        <v>#REF!</v>
      </c>
      <c r="E20" s="1070" t="e">
        <f t="shared" si="2"/>
        <v>#REF!</v>
      </c>
      <c r="F20" s="1070" t="e">
        <f t="shared" si="2"/>
        <v>#REF!</v>
      </c>
      <c r="G20" s="1070" t="e">
        <f t="shared" si="2"/>
        <v>#REF!</v>
      </c>
      <c r="H20" s="1070" t="e">
        <f t="shared" si="2"/>
        <v>#REF!</v>
      </c>
      <c r="I20" s="1070" t="e">
        <f t="shared" si="2"/>
        <v>#REF!</v>
      </c>
      <c r="J20" s="1070" t="e">
        <f t="shared" si="2"/>
        <v>#REF!</v>
      </c>
      <c r="K20" s="1070" t="e">
        <f t="shared" si="2"/>
        <v>#REF!</v>
      </c>
      <c r="L20" s="1070" t="e">
        <f t="shared" si="2"/>
        <v>#REF!</v>
      </c>
      <c r="M20" s="1070" t="e">
        <f t="shared" si="2"/>
        <v>#REF!</v>
      </c>
      <c r="R20"/>
    </row>
    <row r="21" spans="1:18" hidden="1" outlineLevel="1" x14ac:dyDescent="0.3">
      <c r="B21" s="1062" t="s">
        <v>670</v>
      </c>
      <c r="C21" s="1077" t="s">
        <v>670</v>
      </c>
      <c r="D21" s="1087" t="e">
        <f t="shared" ref="D21:M21" si="3">D18*(1-0.25)</f>
        <v>#REF!</v>
      </c>
      <c r="E21" s="1087" t="e">
        <f t="shared" si="3"/>
        <v>#REF!</v>
      </c>
      <c r="F21" s="1087" t="e">
        <f t="shared" si="3"/>
        <v>#REF!</v>
      </c>
      <c r="G21" s="1087" t="e">
        <f t="shared" si="3"/>
        <v>#REF!</v>
      </c>
      <c r="H21" s="1087" t="e">
        <f t="shared" si="3"/>
        <v>#REF!</v>
      </c>
      <c r="I21" s="1087" t="e">
        <f t="shared" si="3"/>
        <v>#REF!</v>
      </c>
      <c r="J21" s="1087" t="e">
        <f t="shared" si="3"/>
        <v>#REF!</v>
      </c>
      <c r="K21" s="1087" t="e">
        <f t="shared" si="3"/>
        <v>#REF!</v>
      </c>
      <c r="L21" s="1087" t="e">
        <f t="shared" si="3"/>
        <v>#REF!</v>
      </c>
      <c r="M21" s="1087" t="e">
        <f t="shared" si="3"/>
        <v>#REF!</v>
      </c>
      <c r="R21"/>
    </row>
    <row r="22" spans="1:18" hidden="1" outlineLevel="1" x14ac:dyDescent="0.3">
      <c r="B22" s="1069" t="s">
        <v>671</v>
      </c>
      <c r="C22" s="1062" t="s">
        <v>672</v>
      </c>
      <c r="D22" s="1083" t="e">
        <f>#REF!</f>
        <v>#REF!</v>
      </c>
      <c r="E22" s="1083" t="e">
        <f>#REF!</f>
        <v>#REF!</v>
      </c>
      <c r="F22" s="1083" t="e">
        <f>#REF!</f>
        <v>#REF!</v>
      </c>
      <c r="G22" s="1083" t="e">
        <f>#REF!</f>
        <v>#REF!</v>
      </c>
      <c r="H22" s="1083" t="e">
        <f>#REF!</f>
        <v>#REF!</v>
      </c>
      <c r="I22" s="1083" t="e">
        <f>#REF!</f>
        <v>#REF!</v>
      </c>
      <c r="J22" s="1083" t="e">
        <f>#REF!</f>
        <v>#REF!</v>
      </c>
      <c r="K22" s="1083" t="e">
        <f>#REF!</f>
        <v>#REF!</v>
      </c>
      <c r="L22" s="1083" t="e">
        <f>#REF!</f>
        <v>#REF!</v>
      </c>
      <c r="M22" s="1083" t="e">
        <f>#REF!</f>
        <v>#REF!</v>
      </c>
      <c r="R22"/>
    </row>
    <row r="23" spans="1:18" hidden="1" outlineLevel="1" x14ac:dyDescent="0.3">
      <c r="B23" s="1062" t="s">
        <v>673</v>
      </c>
      <c r="C23" s="1077" t="s">
        <v>673</v>
      </c>
      <c r="D23" s="1088" t="e">
        <f t="shared" ref="D23:M23" si="4">D21+D22</f>
        <v>#REF!</v>
      </c>
      <c r="E23" s="1088" t="e">
        <f t="shared" si="4"/>
        <v>#REF!</v>
      </c>
      <c r="F23" s="1088" t="e">
        <f t="shared" si="4"/>
        <v>#REF!</v>
      </c>
      <c r="G23" s="1088" t="e">
        <f t="shared" si="4"/>
        <v>#REF!</v>
      </c>
      <c r="H23" s="1088" t="e">
        <f t="shared" si="4"/>
        <v>#REF!</v>
      </c>
      <c r="I23" s="1088" t="e">
        <f t="shared" si="4"/>
        <v>#REF!</v>
      </c>
      <c r="J23" s="1088" t="e">
        <f t="shared" si="4"/>
        <v>#REF!</v>
      </c>
      <c r="K23" s="1088" t="e">
        <f t="shared" si="4"/>
        <v>#REF!</v>
      </c>
      <c r="L23" s="1088" t="e">
        <f t="shared" si="4"/>
        <v>#REF!</v>
      </c>
      <c r="M23" s="1088" t="e">
        <f t="shared" si="4"/>
        <v>#REF!</v>
      </c>
      <c r="R23"/>
    </row>
    <row r="24" spans="1:18" hidden="1" outlineLevel="1" x14ac:dyDescent="0.3">
      <c r="B24" s="1069" t="s">
        <v>674</v>
      </c>
      <c r="C24" s="1062" t="s">
        <v>675</v>
      </c>
      <c r="D24" s="1089" t="e">
        <f>#REF!</f>
        <v>#REF!</v>
      </c>
      <c r="E24" s="1089" t="e">
        <f>#REF!</f>
        <v>#REF!</v>
      </c>
      <c r="F24" s="1089" t="e">
        <f>#REF!</f>
        <v>#REF!</v>
      </c>
      <c r="G24" s="1089" t="e">
        <f>#REF!</f>
        <v>#REF!</v>
      </c>
      <c r="H24" s="1089" t="e">
        <f>#REF!</f>
        <v>#REF!</v>
      </c>
      <c r="I24" s="1089" t="e">
        <f>#REF!</f>
        <v>#REF!</v>
      </c>
      <c r="J24" s="1089" t="e">
        <f>#REF!</f>
        <v>#REF!</v>
      </c>
      <c r="K24" s="1089" t="e">
        <f>#REF!</f>
        <v>#REF!</v>
      </c>
      <c r="L24" s="1089" t="e">
        <f>#REF!</f>
        <v>#REF!</v>
      </c>
      <c r="M24" s="1089" t="e">
        <f>#REF!</f>
        <v>#REF!</v>
      </c>
      <c r="R24"/>
    </row>
    <row r="25" spans="1:18" hidden="1" outlineLevel="1" x14ac:dyDescent="0.3">
      <c r="B25" s="1069" t="s">
        <v>676</v>
      </c>
      <c r="C25" s="1077" t="s">
        <v>677</v>
      </c>
      <c r="D25" s="1088" t="e">
        <f>#REF!</f>
        <v>#REF!</v>
      </c>
      <c r="E25" s="1088" t="e">
        <f>#REF!</f>
        <v>#REF!</v>
      </c>
      <c r="F25" s="1088" t="e">
        <f>#REF!</f>
        <v>#REF!</v>
      </c>
      <c r="G25" s="1088" t="e">
        <f>#REF!</f>
        <v>#REF!</v>
      </c>
      <c r="H25" s="1088" t="e">
        <f>#REF!</f>
        <v>#REF!</v>
      </c>
      <c r="I25" s="1088" t="e">
        <f>#REF!</f>
        <v>#REF!</v>
      </c>
      <c r="J25" s="1088" t="e">
        <f>#REF!</f>
        <v>#REF!</v>
      </c>
      <c r="K25" s="1088" t="e">
        <f>#REF!</f>
        <v>#REF!</v>
      </c>
      <c r="L25" s="1088" t="e">
        <f>#REF!</f>
        <v>#REF!</v>
      </c>
      <c r="M25" s="1088" t="e">
        <f>#REF!</f>
        <v>#REF!</v>
      </c>
      <c r="R25"/>
    </row>
    <row r="26" spans="1:18" collapsed="1" x14ac:dyDescent="0.3">
      <c r="B26" s="1064" t="s">
        <v>678</v>
      </c>
      <c r="C26" s="1064" t="s">
        <v>679</v>
      </c>
      <c r="D26" s="1089" t="e">
        <f t="shared" ref="D26:M26" si="5">D23-D24-D25</f>
        <v>#REF!</v>
      </c>
      <c r="E26" s="1089" t="e">
        <f t="shared" si="5"/>
        <v>#REF!</v>
      </c>
      <c r="F26" s="1089" t="e">
        <f t="shared" si="5"/>
        <v>#REF!</v>
      </c>
      <c r="G26" s="1089" t="e">
        <f t="shared" si="5"/>
        <v>#REF!</v>
      </c>
      <c r="H26" s="1089" t="e">
        <f t="shared" si="5"/>
        <v>#REF!</v>
      </c>
      <c r="I26" s="1089" t="e">
        <f t="shared" si="5"/>
        <v>#REF!</v>
      </c>
      <c r="J26" s="1089" t="e">
        <f t="shared" si="5"/>
        <v>#REF!</v>
      </c>
      <c r="K26" s="1089" t="e">
        <f t="shared" si="5"/>
        <v>#REF!</v>
      </c>
      <c r="L26" s="1089" t="e">
        <f t="shared" si="5"/>
        <v>#REF!</v>
      </c>
      <c r="M26" s="1089" t="e">
        <f t="shared" si="5"/>
        <v>#REF!</v>
      </c>
      <c r="R26"/>
    </row>
    <row r="27" spans="1:18" x14ac:dyDescent="0.3">
      <c r="B27" s="1084"/>
      <c r="C27" s="1084"/>
      <c r="E27" s="1070"/>
      <c r="F27" s="1070"/>
      <c r="G27" s="1070"/>
      <c r="H27" s="1070"/>
      <c r="I27" s="1070"/>
      <c r="J27" s="1070"/>
      <c r="K27" s="1070"/>
      <c r="L27" s="1070"/>
      <c r="M27" s="1070"/>
    </row>
    <row r="28" spans="1:18" s="1090" customFormat="1" x14ac:dyDescent="0.4">
      <c r="A28" s="1081" t="s">
        <v>680</v>
      </c>
      <c r="B28" s="1091" t="s">
        <v>681</v>
      </c>
      <c r="C28" s="1092" t="s">
        <v>682</v>
      </c>
      <c r="D28" s="1093"/>
      <c r="E28" s="1094"/>
      <c r="F28" s="1094"/>
      <c r="G28" s="1095"/>
      <c r="J28" s="1096" t="s">
        <v>717</v>
      </c>
      <c r="K28" s="1096"/>
      <c r="L28" s="1091"/>
      <c r="M28" s="1097"/>
      <c r="N28" s="1077"/>
      <c r="O28" s="1077"/>
      <c r="P28" s="1077"/>
      <c r="Q28" s="1077"/>
      <c r="R28" s="1077"/>
    </row>
    <row r="29" spans="1:18" x14ac:dyDescent="0.4">
      <c r="B29" s="1069" t="s">
        <v>683</v>
      </c>
      <c r="C29" s="1062" t="s">
        <v>684</v>
      </c>
      <c r="D29" s="1098" t="e">
        <f>NPV(F11,D26:M26)</f>
        <v>#REF!</v>
      </c>
      <c r="E29" s="1098"/>
      <c r="F29" s="1098"/>
      <c r="G29" s="1098"/>
      <c r="J29" s="1099" t="s">
        <v>710</v>
      </c>
      <c r="K29" s="1099"/>
      <c r="L29" s="1100"/>
      <c r="M29" s="1101">
        <f>D5</f>
        <v>0.13600000000000001</v>
      </c>
    </row>
    <row r="30" spans="1:18" ht="15" hidden="1" customHeight="1" outlineLevel="1" x14ac:dyDescent="0.3">
      <c r="B30" s="1069" t="s">
        <v>685</v>
      </c>
      <c r="D30" s="1098" t="e">
        <f>M26*(1+D12)/(F11-D12)</f>
        <v>#REF!</v>
      </c>
      <c r="E30" s="1098"/>
      <c r="F30" s="1098"/>
      <c r="G30" s="1098"/>
      <c r="J30" s="1069"/>
      <c r="K30" s="1069"/>
      <c r="M30" s="1101">
        <f>D9</f>
        <v>0.04</v>
      </c>
    </row>
    <row r="31" spans="1:18" collapsed="1" x14ac:dyDescent="0.3">
      <c r="B31" s="1069" t="s">
        <v>686</v>
      </c>
      <c r="C31" s="1062" t="s">
        <v>687</v>
      </c>
      <c r="D31" s="1098" t="e">
        <f>D30/(1+F11)^10</f>
        <v>#REF!</v>
      </c>
      <c r="E31" s="1098"/>
      <c r="F31" s="1098"/>
      <c r="G31" s="1098"/>
      <c r="J31" s="1069" t="s">
        <v>711</v>
      </c>
      <c r="K31" s="1069"/>
      <c r="L31"/>
      <c r="M31" s="1101">
        <f>D9</f>
        <v>0.04</v>
      </c>
    </row>
    <row r="32" spans="1:18" x14ac:dyDescent="0.3">
      <c r="B32" s="1069" t="s">
        <v>688</v>
      </c>
      <c r="C32" s="1062" t="s">
        <v>689</v>
      </c>
      <c r="D32" s="1098" t="e">
        <f>D29+D31</f>
        <v>#REF!</v>
      </c>
      <c r="E32" s="1098"/>
      <c r="F32" s="1098"/>
      <c r="G32" s="1098"/>
      <c r="J32" s="1069" t="s">
        <v>712</v>
      </c>
      <c r="K32" s="1069"/>
      <c r="L32"/>
      <c r="M32" s="1101">
        <f>D10</f>
        <v>0.08</v>
      </c>
    </row>
    <row r="33" spans="1:65" x14ac:dyDescent="0.3">
      <c r="B33" s="1069" t="s">
        <v>690</v>
      </c>
      <c r="C33" s="1062" t="s">
        <v>691</v>
      </c>
      <c r="D33" s="1098" t="e">
        <f>-#REF!</f>
        <v>#REF!</v>
      </c>
      <c r="J33" s="1069" t="s">
        <v>713</v>
      </c>
      <c r="K33" s="1069"/>
      <c r="L33"/>
      <c r="M33" s="1102">
        <f>D11</f>
        <v>1.2</v>
      </c>
    </row>
    <row r="34" spans="1:65" x14ac:dyDescent="0.3">
      <c r="B34" s="1069" t="s">
        <v>692</v>
      </c>
      <c r="C34" s="1062" t="s">
        <v>693</v>
      </c>
      <c r="D34" s="1098" t="e">
        <f>#REF!</f>
        <v>#REF!</v>
      </c>
      <c r="J34" s="1069" t="s">
        <v>714</v>
      </c>
      <c r="K34" s="1069"/>
      <c r="L34"/>
      <c r="M34" s="1101">
        <f>F5</f>
        <v>7.0000000000000007E-2</v>
      </c>
    </row>
    <row r="35" spans="1:65" x14ac:dyDescent="0.3">
      <c r="B35" s="1103" t="s">
        <v>694</v>
      </c>
      <c r="C35" s="1062" t="s">
        <v>695</v>
      </c>
      <c r="D35" s="1098" t="e">
        <f>D32+D33-D34</f>
        <v>#REF!</v>
      </c>
      <c r="J35" s="1069" t="s">
        <v>715</v>
      </c>
      <c r="K35" s="1069"/>
      <c r="L35"/>
      <c r="M35" s="1101">
        <f>F9</f>
        <v>0.22</v>
      </c>
      <c r="O35" s="1098" t="e">
        <f>H51</f>
        <v>#REF!</v>
      </c>
      <c r="P35" s="1098" t="e">
        <f>J49</f>
        <v>#REF!</v>
      </c>
    </row>
    <row r="36" spans="1:65" ht="15" hidden="1" customHeight="1" outlineLevel="1" x14ac:dyDescent="0.3">
      <c r="B36" s="1069" t="s">
        <v>696</v>
      </c>
      <c r="D36" s="1098" t="e">
        <f>#REF!</f>
        <v>#REF!</v>
      </c>
      <c r="J36" s="1069"/>
      <c r="K36" s="1069"/>
      <c r="L36"/>
      <c r="O36" s="1098" t="e">
        <f>#REF!</f>
        <v>#REF!</v>
      </c>
      <c r="P36" s="1098" t="e">
        <f>#REF!</f>
        <v>#REF!</v>
      </c>
    </row>
    <row r="37" spans="1:65" hidden="1" outlineLevel="1" x14ac:dyDescent="0.3">
      <c r="B37" s="1069" t="s">
        <v>697</v>
      </c>
      <c r="C37" s="1062" t="s">
        <v>698</v>
      </c>
      <c r="D37" s="1104" t="e">
        <f>D35/D36</f>
        <v>#REF!</v>
      </c>
      <c r="J37" s="1069"/>
      <c r="K37" s="1069"/>
    </row>
    <row r="38" spans="1:65" collapsed="1" x14ac:dyDescent="0.3">
      <c r="B38" s="1081" t="s">
        <v>699</v>
      </c>
      <c r="C38" s="1065" t="s">
        <v>700</v>
      </c>
      <c r="D38" s="1105" t="e">
        <f>D37/#REF!</f>
        <v>#REF!</v>
      </c>
      <c r="E38" s="1106"/>
      <c r="F38" s="1104"/>
      <c r="J38" s="1069" t="s">
        <v>716</v>
      </c>
      <c r="K38" s="1069"/>
      <c r="L38"/>
      <c r="M38" s="1101">
        <f>F10</f>
        <v>0.8</v>
      </c>
      <c r="O38" s="1107" t="e">
        <f>O35/O36</f>
        <v>#REF!</v>
      </c>
      <c r="P38" s="1107" t="e">
        <f>P35/P36</f>
        <v>#REF!</v>
      </c>
      <c r="Q38" s="1070"/>
    </row>
    <row r="39" spans="1:65" hidden="1" outlineLevel="1" x14ac:dyDescent="0.3">
      <c r="B39" s="1069" t="s">
        <v>701</v>
      </c>
      <c r="C39" s="1062" t="s">
        <v>702</v>
      </c>
      <c r="D39" s="1104" t="e">
        <f>#REF!</f>
        <v>#REF!</v>
      </c>
      <c r="H39" s="1764"/>
      <c r="I39" s="1764"/>
    </row>
    <row r="40" spans="1:65" hidden="1" outlineLevel="1" x14ac:dyDescent="0.3">
      <c r="B40" s="1069" t="s">
        <v>701</v>
      </c>
      <c r="C40" s="1062" t="s">
        <v>703</v>
      </c>
      <c r="D40" s="1104" t="e">
        <f>#REF!</f>
        <v>#REF!</v>
      </c>
    </row>
    <row r="41" spans="1:65" collapsed="1" x14ac:dyDescent="0.4">
      <c r="B41" s="1069" t="s">
        <v>704</v>
      </c>
      <c r="C41" s="1062" t="s">
        <v>705</v>
      </c>
      <c r="D41" s="1108" t="e">
        <f>D37/#REF!</f>
        <v>#REF!</v>
      </c>
      <c r="E41" s="1108"/>
      <c r="F41" s="1108"/>
      <c r="H41" s="1764"/>
      <c r="I41" s="1764"/>
      <c r="J41" s="1065" t="s">
        <v>638</v>
      </c>
      <c r="K41" s="1065"/>
      <c r="L41" s="1090"/>
      <c r="M41" s="1109">
        <f>F11</f>
        <v>9.9822222222222243E-2</v>
      </c>
      <c r="O41" s="1110" t="e">
        <f>O38/D39</f>
        <v>#REF!</v>
      </c>
      <c r="P41" s="1110" t="e">
        <f>P38/D39</f>
        <v>#REF!</v>
      </c>
    </row>
    <row r="42" spans="1:65" x14ac:dyDescent="0.3">
      <c r="B42" s="1069" t="s">
        <v>706</v>
      </c>
      <c r="C42" s="1062" t="s">
        <v>707</v>
      </c>
      <c r="D42" s="1111" t="e">
        <f>D37/#REF!</f>
        <v>#REF!</v>
      </c>
      <c r="E42" s="1108"/>
      <c r="F42" s="1108"/>
      <c r="O42" s="1110" t="e">
        <f>O38/D40</f>
        <v>#REF!</v>
      </c>
      <c r="P42" s="1110" t="e">
        <f>P38/D40</f>
        <v>#REF!</v>
      </c>
    </row>
    <row r="45" spans="1:65" s="1112" customFormat="1" ht="13.5" customHeight="1" x14ac:dyDescent="0.3">
      <c r="A45" s="1103" t="s">
        <v>708</v>
      </c>
      <c r="B45" s="1077"/>
      <c r="C45" s="1077"/>
      <c r="D45" s="1065" t="s">
        <v>638</v>
      </c>
      <c r="E45" s="1077"/>
      <c r="F45" s="1065" t="s">
        <v>638</v>
      </c>
      <c r="G45" s="1077"/>
      <c r="H45" s="1077"/>
      <c r="I45" s="1077"/>
      <c r="J45" s="1077"/>
      <c r="K45" s="1077"/>
      <c r="L45" s="1077"/>
      <c r="M45" s="1077"/>
      <c r="N45" s="1077"/>
      <c r="O45" s="1062"/>
      <c r="P45" s="1062"/>
      <c r="Q45" s="1062"/>
      <c r="R45" s="1062"/>
    </row>
    <row r="46" spans="1:65" s="1112" customFormat="1" ht="15.75" customHeight="1" x14ac:dyDescent="0.3">
      <c r="A46" s="1097"/>
      <c r="B46" s="1113" t="s">
        <v>829</v>
      </c>
      <c r="C46" s="1114" t="s">
        <v>709</v>
      </c>
      <c r="D46" s="1115">
        <f>I46-0.01</f>
        <v>0.01</v>
      </c>
      <c r="E46" s="1115">
        <f>D46+0.002</f>
        <v>1.2E-2</v>
      </c>
      <c r="F46" s="1115">
        <f>E46+0.002</f>
        <v>1.4E-2</v>
      </c>
      <c r="G46" s="1115">
        <f>F46+0.002</f>
        <v>1.6E-2</v>
      </c>
      <c r="H46" s="1115">
        <f>G46+0.002</f>
        <v>1.8000000000000002E-2</v>
      </c>
      <c r="I46" s="1116">
        <f>D12</f>
        <v>0.02</v>
      </c>
      <c r="J46" s="1115">
        <f>I46+0.002</f>
        <v>2.1999999999999999E-2</v>
      </c>
      <c r="K46" s="1115">
        <f>J46+0.002</f>
        <v>2.4E-2</v>
      </c>
      <c r="L46" s="1115">
        <f>K46+0.002</f>
        <v>2.6000000000000002E-2</v>
      </c>
      <c r="M46" s="1115">
        <f>L46+0.002</f>
        <v>2.8000000000000004E-2</v>
      </c>
      <c r="N46" s="1115">
        <f>M46+0.002</f>
        <v>3.0000000000000006E-2</v>
      </c>
      <c r="O46" s="1062">
        <f>9.43/8.29</f>
        <v>1.1375150784077201</v>
      </c>
      <c r="P46" s="1117"/>
      <c r="Q46" s="1117"/>
      <c r="R46" s="1117"/>
      <c r="S46" s="1118"/>
      <c r="T46" s="1118"/>
      <c r="U46" s="1118"/>
      <c r="V46" s="1118"/>
      <c r="W46" s="1118"/>
      <c r="X46" s="1118"/>
      <c r="Y46" s="1118"/>
      <c r="Z46" s="1118"/>
      <c r="AA46" s="1118"/>
      <c r="AB46" s="1118"/>
      <c r="AC46" s="1118"/>
      <c r="AD46" s="1118"/>
      <c r="AE46" s="1118"/>
      <c r="AF46" s="1118"/>
      <c r="AG46" s="1118"/>
      <c r="AH46" s="1118"/>
      <c r="AI46" s="1118"/>
      <c r="AJ46" s="1118"/>
      <c r="AK46" s="1118"/>
      <c r="AL46" s="1118"/>
      <c r="AM46" s="1118"/>
      <c r="AN46" s="1118"/>
      <c r="AO46" s="1118"/>
      <c r="AP46" s="1118"/>
      <c r="AQ46" s="1118"/>
      <c r="AR46" s="1118"/>
      <c r="AS46" s="1118"/>
      <c r="AT46" s="1118"/>
      <c r="AU46" s="1118"/>
      <c r="AV46" s="1118"/>
      <c r="AW46" s="1118"/>
      <c r="AX46" s="1118"/>
      <c r="AY46" s="1118"/>
      <c r="AZ46" s="1118"/>
      <c r="BA46" s="1118"/>
      <c r="BB46" s="1118"/>
      <c r="BC46" s="1118"/>
      <c r="BD46" s="1118"/>
      <c r="BE46" s="1118"/>
      <c r="BF46" s="1118"/>
      <c r="BG46" s="1118"/>
      <c r="BH46" s="1118"/>
      <c r="BI46" s="1118"/>
      <c r="BJ46" s="1118"/>
      <c r="BK46" s="1118"/>
      <c r="BL46" s="1118"/>
      <c r="BM46" s="1118"/>
    </row>
    <row r="47" spans="1:65" s="1112" customFormat="1" ht="20.25" hidden="1" customHeight="1" x14ac:dyDescent="0.3">
      <c r="A47" s="1766" t="s">
        <v>638</v>
      </c>
      <c r="B47" s="1119">
        <f t="shared" ref="B47:B53" si="6">C47</f>
        <v>8.4822222222222229E-2</v>
      </c>
      <c r="C47" s="1119">
        <f>C48-0.005</f>
        <v>8.4822222222222229E-2</v>
      </c>
      <c r="D47" s="1120" t="e">
        <f>NPV(C47,$D$26:$L$26)+L26*(1+D46)/($C$47-D46)/(1+$C47)^10+$D$33-$D$34</f>
        <v>#REF!</v>
      </c>
      <c r="E47" s="1120" t="e">
        <f t="shared" ref="E47:N47" si="7">NPV($C47,$D$26:$L$26)+$L26*(1+E46)/($C$47-E46)/(1+$C47)^10+$D$33-$D$34</f>
        <v>#REF!</v>
      </c>
      <c r="F47" s="1120" t="e">
        <f t="shared" si="7"/>
        <v>#REF!</v>
      </c>
      <c r="G47" s="1120" t="e">
        <f t="shared" si="7"/>
        <v>#REF!</v>
      </c>
      <c r="H47" s="1120" t="e">
        <f t="shared" si="7"/>
        <v>#REF!</v>
      </c>
      <c r="I47" s="1120" t="e">
        <f t="shared" si="7"/>
        <v>#REF!</v>
      </c>
      <c r="J47" s="1120" t="e">
        <f t="shared" si="7"/>
        <v>#REF!</v>
      </c>
      <c r="K47" s="1120" t="e">
        <f t="shared" si="7"/>
        <v>#REF!</v>
      </c>
      <c r="L47" s="1120" t="e">
        <f t="shared" si="7"/>
        <v>#REF!</v>
      </c>
      <c r="M47" s="1120" t="e">
        <f t="shared" si="7"/>
        <v>#REF!</v>
      </c>
      <c r="N47" s="1120" t="e">
        <f t="shared" si="7"/>
        <v>#REF!</v>
      </c>
      <c r="O47" s="1062"/>
      <c r="P47" s="1062"/>
      <c r="Q47" s="1062"/>
      <c r="R47" s="1062"/>
    </row>
    <row r="48" spans="1:65" s="1112" customFormat="1" ht="20.25" customHeight="1" x14ac:dyDescent="0.3">
      <c r="A48" s="1767"/>
      <c r="B48" s="1122">
        <f t="shared" si="6"/>
        <v>8.9822222222222234E-2</v>
      </c>
      <c r="C48" s="1122">
        <f>C49-0.005</f>
        <v>8.9822222222222234E-2</v>
      </c>
      <c r="D48" s="1098" t="e">
        <f>NPV(C48,$D$26:$L$26)+L26*(1+D46)/($C$48-D46)/(1+$C48)^10+$D$33-$D$34</f>
        <v>#REF!</v>
      </c>
      <c r="E48" s="1098" t="e">
        <f>NPV($C48,$D$26:$L$26)+$L26*(1+E46)/($C$48-E46)/(1+$C48)^10+$D$33-$D$34</f>
        <v>#REF!</v>
      </c>
      <c r="F48" s="1098" t="e">
        <f t="shared" ref="F48:L48" si="8">NPV($C48,$D$26:$M$26)+$M26*(1+F46)/($C$48-F46)/(1+$C48)^10+$D$33-$D$34</f>
        <v>#REF!</v>
      </c>
      <c r="G48" s="1098" t="e">
        <f t="shared" si="8"/>
        <v>#REF!</v>
      </c>
      <c r="H48" s="1098" t="e">
        <f t="shared" si="8"/>
        <v>#REF!</v>
      </c>
      <c r="I48" s="1098" t="e">
        <f t="shared" si="8"/>
        <v>#REF!</v>
      </c>
      <c r="J48" s="1098" t="e">
        <f t="shared" si="8"/>
        <v>#REF!</v>
      </c>
      <c r="K48" s="1098" t="e">
        <f t="shared" si="8"/>
        <v>#REF!</v>
      </c>
      <c r="L48" s="1098" t="e">
        <f t="shared" si="8"/>
        <v>#REF!</v>
      </c>
      <c r="M48" s="1098" t="e">
        <f>NPV($C48,$D$26:$L$26)+$L26*(1+M46)/($C$48-M46)/(1+$C48)^10+$D$33-$D$34</f>
        <v>#REF!</v>
      </c>
      <c r="N48" s="1098" t="e">
        <f>NPV($C48,$D$26:$L$26)+$L26*(1+N46)/($C$48-N46)/(1+$C48)^10+$D$33-$D$34</f>
        <v>#REF!</v>
      </c>
      <c r="O48" s="1062"/>
      <c r="P48" s="1062"/>
      <c r="Q48" s="1062"/>
      <c r="R48" s="1062"/>
    </row>
    <row r="49" spans="1:18" s="1112" customFormat="1" ht="20.25" customHeight="1" x14ac:dyDescent="0.3">
      <c r="A49" s="1767"/>
      <c r="B49" s="1122">
        <f t="shared" si="6"/>
        <v>9.4822222222222238E-2</v>
      </c>
      <c r="C49" s="1122">
        <f>C50-0.005</f>
        <v>9.4822222222222238E-2</v>
      </c>
      <c r="D49" s="1098" t="e">
        <f>NPV($C49,$D$26:$L$26)+$L26*(1+D46)/($C$49-D46)/(1+$C49)^10+$D$33-$D$34</f>
        <v>#REF!</v>
      </c>
      <c r="E49" s="1098" t="e">
        <f>NPV($C49,$D$26:$L$26)+$L26*(1+E46)/($C$49-E46)/(1+$C49)^10+$D$33-$D$34</f>
        <v>#REF!</v>
      </c>
      <c r="F49" s="1098" t="e">
        <f t="shared" ref="F49:L49" si="9">NPV($C49,$D$26:$M$26)+$M26*(1+F46)/($C$49-F46)/(1+$C49)^10+$D$33-$D$34</f>
        <v>#REF!</v>
      </c>
      <c r="G49" s="1098" t="e">
        <f t="shared" si="9"/>
        <v>#REF!</v>
      </c>
      <c r="H49" s="1123" t="e">
        <f t="shared" si="9"/>
        <v>#REF!</v>
      </c>
      <c r="I49" s="1124" t="e">
        <f t="shared" si="9"/>
        <v>#REF!</v>
      </c>
      <c r="J49" s="1125" t="e">
        <f t="shared" si="9"/>
        <v>#REF!</v>
      </c>
      <c r="K49" s="1098" t="e">
        <f t="shared" si="9"/>
        <v>#REF!</v>
      </c>
      <c r="L49" s="1098" t="e">
        <f t="shared" si="9"/>
        <v>#REF!</v>
      </c>
      <c r="M49" s="1098" t="e">
        <f>NPV($C49,$D$26:$L$26)+$L26*(1+M46)/($C$49-M46)/(1+$C49)^10+$D$33-$D$34</f>
        <v>#REF!</v>
      </c>
      <c r="N49" s="1098" t="e">
        <f>NPV($C49,$D$26:$L$26)+$L26*(1+N46)/($C$49-N46)/(1+$C49)^10+$D$33-$D$34</f>
        <v>#REF!</v>
      </c>
      <c r="O49" s="1062"/>
      <c r="P49" s="1062"/>
      <c r="Q49" s="1062"/>
      <c r="R49" s="1062"/>
    </row>
    <row r="50" spans="1:18" s="1112" customFormat="1" ht="20.25" customHeight="1" x14ac:dyDescent="0.3">
      <c r="A50" s="1767"/>
      <c r="B50" s="1126">
        <f t="shared" si="6"/>
        <v>9.9822222222222243E-2</v>
      </c>
      <c r="C50" s="1126">
        <f>F11</f>
        <v>9.9822222222222243E-2</v>
      </c>
      <c r="D50" s="1098" t="e">
        <f>NPV($C50,$D$26:$L$26)+$L26*(1+D46)/($C$50-D46)/(1+$C50)^10+$D$33-D34</f>
        <v>#REF!</v>
      </c>
      <c r="E50" s="1098" t="e">
        <f>NPV($C50,$D$26:$L$26)+$L26*(1+E46)/($C$50-E46)/(1+$C50)^10+$D$33-$D$34</f>
        <v>#REF!</v>
      </c>
      <c r="F50" s="1098" t="e">
        <f t="shared" ref="F50:L50" si="10">NPV($C50,$D$26:$M$26)+$M26*(1+F46)/($C$50-F46)/(1+$C50)^10+$D$33-$D$34</f>
        <v>#REF!</v>
      </c>
      <c r="G50" s="1098" t="e">
        <f t="shared" si="10"/>
        <v>#REF!</v>
      </c>
      <c r="H50" s="1127" t="e">
        <f t="shared" si="10"/>
        <v>#REF!</v>
      </c>
      <c r="I50" s="1128" t="e">
        <f t="shared" si="10"/>
        <v>#REF!</v>
      </c>
      <c r="J50" s="1129" t="e">
        <f t="shared" si="10"/>
        <v>#REF!</v>
      </c>
      <c r="K50" s="1098" t="e">
        <f t="shared" si="10"/>
        <v>#REF!</v>
      </c>
      <c r="L50" s="1098" t="e">
        <f t="shared" si="10"/>
        <v>#REF!</v>
      </c>
      <c r="M50" s="1098" t="e">
        <f>NPV($C50,$D$26:$L$26)+$L26*(1+M46)/($C$50-M46)/(1+$C50)^10+$D$33-$D$34</f>
        <v>#REF!</v>
      </c>
      <c r="N50" s="1098" t="e">
        <f>NPV($C50,$D$26:$L$26)+$L26*(1+N46)/($C$50-N46)/(1+$C50)^10+$D$33-$D$34</f>
        <v>#REF!</v>
      </c>
      <c r="O50" s="1062"/>
      <c r="P50" s="1062"/>
      <c r="Q50" s="1062"/>
      <c r="R50" s="1062"/>
    </row>
    <row r="51" spans="1:18" s="1112" customFormat="1" ht="20.25" customHeight="1" x14ac:dyDescent="0.3">
      <c r="A51" s="1767"/>
      <c r="B51" s="1122">
        <f t="shared" si="6"/>
        <v>0.10482222222222225</v>
      </c>
      <c r="C51" s="1122">
        <f>C50+0.005</f>
        <v>0.10482222222222225</v>
      </c>
      <c r="D51" s="1098" t="e">
        <f>NPV($C51,$D$26:$L$26)+$L26*(1+D46)/($C$51-D46)/(1+$C51)^10+$D$33-D34</f>
        <v>#REF!</v>
      </c>
      <c r="E51" s="1098" t="e">
        <f>NPV($C51,$D$26:$L$26)+$L26*(1+E46)/($C$51-E46)/(1+$C51)^10+$D$33-$D$34</f>
        <v>#REF!</v>
      </c>
      <c r="F51" s="1098" t="e">
        <f t="shared" ref="F51:L51" si="11">NPV($C51,$D$26:$M$26)+$M26*(1+F46)/($C$51-F46)/(1+$C51)^10+$D$33-$D$34</f>
        <v>#REF!</v>
      </c>
      <c r="G51" s="1098" t="e">
        <f t="shared" si="11"/>
        <v>#REF!</v>
      </c>
      <c r="H51" s="1130" t="e">
        <f t="shared" si="11"/>
        <v>#REF!</v>
      </c>
      <c r="I51" s="1131" t="e">
        <f t="shared" si="11"/>
        <v>#REF!</v>
      </c>
      <c r="J51" s="1132" t="e">
        <f t="shared" si="11"/>
        <v>#REF!</v>
      </c>
      <c r="K51" s="1098" t="e">
        <f t="shared" si="11"/>
        <v>#REF!</v>
      </c>
      <c r="L51" s="1098" t="e">
        <f t="shared" si="11"/>
        <v>#REF!</v>
      </c>
      <c r="M51" s="1098" t="e">
        <f>NPV($C51,$D$26:$L$26)+$L26*(1+M46)/($C$51-M46)/(1+$C51)^10+$D$33-$D$34</f>
        <v>#REF!</v>
      </c>
      <c r="N51" s="1098" t="e">
        <f>NPV($C51,$D$26:$L$26)+$L26*(1+N46)/($C$51-N46)/(1+$C51)^10+$D$33-$D$34</f>
        <v>#REF!</v>
      </c>
      <c r="O51" s="1062"/>
      <c r="P51" s="1062"/>
      <c r="Q51" s="1062"/>
      <c r="R51" s="1062"/>
    </row>
    <row r="52" spans="1:18" s="1112" customFormat="1" ht="20.25" customHeight="1" x14ac:dyDescent="0.3">
      <c r="A52" s="1767"/>
      <c r="B52" s="1122">
        <f t="shared" si="6"/>
        <v>0.10982222222222225</v>
      </c>
      <c r="C52" s="1122">
        <f>C51+0.5%</f>
        <v>0.10982222222222225</v>
      </c>
      <c r="D52" s="1098" t="e">
        <f>NPV($C52,$D$26:$L$26)+$L26*(1+D46)/($C$52-D46)/(1+$C52)^10+$D$33-D34</f>
        <v>#REF!</v>
      </c>
      <c r="E52" s="1098" t="e">
        <f>NPV($C52,$D$26:$L$26)+$L26*(1+E46)/($C$52-E46)/(1+$C52)^10+$D$33-$D$34</f>
        <v>#REF!</v>
      </c>
      <c r="F52" s="1098" t="e">
        <f t="shared" ref="F52:L52" si="12">NPV($C52,$D$26:$M$26)+$M26*(1+F46)/($C$52-F46)/(1+$C52)^10+$D$33-$D$34</f>
        <v>#REF!</v>
      </c>
      <c r="G52" s="1098" t="e">
        <f t="shared" si="12"/>
        <v>#REF!</v>
      </c>
      <c r="H52" s="1098" t="e">
        <f t="shared" si="12"/>
        <v>#REF!</v>
      </c>
      <c r="I52" s="1098" t="e">
        <f t="shared" si="12"/>
        <v>#REF!</v>
      </c>
      <c r="J52" s="1098" t="e">
        <f t="shared" si="12"/>
        <v>#REF!</v>
      </c>
      <c r="K52" s="1098" t="e">
        <f t="shared" si="12"/>
        <v>#REF!</v>
      </c>
      <c r="L52" s="1098" t="e">
        <f t="shared" si="12"/>
        <v>#REF!</v>
      </c>
      <c r="M52" s="1098" t="e">
        <f>NPV($C52,$D$26:$L$26)+$L26*(1+M46)/($C$52-M46)/(1+$C52)^10+$D$33-$D$34</f>
        <v>#REF!</v>
      </c>
      <c r="N52" s="1098" t="e">
        <f>NPV($C52,$D$26:$L$26)+$L26*(1+N46)/($C$52-N46)/(1+$C52)^10+$D$33-$D$34</f>
        <v>#REF!</v>
      </c>
      <c r="O52" s="1062"/>
      <c r="P52" s="1062"/>
      <c r="Q52" s="1062"/>
      <c r="R52" s="1062"/>
    </row>
    <row r="53" spans="1:18" s="1112" customFormat="1" ht="20.25" customHeight="1" x14ac:dyDescent="0.3">
      <c r="A53" s="1121"/>
      <c r="B53" s="1122">
        <f t="shared" si="6"/>
        <v>0.11482222222222226</v>
      </c>
      <c r="C53" s="1122">
        <f>C52+0.005</f>
        <v>0.11482222222222226</v>
      </c>
      <c r="D53" s="1098" t="e">
        <f>NPV($C53,$D$26:$L$26)+$L26*(1+D46)/($C$53-D46)/(1+$C53)^10+$D$33-D34</f>
        <v>#REF!</v>
      </c>
      <c r="E53" s="1098" t="e">
        <f t="shared" ref="E53:N53" si="13">NPV($C53,$D$26:$L$26)+$L26*(1+E46)/($C$53-E46)/(1+$C53)^10+$D$33-$D$34</f>
        <v>#REF!</v>
      </c>
      <c r="F53" s="1098" t="e">
        <f t="shared" si="13"/>
        <v>#REF!</v>
      </c>
      <c r="G53" s="1098" t="e">
        <f t="shared" si="13"/>
        <v>#REF!</v>
      </c>
      <c r="H53" s="1098" t="e">
        <f t="shared" si="13"/>
        <v>#REF!</v>
      </c>
      <c r="I53" s="1098" t="e">
        <f t="shared" si="13"/>
        <v>#REF!</v>
      </c>
      <c r="J53" s="1098" t="e">
        <f t="shared" si="13"/>
        <v>#REF!</v>
      </c>
      <c r="K53" s="1098" t="e">
        <f t="shared" si="13"/>
        <v>#REF!</v>
      </c>
      <c r="L53" s="1098" t="e">
        <f t="shared" si="13"/>
        <v>#REF!</v>
      </c>
      <c r="M53" s="1098" t="e">
        <f t="shared" si="13"/>
        <v>#REF!</v>
      </c>
      <c r="N53" s="1098" t="e">
        <f t="shared" si="13"/>
        <v>#REF!</v>
      </c>
      <c r="O53" s="1062"/>
      <c r="P53" s="1062"/>
      <c r="Q53" s="1062"/>
      <c r="R53" s="1062"/>
    </row>
    <row r="54" spans="1:18" s="1112" customFormat="1" ht="12.75" x14ac:dyDescent="0.3">
      <c r="A54" s="1062"/>
      <c r="B54" s="1062"/>
      <c r="C54" s="1062"/>
      <c r="D54" s="1062"/>
      <c r="E54" s="1062"/>
      <c r="F54" s="1062"/>
      <c r="G54" s="1062"/>
      <c r="H54" s="1062"/>
      <c r="I54" s="1062"/>
      <c r="J54" s="1062"/>
      <c r="K54" s="1062"/>
      <c r="L54" s="1062"/>
      <c r="M54" s="1062"/>
      <c r="N54" s="1062"/>
      <c r="O54" s="1062"/>
      <c r="P54" s="1062"/>
      <c r="Q54" s="1062"/>
      <c r="R54" s="1062"/>
    </row>
    <row r="56" spans="1:18" x14ac:dyDescent="0.3">
      <c r="B56" s="1064"/>
      <c r="C56" s="1064"/>
    </row>
    <row r="57" spans="1:18" x14ac:dyDescent="0.3">
      <c r="G57" s="1133"/>
      <c r="I57" s="1133"/>
      <c r="N57" s="1134"/>
      <c r="O57" s="1135"/>
      <c r="P57" s="1135"/>
    </row>
    <row r="58" spans="1:18" x14ac:dyDescent="0.3">
      <c r="D58" s="1136"/>
      <c r="E58" s="1137"/>
      <c r="F58" s="1137"/>
      <c r="G58" s="1098"/>
      <c r="H58" s="1098"/>
      <c r="I58" s="1098"/>
      <c r="J58" s="1137"/>
      <c r="K58" s="1137"/>
      <c r="L58" s="1137"/>
      <c r="O58" s="1136"/>
      <c r="P58" s="1136"/>
    </row>
    <row r="59" spans="1:18" x14ac:dyDescent="0.3">
      <c r="D59" s="1136"/>
      <c r="G59" s="1098"/>
      <c r="H59" s="1098"/>
      <c r="I59" s="1098"/>
      <c r="J59" s="1137"/>
      <c r="K59" s="1137"/>
      <c r="L59" s="1137"/>
      <c r="O59" s="1136"/>
      <c r="P59" s="1136"/>
    </row>
    <row r="60" spans="1:18" x14ac:dyDescent="0.3">
      <c r="D60" s="1136"/>
      <c r="E60" s="1137"/>
      <c r="F60" s="1137"/>
      <c r="G60" s="1098"/>
      <c r="H60" s="1098"/>
      <c r="I60" s="1098"/>
      <c r="J60" s="1137"/>
      <c r="K60" s="1137"/>
      <c r="L60" s="1137"/>
      <c r="N60" s="1064"/>
      <c r="O60" s="1138"/>
      <c r="P60" s="1138"/>
    </row>
    <row r="61" spans="1:18" x14ac:dyDescent="0.3">
      <c r="D61" s="1138"/>
      <c r="G61" s="1098"/>
      <c r="I61" s="1098"/>
      <c r="J61" s="1137"/>
      <c r="K61" s="1137"/>
      <c r="L61" s="1137"/>
    </row>
    <row r="62" spans="1:18" x14ac:dyDescent="0.3">
      <c r="D62" s="1139"/>
      <c r="E62" s="1137"/>
      <c r="F62" s="1137"/>
      <c r="G62" s="1137"/>
      <c r="H62" s="1137"/>
      <c r="I62" s="1137"/>
      <c r="J62" s="1137"/>
      <c r="K62" s="1137"/>
      <c r="L62" s="1137"/>
    </row>
    <row r="63" spans="1:18" x14ac:dyDescent="0.3">
      <c r="D63" s="1140"/>
      <c r="E63" s="1141"/>
      <c r="F63" s="1141"/>
      <c r="G63" s="1137"/>
      <c r="H63" s="1137"/>
      <c r="I63" s="1137"/>
    </row>
    <row r="68" spans="2:13" x14ac:dyDescent="0.3">
      <c r="B68" s="1064"/>
      <c r="C68" s="1064"/>
      <c r="D68" s="1142"/>
      <c r="E68" s="1142"/>
      <c r="F68" s="1142"/>
      <c r="G68" s="1142"/>
      <c r="H68" s="1142"/>
    </row>
    <row r="69" spans="2:13" x14ac:dyDescent="0.3">
      <c r="B69" s="1064"/>
      <c r="C69" s="1064"/>
      <c r="D69" s="1143"/>
      <c r="E69" s="1143"/>
      <c r="F69" s="1143"/>
      <c r="G69" s="1143"/>
      <c r="H69" s="1143"/>
      <c r="J69" s="1144"/>
      <c r="K69" s="1134"/>
      <c r="L69" s="1144"/>
    </row>
    <row r="70" spans="2:13" x14ac:dyDescent="0.3">
      <c r="D70" s="1083"/>
      <c r="E70" s="1143"/>
      <c r="F70" s="1136"/>
      <c r="G70" s="1145"/>
      <c r="H70" s="1070"/>
      <c r="J70" s="1083"/>
      <c r="K70" s="1083"/>
      <c r="L70" s="1083"/>
    </row>
    <row r="71" spans="2:13" x14ac:dyDescent="0.3">
      <c r="D71" s="1083"/>
      <c r="E71" s="1143"/>
      <c r="F71" s="1136"/>
      <c r="G71" s="1145"/>
      <c r="H71" s="1070"/>
      <c r="J71" s="1083"/>
      <c r="K71" s="1102"/>
      <c r="L71" s="1083"/>
      <c r="M71" s="1102"/>
    </row>
    <row r="72" spans="2:13" ht="15" customHeight="1" x14ac:dyDescent="0.3">
      <c r="D72" s="1083"/>
      <c r="E72" s="1143"/>
      <c r="F72" s="1139"/>
      <c r="G72" s="1083"/>
      <c r="H72" s="1083"/>
      <c r="J72" s="1083"/>
      <c r="L72" s="1083"/>
    </row>
    <row r="73" spans="2:13" hidden="1" x14ac:dyDescent="0.3">
      <c r="E73" s="1143"/>
      <c r="F73" s="1134"/>
      <c r="J73" s="1146"/>
      <c r="L73" s="1146"/>
    </row>
    <row r="74" spans="2:13" x14ac:dyDescent="0.3">
      <c r="D74" s="1147"/>
      <c r="E74" s="1143"/>
      <c r="F74" s="1139"/>
      <c r="G74" s="1104"/>
      <c r="J74" s="1148"/>
      <c r="K74" s="1148"/>
      <c r="L74" s="1148"/>
    </row>
    <row r="75" spans="2:13" x14ac:dyDescent="0.3">
      <c r="F75" s="1149"/>
      <c r="G75" s="1150"/>
      <c r="J75" s="1151"/>
      <c r="K75" s="1151"/>
      <c r="L75" s="1151"/>
    </row>
    <row r="76" spans="2:13" x14ac:dyDescent="0.3">
      <c r="J76" s="1137"/>
      <c r="L76" s="1137"/>
    </row>
    <row r="77" spans="2:13" x14ac:dyDescent="0.3">
      <c r="B77" s="1064"/>
      <c r="C77" s="1064"/>
      <c r="F77" s="1142"/>
      <c r="J77" s="1137"/>
      <c r="L77" s="1137"/>
    </row>
    <row r="78" spans="2:13" x14ac:dyDescent="0.3">
      <c r="B78" s="1152"/>
      <c r="C78" s="1152"/>
      <c r="D78" s="1083"/>
      <c r="E78" s="1142"/>
      <c r="F78" s="1142"/>
    </row>
    <row r="79" spans="2:13" x14ac:dyDescent="0.3">
      <c r="B79" s="1152"/>
      <c r="C79" s="1152"/>
      <c r="D79" s="1139"/>
    </row>
    <row r="80" spans="2:13" x14ac:dyDescent="0.3">
      <c r="B80" s="1152"/>
      <c r="C80" s="1152"/>
      <c r="D80" s="1139"/>
      <c r="J80" s="1083"/>
      <c r="L80" s="1083"/>
    </row>
    <row r="81" spans="2:12" x14ac:dyDescent="0.3">
      <c r="B81" s="1152"/>
      <c r="C81" s="1152"/>
      <c r="D81" s="1083"/>
      <c r="J81" s="1083"/>
      <c r="L81" s="1083"/>
    </row>
    <row r="82" spans="2:12" x14ac:dyDescent="0.3">
      <c r="B82" s="1152"/>
      <c r="C82" s="1152"/>
      <c r="D82" s="1089"/>
      <c r="J82" s="1089"/>
      <c r="L82" s="1089"/>
    </row>
    <row r="83" spans="2:12" x14ac:dyDescent="0.3">
      <c r="B83" s="1153"/>
      <c r="C83" s="1153"/>
      <c r="D83" s="1140"/>
      <c r="J83" s="1083"/>
      <c r="L83" s="1083"/>
    </row>
    <row r="84" spans="2:12" x14ac:dyDescent="0.3">
      <c r="B84" s="1152"/>
      <c r="C84" s="1152"/>
      <c r="D84" s="1139"/>
      <c r="J84" s="1146"/>
      <c r="L84" s="1146"/>
    </row>
    <row r="85" spans="2:12" x14ac:dyDescent="0.3">
      <c r="B85" s="1152"/>
      <c r="C85" s="1152"/>
      <c r="D85" s="1140"/>
      <c r="J85" s="1148"/>
      <c r="K85" s="1148"/>
      <c r="L85" s="1148"/>
    </row>
    <row r="88" spans="2:12" x14ac:dyDescent="0.3">
      <c r="B88" s="1064"/>
      <c r="C88" s="1064"/>
      <c r="D88" s="1142"/>
      <c r="E88" s="1142"/>
      <c r="F88" s="1142"/>
      <c r="G88" s="1142"/>
      <c r="H88" s="1143"/>
    </row>
    <row r="89" spans="2:12" x14ac:dyDescent="0.3">
      <c r="B89" s="1064"/>
      <c r="C89" s="1064"/>
      <c r="D89" s="1143"/>
      <c r="E89" s="1143"/>
      <c r="F89" s="1143"/>
      <c r="G89" s="1143"/>
      <c r="H89" s="1143"/>
    </row>
    <row r="90" spans="2:12" x14ac:dyDescent="0.3">
      <c r="D90" s="1154"/>
      <c r="E90" s="1155"/>
      <c r="F90" s="1155"/>
      <c r="G90" s="1104"/>
      <c r="H90" s="1156"/>
      <c r="I90" s="1083"/>
      <c r="J90" s="1083"/>
    </row>
    <row r="91" spans="2:12" x14ac:dyDescent="0.3">
      <c r="D91" s="1154"/>
      <c r="E91" s="1157"/>
      <c r="F91" s="1156"/>
      <c r="G91" s="1108"/>
      <c r="H91" s="1156"/>
      <c r="I91" s="1083"/>
      <c r="J91" s="1083"/>
    </row>
    <row r="92" spans="2:12" hidden="1" x14ac:dyDescent="0.3">
      <c r="D92" s="1154"/>
      <c r="E92" s="1157"/>
      <c r="F92" s="1156"/>
      <c r="G92" s="1108"/>
      <c r="H92" s="1158"/>
      <c r="I92" s="1083"/>
      <c r="J92" s="1083"/>
    </row>
    <row r="93" spans="2:12" x14ac:dyDescent="0.3">
      <c r="B93" s="1064"/>
      <c r="C93" s="1064"/>
      <c r="D93" s="1159"/>
      <c r="E93" s="1160"/>
      <c r="F93" s="1160"/>
      <c r="G93" s="1161"/>
      <c r="H93" s="1162"/>
      <c r="I93" s="1083"/>
      <c r="J93" s="1083"/>
    </row>
    <row r="94" spans="2:12" x14ac:dyDescent="0.3">
      <c r="B94" s="1064"/>
      <c r="C94" s="1064"/>
      <c r="D94" s="1163"/>
      <c r="E94" s="1160"/>
      <c r="F94" s="1162"/>
      <c r="I94" s="1151"/>
      <c r="J94" s="1151"/>
    </row>
    <row r="95" spans="2:12" x14ac:dyDescent="0.3">
      <c r="I95" s="1148"/>
      <c r="J95" s="1148"/>
    </row>
    <row r="96" spans="2:12" ht="15" customHeight="1" x14ac:dyDescent="0.3"/>
    <row r="98" spans="2:17" x14ac:dyDescent="0.3">
      <c r="D98" s="1765"/>
      <c r="E98" s="1765"/>
      <c r="F98" s="1765"/>
      <c r="G98" s="1765"/>
      <c r="H98" s="1765"/>
      <c r="I98" s="1765"/>
      <c r="J98" s="1765"/>
      <c r="K98" s="1765"/>
      <c r="L98" s="1765"/>
      <c r="M98" s="1765"/>
      <c r="N98" s="1142"/>
      <c r="O98" s="1142"/>
    </row>
    <row r="99" spans="2:17" x14ac:dyDescent="0.3">
      <c r="D99" s="1142"/>
      <c r="E99" s="1142"/>
      <c r="F99" s="1142"/>
      <c r="G99" s="1142"/>
      <c r="H99" s="1142"/>
      <c r="I99" s="1142"/>
      <c r="J99" s="1142"/>
      <c r="K99" s="1142"/>
      <c r="L99" s="1142"/>
      <c r="M99" s="1142"/>
      <c r="N99" s="1143"/>
      <c r="O99" s="1143"/>
    </row>
    <row r="100" spans="2:17" x14ac:dyDescent="0.3">
      <c r="B100" s="1143"/>
      <c r="C100" s="1143"/>
      <c r="D100" s="1156"/>
      <c r="E100" s="1156"/>
      <c r="F100" s="1156"/>
      <c r="G100" s="1156"/>
      <c r="H100" s="1156"/>
      <c r="I100" s="1156"/>
      <c r="J100" s="1156"/>
      <c r="K100" s="1156"/>
      <c r="L100" s="1156"/>
      <c r="M100" s="1156"/>
      <c r="N100" s="1156"/>
      <c r="O100" s="1156"/>
    </row>
    <row r="101" spans="2:17" x14ac:dyDescent="0.3">
      <c r="B101" s="1142"/>
      <c r="C101" s="1142"/>
      <c r="D101" s="1162"/>
      <c r="E101" s="1162"/>
      <c r="F101" s="1162"/>
      <c r="G101" s="1162"/>
      <c r="H101" s="1162"/>
      <c r="I101" s="1162"/>
      <c r="J101" s="1162"/>
      <c r="K101" s="1162"/>
      <c r="L101" s="1162"/>
      <c r="M101" s="1162"/>
      <c r="N101" s="1162"/>
      <c r="O101" s="1162"/>
    </row>
    <row r="102" spans="2:17" x14ac:dyDescent="0.3">
      <c r="B102" s="1143"/>
      <c r="C102" s="1143"/>
      <c r="D102" s="1156"/>
      <c r="E102" s="1156"/>
      <c r="F102" s="1156"/>
      <c r="G102" s="1156"/>
      <c r="H102" s="1156"/>
      <c r="I102" s="1156"/>
      <c r="J102" s="1156"/>
      <c r="K102" s="1156"/>
      <c r="L102" s="1156"/>
      <c r="M102" s="1156"/>
      <c r="N102" s="1156"/>
      <c r="O102" s="1156"/>
    </row>
    <row r="106" spans="2:17" x14ac:dyDescent="0.3">
      <c r="D106" s="1765"/>
      <c r="E106" s="1765"/>
      <c r="F106" s="1765"/>
      <c r="G106" s="1765"/>
      <c r="H106" s="1765"/>
      <c r="I106" s="1765"/>
      <c r="J106" s="1765"/>
      <c r="K106" s="1765"/>
      <c r="L106" s="1765"/>
      <c r="M106" s="1765"/>
      <c r="N106" s="1765"/>
      <c r="O106" s="1765"/>
      <c r="P106" s="1064"/>
      <c r="Q106" s="1064"/>
    </row>
    <row r="107" spans="2:17" x14ac:dyDescent="0.3">
      <c r="D107" s="1142"/>
      <c r="E107" s="1142"/>
      <c r="F107" s="1142"/>
      <c r="G107" s="1142"/>
      <c r="H107" s="1142"/>
      <c r="I107" s="1142"/>
      <c r="J107" s="1142"/>
      <c r="K107" s="1142"/>
      <c r="L107" s="1142"/>
      <c r="M107" s="1142"/>
      <c r="N107" s="1142"/>
      <c r="O107" s="1142"/>
    </row>
    <row r="108" spans="2:17" x14ac:dyDescent="0.3">
      <c r="B108" s="1143"/>
      <c r="C108" s="1143"/>
      <c r="D108" s="1156"/>
      <c r="E108" s="1156"/>
      <c r="F108" s="1156"/>
      <c r="G108" s="1156"/>
      <c r="H108" s="1156"/>
      <c r="I108" s="1156"/>
      <c r="J108" s="1156"/>
      <c r="K108" s="1156"/>
      <c r="L108" s="1156"/>
      <c r="M108" s="1156"/>
      <c r="N108" s="1156"/>
      <c r="O108" s="1156"/>
      <c r="P108" s="1156"/>
      <c r="Q108" s="1156"/>
    </row>
    <row r="109" spans="2:17" x14ac:dyDescent="0.3">
      <c r="B109" s="1142"/>
      <c r="C109" s="1142"/>
      <c r="D109" s="1156"/>
      <c r="E109" s="1156"/>
      <c r="F109" s="1162"/>
      <c r="G109" s="1162"/>
      <c r="H109" s="1162"/>
      <c r="I109" s="1162"/>
      <c r="J109" s="1162"/>
      <c r="K109" s="1162"/>
      <c r="L109" s="1162"/>
      <c r="M109" s="1162"/>
      <c r="N109" s="1162"/>
      <c r="O109" s="1162"/>
      <c r="P109" s="1162"/>
      <c r="Q109" s="1162"/>
    </row>
    <row r="110" spans="2:17" x14ac:dyDescent="0.3">
      <c r="B110" s="1143"/>
      <c r="C110" s="1143"/>
      <c r="D110" s="1156"/>
      <c r="E110" s="1156"/>
      <c r="F110" s="1156"/>
      <c r="G110" s="1156"/>
      <c r="H110" s="1156"/>
      <c r="I110" s="1156"/>
      <c r="J110" s="1156"/>
      <c r="K110" s="1156"/>
      <c r="L110" s="1156"/>
      <c r="M110" s="1156"/>
      <c r="N110" s="1156"/>
      <c r="O110" s="1156"/>
      <c r="P110" s="1156"/>
      <c r="Q110" s="1156"/>
    </row>
    <row r="114" spans="2:13" x14ac:dyDescent="0.3">
      <c r="D114" s="1765"/>
      <c r="E114" s="1765"/>
      <c r="F114" s="1765"/>
      <c r="G114" s="1765"/>
      <c r="H114" s="1765"/>
      <c r="I114" s="1765"/>
      <c r="J114" s="1765"/>
      <c r="K114" s="1765"/>
      <c r="L114" s="1765"/>
      <c r="M114" s="1765"/>
    </row>
    <row r="115" spans="2:13" x14ac:dyDescent="0.3">
      <c r="D115" s="1134"/>
      <c r="E115" s="1134"/>
      <c r="F115" s="1134"/>
      <c r="G115" s="1134"/>
      <c r="H115" s="1134"/>
      <c r="I115" s="1134"/>
      <c r="J115" s="1134"/>
      <c r="K115" s="1134"/>
      <c r="L115" s="1134"/>
      <c r="M115" s="1134"/>
    </row>
    <row r="116" spans="2:13" x14ac:dyDescent="0.3">
      <c r="B116" s="1143"/>
      <c r="C116" s="1143"/>
      <c r="D116" s="1164"/>
      <c r="E116" s="1164"/>
      <c r="F116" s="1164"/>
      <c r="G116" s="1164"/>
      <c r="H116" s="1164"/>
      <c r="I116" s="1164"/>
      <c r="J116" s="1164"/>
      <c r="K116" s="1164"/>
      <c r="L116" s="1164"/>
      <c r="M116" s="1164"/>
    </row>
    <row r="117" spans="2:13" x14ac:dyDescent="0.3">
      <c r="B117" s="1142"/>
      <c r="C117" s="1142"/>
      <c r="D117" s="1149"/>
      <c r="E117" s="1149"/>
      <c r="F117" s="1149"/>
      <c r="G117" s="1149"/>
      <c r="H117" s="1149"/>
      <c r="I117" s="1149"/>
      <c r="J117" s="1149"/>
      <c r="K117" s="1149"/>
      <c r="L117" s="1149"/>
      <c r="M117" s="1149"/>
    </row>
    <row r="118" spans="2:13" x14ac:dyDescent="0.3">
      <c r="B118" s="1143"/>
      <c r="C118" s="1143"/>
      <c r="D118" s="1164"/>
      <c r="E118" s="1164"/>
      <c r="F118" s="1164"/>
      <c r="G118" s="1164"/>
      <c r="H118" s="1164"/>
      <c r="I118" s="1164"/>
      <c r="J118" s="1164"/>
      <c r="K118" s="1164"/>
      <c r="L118" s="1164"/>
      <c r="M118" s="1164"/>
    </row>
  </sheetData>
  <mergeCells count="19">
    <mergeCell ref="N106:O106"/>
    <mergeCell ref="A47:A52"/>
    <mergeCell ref="D106:E106"/>
    <mergeCell ref="D98:E98"/>
    <mergeCell ref="D114:E114"/>
    <mergeCell ref="H39:I39"/>
    <mergeCell ref="H41:I41"/>
    <mergeCell ref="F114:G114"/>
    <mergeCell ref="L106:M106"/>
    <mergeCell ref="H98:I98"/>
    <mergeCell ref="H106:I106"/>
    <mergeCell ref="F98:G98"/>
    <mergeCell ref="J114:K114"/>
    <mergeCell ref="L114:M114"/>
    <mergeCell ref="F106:G106"/>
    <mergeCell ref="J98:K98"/>
    <mergeCell ref="J106:K106"/>
    <mergeCell ref="H114:I114"/>
    <mergeCell ref="L98:M98"/>
  </mergeCells>
  <phoneticPr fontId="51" type="noConversion"/>
  <pageMargins left="0.75" right="0.75" top="1" bottom="1" header="0.5" footer="0.5"/>
  <headerFooter alignWithMargins="0"/>
  <legacy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indexed="13"/>
  </sheetPr>
  <dimension ref="B4:G8"/>
  <sheetViews>
    <sheetView workbookViewId="0">
      <selection activeCell="I19" sqref="I19"/>
    </sheetView>
  </sheetViews>
  <sheetFormatPr defaultColWidth="9" defaultRowHeight="12.75" x14ac:dyDescent="0.35"/>
  <cols>
    <col min="1" max="2" width="9" style="1035"/>
    <col min="3" max="3" width="16.75" style="1035" bestFit="1" customWidth="1"/>
    <col min="4" max="4" width="25.75" style="1035" bestFit="1" customWidth="1"/>
    <col min="5" max="5" width="24.25" style="1035" bestFit="1" customWidth="1"/>
    <col min="6" max="6" width="13.5" style="1035" bestFit="1" customWidth="1"/>
    <col min="7" max="7" width="9.75" style="1035" customWidth="1"/>
    <col min="8" max="16384" width="9" style="1035"/>
  </cols>
  <sheetData>
    <row r="4" spans="2:7" x14ac:dyDescent="0.35">
      <c r="D4" s="1165" t="s">
        <v>736</v>
      </c>
      <c r="E4" s="1035" t="s">
        <v>737</v>
      </c>
      <c r="F4" s="1059"/>
      <c r="G4" s="1059"/>
    </row>
    <row r="5" spans="2:7" x14ac:dyDescent="0.35">
      <c r="B5" s="1166"/>
      <c r="C5" s="1035" t="s">
        <v>733</v>
      </c>
      <c r="D5" s="1167">
        <v>0.61850000000000005</v>
      </c>
      <c r="E5" s="1167">
        <v>0.57069999999999999</v>
      </c>
      <c r="F5" s="1052"/>
      <c r="G5" s="1052"/>
    </row>
    <row r="6" spans="2:7" x14ac:dyDescent="0.35">
      <c r="B6" s="1166"/>
      <c r="C6" s="1035" t="s">
        <v>734</v>
      </c>
      <c r="D6" s="1167">
        <v>5.7999999999999996E-3</v>
      </c>
      <c r="E6" s="1167">
        <v>5.4000000000000003E-3</v>
      </c>
      <c r="F6" s="1052"/>
      <c r="G6" s="1052"/>
    </row>
    <row r="7" spans="2:7" x14ac:dyDescent="0.35">
      <c r="B7" s="1166"/>
      <c r="C7" s="1035" t="s">
        <v>735</v>
      </c>
      <c r="D7" s="1167">
        <v>0.37569999999999998</v>
      </c>
      <c r="E7" s="1167">
        <v>0.4239</v>
      </c>
    </row>
    <row r="8" spans="2:7" x14ac:dyDescent="0.35">
      <c r="B8" s="1166"/>
      <c r="D8" s="1041"/>
      <c r="E8" s="1041"/>
    </row>
  </sheetData>
  <phoneticPr fontId="51" type="noConversion"/>
  <pageMargins left="0.75" right="0.75" top="1" bottom="1" header="0.5" footer="0.5"/>
  <headerFooter alignWithMargins="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indexed="10"/>
    <pageSetUpPr fitToPage="1"/>
  </sheetPr>
  <dimension ref="A1:IG167"/>
  <sheetViews>
    <sheetView zoomScale="125" workbookViewId="0">
      <pane xSplit="2" ySplit="2" topLeftCell="E3" activePane="bottomRight" state="frozen"/>
      <selection pane="topRight"/>
      <selection pane="bottomLeft"/>
      <selection pane="bottomRight" activeCell="B112" sqref="B112"/>
    </sheetView>
  </sheetViews>
  <sheetFormatPr defaultColWidth="23.25" defaultRowHeight="10.15" outlineLevelRow="1" outlineLevelCol="1" x14ac:dyDescent="0.4"/>
  <cols>
    <col min="1" max="1" width="16" style="1168" hidden="1" customWidth="1" outlineLevel="1"/>
    <col min="2" max="2" width="22.3125" style="1168" customWidth="1"/>
    <col min="3" max="3" width="9.5" style="1169" hidden="1" customWidth="1" outlineLevel="1"/>
    <col min="4" max="4" width="8.25" style="1169" customWidth="1"/>
    <col min="5" max="6" width="8.25" style="1168" customWidth="1"/>
    <col min="7" max="8" width="8.25" style="1168" hidden="1" customWidth="1" outlineLevel="1"/>
    <col min="9" max="9" width="7.8125" style="1168" customWidth="1"/>
    <col min="10" max="11" width="7.8125" style="1168" hidden="1" customWidth="1" outlineLevel="1"/>
    <col min="12" max="12" width="7.8125" style="1168" customWidth="1"/>
    <col min="13" max="14" width="7.8125" style="1168" hidden="1" customWidth="1" outlineLevel="1"/>
    <col min="15" max="17" width="7.8125" style="1168" customWidth="1"/>
    <col min="18" max="22" width="7.8125" style="1168" hidden="1" customWidth="1" outlineLevel="1"/>
    <col min="23" max="23" width="7.25" style="1168" customWidth="1"/>
    <col min="24" max="24" width="7.75" style="1168" customWidth="1"/>
    <col min="25" max="25" width="7.8125" style="1168" customWidth="1"/>
    <col min="26" max="26" width="8.3125" style="1168" customWidth="1"/>
    <col min="27" max="16384" width="23.25" style="1168"/>
  </cols>
  <sheetData>
    <row r="1" spans="1:25" x14ac:dyDescent="0.4">
      <c r="A1" s="1170"/>
      <c r="B1" s="1171"/>
      <c r="C1" s="1172">
        <v>1.05</v>
      </c>
      <c r="D1" s="1172">
        <v>1.03</v>
      </c>
      <c r="E1" s="1172">
        <v>0.94</v>
      </c>
      <c r="F1" s="1173">
        <v>0.86</v>
      </c>
      <c r="G1" s="1173"/>
      <c r="H1" s="1173"/>
      <c r="I1" s="1173">
        <v>0.88</v>
      </c>
      <c r="J1" s="1173"/>
      <c r="K1" s="1173"/>
      <c r="L1" s="1174">
        <v>0.91</v>
      </c>
      <c r="M1" s="1174"/>
      <c r="N1" s="1174"/>
      <c r="O1" s="1168">
        <v>0.91</v>
      </c>
    </row>
    <row r="2" spans="1:25" x14ac:dyDescent="0.4">
      <c r="A2" s="1175" t="s">
        <v>327</v>
      </c>
      <c r="B2" s="1176"/>
      <c r="C2" s="1177" t="s">
        <v>328</v>
      </c>
      <c r="D2" s="1177" t="s">
        <v>329</v>
      </c>
      <c r="E2" s="1177" t="s">
        <v>330</v>
      </c>
      <c r="F2" s="1177" t="s">
        <v>331</v>
      </c>
      <c r="G2" s="1177" t="s">
        <v>264</v>
      </c>
      <c r="H2" s="1177" t="s">
        <v>238</v>
      </c>
      <c r="I2" s="1177" t="s">
        <v>56</v>
      </c>
      <c r="J2" s="1082" t="s">
        <v>804</v>
      </c>
      <c r="K2" s="1082" t="s">
        <v>805</v>
      </c>
      <c r="L2" s="1178" t="s">
        <v>721</v>
      </c>
      <c r="M2" s="1082" t="s">
        <v>181</v>
      </c>
      <c r="N2" s="1178" t="s">
        <v>202</v>
      </c>
      <c r="O2" s="1178" t="s">
        <v>747</v>
      </c>
      <c r="P2" s="1178" t="s">
        <v>332</v>
      </c>
      <c r="Q2" s="1178" t="s">
        <v>333</v>
      </c>
      <c r="R2" s="1178" t="s">
        <v>334</v>
      </c>
      <c r="S2" s="1178" t="s">
        <v>335</v>
      </c>
      <c r="T2" s="1178" t="s">
        <v>336</v>
      </c>
      <c r="U2" s="1178" t="s">
        <v>337</v>
      </c>
      <c r="V2" s="1178" t="s">
        <v>338</v>
      </c>
    </row>
    <row r="3" spans="1:25" s="1171" customFormat="1" ht="15" customHeight="1" x14ac:dyDescent="0.4">
      <c r="C3" s="1179"/>
      <c r="D3" s="1179"/>
      <c r="E3" s="1179"/>
      <c r="L3" s="1180"/>
      <c r="M3" s="1180"/>
      <c r="N3" s="1180"/>
      <c r="W3" s="266"/>
      <c r="X3" s="266"/>
      <c r="Y3" s="1181"/>
    </row>
    <row r="4" spans="1:25" x14ac:dyDescent="0.4">
      <c r="A4" s="1182" t="s">
        <v>339</v>
      </c>
      <c r="B4" s="1183" t="s">
        <v>340</v>
      </c>
      <c r="C4" s="1184"/>
      <c r="D4" s="1184" t="e">
        <f>#REF!</f>
        <v>#REF!</v>
      </c>
      <c r="E4" s="1184" t="e">
        <f>#REF!</f>
        <v>#REF!</v>
      </c>
      <c r="F4" s="1184" t="e">
        <f>#REF!</f>
        <v>#REF!</v>
      </c>
      <c r="G4" s="1184">
        <v>5439.1379999999999</v>
      </c>
      <c r="H4" s="1184" t="e">
        <f>F4-G4</f>
        <v>#REF!</v>
      </c>
      <c r="I4" s="1184" t="e">
        <f>#REF!</f>
        <v>#REF!</v>
      </c>
      <c r="J4" s="1184">
        <v>5501.951</v>
      </c>
      <c r="K4" s="1184" t="e">
        <f>I4-J4</f>
        <v>#REF!</v>
      </c>
      <c r="L4" s="1184" t="e">
        <f t="shared" ref="L4:V4" si="0">SUM(L6,L8,L10,L12,L14,L16)</f>
        <v>#REF!</v>
      </c>
      <c r="M4" s="1184">
        <v>5584.2190000000001</v>
      </c>
      <c r="N4" s="1184" t="e">
        <f>L4-M4</f>
        <v>#REF!</v>
      </c>
      <c r="O4" s="1184" t="e">
        <f t="shared" si="0"/>
        <v>#REF!</v>
      </c>
      <c r="P4" s="1184" t="e">
        <f t="shared" si="0"/>
        <v>#REF!</v>
      </c>
      <c r="Q4" s="1184" t="e">
        <f t="shared" si="0"/>
        <v>#REF!</v>
      </c>
      <c r="R4" s="1184" t="e">
        <f t="shared" si="0"/>
        <v>#REF!</v>
      </c>
      <c r="S4" s="1184" t="e">
        <f t="shared" si="0"/>
        <v>#REF!</v>
      </c>
      <c r="T4" s="1184" t="e">
        <f t="shared" si="0"/>
        <v>#REF!</v>
      </c>
      <c r="U4" s="1184" t="e">
        <f t="shared" si="0"/>
        <v>#REF!</v>
      </c>
      <c r="V4" s="1184" t="e">
        <f t="shared" si="0"/>
        <v>#REF!</v>
      </c>
      <c r="W4" s="252"/>
      <c r="X4" s="252"/>
      <c r="Y4" s="1185"/>
    </row>
    <row r="5" spans="1:25" s="266" customFormat="1" x14ac:dyDescent="0.4">
      <c r="A5" s="1186" t="s">
        <v>341</v>
      </c>
      <c r="B5" s="1186" t="s">
        <v>341</v>
      </c>
      <c r="C5" s="275"/>
      <c r="D5" s="275"/>
      <c r="E5" s="275" t="e">
        <f t="shared" ref="E5:V5" si="1">E4/D4-1</f>
        <v>#REF!</v>
      </c>
      <c r="F5" s="275" t="e">
        <f t="shared" si="1"/>
        <v>#REF!</v>
      </c>
      <c r="G5" s="275"/>
      <c r="H5" s="275"/>
      <c r="I5" s="275" t="e">
        <f>I4/F4-1</f>
        <v>#REF!</v>
      </c>
      <c r="J5" s="275"/>
      <c r="K5" s="275"/>
      <c r="L5" s="275" t="e">
        <f>L4/I4-1</f>
        <v>#REF!</v>
      </c>
      <c r="M5" s="275"/>
      <c r="N5" s="275"/>
      <c r="O5" s="275" t="e">
        <f>O4/L4-1</f>
        <v>#REF!</v>
      </c>
      <c r="P5" s="275" t="e">
        <f t="shared" si="1"/>
        <v>#REF!</v>
      </c>
      <c r="Q5" s="275" t="e">
        <f t="shared" si="1"/>
        <v>#REF!</v>
      </c>
      <c r="R5" s="275" t="e">
        <f t="shared" si="1"/>
        <v>#REF!</v>
      </c>
      <c r="S5" s="275" t="e">
        <f t="shared" si="1"/>
        <v>#REF!</v>
      </c>
      <c r="T5" s="275" t="e">
        <f t="shared" si="1"/>
        <v>#REF!</v>
      </c>
      <c r="U5" s="275" t="e">
        <f t="shared" si="1"/>
        <v>#REF!</v>
      </c>
      <c r="V5" s="275" t="e">
        <f t="shared" si="1"/>
        <v>#REF!</v>
      </c>
      <c r="W5" s="252"/>
      <c r="X5" s="252"/>
      <c r="Y5" s="252"/>
    </row>
    <row r="6" spans="1:25" outlineLevel="1" x14ac:dyDescent="0.4">
      <c r="A6" s="1187" t="s">
        <v>342</v>
      </c>
      <c r="B6" s="1188" t="s">
        <v>343</v>
      </c>
      <c r="C6" s="1189"/>
      <c r="D6" s="1189">
        <f>'地区分部(原始）'!M3</f>
        <v>7464.6279999999997</v>
      </c>
      <c r="E6" s="1189">
        <f>'地区分部(原始）'!N3</f>
        <v>5527.5870000000004</v>
      </c>
      <c r="F6" s="1189">
        <f>'地区分部(原始）'!O3</f>
        <v>6195.6409999999996</v>
      </c>
      <c r="G6" s="1189" t="e">
        <f>#REF!</f>
        <v>#REF!</v>
      </c>
      <c r="H6" s="1189" t="e">
        <f>#REF!</f>
        <v>#REF!</v>
      </c>
      <c r="I6" s="1189" t="e">
        <f>#REF!</f>
        <v>#REF!</v>
      </c>
      <c r="J6" s="1189" t="e">
        <f>#REF!</f>
        <v>#REF!</v>
      </c>
      <c r="K6" s="1189" t="e">
        <f>#REF!</f>
        <v>#REF!</v>
      </c>
      <c r="L6" s="1189" t="e">
        <f>#REF!</f>
        <v>#REF!</v>
      </c>
      <c r="M6" s="1189" t="e">
        <f>#REF!</f>
        <v>#REF!</v>
      </c>
      <c r="N6" s="1189" t="e">
        <f>L6-M6</f>
        <v>#REF!</v>
      </c>
      <c r="O6" s="1189" t="e">
        <f>#REF!</f>
        <v>#REF!</v>
      </c>
      <c r="P6" s="1189" t="e">
        <f>#REF!</f>
        <v>#REF!</v>
      </c>
      <c r="Q6" s="1189" t="e">
        <f>#REF!</f>
        <v>#REF!</v>
      </c>
      <c r="R6" s="1189" t="e">
        <f>#REF!</f>
        <v>#REF!</v>
      </c>
      <c r="S6" s="1189" t="e">
        <f>#REF!</f>
        <v>#REF!</v>
      </c>
      <c r="T6" s="1189" t="e">
        <f>#REF!</f>
        <v>#REF!</v>
      </c>
      <c r="U6" s="1189" t="e">
        <f>#REF!</f>
        <v>#REF!</v>
      </c>
      <c r="V6" s="1189" t="e">
        <f>#REF!</f>
        <v>#REF!</v>
      </c>
      <c r="W6" s="252"/>
    </row>
    <row r="7" spans="1:25" outlineLevel="1" x14ac:dyDescent="0.4">
      <c r="A7" s="1190" t="s">
        <v>341</v>
      </c>
      <c r="B7" s="1191" t="s">
        <v>341</v>
      </c>
      <c r="C7" s="1192"/>
      <c r="D7" s="1192"/>
      <c r="E7" s="1192">
        <f t="shared" ref="E7:V7" si="2">E6/D6-1</f>
        <v>-0.25949598560035403</v>
      </c>
      <c r="F7" s="1192">
        <f t="shared" si="2"/>
        <v>0.12085816107462422</v>
      </c>
      <c r="G7" s="1192"/>
      <c r="H7" s="1192"/>
      <c r="I7" s="1192" t="e">
        <f t="shared" ref="I7:O7" si="3">I6/F6-1</f>
        <v>#REF!</v>
      </c>
      <c r="J7" s="1192" t="e">
        <f t="shared" si="3"/>
        <v>#REF!</v>
      </c>
      <c r="K7" s="1192" t="e">
        <f t="shared" si="3"/>
        <v>#REF!</v>
      </c>
      <c r="L7" s="1192" t="e">
        <f t="shared" si="3"/>
        <v>#REF!</v>
      </c>
      <c r="M7" s="1192" t="e">
        <f t="shared" si="3"/>
        <v>#REF!</v>
      </c>
      <c r="N7" s="1192" t="e">
        <f t="shared" si="3"/>
        <v>#REF!</v>
      </c>
      <c r="O7" s="1192" t="e">
        <f t="shared" si="3"/>
        <v>#REF!</v>
      </c>
      <c r="P7" s="1192" t="e">
        <f t="shared" si="2"/>
        <v>#REF!</v>
      </c>
      <c r="Q7" s="1192" t="e">
        <f t="shared" si="2"/>
        <v>#REF!</v>
      </c>
      <c r="R7" s="1192" t="e">
        <f t="shared" si="2"/>
        <v>#REF!</v>
      </c>
      <c r="S7" s="1192" t="e">
        <f t="shared" si="2"/>
        <v>#REF!</v>
      </c>
      <c r="T7" s="1192" t="e">
        <f t="shared" si="2"/>
        <v>#REF!</v>
      </c>
      <c r="U7" s="1192" t="e">
        <f t="shared" si="2"/>
        <v>#REF!</v>
      </c>
      <c r="V7" s="1192" t="e">
        <f t="shared" si="2"/>
        <v>#REF!</v>
      </c>
      <c r="W7" s="252"/>
    </row>
    <row r="8" spans="1:25" outlineLevel="1" x14ac:dyDescent="0.4">
      <c r="A8" s="1193" t="s">
        <v>344</v>
      </c>
      <c r="B8" s="1183" t="s">
        <v>154</v>
      </c>
      <c r="C8" s="1194"/>
      <c r="D8" s="1194">
        <f>'地区分部(原始）'!M4</f>
        <v>1551.6</v>
      </c>
      <c r="E8" s="1194">
        <f>'地区分部(原始）'!N4</f>
        <v>1586.7819999999999</v>
      </c>
      <c r="F8" s="1194">
        <f>'地区分部(原始）'!O4</f>
        <v>2078.19</v>
      </c>
      <c r="G8" s="1194" t="e">
        <f>+#REF!</f>
        <v>#REF!</v>
      </c>
      <c r="H8" s="1194" t="e">
        <f>+#REF!</f>
        <v>#REF!</v>
      </c>
      <c r="I8" s="1194" t="e">
        <f>+#REF!</f>
        <v>#REF!</v>
      </c>
      <c r="J8" s="1194" t="e">
        <f>+#REF!</f>
        <v>#REF!</v>
      </c>
      <c r="K8" s="1194" t="e">
        <f>+#REF!</f>
        <v>#REF!</v>
      </c>
      <c r="L8" s="1194" t="e">
        <f>+#REF!</f>
        <v>#REF!</v>
      </c>
      <c r="M8" s="1194" t="e">
        <f>#REF!</f>
        <v>#REF!</v>
      </c>
      <c r="N8" s="1194" t="e">
        <f>L8-M8</f>
        <v>#REF!</v>
      </c>
      <c r="O8" s="1194" t="e">
        <f>+#REF!</f>
        <v>#REF!</v>
      </c>
      <c r="P8" s="1194" t="e">
        <f>+#REF!</f>
        <v>#REF!</v>
      </c>
      <c r="Q8" s="1194" t="e">
        <f>+#REF!</f>
        <v>#REF!</v>
      </c>
      <c r="R8" s="1194" t="e">
        <f>+#REF!</f>
        <v>#REF!</v>
      </c>
      <c r="S8" s="1194" t="e">
        <f>+#REF!</f>
        <v>#REF!</v>
      </c>
      <c r="T8" s="1194" t="e">
        <f>+#REF!</f>
        <v>#REF!</v>
      </c>
      <c r="U8" s="1194" t="e">
        <f>+#REF!</f>
        <v>#REF!</v>
      </c>
      <c r="V8" s="1194" t="e">
        <f>+#REF!</f>
        <v>#REF!</v>
      </c>
      <c r="W8" s="252"/>
    </row>
    <row r="9" spans="1:25" outlineLevel="1" x14ac:dyDescent="0.4">
      <c r="A9" s="1190" t="s">
        <v>341</v>
      </c>
      <c r="B9" s="1191" t="s">
        <v>341</v>
      </c>
      <c r="C9" s="1192"/>
      <c r="D9" s="1192"/>
      <c r="E9" s="1192">
        <f t="shared" ref="E9:V9" si="4">E8/D8-1</f>
        <v>2.2674658417117799E-2</v>
      </c>
      <c r="F9" s="1192">
        <f t="shared" si="4"/>
        <v>0.30968841340524422</v>
      </c>
      <c r="G9" s="1192"/>
      <c r="H9" s="1192"/>
      <c r="I9" s="1192" t="e">
        <f t="shared" ref="I9:O9" si="5">I8/F8-1</f>
        <v>#REF!</v>
      </c>
      <c r="J9" s="1192" t="e">
        <f t="shared" si="5"/>
        <v>#REF!</v>
      </c>
      <c r="K9" s="1192" t="e">
        <f t="shared" si="5"/>
        <v>#REF!</v>
      </c>
      <c r="L9" s="1192" t="e">
        <f t="shared" si="5"/>
        <v>#REF!</v>
      </c>
      <c r="M9" s="1192" t="e">
        <f t="shared" si="5"/>
        <v>#REF!</v>
      </c>
      <c r="N9" s="1192" t="e">
        <f t="shared" si="5"/>
        <v>#REF!</v>
      </c>
      <c r="O9" s="1192" t="e">
        <f t="shared" si="5"/>
        <v>#REF!</v>
      </c>
      <c r="P9" s="1192" t="e">
        <f t="shared" si="4"/>
        <v>#REF!</v>
      </c>
      <c r="Q9" s="1192" t="e">
        <f t="shared" si="4"/>
        <v>#REF!</v>
      </c>
      <c r="R9" s="1192" t="e">
        <f t="shared" si="4"/>
        <v>#REF!</v>
      </c>
      <c r="S9" s="1192" t="e">
        <f t="shared" si="4"/>
        <v>#REF!</v>
      </c>
      <c r="T9" s="1192" t="e">
        <f t="shared" si="4"/>
        <v>#REF!</v>
      </c>
      <c r="U9" s="1192" t="e">
        <f t="shared" si="4"/>
        <v>#REF!</v>
      </c>
      <c r="V9" s="1192" t="e">
        <f t="shared" si="4"/>
        <v>#REF!</v>
      </c>
      <c r="W9" s="252"/>
    </row>
    <row r="10" spans="1:25" outlineLevel="1" x14ac:dyDescent="0.4">
      <c r="A10" s="1193" t="s">
        <v>345</v>
      </c>
      <c r="B10" s="1183" t="s">
        <v>346</v>
      </c>
      <c r="C10" s="1194"/>
      <c r="D10" s="1194">
        <f>'地区分部(原始）'!M5</f>
        <v>794.50400000000002</v>
      </c>
      <c r="E10" s="1194">
        <f>'地区分部(原始）'!N5</f>
        <v>2065.4450000000002</v>
      </c>
      <c r="F10" s="1194">
        <f>'地区分部(原始）'!O5</f>
        <v>1797.3019999999999</v>
      </c>
      <c r="G10" s="1194" t="e">
        <f>+#REF!</f>
        <v>#REF!</v>
      </c>
      <c r="H10" s="1194" t="e">
        <f>+#REF!</f>
        <v>#REF!</v>
      </c>
      <c r="I10" s="1194" t="e">
        <f>+#REF!</f>
        <v>#REF!</v>
      </c>
      <c r="J10" s="1194" t="e">
        <f>+#REF!</f>
        <v>#REF!</v>
      </c>
      <c r="K10" s="1194" t="e">
        <f>+#REF!</f>
        <v>#REF!</v>
      </c>
      <c r="L10" s="1194" t="e">
        <f>+#REF!</f>
        <v>#REF!</v>
      </c>
      <c r="M10" s="1194" t="e">
        <f>#REF!</f>
        <v>#REF!</v>
      </c>
      <c r="N10" s="1194" t="e">
        <f>L10-M10</f>
        <v>#REF!</v>
      </c>
      <c r="O10" s="1194" t="e">
        <f>+#REF!</f>
        <v>#REF!</v>
      </c>
      <c r="P10" s="1194" t="e">
        <f>+#REF!</f>
        <v>#REF!</v>
      </c>
      <c r="Q10" s="1194" t="e">
        <f>+#REF!</f>
        <v>#REF!</v>
      </c>
      <c r="R10" s="1194" t="e">
        <f>+#REF!</f>
        <v>#REF!</v>
      </c>
      <c r="S10" s="1194" t="e">
        <f>+#REF!</f>
        <v>#REF!</v>
      </c>
      <c r="T10" s="1194" t="e">
        <f>+#REF!</f>
        <v>#REF!</v>
      </c>
      <c r="U10" s="1194" t="e">
        <f>+#REF!</f>
        <v>#REF!</v>
      </c>
      <c r="V10" s="1194" t="e">
        <f>+#REF!</f>
        <v>#REF!</v>
      </c>
      <c r="W10" s="252"/>
    </row>
    <row r="11" spans="1:25" outlineLevel="1" x14ac:dyDescent="0.4">
      <c r="A11" s="1190" t="s">
        <v>341</v>
      </c>
      <c r="B11" s="1191" t="s">
        <v>341</v>
      </c>
      <c r="C11" s="1192"/>
      <c r="D11" s="1192"/>
      <c r="E11" s="1192">
        <f t="shared" ref="E11:V11" si="6">E10/D10-1</f>
        <v>1.5996659551116168</v>
      </c>
      <c r="F11" s="1192">
        <f t="shared" si="6"/>
        <v>-0.12982335525758382</v>
      </c>
      <c r="G11" s="1192"/>
      <c r="H11" s="1192"/>
      <c r="I11" s="1192" t="e">
        <f t="shared" ref="I11:O11" si="7">I10/F10-1</f>
        <v>#REF!</v>
      </c>
      <c r="J11" s="1192" t="e">
        <f t="shared" si="7"/>
        <v>#REF!</v>
      </c>
      <c r="K11" s="1192" t="e">
        <f t="shared" si="7"/>
        <v>#REF!</v>
      </c>
      <c r="L11" s="1192" t="e">
        <f t="shared" si="7"/>
        <v>#REF!</v>
      </c>
      <c r="M11" s="1192" t="e">
        <f t="shared" si="7"/>
        <v>#REF!</v>
      </c>
      <c r="N11" s="1192" t="e">
        <f t="shared" si="7"/>
        <v>#REF!</v>
      </c>
      <c r="O11" s="1192" t="e">
        <f t="shared" si="7"/>
        <v>#REF!</v>
      </c>
      <c r="P11" s="1192" t="e">
        <f t="shared" si="6"/>
        <v>#REF!</v>
      </c>
      <c r="Q11" s="1192" t="e">
        <f t="shared" si="6"/>
        <v>#REF!</v>
      </c>
      <c r="R11" s="1192" t="e">
        <f t="shared" si="6"/>
        <v>#REF!</v>
      </c>
      <c r="S11" s="1192" t="e">
        <f t="shared" si="6"/>
        <v>#REF!</v>
      </c>
      <c r="T11" s="1192" t="e">
        <f t="shared" si="6"/>
        <v>#REF!</v>
      </c>
      <c r="U11" s="1192" t="e">
        <f t="shared" si="6"/>
        <v>#REF!</v>
      </c>
      <c r="V11" s="1192" t="e">
        <f t="shared" si="6"/>
        <v>#REF!</v>
      </c>
      <c r="W11" s="252"/>
    </row>
    <row r="12" spans="1:25" outlineLevel="1" x14ac:dyDescent="0.4">
      <c r="A12" s="1193" t="s">
        <v>347</v>
      </c>
      <c r="B12" s="1183" t="s">
        <v>348</v>
      </c>
      <c r="C12" s="1194"/>
      <c r="D12" s="1194">
        <f>'地区分部(原始）'!M6</f>
        <v>845.16200000000003</v>
      </c>
      <c r="E12" s="1194">
        <f>'地区分部(原始）'!N6</f>
        <v>766.40899999999999</v>
      </c>
      <c r="F12" s="1194">
        <f>'地区分部(原始）'!O6</f>
        <v>1052.143</v>
      </c>
      <c r="G12" s="1194" t="e">
        <f>+#REF!</f>
        <v>#REF!</v>
      </c>
      <c r="H12" s="1194" t="e">
        <f>+#REF!</f>
        <v>#REF!</v>
      </c>
      <c r="I12" s="1194" t="e">
        <f>+#REF!</f>
        <v>#REF!</v>
      </c>
      <c r="J12" s="1194" t="e">
        <f>+#REF!</f>
        <v>#REF!</v>
      </c>
      <c r="K12" s="1194" t="e">
        <f>+#REF!</f>
        <v>#REF!</v>
      </c>
      <c r="L12" s="1194" t="e">
        <f>+#REF!</f>
        <v>#REF!</v>
      </c>
      <c r="M12" s="1194" t="e">
        <f>#REF!</f>
        <v>#REF!</v>
      </c>
      <c r="N12" s="1194" t="e">
        <f>L12-M12</f>
        <v>#REF!</v>
      </c>
      <c r="O12" s="1194" t="e">
        <f>+#REF!</f>
        <v>#REF!</v>
      </c>
      <c r="P12" s="1194" t="e">
        <f>+#REF!</f>
        <v>#REF!</v>
      </c>
      <c r="Q12" s="1194" t="e">
        <f>+#REF!</f>
        <v>#REF!</v>
      </c>
      <c r="R12" s="1194" t="e">
        <f>+#REF!</f>
        <v>#REF!</v>
      </c>
      <c r="S12" s="1194" t="e">
        <f>+#REF!</f>
        <v>#REF!</v>
      </c>
      <c r="T12" s="1194" t="e">
        <f>+#REF!</f>
        <v>#REF!</v>
      </c>
      <c r="U12" s="1194" t="e">
        <f>+#REF!</f>
        <v>#REF!</v>
      </c>
      <c r="V12" s="1194" t="e">
        <f>+#REF!</f>
        <v>#REF!</v>
      </c>
      <c r="W12" s="252"/>
    </row>
    <row r="13" spans="1:25" outlineLevel="1" x14ac:dyDescent="0.4">
      <c r="A13" s="1190" t="s">
        <v>341</v>
      </c>
      <c r="B13" s="1191" t="s">
        <v>341</v>
      </c>
      <c r="C13" s="1192"/>
      <c r="D13" s="1192"/>
      <c r="E13" s="1192">
        <f t="shared" ref="E13:V13" si="8">E12/D12-1</f>
        <v>-9.3180952290803476E-2</v>
      </c>
      <c r="F13" s="1192">
        <f t="shared" si="8"/>
        <v>0.37282182229070915</v>
      </c>
      <c r="G13" s="1192"/>
      <c r="H13" s="1192"/>
      <c r="I13" s="1192" t="e">
        <f t="shared" ref="I13:O13" si="9">I12/F12-1</f>
        <v>#REF!</v>
      </c>
      <c r="J13" s="1192" t="e">
        <f t="shared" si="9"/>
        <v>#REF!</v>
      </c>
      <c r="K13" s="1192" t="e">
        <f t="shared" si="9"/>
        <v>#REF!</v>
      </c>
      <c r="L13" s="1192" t="e">
        <f t="shared" si="9"/>
        <v>#REF!</v>
      </c>
      <c r="M13" s="1192" t="e">
        <f t="shared" si="9"/>
        <v>#REF!</v>
      </c>
      <c r="N13" s="1192" t="e">
        <f t="shared" si="9"/>
        <v>#REF!</v>
      </c>
      <c r="O13" s="1192" t="e">
        <f t="shared" si="9"/>
        <v>#REF!</v>
      </c>
      <c r="P13" s="1192" t="e">
        <f t="shared" si="8"/>
        <v>#REF!</v>
      </c>
      <c r="Q13" s="1192" t="e">
        <f t="shared" si="8"/>
        <v>#REF!</v>
      </c>
      <c r="R13" s="1192" t="e">
        <f t="shared" si="8"/>
        <v>#REF!</v>
      </c>
      <c r="S13" s="1192" t="e">
        <f t="shared" si="8"/>
        <v>#REF!</v>
      </c>
      <c r="T13" s="1192" t="e">
        <f t="shared" si="8"/>
        <v>#REF!</v>
      </c>
      <c r="U13" s="1192" t="e">
        <f t="shared" si="8"/>
        <v>#REF!</v>
      </c>
      <c r="V13" s="1192" t="e">
        <f t="shared" si="8"/>
        <v>#REF!</v>
      </c>
      <c r="W13" s="252"/>
    </row>
    <row r="14" spans="1:25" outlineLevel="1" x14ac:dyDescent="0.4">
      <c r="A14" s="1193" t="s">
        <v>349</v>
      </c>
      <c r="B14" s="1183" t="s">
        <v>350</v>
      </c>
      <c r="C14" s="1194"/>
      <c r="D14" s="1194">
        <f>'地区分部(原始）'!M7</f>
        <v>454.14400000000001</v>
      </c>
      <c r="E14" s="1194">
        <f>'地区分部(原始）'!N7</f>
        <v>351.42399999999998</v>
      </c>
      <c r="F14" s="1194">
        <f>'地区分部(原始）'!O7</f>
        <v>72.447000000000003</v>
      </c>
      <c r="G14" s="1194" t="e">
        <f>+#REF!</f>
        <v>#REF!</v>
      </c>
      <c r="H14" s="1194" t="e">
        <f>+#REF!</f>
        <v>#REF!</v>
      </c>
      <c r="I14" s="1194" t="e">
        <f>+#REF!</f>
        <v>#REF!</v>
      </c>
      <c r="J14" s="1194" t="e">
        <f>+#REF!</f>
        <v>#REF!</v>
      </c>
      <c r="K14" s="1194" t="e">
        <f>+#REF!</f>
        <v>#REF!</v>
      </c>
      <c r="L14" s="1194" t="e">
        <f>+#REF!</f>
        <v>#REF!</v>
      </c>
      <c r="M14" s="1194" t="e">
        <f>#REF!</f>
        <v>#REF!</v>
      </c>
      <c r="N14" s="1194" t="e">
        <f>L14-M14</f>
        <v>#REF!</v>
      </c>
      <c r="O14" s="1194" t="e">
        <f>+#REF!</f>
        <v>#REF!</v>
      </c>
      <c r="P14" s="1194" t="e">
        <f>+#REF!</f>
        <v>#REF!</v>
      </c>
      <c r="Q14" s="1194" t="e">
        <f>+#REF!</f>
        <v>#REF!</v>
      </c>
      <c r="R14" s="1194" t="e">
        <f>+#REF!</f>
        <v>#REF!</v>
      </c>
      <c r="S14" s="1194" t="e">
        <f>+#REF!</f>
        <v>#REF!</v>
      </c>
      <c r="T14" s="1194" t="e">
        <f>+#REF!</f>
        <v>#REF!</v>
      </c>
      <c r="U14" s="1194" t="e">
        <f>+#REF!</f>
        <v>#REF!</v>
      </c>
      <c r="V14" s="1194" t="e">
        <f>+#REF!</f>
        <v>#REF!</v>
      </c>
      <c r="W14" s="252"/>
    </row>
    <row r="15" spans="1:25" outlineLevel="1" x14ac:dyDescent="0.4">
      <c r="A15" s="1190" t="s">
        <v>341</v>
      </c>
      <c r="B15" s="1191" t="s">
        <v>341</v>
      </c>
      <c r="C15" s="1192"/>
      <c r="D15" s="1192"/>
      <c r="E15" s="1192">
        <f t="shared" ref="E15:V15" si="10">E14/D14-1</f>
        <v>-0.22618376550169117</v>
      </c>
      <c r="F15" s="1192">
        <f t="shared" si="10"/>
        <v>-0.79384731833910038</v>
      </c>
      <c r="G15" s="1192"/>
      <c r="H15" s="1192"/>
      <c r="I15" s="1192" t="e">
        <f>I14/F14-1</f>
        <v>#REF!</v>
      </c>
      <c r="J15" s="1192"/>
      <c r="K15" s="1192"/>
      <c r="L15" s="1192" t="e">
        <f>L14/I14-1</f>
        <v>#REF!</v>
      </c>
      <c r="M15" s="1192"/>
      <c r="N15" s="1192"/>
      <c r="O15" s="1192" t="e">
        <f>O14/L14-1</f>
        <v>#REF!</v>
      </c>
      <c r="P15" s="1192" t="e">
        <f t="shared" si="10"/>
        <v>#REF!</v>
      </c>
      <c r="Q15" s="1192" t="e">
        <f t="shared" si="10"/>
        <v>#REF!</v>
      </c>
      <c r="R15" s="1192" t="e">
        <f t="shared" si="10"/>
        <v>#REF!</v>
      </c>
      <c r="S15" s="1192" t="e">
        <f t="shared" si="10"/>
        <v>#REF!</v>
      </c>
      <c r="T15" s="1192" t="e">
        <f t="shared" si="10"/>
        <v>#REF!</v>
      </c>
      <c r="U15" s="1192" t="e">
        <f t="shared" si="10"/>
        <v>#REF!</v>
      </c>
      <c r="V15" s="1192" t="e">
        <f t="shared" si="10"/>
        <v>#REF!</v>
      </c>
      <c r="W15" s="252"/>
    </row>
    <row r="16" spans="1:25" outlineLevel="1" x14ac:dyDescent="0.4">
      <c r="A16" s="1193" t="s">
        <v>351</v>
      </c>
      <c r="B16" s="1183" t="s">
        <v>352</v>
      </c>
      <c r="C16" s="1195"/>
      <c r="D16" s="1195">
        <f>'地区分部(原始）'!M8</f>
        <v>-15.492000000000001</v>
      </c>
      <c r="E16" s="1195">
        <f>'地区分部(原始）'!N8</f>
        <v>-64.765000000000001</v>
      </c>
      <c r="F16" s="1195">
        <f>'地区分部(原始）'!O8</f>
        <v>-174.31800000000001</v>
      </c>
      <c r="G16" s="1195" t="e">
        <f>G4-G6-G8-G10-G12-G14</f>
        <v>#REF!</v>
      </c>
      <c r="H16" s="1195" t="e">
        <f>H4-H6-H8-H10-H12-H14</f>
        <v>#REF!</v>
      </c>
      <c r="I16" s="1195" t="e">
        <f t="shared" ref="I16:V16" si="11">-SUM(I6+I8+I10+I12+I14)*I17</f>
        <v>#REF!</v>
      </c>
      <c r="J16" s="1195" t="e">
        <f>J4-J6-J8-J10-J12-J14</f>
        <v>#REF!</v>
      </c>
      <c r="K16" s="1195" t="e">
        <f>K4-K6-K8-K10-K12-K14</f>
        <v>#REF!</v>
      </c>
      <c r="L16" s="1195" t="e">
        <f t="shared" si="11"/>
        <v>#REF!</v>
      </c>
      <c r="M16" s="1195" t="e">
        <f>M4-M6-M8-M10-M12-M14</f>
        <v>#REF!</v>
      </c>
      <c r="N16" s="1195" t="e">
        <f>N4-N6-N8-N10-N12-N14</f>
        <v>#REF!</v>
      </c>
      <c r="O16" s="1195" t="e">
        <f t="shared" si="11"/>
        <v>#REF!</v>
      </c>
      <c r="P16" s="1195" t="e">
        <f t="shared" si="11"/>
        <v>#REF!</v>
      </c>
      <c r="Q16" s="1195" t="e">
        <f t="shared" si="11"/>
        <v>#REF!</v>
      </c>
      <c r="R16" s="1195" t="e">
        <f t="shared" si="11"/>
        <v>#REF!</v>
      </c>
      <c r="S16" s="1195" t="e">
        <f t="shared" si="11"/>
        <v>#REF!</v>
      </c>
      <c r="T16" s="1195" t="e">
        <f t="shared" si="11"/>
        <v>#REF!</v>
      </c>
      <c r="U16" s="1195" t="e">
        <f t="shared" si="11"/>
        <v>#REF!</v>
      </c>
      <c r="V16" s="1195" t="e">
        <f t="shared" si="11"/>
        <v>#REF!</v>
      </c>
      <c r="W16" s="1185"/>
      <c r="X16" s="1185"/>
      <c r="Y16" s="1185"/>
    </row>
    <row r="17" spans="1:22" outlineLevel="1" x14ac:dyDescent="0.4">
      <c r="A17" s="1196" t="s">
        <v>353</v>
      </c>
      <c r="B17" s="1197" t="s">
        <v>354</v>
      </c>
      <c r="C17" s="1198"/>
      <c r="D17" s="1198">
        <f>-D16/SUM(D6,D8,D10,D12,D14)</f>
        <v>1.3944146725690767E-3</v>
      </c>
      <c r="E17" s="1198">
        <f>-E16/SUM(E6,E8,E10,E12,E14)</f>
        <v>6.2893008470770069E-3</v>
      </c>
      <c r="F17" s="1198">
        <f>-F16/SUM(F6,F8,F10,F12,F14)</f>
        <v>1.5570052956830033E-2</v>
      </c>
      <c r="G17" s="1198"/>
      <c r="H17" s="1198"/>
      <c r="I17" s="1199" t="e">
        <f>#REF!</f>
        <v>#REF!</v>
      </c>
      <c r="J17" s="1199"/>
      <c r="K17" s="1199"/>
      <c r="L17" s="1199" t="e">
        <f>#REF!</f>
        <v>#REF!</v>
      </c>
      <c r="M17" s="1199"/>
      <c r="N17" s="1199"/>
      <c r="O17" s="1199" t="e">
        <f>#REF!</f>
        <v>#REF!</v>
      </c>
      <c r="P17" s="1199" t="e">
        <f>#REF!</f>
        <v>#REF!</v>
      </c>
      <c r="Q17" s="1199" t="e">
        <f>#REF!</f>
        <v>#REF!</v>
      </c>
      <c r="R17" s="1199">
        <v>0.01</v>
      </c>
      <c r="S17" s="1199">
        <v>0.01</v>
      </c>
      <c r="T17" s="1199">
        <v>0.01</v>
      </c>
      <c r="U17" s="1199">
        <v>0.01</v>
      </c>
      <c r="V17" s="1199">
        <v>0.01</v>
      </c>
    </row>
    <row r="18" spans="1:22" x14ac:dyDescent="0.4">
      <c r="C18" s="1200"/>
      <c r="D18" s="1200"/>
      <c r="E18" s="1200"/>
    </row>
    <row r="19" spans="1:22" x14ac:dyDescent="0.4">
      <c r="A19" s="1182" t="s">
        <v>355</v>
      </c>
      <c r="B19" s="1171" t="s">
        <v>356</v>
      </c>
      <c r="C19" s="1201"/>
      <c r="D19" s="1201" t="e">
        <f>#REF!</f>
        <v>#REF!</v>
      </c>
      <c r="E19" s="1201" t="e">
        <f>#REF!</f>
        <v>#REF!</v>
      </c>
      <c r="F19" s="1201" t="e">
        <f>#REF!</f>
        <v>#REF!</v>
      </c>
      <c r="G19" s="1201">
        <f>(4823688+185764)/1000</f>
        <v>5009.4520000000002</v>
      </c>
      <c r="H19" s="1201" t="e">
        <f>F19-G19</f>
        <v>#REF!</v>
      </c>
      <c r="I19" s="1201" t="e">
        <f>#REF!</f>
        <v>#REF!</v>
      </c>
      <c r="J19" s="1201">
        <f>(4870294+167111)/1000</f>
        <v>5037.4049999999997</v>
      </c>
      <c r="K19" s="1201" t="e">
        <f>I19-J19</f>
        <v>#REF!</v>
      </c>
      <c r="L19" s="1201" t="e">
        <f t="shared" ref="L19:V19" si="12">SUM(L22,L25,L28,L31,L34,L37)</f>
        <v>#REF!</v>
      </c>
      <c r="M19" s="1201">
        <v>4937.9549999999999</v>
      </c>
      <c r="N19" s="1201" t="e">
        <f>L19-M19</f>
        <v>#REF!</v>
      </c>
      <c r="O19" s="1201" t="e">
        <f t="shared" si="12"/>
        <v>#REF!</v>
      </c>
      <c r="P19" s="1201" t="e">
        <f t="shared" si="12"/>
        <v>#REF!</v>
      </c>
      <c r="Q19" s="1201" t="e">
        <f t="shared" si="12"/>
        <v>#REF!</v>
      </c>
      <c r="R19" s="1201" t="e">
        <f t="shared" si="12"/>
        <v>#REF!</v>
      </c>
      <c r="S19" s="1201" t="e">
        <f t="shared" si="12"/>
        <v>#REF!</v>
      </c>
      <c r="T19" s="1201" t="e">
        <f t="shared" si="12"/>
        <v>#REF!</v>
      </c>
      <c r="U19" s="1201" t="e">
        <f t="shared" si="12"/>
        <v>#REF!</v>
      </c>
      <c r="V19" s="1201" t="e">
        <f t="shared" si="12"/>
        <v>#REF!</v>
      </c>
    </row>
    <row r="20" spans="1:22" x14ac:dyDescent="0.4">
      <c r="A20" s="1202" t="s">
        <v>341</v>
      </c>
      <c r="B20" s="1202" t="s">
        <v>341</v>
      </c>
      <c r="C20" s="275"/>
      <c r="D20" s="275"/>
      <c r="E20" s="275" t="e">
        <f t="shared" ref="E20:V20" si="13">E19/D19-1</f>
        <v>#REF!</v>
      </c>
      <c r="F20" s="275" t="e">
        <f t="shared" si="13"/>
        <v>#REF!</v>
      </c>
      <c r="G20" s="275"/>
      <c r="H20" s="275"/>
      <c r="I20" s="275" t="e">
        <f>I19/F19-1</f>
        <v>#REF!</v>
      </c>
      <c r="J20" s="275"/>
      <c r="K20" s="275"/>
      <c r="L20" s="275" t="e">
        <f>L19/I19-1</f>
        <v>#REF!</v>
      </c>
      <c r="M20" s="275"/>
      <c r="N20" s="275"/>
      <c r="O20" s="275" t="e">
        <f>O19/L19-1</f>
        <v>#REF!</v>
      </c>
      <c r="P20" s="275" t="e">
        <f t="shared" si="13"/>
        <v>#REF!</v>
      </c>
      <c r="Q20" s="275" t="e">
        <f t="shared" si="13"/>
        <v>#REF!</v>
      </c>
      <c r="R20" s="275" t="e">
        <f t="shared" si="13"/>
        <v>#REF!</v>
      </c>
      <c r="S20" s="275" t="e">
        <f t="shared" si="13"/>
        <v>#REF!</v>
      </c>
      <c r="T20" s="275" t="e">
        <f t="shared" si="13"/>
        <v>#REF!</v>
      </c>
      <c r="U20" s="275" t="e">
        <f t="shared" si="13"/>
        <v>#REF!</v>
      </c>
      <c r="V20" s="275" t="e">
        <f t="shared" si="13"/>
        <v>#REF!</v>
      </c>
    </row>
    <row r="21" spans="1:22" x14ac:dyDescent="0.4">
      <c r="A21" s="1203" t="s">
        <v>357</v>
      </c>
      <c r="B21" s="1186" t="s">
        <v>354</v>
      </c>
      <c r="C21" s="275"/>
      <c r="D21" s="275" t="e">
        <f t="shared" ref="D21:V21" si="14">D19/D4</f>
        <v>#REF!</v>
      </c>
      <c r="E21" s="275" t="e">
        <f t="shared" si="14"/>
        <v>#REF!</v>
      </c>
      <c r="F21" s="275" t="e">
        <f t="shared" si="14"/>
        <v>#REF!</v>
      </c>
      <c r="G21" s="275"/>
      <c r="H21" s="275"/>
      <c r="I21" s="275" t="e">
        <f t="shared" si="14"/>
        <v>#REF!</v>
      </c>
      <c r="J21" s="275"/>
      <c r="K21" s="275"/>
      <c r="L21" s="275" t="e">
        <f t="shared" si="14"/>
        <v>#REF!</v>
      </c>
      <c r="M21" s="275"/>
      <c r="N21" s="275"/>
      <c r="O21" s="275" t="e">
        <f t="shared" si="14"/>
        <v>#REF!</v>
      </c>
      <c r="P21" s="275" t="e">
        <f t="shared" si="14"/>
        <v>#REF!</v>
      </c>
      <c r="Q21" s="275" t="e">
        <f t="shared" si="14"/>
        <v>#REF!</v>
      </c>
      <c r="R21" s="275" t="e">
        <f t="shared" si="14"/>
        <v>#REF!</v>
      </c>
      <c r="S21" s="275" t="e">
        <f t="shared" si="14"/>
        <v>#REF!</v>
      </c>
      <c r="T21" s="275" t="e">
        <f t="shared" si="14"/>
        <v>#REF!</v>
      </c>
      <c r="U21" s="275" t="e">
        <f t="shared" si="14"/>
        <v>#REF!</v>
      </c>
      <c r="V21" s="275" t="e">
        <f t="shared" si="14"/>
        <v>#REF!</v>
      </c>
    </row>
    <row r="22" spans="1:22" outlineLevel="1" x14ac:dyDescent="0.4">
      <c r="A22" s="1187" t="s">
        <v>342</v>
      </c>
      <c r="B22" s="1188" t="s">
        <v>343</v>
      </c>
      <c r="C22" s="1204"/>
      <c r="D22" s="1204">
        <f>D6-D44</f>
        <v>7116.2519999999995</v>
      </c>
      <c r="E22" s="1204">
        <f>E6-E44</f>
        <v>5348.1900000000005</v>
      </c>
      <c r="F22" s="1204">
        <f>F6-F44</f>
        <v>5967.6409999999996</v>
      </c>
      <c r="G22" s="1204" t="e">
        <f>#REF!</f>
        <v>#REF!</v>
      </c>
      <c r="H22" s="1204" t="e">
        <f>#REF!</f>
        <v>#REF!</v>
      </c>
      <c r="I22" s="1204" t="e">
        <f>#REF!</f>
        <v>#REF!</v>
      </c>
      <c r="J22" s="1204" t="e">
        <f>#REF!</f>
        <v>#REF!</v>
      </c>
      <c r="K22" s="1204" t="e">
        <f>#REF!</f>
        <v>#REF!</v>
      </c>
      <c r="L22" s="1204" t="e">
        <f>#REF!</f>
        <v>#REF!</v>
      </c>
      <c r="M22" s="1204" t="e">
        <f>#REF!</f>
        <v>#REF!</v>
      </c>
      <c r="N22" s="1204" t="e">
        <f>L22-M22</f>
        <v>#REF!</v>
      </c>
      <c r="O22" s="1204" t="e">
        <f>#REF!</f>
        <v>#REF!</v>
      </c>
      <c r="P22" s="1204" t="e">
        <f>#REF!</f>
        <v>#REF!</v>
      </c>
      <c r="Q22" s="1204" t="e">
        <f>#REF!</f>
        <v>#REF!</v>
      </c>
      <c r="R22" s="1204" t="e">
        <f>#REF!</f>
        <v>#REF!</v>
      </c>
      <c r="S22" s="1204" t="e">
        <f>#REF!</f>
        <v>#REF!</v>
      </c>
      <c r="T22" s="1204" t="e">
        <f>#REF!</f>
        <v>#REF!</v>
      </c>
      <c r="U22" s="1204" t="e">
        <f>#REF!</f>
        <v>#REF!</v>
      </c>
      <c r="V22" s="1204" t="e">
        <f>#REF!</f>
        <v>#REF!</v>
      </c>
    </row>
    <row r="23" spans="1:22" outlineLevel="1" x14ac:dyDescent="0.4">
      <c r="A23" s="1190" t="s">
        <v>341</v>
      </c>
      <c r="B23" s="1191" t="s">
        <v>341</v>
      </c>
      <c r="C23" s="1205"/>
      <c r="D23" s="1205"/>
      <c r="E23" s="1205">
        <f t="shared" ref="E23:V23" si="15">E22/D22-1</f>
        <v>-0.24845410196266227</v>
      </c>
      <c r="F23" s="1205">
        <f t="shared" si="15"/>
        <v>0.11582441910253727</v>
      </c>
      <c r="G23" s="1205"/>
      <c r="H23" s="1205"/>
      <c r="I23" s="1205" t="e">
        <f t="shared" ref="I23:O23" si="16">I22/F22-1</f>
        <v>#REF!</v>
      </c>
      <c r="J23" s="1205" t="e">
        <f t="shared" si="16"/>
        <v>#REF!</v>
      </c>
      <c r="K23" s="1205" t="e">
        <f t="shared" si="16"/>
        <v>#REF!</v>
      </c>
      <c r="L23" s="1205" t="e">
        <f t="shared" si="16"/>
        <v>#REF!</v>
      </c>
      <c r="M23" s="1205" t="e">
        <f t="shared" si="16"/>
        <v>#REF!</v>
      </c>
      <c r="N23" s="1205" t="e">
        <f t="shared" si="16"/>
        <v>#REF!</v>
      </c>
      <c r="O23" s="1205" t="e">
        <f t="shared" si="16"/>
        <v>#REF!</v>
      </c>
      <c r="P23" s="1205" t="e">
        <f t="shared" si="15"/>
        <v>#REF!</v>
      </c>
      <c r="Q23" s="1205" t="e">
        <f t="shared" si="15"/>
        <v>#REF!</v>
      </c>
      <c r="R23" s="1205" t="e">
        <f t="shared" si="15"/>
        <v>#REF!</v>
      </c>
      <c r="S23" s="1205" t="e">
        <f t="shared" si="15"/>
        <v>#REF!</v>
      </c>
      <c r="T23" s="1205" t="e">
        <f t="shared" si="15"/>
        <v>#REF!</v>
      </c>
      <c r="U23" s="1205" t="e">
        <f t="shared" si="15"/>
        <v>#REF!</v>
      </c>
      <c r="V23" s="1205" t="e">
        <f t="shared" si="15"/>
        <v>#REF!</v>
      </c>
    </row>
    <row r="24" spans="1:22" outlineLevel="1" x14ac:dyDescent="0.4">
      <c r="A24" s="1190" t="s">
        <v>358</v>
      </c>
      <c r="B24" s="1191" t="s">
        <v>354</v>
      </c>
      <c r="C24" s="1206"/>
      <c r="D24" s="1206">
        <f t="shared" ref="D24:V24" si="17">D22/D6</f>
        <v>0.95332975735696401</v>
      </c>
      <c r="E24" s="1206">
        <f t="shared" si="17"/>
        <v>0.96754515125677809</v>
      </c>
      <c r="F24" s="1206">
        <f t="shared" si="17"/>
        <v>0.96319993363075751</v>
      </c>
      <c r="G24" s="1206"/>
      <c r="H24" s="1206"/>
      <c r="I24" s="1206" t="e">
        <f t="shared" si="17"/>
        <v>#REF!</v>
      </c>
      <c r="J24" s="1206" t="e">
        <f>J22/J6</f>
        <v>#REF!</v>
      </c>
      <c r="K24" s="1206" t="e">
        <f>K22/K6</f>
        <v>#REF!</v>
      </c>
      <c r="L24" s="1206" t="e">
        <f t="shared" si="17"/>
        <v>#REF!</v>
      </c>
      <c r="M24" s="1206" t="e">
        <f>M22/M6</f>
        <v>#REF!</v>
      </c>
      <c r="N24" s="1206" t="e">
        <f>N22/N6</f>
        <v>#REF!</v>
      </c>
      <c r="O24" s="1206" t="e">
        <f t="shared" si="17"/>
        <v>#REF!</v>
      </c>
      <c r="P24" s="1206" t="e">
        <f t="shared" si="17"/>
        <v>#REF!</v>
      </c>
      <c r="Q24" s="1206" t="e">
        <f t="shared" si="17"/>
        <v>#REF!</v>
      </c>
      <c r="R24" s="1206" t="e">
        <f t="shared" si="17"/>
        <v>#REF!</v>
      </c>
      <c r="S24" s="1206" t="e">
        <f t="shared" si="17"/>
        <v>#REF!</v>
      </c>
      <c r="T24" s="1206" t="e">
        <f t="shared" si="17"/>
        <v>#REF!</v>
      </c>
      <c r="U24" s="1206" t="e">
        <f t="shared" si="17"/>
        <v>#REF!</v>
      </c>
      <c r="V24" s="1206" t="e">
        <f t="shared" si="17"/>
        <v>#REF!</v>
      </c>
    </row>
    <row r="25" spans="1:22" outlineLevel="1" x14ac:dyDescent="0.4">
      <c r="A25" s="1193" t="s">
        <v>344</v>
      </c>
      <c r="B25" s="1183" t="s">
        <v>359</v>
      </c>
      <c r="C25" s="1207"/>
      <c r="D25" s="1207">
        <f t="shared" ref="D25:V25" si="18">D8-D47</f>
        <v>1442.4279999999999</v>
      </c>
      <c r="E25" s="1207">
        <f t="shared" si="18"/>
        <v>1312.712</v>
      </c>
      <c r="F25" s="1207">
        <f t="shared" si="18"/>
        <v>1796.19</v>
      </c>
      <c r="G25" s="1207" t="e">
        <f t="shared" si="18"/>
        <v>#REF!</v>
      </c>
      <c r="H25" s="1207" t="e">
        <f t="shared" si="18"/>
        <v>#REF!</v>
      </c>
      <c r="I25" s="1207" t="e">
        <f t="shared" si="18"/>
        <v>#REF!</v>
      </c>
      <c r="J25" s="1207" t="e">
        <f t="shared" si="18"/>
        <v>#REF!</v>
      </c>
      <c r="K25" s="1207" t="e">
        <f t="shared" si="18"/>
        <v>#REF!</v>
      </c>
      <c r="L25" s="1207" t="e">
        <f t="shared" si="18"/>
        <v>#REF!</v>
      </c>
      <c r="M25" s="1207" t="e">
        <f>#REF!</f>
        <v>#REF!</v>
      </c>
      <c r="N25" s="1207" t="e">
        <f>L25-M25</f>
        <v>#REF!</v>
      </c>
      <c r="O25" s="1207" t="e">
        <f t="shared" si="18"/>
        <v>#REF!</v>
      </c>
      <c r="P25" s="1207" t="e">
        <f t="shared" si="18"/>
        <v>#REF!</v>
      </c>
      <c r="Q25" s="1207" t="e">
        <f t="shared" si="18"/>
        <v>#REF!</v>
      </c>
      <c r="R25" s="1207" t="e">
        <f t="shared" si="18"/>
        <v>#REF!</v>
      </c>
      <c r="S25" s="1207" t="e">
        <f t="shared" si="18"/>
        <v>#REF!</v>
      </c>
      <c r="T25" s="1207" t="e">
        <f t="shared" si="18"/>
        <v>#REF!</v>
      </c>
      <c r="U25" s="1207" t="e">
        <f t="shared" si="18"/>
        <v>#REF!</v>
      </c>
      <c r="V25" s="1207" t="e">
        <f t="shared" si="18"/>
        <v>#REF!</v>
      </c>
    </row>
    <row r="26" spans="1:22" outlineLevel="1" x14ac:dyDescent="0.4">
      <c r="A26" s="1190" t="s">
        <v>341</v>
      </c>
      <c r="B26" s="1191" t="s">
        <v>341</v>
      </c>
      <c r="C26" s="1205"/>
      <c r="D26" s="1205"/>
      <c r="E26" s="1205">
        <f t="shared" ref="E26:V26" si="19">E25/D25-1</f>
        <v>-8.9928925395236337E-2</v>
      </c>
      <c r="F26" s="1205">
        <f t="shared" si="19"/>
        <v>0.36830470049790054</v>
      </c>
      <c r="G26" s="1205"/>
      <c r="H26" s="1205"/>
      <c r="I26" s="1205" t="e">
        <f t="shared" ref="I26:O26" si="20">I25/F25-1</f>
        <v>#REF!</v>
      </c>
      <c r="J26" s="1205" t="e">
        <f t="shared" si="20"/>
        <v>#REF!</v>
      </c>
      <c r="K26" s="1205" t="e">
        <f t="shared" si="20"/>
        <v>#REF!</v>
      </c>
      <c r="L26" s="1205" t="e">
        <f t="shared" si="20"/>
        <v>#REF!</v>
      </c>
      <c r="M26" s="1205" t="e">
        <f t="shared" si="20"/>
        <v>#REF!</v>
      </c>
      <c r="N26" s="1205" t="e">
        <f t="shared" si="20"/>
        <v>#REF!</v>
      </c>
      <c r="O26" s="1205" t="e">
        <f t="shared" si="20"/>
        <v>#REF!</v>
      </c>
      <c r="P26" s="1205" t="e">
        <f t="shared" si="19"/>
        <v>#REF!</v>
      </c>
      <c r="Q26" s="1205" t="e">
        <f t="shared" si="19"/>
        <v>#REF!</v>
      </c>
      <c r="R26" s="1205" t="e">
        <f t="shared" si="19"/>
        <v>#REF!</v>
      </c>
      <c r="S26" s="1205" t="e">
        <f t="shared" si="19"/>
        <v>#REF!</v>
      </c>
      <c r="T26" s="1205" t="e">
        <f t="shared" si="19"/>
        <v>#REF!</v>
      </c>
      <c r="U26" s="1205" t="e">
        <f t="shared" si="19"/>
        <v>#REF!</v>
      </c>
      <c r="V26" s="1205" t="e">
        <f t="shared" si="19"/>
        <v>#REF!</v>
      </c>
    </row>
    <row r="27" spans="1:22" outlineLevel="1" x14ac:dyDescent="0.4">
      <c r="A27" s="1190" t="s">
        <v>358</v>
      </c>
      <c r="B27" s="1191" t="s">
        <v>354</v>
      </c>
      <c r="C27" s="1206"/>
      <c r="D27" s="1206">
        <f t="shared" ref="D27:V27" si="21">D25/D8</f>
        <v>0.9296390822376901</v>
      </c>
      <c r="E27" s="1206">
        <f t="shared" si="21"/>
        <v>0.82727936162623472</v>
      </c>
      <c r="F27" s="1206">
        <f t="shared" si="21"/>
        <v>0.8643049961745557</v>
      </c>
      <c r="G27" s="1206"/>
      <c r="H27" s="1206"/>
      <c r="I27" s="1206" t="e">
        <f t="shared" si="21"/>
        <v>#REF!</v>
      </c>
      <c r="J27" s="1206" t="e">
        <f>J25/J8</f>
        <v>#REF!</v>
      </c>
      <c r="K27" s="1206" t="e">
        <f>K25/K8</f>
        <v>#REF!</v>
      </c>
      <c r="L27" s="1206" t="e">
        <f t="shared" si="21"/>
        <v>#REF!</v>
      </c>
      <c r="M27" s="1206" t="e">
        <f>M25/M8</f>
        <v>#REF!</v>
      </c>
      <c r="N27" s="1206" t="e">
        <f>N25/N8</f>
        <v>#REF!</v>
      </c>
      <c r="O27" s="1206" t="e">
        <f t="shared" si="21"/>
        <v>#REF!</v>
      </c>
      <c r="P27" s="1206" t="e">
        <f t="shared" si="21"/>
        <v>#REF!</v>
      </c>
      <c r="Q27" s="1206" t="e">
        <f t="shared" si="21"/>
        <v>#REF!</v>
      </c>
      <c r="R27" s="1206" t="e">
        <f t="shared" si="21"/>
        <v>#REF!</v>
      </c>
      <c r="S27" s="1206" t="e">
        <f t="shared" si="21"/>
        <v>#REF!</v>
      </c>
      <c r="T27" s="1206" t="e">
        <f t="shared" si="21"/>
        <v>#REF!</v>
      </c>
      <c r="U27" s="1206" t="e">
        <f t="shared" si="21"/>
        <v>#REF!</v>
      </c>
      <c r="V27" s="1206" t="e">
        <f t="shared" si="21"/>
        <v>#REF!</v>
      </c>
    </row>
    <row r="28" spans="1:22" outlineLevel="1" x14ac:dyDescent="0.4">
      <c r="A28" s="1193" t="s">
        <v>345</v>
      </c>
      <c r="B28" s="1183" t="s">
        <v>346</v>
      </c>
      <c r="C28" s="1207"/>
      <c r="D28" s="1207">
        <f t="shared" ref="D28:V28" si="22">+D10-D50</f>
        <v>787.77300000000002</v>
      </c>
      <c r="E28" s="1207">
        <f t="shared" si="22"/>
        <v>2012.6540000000002</v>
      </c>
      <c r="F28" s="1207">
        <f t="shared" si="22"/>
        <v>1740.3019999999999</v>
      </c>
      <c r="G28" s="1207" t="e">
        <f t="shared" si="22"/>
        <v>#REF!</v>
      </c>
      <c r="H28" s="1207" t="e">
        <f t="shared" si="22"/>
        <v>#REF!</v>
      </c>
      <c r="I28" s="1207" t="e">
        <f t="shared" si="22"/>
        <v>#REF!</v>
      </c>
      <c r="J28" s="1207" t="e">
        <f t="shared" si="22"/>
        <v>#REF!</v>
      </c>
      <c r="K28" s="1207" t="e">
        <f t="shared" si="22"/>
        <v>#REF!</v>
      </c>
      <c r="L28" s="1207" t="e">
        <f t="shared" si="22"/>
        <v>#REF!</v>
      </c>
      <c r="M28" s="1207" t="e">
        <f>#REF!</f>
        <v>#REF!</v>
      </c>
      <c r="N28" s="1207" t="e">
        <f>L28-M28</f>
        <v>#REF!</v>
      </c>
      <c r="O28" s="1207" t="e">
        <f t="shared" si="22"/>
        <v>#REF!</v>
      </c>
      <c r="P28" s="1207" t="e">
        <f t="shared" si="22"/>
        <v>#REF!</v>
      </c>
      <c r="Q28" s="1207" t="e">
        <f t="shared" si="22"/>
        <v>#REF!</v>
      </c>
      <c r="R28" s="1207" t="e">
        <f t="shared" si="22"/>
        <v>#REF!</v>
      </c>
      <c r="S28" s="1207" t="e">
        <f t="shared" si="22"/>
        <v>#REF!</v>
      </c>
      <c r="T28" s="1207" t="e">
        <f t="shared" si="22"/>
        <v>#REF!</v>
      </c>
      <c r="U28" s="1207" t="e">
        <f t="shared" si="22"/>
        <v>#REF!</v>
      </c>
      <c r="V28" s="1207" t="e">
        <f t="shared" si="22"/>
        <v>#REF!</v>
      </c>
    </row>
    <row r="29" spans="1:22" outlineLevel="1" x14ac:dyDescent="0.4">
      <c r="A29" s="1190" t="s">
        <v>341</v>
      </c>
      <c r="B29" s="1191" t="s">
        <v>341</v>
      </c>
      <c r="C29" s="1205"/>
      <c r="D29" s="1205"/>
      <c r="E29" s="1205">
        <f t="shared" ref="E29:V29" si="23">E28/D28-1</f>
        <v>1.5548654244306421</v>
      </c>
      <c r="F29" s="1205">
        <f t="shared" si="23"/>
        <v>-0.13531983142656423</v>
      </c>
      <c r="G29" s="1205"/>
      <c r="H29" s="1205"/>
      <c r="I29" s="1205" t="e">
        <f t="shared" ref="I29:O29" si="24">I28/F28-1</f>
        <v>#REF!</v>
      </c>
      <c r="J29" s="1205" t="e">
        <f t="shared" si="24"/>
        <v>#REF!</v>
      </c>
      <c r="K29" s="1205" t="e">
        <f t="shared" si="24"/>
        <v>#REF!</v>
      </c>
      <c r="L29" s="1205" t="e">
        <f t="shared" si="24"/>
        <v>#REF!</v>
      </c>
      <c r="M29" s="1205" t="e">
        <f t="shared" si="24"/>
        <v>#REF!</v>
      </c>
      <c r="N29" s="1205" t="e">
        <f t="shared" si="24"/>
        <v>#REF!</v>
      </c>
      <c r="O29" s="1205" t="e">
        <f t="shared" si="24"/>
        <v>#REF!</v>
      </c>
      <c r="P29" s="1205" t="e">
        <f t="shared" si="23"/>
        <v>#REF!</v>
      </c>
      <c r="Q29" s="1205" t="e">
        <f t="shared" si="23"/>
        <v>#REF!</v>
      </c>
      <c r="R29" s="1205" t="e">
        <f t="shared" si="23"/>
        <v>#REF!</v>
      </c>
      <c r="S29" s="1205" t="e">
        <f t="shared" si="23"/>
        <v>#REF!</v>
      </c>
      <c r="T29" s="1205" t="e">
        <f t="shared" si="23"/>
        <v>#REF!</v>
      </c>
      <c r="U29" s="1205" t="e">
        <f t="shared" si="23"/>
        <v>#REF!</v>
      </c>
      <c r="V29" s="1205" t="e">
        <f t="shared" si="23"/>
        <v>#REF!</v>
      </c>
    </row>
    <row r="30" spans="1:22" outlineLevel="1" x14ac:dyDescent="0.4">
      <c r="A30" s="1190" t="s">
        <v>358</v>
      </c>
      <c r="B30" s="1191" t="s">
        <v>354</v>
      </c>
      <c r="C30" s="1206"/>
      <c r="D30" s="1206">
        <f t="shared" ref="D30:V30" si="25">D28/D10</f>
        <v>0.99152804768761393</v>
      </c>
      <c r="E30" s="1206">
        <f t="shared" si="25"/>
        <v>0.9744408589916459</v>
      </c>
      <c r="F30" s="1206">
        <f t="shared" si="25"/>
        <v>0.96828579726723718</v>
      </c>
      <c r="G30" s="1206"/>
      <c r="H30" s="1206"/>
      <c r="I30" s="1206" t="e">
        <f t="shared" si="25"/>
        <v>#REF!</v>
      </c>
      <c r="J30" s="1206" t="e">
        <f>J28/J10</f>
        <v>#REF!</v>
      </c>
      <c r="K30" s="1206" t="e">
        <f>K28/K10</f>
        <v>#REF!</v>
      </c>
      <c r="L30" s="1206" t="e">
        <f t="shared" si="25"/>
        <v>#REF!</v>
      </c>
      <c r="M30" s="1206" t="e">
        <f>M28/M10</f>
        <v>#REF!</v>
      </c>
      <c r="N30" s="1206" t="e">
        <f>N28/N10</f>
        <v>#REF!</v>
      </c>
      <c r="O30" s="1206" t="e">
        <f t="shared" si="25"/>
        <v>#REF!</v>
      </c>
      <c r="P30" s="1206" t="e">
        <f t="shared" si="25"/>
        <v>#REF!</v>
      </c>
      <c r="Q30" s="1206" t="e">
        <f t="shared" si="25"/>
        <v>#REF!</v>
      </c>
      <c r="R30" s="1206" t="e">
        <f t="shared" si="25"/>
        <v>#REF!</v>
      </c>
      <c r="S30" s="1206" t="e">
        <f t="shared" si="25"/>
        <v>#REF!</v>
      </c>
      <c r="T30" s="1206" t="e">
        <f t="shared" si="25"/>
        <v>#REF!</v>
      </c>
      <c r="U30" s="1206" t="e">
        <f t="shared" si="25"/>
        <v>#REF!</v>
      </c>
      <c r="V30" s="1206" t="e">
        <f t="shared" si="25"/>
        <v>#REF!</v>
      </c>
    </row>
    <row r="31" spans="1:22" outlineLevel="1" x14ac:dyDescent="0.4">
      <c r="A31" s="1193" t="s">
        <v>347</v>
      </c>
      <c r="B31" s="1183" t="s">
        <v>348</v>
      </c>
      <c r="C31" s="1207"/>
      <c r="D31" s="1207">
        <f t="shared" ref="D31:V31" si="26">+D12-D53</f>
        <v>776.26800000000003</v>
      </c>
      <c r="E31" s="1207">
        <f t="shared" si="26"/>
        <v>467.505</v>
      </c>
      <c r="F31" s="1207">
        <f t="shared" si="26"/>
        <v>714.14300000000003</v>
      </c>
      <c r="G31" s="1207" t="e">
        <f t="shared" si="26"/>
        <v>#REF!</v>
      </c>
      <c r="H31" s="1207" t="e">
        <f t="shared" si="26"/>
        <v>#REF!</v>
      </c>
      <c r="I31" s="1207" t="e">
        <f t="shared" si="26"/>
        <v>#REF!</v>
      </c>
      <c r="J31" s="1207" t="e">
        <f t="shared" si="26"/>
        <v>#REF!</v>
      </c>
      <c r="K31" s="1207" t="e">
        <f t="shared" si="26"/>
        <v>#REF!</v>
      </c>
      <c r="L31" s="1207" t="e">
        <f t="shared" si="26"/>
        <v>#REF!</v>
      </c>
      <c r="M31" s="1207" t="e">
        <f>#REF!</f>
        <v>#REF!</v>
      </c>
      <c r="N31" s="1207" t="e">
        <f>L31-M31</f>
        <v>#REF!</v>
      </c>
      <c r="O31" s="1207" t="e">
        <f t="shared" si="26"/>
        <v>#REF!</v>
      </c>
      <c r="P31" s="1207" t="e">
        <f t="shared" si="26"/>
        <v>#REF!</v>
      </c>
      <c r="Q31" s="1207" t="e">
        <f t="shared" si="26"/>
        <v>#REF!</v>
      </c>
      <c r="R31" s="1207" t="e">
        <f t="shared" si="26"/>
        <v>#REF!</v>
      </c>
      <c r="S31" s="1207" t="e">
        <f t="shared" si="26"/>
        <v>#REF!</v>
      </c>
      <c r="T31" s="1207" t="e">
        <f t="shared" si="26"/>
        <v>#REF!</v>
      </c>
      <c r="U31" s="1207" t="e">
        <f t="shared" si="26"/>
        <v>#REF!</v>
      </c>
      <c r="V31" s="1207" t="e">
        <f t="shared" si="26"/>
        <v>#REF!</v>
      </c>
    </row>
    <row r="32" spans="1:22" outlineLevel="1" x14ac:dyDescent="0.4">
      <c r="A32" s="1190" t="s">
        <v>341</v>
      </c>
      <c r="B32" s="1191" t="s">
        <v>341</v>
      </c>
      <c r="C32" s="1205"/>
      <c r="D32" s="1205"/>
      <c r="E32" s="1205">
        <f t="shared" ref="E32:V32" si="27">E31/D31-1</f>
        <v>-0.3977530955803924</v>
      </c>
      <c r="F32" s="1205">
        <f t="shared" si="27"/>
        <v>0.52756227206126138</v>
      </c>
      <c r="G32" s="1205"/>
      <c r="H32" s="1205"/>
      <c r="I32" s="1205" t="e">
        <f t="shared" ref="I32:O32" si="28">I31/F31-1</f>
        <v>#REF!</v>
      </c>
      <c r="J32" s="1205" t="e">
        <f t="shared" si="28"/>
        <v>#REF!</v>
      </c>
      <c r="K32" s="1205" t="e">
        <f t="shared" si="28"/>
        <v>#REF!</v>
      </c>
      <c r="L32" s="1205" t="e">
        <f t="shared" si="28"/>
        <v>#REF!</v>
      </c>
      <c r="M32" s="1205" t="e">
        <f t="shared" si="28"/>
        <v>#REF!</v>
      </c>
      <c r="N32" s="1205" t="e">
        <f t="shared" si="28"/>
        <v>#REF!</v>
      </c>
      <c r="O32" s="1205" t="e">
        <f t="shared" si="28"/>
        <v>#REF!</v>
      </c>
      <c r="P32" s="1205" t="e">
        <f t="shared" si="27"/>
        <v>#REF!</v>
      </c>
      <c r="Q32" s="1205" t="e">
        <f t="shared" si="27"/>
        <v>#REF!</v>
      </c>
      <c r="R32" s="1205" t="e">
        <f t="shared" si="27"/>
        <v>#REF!</v>
      </c>
      <c r="S32" s="1205" t="e">
        <f t="shared" si="27"/>
        <v>#REF!</v>
      </c>
      <c r="T32" s="1205" t="e">
        <f t="shared" si="27"/>
        <v>#REF!</v>
      </c>
      <c r="U32" s="1205" t="e">
        <f t="shared" si="27"/>
        <v>#REF!</v>
      </c>
      <c r="V32" s="1205" t="e">
        <f t="shared" si="27"/>
        <v>#REF!</v>
      </c>
    </row>
    <row r="33" spans="1:24" outlineLevel="1" x14ac:dyDescent="0.4">
      <c r="A33" s="1190" t="s">
        <v>358</v>
      </c>
      <c r="B33" s="1191" t="s">
        <v>354</v>
      </c>
      <c r="C33" s="1206"/>
      <c r="D33" s="1206">
        <f t="shared" ref="D33:V33" si="29">D31/D12</f>
        <v>0.91848426692160789</v>
      </c>
      <c r="E33" s="1206">
        <f t="shared" si="29"/>
        <v>0.60999414150929854</v>
      </c>
      <c r="F33" s="1206">
        <f t="shared" si="29"/>
        <v>0.67875089222662699</v>
      </c>
      <c r="G33" s="1206"/>
      <c r="H33" s="1206"/>
      <c r="I33" s="1206" t="e">
        <f t="shared" si="29"/>
        <v>#REF!</v>
      </c>
      <c r="J33" s="1206" t="e">
        <f>J31/J12</f>
        <v>#REF!</v>
      </c>
      <c r="K33" s="1206" t="e">
        <f>K31/K12</f>
        <v>#REF!</v>
      </c>
      <c r="L33" s="1206" t="e">
        <f t="shared" si="29"/>
        <v>#REF!</v>
      </c>
      <c r="M33" s="1206" t="e">
        <f>M31/M12</f>
        <v>#REF!</v>
      </c>
      <c r="N33" s="1206" t="e">
        <f>N31/N12</f>
        <v>#REF!</v>
      </c>
      <c r="O33" s="1206" t="e">
        <f t="shared" si="29"/>
        <v>#REF!</v>
      </c>
      <c r="P33" s="1206" t="e">
        <f t="shared" si="29"/>
        <v>#REF!</v>
      </c>
      <c r="Q33" s="1206" t="e">
        <f t="shared" si="29"/>
        <v>#REF!</v>
      </c>
      <c r="R33" s="1206" t="e">
        <f t="shared" si="29"/>
        <v>#REF!</v>
      </c>
      <c r="S33" s="1206" t="e">
        <f t="shared" si="29"/>
        <v>#REF!</v>
      </c>
      <c r="T33" s="1206" t="e">
        <f t="shared" si="29"/>
        <v>#REF!</v>
      </c>
      <c r="U33" s="1206" t="e">
        <f t="shared" si="29"/>
        <v>#REF!</v>
      </c>
      <c r="V33" s="1206" t="e">
        <f t="shared" si="29"/>
        <v>#REF!</v>
      </c>
    </row>
    <row r="34" spans="1:24" outlineLevel="1" x14ac:dyDescent="0.4">
      <c r="A34" s="1193" t="s">
        <v>349</v>
      </c>
      <c r="B34" s="1183" t="s">
        <v>350</v>
      </c>
      <c r="C34" s="1207"/>
      <c r="D34" s="1207">
        <f t="shared" ref="D34:V34" si="30">+D14-D56</f>
        <v>445.95100000000002</v>
      </c>
      <c r="E34" s="1207">
        <f t="shared" si="30"/>
        <v>325.90899999999999</v>
      </c>
      <c r="F34" s="1207" t="e">
        <f t="shared" si="30"/>
        <v>#REF!</v>
      </c>
      <c r="G34" s="1207" t="e">
        <f t="shared" si="30"/>
        <v>#REF!</v>
      </c>
      <c r="H34" s="1207" t="e">
        <f t="shared" si="30"/>
        <v>#REF!</v>
      </c>
      <c r="I34" s="1207" t="e">
        <f t="shared" si="30"/>
        <v>#REF!</v>
      </c>
      <c r="J34" s="1207" t="e">
        <f t="shared" si="30"/>
        <v>#REF!</v>
      </c>
      <c r="K34" s="1207" t="e">
        <f t="shared" si="30"/>
        <v>#REF!</v>
      </c>
      <c r="L34" s="1207" t="e">
        <f t="shared" si="30"/>
        <v>#REF!</v>
      </c>
      <c r="M34" s="1207" t="e">
        <f>M14-M56</f>
        <v>#REF!</v>
      </c>
      <c r="N34" s="1207" t="e">
        <f>N14-N56</f>
        <v>#REF!</v>
      </c>
      <c r="O34" s="1207" t="e">
        <f t="shared" si="30"/>
        <v>#REF!</v>
      </c>
      <c r="P34" s="1207" t="e">
        <f t="shared" si="30"/>
        <v>#REF!</v>
      </c>
      <c r="Q34" s="1207" t="e">
        <f t="shared" si="30"/>
        <v>#REF!</v>
      </c>
      <c r="R34" s="1207" t="e">
        <f t="shared" si="30"/>
        <v>#REF!</v>
      </c>
      <c r="S34" s="1207" t="e">
        <f t="shared" si="30"/>
        <v>#REF!</v>
      </c>
      <c r="T34" s="1207" t="e">
        <f t="shared" si="30"/>
        <v>#REF!</v>
      </c>
      <c r="U34" s="1207" t="e">
        <f t="shared" si="30"/>
        <v>#REF!</v>
      </c>
      <c r="V34" s="1207" t="e">
        <f t="shared" si="30"/>
        <v>#REF!</v>
      </c>
    </row>
    <row r="35" spans="1:24" outlineLevel="1" x14ac:dyDescent="0.4">
      <c r="A35" s="1190" t="s">
        <v>341</v>
      </c>
      <c r="B35" s="1191" t="s">
        <v>341</v>
      </c>
      <c r="C35" s="1205"/>
      <c r="D35" s="1205"/>
      <c r="E35" s="1205">
        <f t="shared" ref="E35:V35" si="31">E34/D34-1</f>
        <v>-0.26918204017930225</v>
      </c>
      <c r="F35" s="1205" t="e">
        <f t="shared" si="31"/>
        <v>#REF!</v>
      </c>
      <c r="G35" s="1205"/>
      <c r="H35" s="1205"/>
      <c r="I35" s="1205" t="e">
        <f>I34/F34-1</f>
        <v>#REF!</v>
      </c>
      <c r="J35" s="1205"/>
      <c r="K35" s="1205"/>
      <c r="L35" s="1205" t="e">
        <f>L34/I34-1</f>
        <v>#REF!</v>
      </c>
      <c r="M35" s="1205"/>
      <c r="N35" s="1205"/>
      <c r="O35" s="1205" t="e">
        <f>O34/L34-1</f>
        <v>#REF!</v>
      </c>
      <c r="P35" s="1205" t="e">
        <f t="shared" si="31"/>
        <v>#REF!</v>
      </c>
      <c r="Q35" s="1205" t="e">
        <f t="shared" si="31"/>
        <v>#REF!</v>
      </c>
      <c r="R35" s="1205" t="e">
        <f t="shared" si="31"/>
        <v>#REF!</v>
      </c>
      <c r="S35" s="1205" t="e">
        <f t="shared" si="31"/>
        <v>#REF!</v>
      </c>
      <c r="T35" s="1205" t="e">
        <f t="shared" si="31"/>
        <v>#REF!</v>
      </c>
      <c r="U35" s="1205" t="e">
        <f t="shared" si="31"/>
        <v>#REF!</v>
      </c>
      <c r="V35" s="1205" t="e">
        <f t="shared" si="31"/>
        <v>#REF!</v>
      </c>
    </row>
    <row r="36" spans="1:24" outlineLevel="1" x14ac:dyDescent="0.4">
      <c r="A36" s="1190" t="s">
        <v>358</v>
      </c>
      <c r="B36" s="1191" t="s">
        <v>354</v>
      </c>
      <c r="C36" s="1206"/>
      <c r="D36" s="1206">
        <f t="shared" ref="D36:V36" si="32">D34/D14</f>
        <v>0.98195946660090194</v>
      </c>
      <c r="E36" s="1206">
        <f t="shared" si="32"/>
        <v>0.92739539701329454</v>
      </c>
      <c r="F36" s="1206" t="e">
        <f t="shared" si="32"/>
        <v>#REF!</v>
      </c>
      <c r="G36" s="1206"/>
      <c r="H36" s="1206"/>
      <c r="I36" s="1206" t="e">
        <f t="shared" si="32"/>
        <v>#REF!</v>
      </c>
      <c r="J36" s="1206"/>
      <c r="K36" s="1206"/>
      <c r="L36" s="1206" t="e">
        <f t="shared" si="32"/>
        <v>#REF!</v>
      </c>
      <c r="M36" s="1206"/>
      <c r="N36" s="1206"/>
      <c r="O36" s="1206" t="e">
        <f t="shared" si="32"/>
        <v>#REF!</v>
      </c>
      <c r="P36" s="1206" t="e">
        <f t="shared" si="32"/>
        <v>#REF!</v>
      </c>
      <c r="Q36" s="1206" t="e">
        <f t="shared" si="32"/>
        <v>#REF!</v>
      </c>
      <c r="R36" s="1206" t="e">
        <f t="shared" si="32"/>
        <v>#REF!</v>
      </c>
      <c r="S36" s="1206" t="e">
        <f t="shared" si="32"/>
        <v>#REF!</v>
      </c>
      <c r="T36" s="1206" t="e">
        <f t="shared" si="32"/>
        <v>#REF!</v>
      </c>
      <c r="U36" s="1206" t="e">
        <f t="shared" si="32"/>
        <v>#REF!</v>
      </c>
      <c r="V36" s="1206" t="e">
        <f t="shared" si="32"/>
        <v>#REF!</v>
      </c>
    </row>
    <row r="37" spans="1:24" outlineLevel="1" x14ac:dyDescent="0.4">
      <c r="A37" s="1193" t="s">
        <v>351</v>
      </c>
      <c r="B37" s="1183" t="s">
        <v>352</v>
      </c>
      <c r="C37" s="1195"/>
      <c r="D37" s="1195" t="e">
        <f>D19-SUM(D22,D25,D28,D31,D34)</f>
        <v>#REF!</v>
      </c>
      <c r="E37" s="1195" t="e">
        <f>E19-SUM(E22,E25,E28,E31,E34)</f>
        <v>#REF!</v>
      </c>
      <c r="F37" s="1195" t="e">
        <f>F19-SUM(F22,F25,F28,F31,F34)</f>
        <v>#REF!</v>
      </c>
      <c r="G37" s="1195"/>
      <c r="H37" s="1195"/>
      <c r="I37" s="1195" t="e">
        <f t="shared" ref="I37:V37" si="33">I16</f>
        <v>#REF!</v>
      </c>
      <c r="J37" s="1195"/>
      <c r="K37" s="1195"/>
      <c r="L37" s="1195" t="e">
        <f t="shared" si="33"/>
        <v>#REF!</v>
      </c>
      <c r="M37" s="1195" t="e">
        <f t="shared" si="33"/>
        <v>#REF!</v>
      </c>
      <c r="N37" s="1195" t="e">
        <f t="shared" si="33"/>
        <v>#REF!</v>
      </c>
      <c r="O37" s="1195" t="e">
        <f t="shared" si="33"/>
        <v>#REF!</v>
      </c>
      <c r="P37" s="1195" t="e">
        <f t="shared" si="33"/>
        <v>#REF!</v>
      </c>
      <c r="Q37" s="1195" t="e">
        <f t="shared" si="33"/>
        <v>#REF!</v>
      </c>
      <c r="R37" s="1195" t="e">
        <f t="shared" si="33"/>
        <v>#REF!</v>
      </c>
      <c r="S37" s="1195" t="e">
        <f t="shared" si="33"/>
        <v>#REF!</v>
      </c>
      <c r="T37" s="1195" t="e">
        <f t="shared" si="33"/>
        <v>#REF!</v>
      </c>
      <c r="U37" s="1195" t="e">
        <f t="shared" si="33"/>
        <v>#REF!</v>
      </c>
      <c r="V37" s="1195" t="e">
        <f t="shared" si="33"/>
        <v>#REF!</v>
      </c>
    </row>
    <row r="38" spans="1:24" outlineLevel="1" x14ac:dyDescent="0.4">
      <c r="A38" s="1196" t="s">
        <v>360</v>
      </c>
      <c r="B38" s="1197" t="s">
        <v>361</v>
      </c>
      <c r="C38" s="1198"/>
      <c r="D38" s="1198" t="e">
        <f>-D37/SUM(D22,D25,D28,D31,D34)</f>
        <v>#REF!</v>
      </c>
      <c r="E38" s="1198" t="e">
        <f>-E37/SUM(E22,E25,E28,E31,E34)</f>
        <v>#REF!</v>
      </c>
      <c r="F38" s="1198" t="e">
        <f>-F37/SUM(F22,F25,F28,F31,F34)</f>
        <v>#REF!</v>
      </c>
      <c r="G38" s="1198"/>
      <c r="H38" s="1198"/>
      <c r="I38" s="1198">
        <v>1.2E-2</v>
      </c>
      <c r="J38" s="1198"/>
      <c r="K38" s="1198"/>
      <c r="L38" s="1198">
        <v>1.2E-2</v>
      </c>
      <c r="M38" s="1198"/>
      <c r="N38" s="1198"/>
      <c r="O38" s="1198" t="e">
        <f t="shared" ref="O38:V38" si="34">-O37/SUM(O22,O25,O28,O31,O34)</f>
        <v>#REF!</v>
      </c>
      <c r="P38" s="1198" t="e">
        <f t="shared" si="34"/>
        <v>#REF!</v>
      </c>
      <c r="Q38" s="1198" t="e">
        <f t="shared" si="34"/>
        <v>#REF!</v>
      </c>
      <c r="R38" s="1198" t="e">
        <f t="shared" si="34"/>
        <v>#REF!</v>
      </c>
      <c r="S38" s="1198" t="e">
        <f t="shared" si="34"/>
        <v>#REF!</v>
      </c>
      <c r="T38" s="1198" t="e">
        <f t="shared" si="34"/>
        <v>#REF!</v>
      </c>
      <c r="U38" s="1198" t="e">
        <f t="shared" si="34"/>
        <v>#REF!</v>
      </c>
      <c r="V38" s="1198" t="e">
        <f t="shared" si="34"/>
        <v>#REF!</v>
      </c>
    </row>
    <row r="39" spans="1:24" outlineLevel="1" x14ac:dyDescent="0.4">
      <c r="A39" s="1182"/>
      <c r="C39" s="1168"/>
      <c r="D39" s="1168"/>
    </row>
    <row r="40" spans="1:24" x14ac:dyDescent="0.4">
      <c r="C40" s="1208"/>
      <c r="D40" s="1208"/>
      <c r="E40" s="1208"/>
      <c r="F40" s="1208"/>
      <c r="G40" s="1208"/>
      <c r="H40" s="1208"/>
      <c r="I40" s="1208"/>
      <c r="J40" s="1208"/>
      <c r="K40" s="1208"/>
      <c r="L40" s="1208"/>
      <c r="M40" s="1208"/>
      <c r="N40" s="1208"/>
      <c r="O40" s="1208"/>
      <c r="P40" s="1208"/>
      <c r="Q40" s="1208"/>
      <c r="R40" s="1208"/>
      <c r="S40" s="1208"/>
      <c r="T40" s="1208"/>
      <c r="U40" s="1208"/>
      <c r="V40" s="1208"/>
    </row>
    <row r="41" spans="1:24" x14ac:dyDescent="0.4">
      <c r="A41" s="1182" t="s">
        <v>362</v>
      </c>
      <c r="B41" s="1183" t="s">
        <v>363</v>
      </c>
      <c r="C41" s="1209"/>
      <c r="D41" s="1209" t="e">
        <f>#REF!</f>
        <v>#REF!</v>
      </c>
      <c r="E41" s="1209" t="e">
        <f>#REF!</f>
        <v>#REF!</v>
      </c>
      <c r="F41" s="1209" t="e">
        <f>#REF!</f>
        <v>#REF!</v>
      </c>
      <c r="G41" s="1209">
        <f t="shared" ref="G41:V41" si="35">G4-G19</f>
        <v>429.68599999999969</v>
      </c>
      <c r="H41" s="1209" t="e">
        <f t="shared" si="35"/>
        <v>#REF!</v>
      </c>
      <c r="I41" s="1209" t="e">
        <f>#REF!</f>
        <v>#REF!</v>
      </c>
      <c r="J41" s="1209">
        <f t="shared" si="35"/>
        <v>464.54600000000028</v>
      </c>
      <c r="K41" s="1209" t="e">
        <f t="shared" si="35"/>
        <v>#REF!</v>
      </c>
      <c r="L41" s="1209" t="e">
        <f t="shared" si="35"/>
        <v>#REF!</v>
      </c>
      <c r="M41" s="1209">
        <f>M4-M19</f>
        <v>646.26400000000012</v>
      </c>
      <c r="N41" s="1209" t="e">
        <f>N4-N19</f>
        <v>#REF!</v>
      </c>
      <c r="O41" s="1209" t="e">
        <f t="shared" si="35"/>
        <v>#REF!</v>
      </c>
      <c r="P41" s="1209" t="e">
        <f t="shared" si="35"/>
        <v>#REF!</v>
      </c>
      <c r="Q41" s="1209" t="e">
        <f t="shared" si="35"/>
        <v>#REF!</v>
      </c>
      <c r="R41" s="1209" t="e">
        <f t="shared" si="35"/>
        <v>#REF!</v>
      </c>
      <c r="S41" s="1209" t="e">
        <f t="shared" si="35"/>
        <v>#REF!</v>
      </c>
      <c r="T41" s="1209" t="e">
        <f t="shared" si="35"/>
        <v>#REF!</v>
      </c>
      <c r="U41" s="1209" t="e">
        <f t="shared" si="35"/>
        <v>#REF!</v>
      </c>
      <c r="V41" s="1209" t="e">
        <f t="shared" si="35"/>
        <v>#REF!</v>
      </c>
      <c r="W41" s="1210"/>
      <c r="X41" s="1210"/>
    </row>
    <row r="42" spans="1:24" x14ac:dyDescent="0.4">
      <c r="A42" s="1202" t="s">
        <v>341</v>
      </c>
      <c r="B42" s="1202" t="s">
        <v>341</v>
      </c>
      <c r="C42" s="1211"/>
      <c r="D42" s="1211"/>
      <c r="E42" s="1211" t="e">
        <f t="shared" ref="E42:V42" si="36">E41/D41-1</f>
        <v>#REF!</v>
      </c>
      <c r="F42" s="1211" t="e">
        <f t="shared" si="36"/>
        <v>#REF!</v>
      </c>
      <c r="G42" s="1211"/>
      <c r="H42" s="1211"/>
      <c r="I42" s="1211" t="e">
        <f>I41/F41-1</f>
        <v>#REF!</v>
      </c>
      <c r="J42" s="1211"/>
      <c r="K42" s="1211"/>
      <c r="L42" s="1211" t="e">
        <f>L41/I41-1</f>
        <v>#REF!</v>
      </c>
      <c r="M42" s="1211"/>
      <c r="N42" s="1211"/>
      <c r="O42" s="1211" t="e">
        <f>O41/L41-1</f>
        <v>#REF!</v>
      </c>
      <c r="P42" s="1211" t="e">
        <f t="shared" si="36"/>
        <v>#REF!</v>
      </c>
      <c r="Q42" s="1211" t="e">
        <f t="shared" si="36"/>
        <v>#REF!</v>
      </c>
      <c r="R42" s="1211" t="e">
        <f t="shared" si="36"/>
        <v>#REF!</v>
      </c>
      <c r="S42" s="1211" t="e">
        <f t="shared" si="36"/>
        <v>#REF!</v>
      </c>
      <c r="T42" s="1211" t="e">
        <f t="shared" si="36"/>
        <v>#REF!</v>
      </c>
      <c r="U42" s="1211" t="e">
        <f t="shared" si="36"/>
        <v>#REF!</v>
      </c>
      <c r="V42" s="1211" t="e">
        <f t="shared" si="36"/>
        <v>#REF!</v>
      </c>
      <c r="X42" s="252"/>
    </row>
    <row r="43" spans="1:24" x14ac:dyDescent="0.4">
      <c r="A43" s="1203" t="s">
        <v>364</v>
      </c>
      <c r="B43" s="1202" t="s">
        <v>365</v>
      </c>
      <c r="C43" s="1211"/>
      <c r="D43" s="1211" t="e">
        <f t="shared" ref="D43:V43" si="37">D41/D4</f>
        <v>#REF!</v>
      </c>
      <c r="E43" s="1211" t="e">
        <f t="shared" si="37"/>
        <v>#REF!</v>
      </c>
      <c r="F43" s="1211" t="e">
        <f t="shared" si="37"/>
        <v>#REF!</v>
      </c>
      <c r="G43" s="1211">
        <f t="shared" si="37"/>
        <v>7.8998914901589126E-2</v>
      </c>
      <c r="H43" s="1211" t="e">
        <f t="shared" si="37"/>
        <v>#REF!</v>
      </c>
      <c r="I43" s="1211" t="e">
        <f t="shared" si="37"/>
        <v>#REF!</v>
      </c>
      <c r="J43" s="1211">
        <f>J41/J4</f>
        <v>8.4432958417841278E-2</v>
      </c>
      <c r="K43" s="1211" t="e">
        <f t="shared" si="37"/>
        <v>#REF!</v>
      </c>
      <c r="L43" s="1211" t="e">
        <f t="shared" si="37"/>
        <v>#REF!</v>
      </c>
      <c r="M43" s="1211">
        <f>M41/M4</f>
        <v>0.11573041816590648</v>
      </c>
      <c r="N43" s="1211" t="e">
        <f>N41/N4</f>
        <v>#REF!</v>
      </c>
      <c r="O43" s="1211" t="e">
        <f t="shared" si="37"/>
        <v>#REF!</v>
      </c>
      <c r="P43" s="1211" t="e">
        <f t="shared" si="37"/>
        <v>#REF!</v>
      </c>
      <c r="Q43" s="1211" t="e">
        <f t="shared" si="37"/>
        <v>#REF!</v>
      </c>
      <c r="R43" s="1211" t="e">
        <f t="shared" si="37"/>
        <v>#REF!</v>
      </c>
      <c r="S43" s="1211" t="e">
        <f t="shared" si="37"/>
        <v>#REF!</v>
      </c>
      <c r="T43" s="1211" t="e">
        <f t="shared" si="37"/>
        <v>#REF!</v>
      </c>
      <c r="U43" s="1211" t="e">
        <f t="shared" si="37"/>
        <v>#REF!</v>
      </c>
      <c r="V43" s="1211" t="e">
        <f t="shared" si="37"/>
        <v>#REF!</v>
      </c>
      <c r="W43" s="1212"/>
      <c r="X43" s="252"/>
    </row>
    <row r="44" spans="1:24" outlineLevel="1" x14ac:dyDescent="0.4">
      <c r="A44" s="1187" t="s">
        <v>342</v>
      </c>
      <c r="B44" s="1188" t="s">
        <v>343</v>
      </c>
      <c r="C44" s="1189"/>
      <c r="D44" s="1189">
        <f>'地区分部(原始）'!M16</f>
        <v>348.37599999999998</v>
      </c>
      <c r="E44" s="1189">
        <f>'地区分部(原始）'!N16</f>
        <v>179.39699999999999</v>
      </c>
      <c r="F44" s="1189">
        <f>'地区分部(原始）'!O16</f>
        <v>228</v>
      </c>
      <c r="G44" s="1189" t="e">
        <f>#REF!</f>
        <v>#REF!</v>
      </c>
      <c r="H44" s="1189" t="e">
        <f>#REF!</f>
        <v>#REF!</v>
      </c>
      <c r="I44" s="1189" t="e">
        <f>#REF!</f>
        <v>#REF!</v>
      </c>
      <c r="J44" s="1189" t="e">
        <f>#REF!</f>
        <v>#REF!</v>
      </c>
      <c r="K44" s="1189" t="e">
        <f>#REF!</f>
        <v>#REF!</v>
      </c>
      <c r="L44" s="1189" t="e">
        <f>#REF!</f>
        <v>#REF!</v>
      </c>
      <c r="M44" s="1189" t="e">
        <f>#REF!</f>
        <v>#REF!</v>
      </c>
      <c r="N44" s="1189" t="e">
        <f>L44-M44</f>
        <v>#REF!</v>
      </c>
      <c r="O44" s="1189" t="e">
        <f>#REF!</f>
        <v>#REF!</v>
      </c>
      <c r="P44" s="1189" t="e">
        <f>#REF!</f>
        <v>#REF!</v>
      </c>
      <c r="Q44" s="1189" t="e">
        <f>#REF!</f>
        <v>#REF!</v>
      </c>
      <c r="R44" s="1189" t="e">
        <f>#REF!</f>
        <v>#REF!</v>
      </c>
      <c r="S44" s="1189" t="e">
        <f>#REF!</f>
        <v>#REF!</v>
      </c>
      <c r="T44" s="1189" t="e">
        <f>#REF!</f>
        <v>#REF!</v>
      </c>
      <c r="U44" s="1189" t="e">
        <f>#REF!</f>
        <v>#REF!</v>
      </c>
      <c r="V44" s="1189" t="e">
        <f>#REF!</f>
        <v>#REF!</v>
      </c>
    </row>
    <row r="45" spans="1:24" outlineLevel="1" x14ac:dyDescent="0.4">
      <c r="A45" s="1190" t="s">
        <v>341</v>
      </c>
      <c r="B45" s="1191" t="s">
        <v>341</v>
      </c>
      <c r="C45" s="1205"/>
      <c r="D45" s="1205"/>
      <c r="E45" s="1205">
        <f t="shared" ref="E45:V45" si="38">E44/D44-1</f>
        <v>-0.48504776448435027</v>
      </c>
      <c r="F45" s="1205">
        <f t="shared" si="38"/>
        <v>0.27092426294754102</v>
      </c>
      <c r="G45" s="1205"/>
      <c r="H45" s="1205"/>
      <c r="I45" s="1205" t="e">
        <f t="shared" ref="I45:O45" si="39">I44/F44-1</f>
        <v>#REF!</v>
      </c>
      <c r="J45" s="1205" t="e">
        <f t="shared" si="39"/>
        <v>#REF!</v>
      </c>
      <c r="K45" s="1205" t="e">
        <f t="shared" si="39"/>
        <v>#REF!</v>
      </c>
      <c r="L45" s="1205" t="e">
        <f t="shared" si="39"/>
        <v>#REF!</v>
      </c>
      <c r="M45" s="1205" t="e">
        <f t="shared" si="39"/>
        <v>#REF!</v>
      </c>
      <c r="N45" s="1205" t="e">
        <f t="shared" si="39"/>
        <v>#REF!</v>
      </c>
      <c r="O45" s="1205" t="e">
        <f t="shared" si="39"/>
        <v>#REF!</v>
      </c>
      <c r="P45" s="1205" t="e">
        <f t="shared" si="38"/>
        <v>#REF!</v>
      </c>
      <c r="Q45" s="1205" t="e">
        <f t="shared" si="38"/>
        <v>#REF!</v>
      </c>
      <c r="R45" s="1205" t="e">
        <f t="shared" si="38"/>
        <v>#REF!</v>
      </c>
      <c r="S45" s="1205" t="e">
        <f t="shared" si="38"/>
        <v>#REF!</v>
      </c>
      <c r="T45" s="1205" t="e">
        <f t="shared" si="38"/>
        <v>#REF!</v>
      </c>
      <c r="U45" s="1205" t="e">
        <f t="shared" si="38"/>
        <v>#REF!</v>
      </c>
      <c r="V45" s="1205" t="e">
        <f t="shared" si="38"/>
        <v>#REF!</v>
      </c>
    </row>
    <row r="46" spans="1:24" outlineLevel="1" x14ac:dyDescent="0.4">
      <c r="A46" s="1190" t="s">
        <v>366</v>
      </c>
      <c r="B46" s="1191" t="s">
        <v>367</v>
      </c>
      <c r="C46" s="1192"/>
      <c r="D46" s="1192">
        <f t="shared" ref="D46:V46" si="40">D44/D6</f>
        <v>4.6670242643035931E-2</v>
      </c>
      <c r="E46" s="1192">
        <f t="shared" si="40"/>
        <v>3.2454848743221951E-2</v>
      </c>
      <c r="F46" s="1192">
        <f t="shared" si="40"/>
        <v>3.6800066369242504E-2</v>
      </c>
      <c r="G46" s="1192"/>
      <c r="H46" s="1192"/>
      <c r="I46" s="1192" t="e">
        <f t="shared" si="40"/>
        <v>#REF!</v>
      </c>
      <c r="J46" s="1192" t="e">
        <f>J44/J6</f>
        <v>#REF!</v>
      </c>
      <c r="K46" s="1192" t="e">
        <f>K44/K6</f>
        <v>#REF!</v>
      </c>
      <c r="L46" s="1192" t="e">
        <f t="shared" si="40"/>
        <v>#REF!</v>
      </c>
      <c r="M46" s="1192" t="e">
        <f>M44/M6</f>
        <v>#REF!</v>
      </c>
      <c r="N46" s="1192" t="e">
        <f>N44/N6</f>
        <v>#REF!</v>
      </c>
      <c r="O46" s="1192" t="e">
        <f t="shared" si="40"/>
        <v>#REF!</v>
      </c>
      <c r="P46" s="1192" t="e">
        <f t="shared" si="40"/>
        <v>#REF!</v>
      </c>
      <c r="Q46" s="1192" t="e">
        <f t="shared" si="40"/>
        <v>#REF!</v>
      </c>
      <c r="R46" s="1192" t="e">
        <f t="shared" si="40"/>
        <v>#REF!</v>
      </c>
      <c r="S46" s="1192" t="e">
        <f t="shared" si="40"/>
        <v>#REF!</v>
      </c>
      <c r="T46" s="1192" t="e">
        <f t="shared" si="40"/>
        <v>#REF!</v>
      </c>
      <c r="U46" s="1192" t="e">
        <f t="shared" si="40"/>
        <v>#REF!</v>
      </c>
      <c r="V46" s="1192" t="e">
        <f t="shared" si="40"/>
        <v>#REF!</v>
      </c>
    </row>
    <row r="47" spans="1:24" outlineLevel="1" x14ac:dyDescent="0.4">
      <c r="A47" s="1193" t="s">
        <v>344</v>
      </c>
      <c r="B47" s="1183" t="s">
        <v>359</v>
      </c>
      <c r="C47" s="1194"/>
      <c r="D47" s="1194">
        <f>'地区分部(原始）'!M17</f>
        <v>109.172</v>
      </c>
      <c r="E47" s="1194">
        <f>'地区分部(原始）'!N17</f>
        <v>274.07</v>
      </c>
      <c r="F47" s="1194">
        <f>'地区分部(原始）'!O17</f>
        <v>282</v>
      </c>
      <c r="G47" s="1194" t="e">
        <f>+#REF!</f>
        <v>#REF!</v>
      </c>
      <c r="H47" s="1194" t="e">
        <f>+#REF!</f>
        <v>#REF!</v>
      </c>
      <c r="I47" s="1194" t="e">
        <f>+#REF!</f>
        <v>#REF!</v>
      </c>
      <c r="J47" s="1194" t="e">
        <f>+#REF!</f>
        <v>#REF!</v>
      </c>
      <c r="K47" s="1194" t="e">
        <f>+#REF!</f>
        <v>#REF!</v>
      </c>
      <c r="L47" s="1194" t="e">
        <f>+#REF!</f>
        <v>#REF!</v>
      </c>
      <c r="M47" s="1194" t="e">
        <f>#REF!</f>
        <v>#REF!</v>
      </c>
      <c r="N47" s="1194" t="e">
        <f>L47-M47</f>
        <v>#REF!</v>
      </c>
      <c r="O47" s="1194" t="e">
        <f>+#REF!</f>
        <v>#REF!</v>
      </c>
      <c r="P47" s="1194" t="e">
        <f>+#REF!</f>
        <v>#REF!</v>
      </c>
      <c r="Q47" s="1194" t="e">
        <f>+#REF!</f>
        <v>#REF!</v>
      </c>
      <c r="R47" s="1194" t="e">
        <f>+#REF!</f>
        <v>#REF!</v>
      </c>
      <c r="S47" s="1194" t="e">
        <f>+#REF!</f>
        <v>#REF!</v>
      </c>
      <c r="T47" s="1194" t="e">
        <f>+#REF!</f>
        <v>#REF!</v>
      </c>
      <c r="U47" s="1194" t="e">
        <f>+#REF!</f>
        <v>#REF!</v>
      </c>
      <c r="V47" s="1194" t="e">
        <f>+#REF!</f>
        <v>#REF!</v>
      </c>
    </row>
    <row r="48" spans="1:24" outlineLevel="1" x14ac:dyDescent="0.4">
      <c r="A48" s="1190" t="s">
        <v>341</v>
      </c>
      <c r="B48" s="1191" t="s">
        <v>341</v>
      </c>
      <c r="C48" s="1205"/>
      <c r="D48" s="1205"/>
      <c r="E48" s="1205">
        <f t="shared" ref="E48:V48" si="41">E47/D47-1</f>
        <v>1.5104422379364673</v>
      </c>
      <c r="F48" s="1205">
        <f t="shared" si="41"/>
        <v>2.8934213886963267E-2</v>
      </c>
      <c r="G48" s="1205"/>
      <c r="H48" s="1205"/>
      <c r="I48" s="1205" t="e">
        <f t="shared" ref="I48:O48" si="42">I47/F47-1</f>
        <v>#REF!</v>
      </c>
      <c r="J48" s="1205" t="e">
        <f t="shared" si="42"/>
        <v>#REF!</v>
      </c>
      <c r="K48" s="1205" t="e">
        <f t="shared" si="42"/>
        <v>#REF!</v>
      </c>
      <c r="L48" s="1205" t="e">
        <f t="shared" si="42"/>
        <v>#REF!</v>
      </c>
      <c r="M48" s="1205" t="e">
        <f t="shared" si="42"/>
        <v>#REF!</v>
      </c>
      <c r="N48" s="1205" t="e">
        <f t="shared" si="42"/>
        <v>#REF!</v>
      </c>
      <c r="O48" s="1205" t="e">
        <f t="shared" si="42"/>
        <v>#REF!</v>
      </c>
      <c r="P48" s="1205" t="e">
        <f t="shared" si="41"/>
        <v>#REF!</v>
      </c>
      <c r="Q48" s="1205" t="e">
        <f t="shared" si="41"/>
        <v>#REF!</v>
      </c>
      <c r="R48" s="1205" t="e">
        <f t="shared" si="41"/>
        <v>#REF!</v>
      </c>
      <c r="S48" s="1205" t="e">
        <f t="shared" si="41"/>
        <v>#REF!</v>
      </c>
      <c r="T48" s="1205" t="e">
        <f t="shared" si="41"/>
        <v>#REF!</v>
      </c>
      <c r="U48" s="1205" t="e">
        <f t="shared" si="41"/>
        <v>#REF!</v>
      </c>
      <c r="V48" s="1205" t="e">
        <f t="shared" si="41"/>
        <v>#REF!</v>
      </c>
    </row>
    <row r="49" spans="1:22" outlineLevel="1" x14ac:dyDescent="0.4">
      <c r="A49" s="1190" t="s">
        <v>366</v>
      </c>
      <c r="B49" s="1191" t="s">
        <v>367</v>
      </c>
      <c r="C49" s="1192"/>
      <c r="D49" s="1192">
        <f t="shared" ref="D49:V49" si="43">D47/D8</f>
        <v>7.0360917762309877E-2</v>
      </c>
      <c r="E49" s="1192">
        <f t="shared" si="43"/>
        <v>0.17272063837376528</v>
      </c>
      <c r="F49" s="1192">
        <f t="shared" si="43"/>
        <v>0.13569500382544425</v>
      </c>
      <c r="G49" s="1192"/>
      <c r="H49" s="1192"/>
      <c r="I49" s="1192" t="e">
        <f t="shared" si="43"/>
        <v>#REF!</v>
      </c>
      <c r="J49" s="1192" t="e">
        <f>J47/J8</f>
        <v>#REF!</v>
      </c>
      <c r="K49" s="1192" t="e">
        <f>K47/K8</f>
        <v>#REF!</v>
      </c>
      <c r="L49" s="1192" t="e">
        <f t="shared" si="43"/>
        <v>#REF!</v>
      </c>
      <c r="M49" s="1192" t="e">
        <f>M47/M8</f>
        <v>#REF!</v>
      </c>
      <c r="N49" s="1192" t="e">
        <f>N47/N8</f>
        <v>#REF!</v>
      </c>
      <c r="O49" s="1192" t="e">
        <f t="shared" si="43"/>
        <v>#REF!</v>
      </c>
      <c r="P49" s="1192" t="e">
        <f t="shared" si="43"/>
        <v>#REF!</v>
      </c>
      <c r="Q49" s="1192" t="e">
        <f t="shared" si="43"/>
        <v>#REF!</v>
      </c>
      <c r="R49" s="1192" t="e">
        <f t="shared" si="43"/>
        <v>#REF!</v>
      </c>
      <c r="S49" s="1192" t="e">
        <f t="shared" si="43"/>
        <v>#REF!</v>
      </c>
      <c r="T49" s="1192" t="e">
        <f t="shared" si="43"/>
        <v>#REF!</v>
      </c>
      <c r="U49" s="1192" t="e">
        <f t="shared" si="43"/>
        <v>#REF!</v>
      </c>
      <c r="V49" s="1192" t="e">
        <f t="shared" si="43"/>
        <v>#REF!</v>
      </c>
    </row>
    <row r="50" spans="1:22" outlineLevel="1" x14ac:dyDescent="0.4">
      <c r="A50" s="1193" t="s">
        <v>345</v>
      </c>
      <c r="B50" s="1183" t="s">
        <v>346</v>
      </c>
      <c r="C50" s="1194"/>
      <c r="D50" s="1194">
        <f>'地区分部(原始）'!M18</f>
        <v>6.7309999999999999</v>
      </c>
      <c r="E50" s="1194">
        <f>'地区分部(原始）'!N18</f>
        <v>52.790999999999997</v>
      </c>
      <c r="F50" s="1194">
        <f>'地区分部(原始）'!O18</f>
        <v>57</v>
      </c>
      <c r="G50" s="1194" t="e">
        <f>+#REF!</f>
        <v>#REF!</v>
      </c>
      <c r="H50" s="1194" t="e">
        <f>+#REF!</f>
        <v>#REF!</v>
      </c>
      <c r="I50" s="1194" t="e">
        <f>+#REF!</f>
        <v>#REF!</v>
      </c>
      <c r="J50" s="1194" t="e">
        <f>+#REF!</f>
        <v>#REF!</v>
      </c>
      <c r="K50" s="1194" t="e">
        <f>+#REF!</f>
        <v>#REF!</v>
      </c>
      <c r="L50" s="1194" t="e">
        <f>+#REF!</f>
        <v>#REF!</v>
      </c>
      <c r="M50" s="1194" t="e">
        <f>#REF!</f>
        <v>#REF!</v>
      </c>
      <c r="N50" s="1194" t="e">
        <f>L50-M50</f>
        <v>#REF!</v>
      </c>
      <c r="O50" s="1194" t="e">
        <f>+#REF!</f>
        <v>#REF!</v>
      </c>
      <c r="P50" s="1194" t="e">
        <f>+#REF!</f>
        <v>#REF!</v>
      </c>
      <c r="Q50" s="1194" t="e">
        <f>+#REF!</f>
        <v>#REF!</v>
      </c>
      <c r="R50" s="1194" t="e">
        <f>+#REF!</f>
        <v>#REF!</v>
      </c>
      <c r="S50" s="1194" t="e">
        <f>+#REF!</f>
        <v>#REF!</v>
      </c>
      <c r="T50" s="1194" t="e">
        <f>+#REF!</f>
        <v>#REF!</v>
      </c>
      <c r="U50" s="1194" t="e">
        <f>+#REF!</f>
        <v>#REF!</v>
      </c>
      <c r="V50" s="1194" t="e">
        <f>+#REF!</f>
        <v>#REF!</v>
      </c>
    </row>
    <row r="51" spans="1:22" outlineLevel="1" x14ac:dyDescent="0.4">
      <c r="A51" s="1190" t="s">
        <v>341</v>
      </c>
      <c r="B51" s="1191" t="s">
        <v>341</v>
      </c>
      <c r="C51" s="1205"/>
      <c r="D51" s="1205"/>
      <c r="E51" s="1205">
        <f t="shared" ref="E51:V51" si="44">E50/D50-1</f>
        <v>6.8429653840439757</v>
      </c>
      <c r="F51" s="1205">
        <f t="shared" si="44"/>
        <v>7.972949934647966E-2</v>
      </c>
      <c r="G51" s="1205"/>
      <c r="H51" s="1205"/>
      <c r="I51" s="1205" t="e">
        <f t="shared" ref="I51:O51" si="45">I50/F50-1</f>
        <v>#REF!</v>
      </c>
      <c r="J51" s="1205" t="e">
        <f t="shared" si="45"/>
        <v>#REF!</v>
      </c>
      <c r="K51" s="1205" t="e">
        <f t="shared" si="45"/>
        <v>#REF!</v>
      </c>
      <c r="L51" s="1205" t="e">
        <f t="shared" si="45"/>
        <v>#REF!</v>
      </c>
      <c r="M51" s="1205" t="e">
        <f t="shared" si="45"/>
        <v>#REF!</v>
      </c>
      <c r="N51" s="1205" t="e">
        <f t="shared" si="45"/>
        <v>#REF!</v>
      </c>
      <c r="O51" s="1205" t="e">
        <f t="shared" si="45"/>
        <v>#REF!</v>
      </c>
      <c r="P51" s="1205" t="e">
        <f t="shared" si="44"/>
        <v>#REF!</v>
      </c>
      <c r="Q51" s="1205" t="e">
        <f t="shared" si="44"/>
        <v>#REF!</v>
      </c>
      <c r="R51" s="1205" t="e">
        <f t="shared" si="44"/>
        <v>#REF!</v>
      </c>
      <c r="S51" s="1205" t="e">
        <f t="shared" si="44"/>
        <v>#REF!</v>
      </c>
      <c r="T51" s="1205" t="e">
        <f t="shared" si="44"/>
        <v>#REF!</v>
      </c>
      <c r="U51" s="1205" t="e">
        <f t="shared" si="44"/>
        <v>#REF!</v>
      </c>
      <c r="V51" s="1205" t="e">
        <f t="shared" si="44"/>
        <v>#REF!</v>
      </c>
    </row>
    <row r="52" spans="1:22" outlineLevel="1" x14ac:dyDescent="0.4">
      <c r="A52" s="1190" t="s">
        <v>366</v>
      </c>
      <c r="B52" s="1191" t="s">
        <v>367</v>
      </c>
      <c r="C52" s="1192"/>
      <c r="D52" s="1192">
        <f t="shared" ref="D52:V52" si="46">D50/D10</f>
        <v>8.4719523123860923E-3</v>
      </c>
      <c r="E52" s="1192">
        <f t="shared" si="46"/>
        <v>2.5559141008354127E-2</v>
      </c>
      <c r="F52" s="1192">
        <f t="shared" si="46"/>
        <v>3.1714202732762778E-2</v>
      </c>
      <c r="G52" s="1192"/>
      <c r="H52" s="1192"/>
      <c r="I52" s="1192" t="e">
        <f t="shared" si="46"/>
        <v>#REF!</v>
      </c>
      <c r="J52" s="1192" t="e">
        <f>J50/J10</f>
        <v>#REF!</v>
      </c>
      <c r="K52" s="1192" t="e">
        <f>K50/K10</f>
        <v>#REF!</v>
      </c>
      <c r="L52" s="1192" t="e">
        <f t="shared" si="46"/>
        <v>#REF!</v>
      </c>
      <c r="M52" s="1192" t="e">
        <f>M50/M10</f>
        <v>#REF!</v>
      </c>
      <c r="N52" s="1192" t="e">
        <f>N50/N10</f>
        <v>#REF!</v>
      </c>
      <c r="O52" s="1192" t="e">
        <f t="shared" si="46"/>
        <v>#REF!</v>
      </c>
      <c r="P52" s="1192" t="e">
        <f t="shared" si="46"/>
        <v>#REF!</v>
      </c>
      <c r="Q52" s="1192" t="e">
        <f t="shared" si="46"/>
        <v>#REF!</v>
      </c>
      <c r="R52" s="1192" t="e">
        <f t="shared" si="46"/>
        <v>#REF!</v>
      </c>
      <c r="S52" s="1192" t="e">
        <f t="shared" si="46"/>
        <v>#REF!</v>
      </c>
      <c r="T52" s="1192" t="e">
        <f t="shared" si="46"/>
        <v>#REF!</v>
      </c>
      <c r="U52" s="1192" t="e">
        <f t="shared" si="46"/>
        <v>#REF!</v>
      </c>
      <c r="V52" s="1192" t="e">
        <f t="shared" si="46"/>
        <v>#REF!</v>
      </c>
    </row>
    <row r="53" spans="1:22" outlineLevel="1" x14ac:dyDescent="0.4">
      <c r="A53" s="1193" t="s">
        <v>347</v>
      </c>
      <c r="B53" s="1183" t="s">
        <v>368</v>
      </c>
      <c r="C53" s="1194"/>
      <c r="D53" s="1194">
        <f>'地区分部(原始）'!M19</f>
        <v>68.894000000000005</v>
      </c>
      <c r="E53" s="1194">
        <f>'地区分部(原始）'!N19</f>
        <v>298.904</v>
      </c>
      <c r="F53" s="1194">
        <f>'地区分部(原始）'!O19</f>
        <v>338</v>
      </c>
      <c r="G53" s="1194" t="e">
        <f>+#REF!</f>
        <v>#REF!</v>
      </c>
      <c r="H53" s="1194" t="e">
        <f>+#REF!</f>
        <v>#REF!</v>
      </c>
      <c r="I53" s="1194" t="e">
        <f>+#REF!</f>
        <v>#REF!</v>
      </c>
      <c r="J53" s="1194" t="e">
        <f>+#REF!</f>
        <v>#REF!</v>
      </c>
      <c r="K53" s="1194" t="e">
        <f>+#REF!</f>
        <v>#REF!</v>
      </c>
      <c r="L53" s="1194" t="e">
        <f>+#REF!</f>
        <v>#REF!</v>
      </c>
      <c r="M53" s="1194" t="e">
        <f>#REF!</f>
        <v>#REF!</v>
      </c>
      <c r="N53" s="1194" t="e">
        <f>L53-M53</f>
        <v>#REF!</v>
      </c>
      <c r="O53" s="1194" t="e">
        <f>+#REF!</f>
        <v>#REF!</v>
      </c>
      <c r="P53" s="1194" t="e">
        <f>+#REF!</f>
        <v>#REF!</v>
      </c>
      <c r="Q53" s="1194" t="e">
        <f>+#REF!</f>
        <v>#REF!</v>
      </c>
      <c r="R53" s="1194" t="e">
        <f>+#REF!</f>
        <v>#REF!</v>
      </c>
      <c r="S53" s="1194" t="e">
        <f>+#REF!</f>
        <v>#REF!</v>
      </c>
      <c r="T53" s="1194" t="e">
        <f>+#REF!</f>
        <v>#REF!</v>
      </c>
      <c r="U53" s="1194" t="e">
        <f>+#REF!</f>
        <v>#REF!</v>
      </c>
      <c r="V53" s="1194" t="e">
        <f>+#REF!</f>
        <v>#REF!</v>
      </c>
    </row>
    <row r="54" spans="1:22" outlineLevel="1" x14ac:dyDescent="0.4">
      <c r="A54" s="1190" t="s">
        <v>341</v>
      </c>
      <c r="B54" s="1191" t="s">
        <v>341</v>
      </c>
      <c r="C54" s="1205"/>
      <c r="D54" s="1205"/>
      <c r="E54" s="1205">
        <f t="shared" ref="E54:V54" si="47">E53/D53-1</f>
        <v>3.3386071355996165</v>
      </c>
      <c r="F54" s="1205">
        <f t="shared" si="47"/>
        <v>0.13079784813853279</v>
      </c>
      <c r="G54" s="1205"/>
      <c r="H54" s="1205"/>
      <c r="I54" s="1205" t="e">
        <f t="shared" ref="I54:O54" si="48">I53/F53-1</f>
        <v>#REF!</v>
      </c>
      <c r="J54" s="1205" t="e">
        <f t="shared" si="48"/>
        <v>#REF!</v>
      </c>
      <c r="K54" s="1205" t="e">
        <f t="shared" si="48"/>
        <v>#REF!</v>
      </c>
      <c r="L54" s="1205" t="e">
        <f t="shared" si="48"/>
        <v>#REF!</v>
      </c>
      <c r="M54" s="1205" t="e">
        <f t="shared" si="48"/>
        <v>#REF!</v>
      </c>
      <c r="N54" s="1205" t="e">
        <f t="shared" si="48"/>
        <v>#REF!</v>
      </c>
      <c r="O54" s="1205" t="e">
        <f t="shared" si="48"/>
        <v>#REF!</v>
      </c>
      <c r="P54" s="1205" t="e">
        <f t="shared" si="47"/>
        <v>#REF!</v>
      </c>
      <c r="Q54" s="1205" t="e">
        <f t="shared" si="47"/>
        <v>#REF!</v>
      </c>
      <c r="R54" s="1205" t="e">
        <f t="shared" si="47"/>
        <v>#REF!</v>
      </c>
      <c r="S54" s="1205" t="e">
        <f t="shared" si="47"/>
        <v>#REF!</v>
      </c>
      <c r="T54" s="1205" t="e">
        <f t="shared" si="47"/>
        <v>#REF!</v>
      </c>
      <c r="U54" s="1205" t="e">
        <f t="shared" si="47"/>
        <v>#REF!</v>
      </c>
      <c r="V54" s="1205" t="e">
        <f t="shared" si="47"/>
        <v>#REF!</v>
      </c>
    </row>
    <row r="55" spans="1:22" outlineLevel="1" x14ac:dyDescent="0.4">
      <c r="A55" s="1190" t="s">
        <v>366</v>
      </c>
      <c r="B55" s="1191" t="s">
        <v>367</v>
      </c>
      <c r="C55" s="1192"/>
      <c r="D55" s="1192">
        <f t="shared" ref="D55:V55" si="49">D53/D12</f>
        <v>8.1515733078392077E-2</v>
      </c>
      <c r="E55" s="1192">
        <f t="shared" si="49"/>
        <v>0.39000585849070146</v>
      </c>
      <c r="F55" s="1192">
        <f t="shared" si="49"/>
        <v>0.32124910777337301</v>
      </c>
      <c r="G55" s="1192"/>
      <c r="H55" s="1192"/>
      <c r="I55" s="1192" t="e">
        <f t="shared" si="49"/>
        <v>#REF!</v>
      </c>
      <c r="J55" s="1192" t="e">
        <f>J53/J12</f>
        <v>#REF!</v>
      </c>
      <c r="K55" s="1192" t="e">
        <f>K53/K12</f>
        <v>#REF!</v>
      </c>
      <c r="L55" s="1192" t="e">
        <f t="shared" si="49"/>
        <v>#REF!</v>
      </c>
      <c r="M55" s="1192" t="e">
        <f>M53/M12</f>
        <v>#REF!</v>
      </c>
      <c r="N55" s="1192" t="e">
        <f>N53/N12</f>
        <v>#REF!</v>
      </c>
      <c r="O55" s="1192" t="e">
        <f t="shared" si="49"/>
        <v>#REF!</v>
      </c>
      <c r="P55" s="1192" t="e">
        <f t="shared" si="49"/>
        <v>#REF!</v>
      </c>
      <c r="Q55" s="1192" t="e">
        <f t="shared" si="49"/>
        <v>#REF!</v>
      </c>
      <c r="R55" s="1192" t="e">
        <f t="shared" si="49"/>
        <v>#REF!</v>
      </c>
      <c r="S55" s="1192" t="e">
        <f t="shared" si="49"/>
        <v>#REF!</v>
      </c>
      <c r="T55" s="1192" t="e">
        <f t="shared" si="49"/>
        <v>#REF!</v>
      </c>
      <c r="U55" s="1192" t="e">
        <f t="shared" si="49"/>
        <v>#REF!</v>
      </c>
      <c r="V55" s="1192" t="e">
        <f t="shared" si="49"/>
        <v>#REF!</v>
      </c>
    </row>
    <row r="56" spans="1:22" outlineLevel="1" x14ac:dyDescent="0.4">
      <c r="A56" s="1193" t="s">
        <v>349</v>
      </c>
      <c r="B56" s="1183" t="s">
        <v>350</v>
      </c>
      <c r="C56" s="1194"/>
      <c r="D56" s="1194">
        <f>'地区分部(原始）'!M20</f>
        <v>8.1929999999999996</v>
      </c>
      <c r="E56" s="1194">
        <f>'地区分部(原始）'!N20</f>
        <v>25.515000000000001</v>
      </c>
      <c r="F56" s="1194" t="e">
        <f>'地区分部(原始）'!O20</f>
        <v>#REF!</v>
      </c>
      <c r="G56" s="1194">
        <f>'地区分部(原始）'!P20</f>
        <v>3.0830000000000002</v>
      </c>
      <c r="H56" s="1194" t="e">
        <f>F56-G56</f>
        <v>#REF!</v>
      </c>
      <c r="I56" s="1194">
        <v>0</v>
      </c>
      <c r="J56" s="1194">
        <v>0</v>
      </c>
      <c r="K56" s="1194">
        <v>0</v>
      </c>
      <c r="L56" s="1194">
        <v>0</v>
      </c>
      <c r="M56" s="1194">
        <v>0</v>
      </c>
      <c r="N56" s="1194">
        <v>0</v>
      </c>
      <c r="O56" s="1194">
        <v>0</v>
      </c>
      <c r="P56" s="1194">
        <v>0</v>
      </c>
      <c r="Q56" s="1194">
        <v>0</v>
      </c>
      <c r="R56" s="1194">
        <v>0</v>
      </c>
      <c r="S56" s="1194">
        <v>0</v>
      </c>
      <c r="T56" s="1194">
        <v>0</v>
      </c>
      <c r="U56" s="1194">
        <v>0</v>
      </c>
      <c r="V56" s="1194">
        <v>0</v>
      </c>
    </row>
    <row r="57" spans="1:22" outlineLevel="1" x14ac:dyDescent="0.4">
      <c r="A57" s="1190" t="s">
        <v>341</v>
      </c>
      <c r="B57" s="1191" t="s">
        <v>341</v>
      </c>
      <c r="C57" s="1205"/>
      <c r="D57" s="1205"/>
      <c r="E57" s="1205">
        <f t="shared" ref="E57:V57" si="50">E56/D56-1</f>
        <v>2.1142438667154893</v>
      </c>
      <c r="F57" s="1205" t="e">
        <f t="shared" si="50"/>
        <v>#REF!</v>
      </c>
      <c r="G57" s="1205"/>
      <c r="H57" s="1205"/>
      <c r="I57" s="1205" t="e">
        <f>I56/F56-1</f>
        <v>#REF!</v>
      </c>
      <c r="J57" s="1205"/>
      <c r="K57" s="1205"/>
      <c r="L57" s="1205" t="e">
        <f>L56/I56-1</f>
        <v>#DIV/0!</v>
      </c>
      <c r="M57" s="1205"/>
      <c r="N57" s="1205"/>
      <c r="O57" s="1205" t="e">
        <f>O56/L56-1</f>
        <v>#DIV/0!</v>
      </c>
      <c r="P57" s="1205" t="e">
        <f t="shared" si="50"/>
        <v>#DIV/0!</v>
      </c>
      <c r="Q57" s="1205" t="e">
        <f t="shared" si="50"/>
        <v>#DIV/0!</v>
      </c>
      <c r="R57" s="1205" t="e">
        <f t="shared" si="50"/>
        <v>#DIV/0!</v>
      </c>
      <c r="S57" s="1205" t="e">
        <f t="shared" si="50"/>
        <v>#DIV/0!</v>
      </c>
      <c r="T57" s="1205" t="e">
        <f t="shared" si="50"/>
        <v>#DIV/0!</v>
      </c>
      <c r="U57" s="1205" t="e">
        <f t="shared" si="50"/>
        <v>#DIV/0!</v>
      </c>
      <c r="V57" s="1205" t="e">
        <f t="shared" si="50"/>
        <v>#DIV/0!</v>
      </c>
    </row>
    <row r="58" spans="1:22" outlineLevel="1" x14ac:dyDescent="0.4">
      <c r="A58" s="1190" t="s">
        <v>366</v>
      </c>
      <c r="B58" s="1191" t="s">
        <v>367</v>
      </c>
      <c r="C58" s="1192"/>
      <c r="D58" s="1192">
        <f t="shared" ref="D58:V58" si="51">D56/D14</f>
        <v>1.8040533399098082E-2</v>
      </c>
      <c r="E58" s="1192">
        <f t="shared" si="51"/>
        <v>7.2604602986705527E-2</v>
      </c>
      <c r="F58" s="1192" t="e">
        <f t="shared" si="51"/>
        <v>#REF!</v>
      </c>
      <c r="G58" s="1192"/>
      <c r="H58" s="1192"/>
      <c r="I58" s="1192" t="e">
        <f t="shared" si="51"/>
        <v>#REF!</v>
      </c>
      <c r="J58" s="1192"/>
      <c r="K58" s="1192"/>
      <c r="L58" s="1192" t="e">
        <f t="shared" si="51"/>
        <v>#REF!</v>
      </c>
      <c r="M58" s="1192"/>
      <c r="N58" s="1192"/>
      <c r="O58" s="1192" t="e">
        <f t="shared" si="51"/>
        <v>#REF!</v>
      </c>
      <c r="P58" s="1192" t="e">
        <f t="shared" si="51"/>
        <v>#REF!</v>
      </c>
      <c r="Q58" s="1192" t="e">
        <f t="shared" si="51"/>
        <v>#REF!</v>
      </c>
      <c r="R58" s="1192" t="e">
        <f t="shared" si="51"/>
        <v>#REF!</v>
      </c>
      <c r="S58" s="1192" t="e">
        <f t="shared" si="51"/>
        <v>#REF!</v>
      </c>
      <c r="T58" s="1192" t="e">
        <f t="shared" si="51"/>
        <v>#REF!</v>
      </c>
      <c r="U58" s="1192" t="e">
        <f t="shared" si="51"/>
        <v>#REF!</v>
      </c>
      <c r="V58" s="1192" t="e">
        <f t="shared" si="51"/>
        <v>#REF!</v>
      </c>
    </row>
    <row r="59" spans="1:22" outlineLevel="1" x14ac:dyDescent="0.4">
      <c r="A59" s="1193" t="s">
        <v>351</v>
      </c>
      <c r="B59" s="1191"/>
      <c r="C59" s="1195"/>
      <c r="D59" s="1195" t="e">
        <f>D41-SUM(D44,D47,D50,D53,D56)</f>
        <v>#REF!</v>
      </c>
      <c r="E59" s="1195" t="e">
        <f>E41-SUM(E44,E47,E50,E53,E56)</f>
        <v>#REF!</v>
      </c>
      <c r="F59" s="1195" t="e">
        <f>F41-SUM(F44,F47,F50,F53,F56)</f>
        <v>#REF!</v>
      </c>
      <c r="G59" s="1195"/>
      <c r="H59" s="1195"/>
      <c r="I59" s="1195">
        <v>0</v>
      </c>
      <c r="J59" s="1195"/>
      <c r="K59" s="1195"/>
      <c r="L59" s="1195">
        <v>0</v>
      </c>
      <c r="M59" s="1195"/>
      <c r="N59" s="1195"/>
      <c r="O59" s="1195">
        <v>0</v>
      </c>
      <c r="P59" s="1195">
        <v>0</v>
      </c>
      <c r="Q59" s="1195">
        <v>0</v>
      </c>
      <c r="R59" s="1195">
        <v>0</v>
      </c>
      <c r="S59" s="1195">
        <v>0</v>
      </c>
      <c r="T59" s="1195">
        <v>0</v>
      </c>
      <c r="U59" s="1195">
        <v>0</v>
      </c>
      <c r="V59" s="1195">
        <v>0</v>
      </c>
    </row>
    <row r="60" spans="1:22" outlineLevel="1" x14ac:dyDescent="0.4">
      <c r="A60" s="1213"/>
      <c r="B60" s="1213"/>
      <c r="C60" s="1214"/>
      <c r="D60" s="1214"/>
      <c r="E60" s="1214"/>
      <c r="F60" s="1214"/>
      <c r="G60" s="1214"/>
      <c r="H60" s="1214"/>
      <c r="I60" s="1214"/>
      <c r="J60" s="1214"/>
      <c r="K60" s="1214"/>
      <c r="L60" s="1214"/>
      <c r="M60" s="1214"/>
      <c r="N60" s="1214"/>
      <c r="O60" s="1214"/>
      <c r="P60" s="1214"/>
      <c r="Q60" s="1214"/>
      <c r="R60" s="1214"/>
      <c r="S60" s="1214"/>
      <c r="T60" s="1214"/>
      <c r="U60" s="1214"/>
      <c r="V60" s="1214"/>
    </row>
    <row r="61" spans="1:22" x14ac:dyDescent="0.4">
      <c r="B61" s="1171"/>
      <c r="C61" s="1215"/>
      <c r="D61" s="1215"/>
      <c r="E61" s="1215"/>
    </row>
    <row r="62" spans="1:22" x14ac:dyDescent="0.4">
      <c r="A62" s="1168" t="s">
        <v>369</v>
      </c>
      <c r="B62" s="1168" t="s">
        <v>370</v>
      </c>
      <c r="C62" s="1216"/>
      <c r="D62" s="1216" t="e">
        <f>+#REF!</f>
        <v>#REF!</v>
      </c>
      <c r="E62" s="1216" t="e">
        <f>+#REF!</f>
        <v>#REF!</v>
      </c>
      <c r="F62" s="1216" t="e">
        <f>+#REF!</f>
        <v>#REF!</v>
      </c>
      <c r="G62" s="1216">
        <v>15.121</v>
      </c>
      <c r="H62" s="1216" t="e">
        <f>F62-G62</f>
        <v>#REF!</v>
      </c>
      <c r="I62" s="1216" t="e">
        <f t="shared" ref="I62:V62" si="52">I4*I63</f>
        <v>#REF!</v>
      </c>
      <c r="J62" s="1216">
        <v>17.658000000000001</v>
      </c>
      <c r="K62" s="1216" t="e">
        <f>I62-J62</f>
        <v>#REF!</v>
      </c>
      <c r="L62" s="1216" t="e">
        <f t="shared" si="52"/>
        <v>#REF!</v>
      </c>
      <c r="M62" s="1216">
        <v>24.731000000000002</v>
      </c>
      <c r="N62" s="1216" t="e">
        <f>L62-M62</f>
        <v>#REF!</v>
      </c>
      <c r="O62" s="1216" t="e">
        <f t="shared" si="52"/>
        <v>#REF!</v>
      </c>
      <c r="P62" s="1216" t="e">
        <f t="shared" si="52"/>
        <v>#REF!</v>
      </c>
      <c r="Q62" s="1216" t="e">
        <f t="shared" si="52"/>
        <v>#REF!</v>
      </c>
      <c r="R62" s="1216" t="e">
        <f t="shared" si="52"/>
        <v>#REF!</v>
      </c>
      <c r="S62" s="1216" t="e">
        <f t="shared" si="52"/>
        <v>#REF!</v>
      </c>
      <c r="T62" s="1216" t="e">
        <f t="shared" si="52"/>
        <v>#REF!</v>
      </c>
      <c r="U62" s="1216" t="e">
        <f t="shared" si="52"/>
        <v>#REF!</v>
      </c>
      <c r="V62" s="1216" t="e">
        <f t="shared" si="52"/>
        <v>#REF!</v>
      </c>
    </row>
    <row r="63" spans="1:22" x14ac:dyDescent="0.4">
      <c r="A63" s="1217" t="s">
        <v>371</v>
      </c>
      <c r="B63" s="1186" t="s">
        <v>354</v>
      </c>
      <c r="C63" s="1218"/>
      <c r="D63" s="1218" t="e">
        <f>+D62/D4</f>
        <v>#REF!</v>
      </c>
      <c r="E63" s="1218" t="e">
        <f>+E62/E4</f>
        <v>#REF!</v>
      </c>
      <c r="F63" s="1218" t="e">
        <f>+F62/F4</f>
        <v>#REF!</v>
      </c>
      <c r="G63" s="1218">
        <f>+G62/G4</f>
        <v>2.7800361013087002E-3</v>
      </c>
      <c r="H63" s="1218" t="e">
        <f>+H62/H4</f>
        <v>#REF!</v>
      </c>
      <c r="I63" s="1219" t="e">
        <f>#REF!</f>
        <v>#REF!</v>
      </c>
      <c r="J63" s="1218">
        <f>+J62/J4</f>
        <v>3.2094069903566935E-3</v>
      </c>
      <c r="K63" s="1218" t="e">
        <f>+K62/K4</f>
        <v>#REF!</v>
      </c>
      <c r="L63" s="1219" t="e">
        <f>#REF!</f>
        <v>#REF!</v>
      </c>
      <c r="M63" s="1219">
        <f>M62/M4</f>
        <v>4.4287303202112955E-3</v>
      </c>
      <c r="N63" s="1219" t="e">
        <f>N62/N4</f>
        <v>#REF!</v>
      </c>
      <c r="O63" s="1219" t="e">
        <f>#REF!</f>
        <v>#REF!</v>
      </c>
      <c r="P63" s="1219" t="e">
        <f>#REF!</f>
        <v>#REF!</v>
      </c>
      <c r="Q63" s="1219" t="e">
        <f>#REF!</f>
        <v>#REF!</v>
      </c>
      <c r="R63" s="1219" t="e">
        <f>#REF!</f>
        <v>#REF!</v>
      </c>
      <c r="S63" s="1219" t="e">
        <f>#REF!</f>
        <v>#REF!</v>
      </c>
      <c r="T63" s="1219" t="e">
        <f>#REF!</f>
        <v>#REF!</v>
      </c>
      <c r="U63" s="1219" t="e">
        <f>#REF!</f>
        <v>#REF!</v>
      </c>
      <c r="V63" s="1219" t="e">
        <f>#REF!</f>
        <v>#REF!</v>
      </c>
    </row>
    <row r="64" spans="1:22" x14ac:dyDescent="0.4">
      <c r="A64" s="1220"/>
      <c r="C64" s="1221"/>
      <c r="D64" s="1221"/>
      <c r="E64" s="1221"/>
      <c r="F64" s="1221"/>
      <c r="G64" s="1221"/>
      <c r="H64" s="1221"/>
      <c r="I64" s="1222"/>
      <c r="J64" s="1222"/>
      <c r="K64" s="1222"/>
      <c r="L64" s="1222"/>
      <c r="M64" s="1222"/>
      <c r="N64" s="1222"/>
      <c r="O64" s="1222"/>
      <c r="P64" s="1222"/>
      <c r="Q64" s="1222"/>
      <c r="R64" s="1222"/>
      <c r="S64" s="1222"/>
      <c r="T64" s="1222"/>
      <c r="U64" s="1222"/>
      <c r="V64" s="1222"/>
    </row>
    <row r="65" spans="1:22" x14ac:dyDescent="0.4">
      <c r="A65" s="1168" t="s">
        <v>369</v>
      </c>
      <c r="B65" s="1168" t="s">
        <v>372</v>
      </c>
      <c r="C65" s="1216"/>
      <c r="D65" s="1216" t="e">
        <f>+#REF!+#REF!</f>
        <v>#REF!</v>
      </c>
      <c r="E65" s="1216" t="e">
        <f>+#REF!+#REF!</f>
        <v>#REF!</v>
      </c>
      <c r="F65" s="1216" t="e">
        <f>+#REF!+#REF!</f>
        <v>#REF!</v>
      </c>
      <c r="G65" s="1216">
        <f>18.781-1.491</f>
        <v>17.29</v>
      </c>
      <c r="H65" s="1216" t="e">
        <f>F65-G65</f>
        <v>#REF!</v>
      </c>
      <c r="I65" s="1216" t="e">
        <f t="shared" ref="I65:V65" si="53">I66*I4</f>
        <v>#REF!</v>
      </c>
      <c r="J65" s="1216">
        <f>26.053-5.282</f>
        <v>20.771000000000001</v>
      </c>
      <c r="K65" s="1216" t="e">
        <f>I65-J65</f>
        <v>#REF!</v>
      </c>
      <c r="L65" s="1216" t="e">
        <f t="shared" si="53"/>
        <v>#REF!</v>
      </c>
      <c r="M65" s="1216">
        <f>14.36-15.445</f>
        <v>-1.0850000000000009</v>
      </c>
      <c r="N65" s="1216" t="e">
        <f>L65-M65</f>
        <v>#REF!</v>
      </c>
      <c r="O65" s="1216" t="e">
        <f t="shared" si="53"/>
        <v>#REF!</v>
      </c>
      <c r="P65" s="1216" t="e">
        <f t="shared" si="53"/>
        <v>#REF!</v>
      </c>
      <c r="Q65" s="1216" t="e">
        <f t="shared" si="53"/>
        <v>#REF!</v>
      </c>
      <c r="R65" s="1216" t="e">
        <f t="shared" si="53"/>
        <v>#REF!</v>
      </c>
      <c r="S65" s="1216" t="e">
        <f t="shared" si="53"/>
        <v>#REF!</v>
      </c>
      <c r="T65" s="1216" t="e">
        <f t="shared" si="53"/>
        <v>#REF!</v>
      </c>
      <c r="U65" s="1216" t="e">
        <f t="shared" si="53"/>
        <v>#REF!</v>
      </c>
      <c r="V65" s="1216" t="e">
        <f t="shared" si="53"/>
        <v>#REF!</v>
      </c>
    </row>
    <row r="66" spans="1:22" x14ac:dyDescent="0.4">
      <c r="A66" s="1217" t="s">
        <v>371</v>
      </c>
      <c r="B66" s="1186" t="s">
        <v>354</v>
      </c>
      <c r="C66" s="1218"/>
      <c r="D66" s="1218" t="e">
        <f>+D65/D4</f>
        <v>#REF!</v>
      </c>
      <c r="E66" s="1218" t="e">
        <f>+E65/E4</f>
        <v>#REF!</v>
      </c>
      <c r="F66" s="1218" t="e">
        <f>+F65/F4</f>
        <v>#REF!</v>
      </c>
      <c r="G66" s="1218">
        <f>+G65/G4</f>
        <v>3.1788125250729066E-3</v>
      </c>
      <c r="H66" s="1218" t="e">
        <f>+H65/H4</f>
        <v>#REF!</v>
      </c>
      <c r="I66" s="1219" t="e">
        <f>#REF!</f>
        <v>#REF!</v>
      </c>
      <c r="J66" s="1218">
        <f>+J65/J4</f>
        <v>3.7752062859156689E-3</v>
      </c>
      <c r="K66" s="1218" t="e">
        <f>+K65/K4</f>
        <v>#REF!</v>
      </c>
      <c r="L66" s="1219" t="e">
        <f>#REF!</f>
        <v>#REF!</v>
      </c>
      <c r="M66" s="1219">
        <f>M65/M4</f>
        <v>-1.9429753739958996E-4</v>
      </c>
      <c r="N66" s="1219" t="e">
        <f>N65/N4</f>
        <v>#REF!</v>
      </c>
      <c r="O66" s="1219" t="e">
        <f>#REF!</f>
        <v>#REF!</v>
      </c>
      <c r="P66" s="1219" t="e">
        <f>#REF!</f>
        <v>#REF!</v>
      </c>
      <c r="Q66" s="1219" t="e">
        <f>#REF!</f>
        <v>#REF!</v>
      </c>
      <c r="R66" s="1219" t="e">
        <f>#REF!</f>
        <v>#REF!</v>
      </c>
      <c r="S66" s="1219" t="e">
        <f>#REF!</f>
        <v>#REF!</v>
      </c>
      <c r="T66" s="1219" t="e">
        <f>#REF!</f>
        <v>#REF!</v>
      </c>
      <c r="U66" s="1219" t="e">
        <f>#REF!</f>
        <v>#REF!</v>
      </c>
      <c r="V66" s="1219" t="e">
        <f>#REF!</f>
        <v>#REF!</v>
      </c>
    </row>
    <row r="67" spans="1:22" x14ac:dyDescent="0.4">
      <c r="A67" s="1220"/>
      <c r="C67" s="1221"/>
      <c r="D67" s="1221"/>
      <c r="E67" s="1221"/>
      <c r="F67" s="1221"/>
      <c r="G67" s="1221"/>
      <c r="H67" s="1221"/>
      <c r="I67" s="1222"/>
      <c r="J67" s="1222"/>
      <c r="K67" s="1222"/>
      <c r="L67" s="1222"/>
      <c r="M67" s="1222"/>
      <c r="N67" s="1222"/>
      <c r="O67" s="1222"/>
      <c r="P67" s="1222"/>
      <c r="Q67" s="1222"/>
      <c r="R67" s="1222"/>
      <c r="S67" s="1222"/>
      <c r="T67" s="1222"/>
      <c r="U67" s="1222"/>
      <c r="V67" s="1222"/>
    </row>
    <row r="68" spans="1:22" x14ac:dyDescent="0.4">
      <c r="A68" s="1168" t="s">
        <v>369</v>
      </c>
      <c r="B68" s="1168" t="s">
        <v>373</v>
      </c>
      <c r="C68" s="1216"/>
      <c r="D68" s="1216" t="e">
        <f>-#REF!</f>
        <v>#REF!</v>
      </c>
      <c r="E68" s="1216" t="e">
        <f>-#REF!</f>
        <v>#REF!</v>
      </c>
      <c r="F68" s="1216" t="e">
        <f>-#REF!</f>
        <v>#REF!</v>
      </c>
      <c r="G68" s="1216">
        <v>1.2190000000000001</v>
      </c>
      <c r="H68" s="1216" t="e">
        <f>F68-G68</f>
        <v>#REF!</v>
      </c>
      <c r="I68" s="1216" t="e">
        <f t="shared" ref="I68:V68" si="54">I69*I4</f>
        <v>#REF!</v>
      </c>
      <c r="J68" s="1216">
        <v>6.7510000000000003</v>
      </c>
      <c r="K68" s="1216" t="e">
        <f>I68-J68</f>
        <v>#REF!</v>
      </c>
      <c r="L68" s="1216" t="e">
        <f t="shared" si="54"/>
        <v>#REF!</v>
      </c>
      <c r="M68" s="1216">
        <v>1.1930000000000001</v>
      </c>
      <c r="N68" s="1216" t="e">
        <f>L68-M68</f>
        <v>#REF!</v>
      </c>
      <c r="O68" s="1216" t="e">
        <f t="shared" si="54"/>
        <v>#REF!</v>
      </c>
      <c r="P68" s="1216" t="e">
        <f t="shared" si="54"/>
        <v>#REF!</v>
      </c>
      <c r="Q68" s="1216" t="e">
        <f t="shared" si="54"/>
        <v>#REF!</v>
      </c>
      <c r="R68" s="1216" t="e">
        <f t="shared" si="54"/>
        <v>#REF!</v>
      </c>
      <c r="S68" s="1216" t="e">
        <f t="shared" si="54"/>
        <v>#REF!</v>
      </c>
      <c r="T68" s="1216" t="e">
        <f t="shared" si="54"/>
        <v>#REF!</v>
      </c>
      <c r="U68" s="1216" t="e">
        <f t="shared" si="54"/>
        <v>#REF!</v>
      </c>
      <c r="V68" s="1216" t="e">
        <f t="shared" si="54"/>
        <v>#REF!</v>
      </c>
    </row>
    <row r="69" spans="1:22" x14ac:dyDescent="0.4">
      <c r="A69" s="1217" t="s">
        <v>371</v>
      </c>
      <c r="B69" s="1186" t="s">
        <v>354</v>
      </c>
      <c r="C69" s="1218"/>
      <c r="D69" s="1218" t="e">
        <f>D68/D4</f>
        <v>#REF!</v>
      </c>
      <c r="E69" s="1218" t="e">
        <f>E68/E4</f>
        <v>#REF!</v>
      </c>
      <c r="F69" s="1218" t="e">
        <f>F68/F4</f>
        <v>#REF!</v>
      </c>
      <c r="G69" s="1218">
        <f>G68/G4</f>
        <v>2.2411639491404705E-4</v>
      </c>
      <c r="H69" s="1218" t="e">
        <f>H68/H4</f>
        <v>#REF!</v>
      </c>
      <c r="I69" s="1219" t="e">
        <f>#REF!</f>
        <v>#REF!</v>
      </c>
      <c r="J69" s="1218">
        <f>J68/J4</f>
        <v>1.2270192882488412E-3</v>
      </c>
      <c r="K69" s="1218" t="e">
        <f>K68/K4</f>
        <v>#REF!</v>
      </c>
      <c r="L69" s="1219" t="e">
        <f>#REF!</f>
        <v>#REF!</v>
      </c>
      <c r="M69" s="1219">
        <f>M68/M4</f>
        <v>2.1363775310388077E-4</v>
      </c>
      <c r="N69" s="1219" t="e">
        <f>N68/N4</f>
        <v>#REF!</v>
      </c>
      <c r="O69" s="1219" t="e">
        <f>#REF!</f>
        <v>#REF!</v>
      </c>
      <c r="P69" s="1219" t="e">
        <f>#REF!</f>
        <v>#REF!</v>
      </c>
      <c r="Q69" s="1219" t="e">
        <f>#REF!</f>
        <v>#REF!</v>
      </c>
      <c r="R69" s="1219" t="e">
        <f>#REF!</f>
        <v>#REF!</v>
      </c>
      <c r="S69" s="1219" t="e">
        <f>#REF!</f>
        <v>#REF!</v>
      </c>
      <c r="T69" s="1219" t="e">
        <f>#REF!</f>
        <v>#REF!</v>
      </c>
      <c r="U69" s="1219" t="e">
        <f>#REF!</f>
        <v>#REF!</v>
      </c>
      <c r="V69" s="1219" t="e">
        <f>#REF!</f>
        <v>#REF!</v>
      </c>
    </row>
    <row r="70" spans="1:22" x14ac:dyDescent="0.4">
      <c r="A70" s="1217"/>
      <c r="B70" s="1186"/>
      <c r="C70" s="1218"/>
      <c r="D70" s="1218"/>
      <c r="E70" s="1218"/>
      <c r="F70" s="1219"/>
      <c r="G70" s="1219"/>
      <c r="H70" s="1219"/>
      <c r="I70" s="1219"/>
      <c r="J70" s="1219"/>
      <c r="K70" s="1219"/>
      <c r="L70" s="1219"/>
      <c r="M70" s="1219"/>
      <c r="N70" s="1219"/>
      <c r="O70" s="1219"/>
      <c r="P70" s="1219"/>
      <c r="Q70" s="1219"/>
      <c r="R70" s="1219"/>
      <c r="S70" s="1219"/>
      <c r="T70" s="1219"/>
      <c r="U70" s="1219"/>
      <c r="V70" s="1219"/>
    </row>
    <row r="71" spans="1:22" x14ac:dyDescent="0.4">
      <c r="A71" s="1223" t="s">
        <v>374</v>
      </c>
      <c r="B71" s="1168" t="s">
        <v>375</v>
      </c>
      <c r="C71" s="1216"/>
      <c r="D71" s="1216" t="e">
        <f>-#REF!</f>
        <v>#REF!</v>
      </c>
      <c r="E71" s="1216" t="e">
        <f>-#REF!</f>
        <v>#REF!</v>
      </c>
      <c r="F71" s="1216" t="e">
        <f>-#REF!</f>
        <v>#REF!</v>
      </c>
      <c r="G71" s="1216">
        <v>166.41900000000001</v>
      </c>
      <c r="H71" s="1216" t="e">
        <f>F71-G71</f>
        <v>#REF!</v>
      </c>
      <c r="I71" s="1216" t="e">
        <f t="shared" ref="I71:V71" si="55">I72*I4</f>
        <v>#REF!</v>
      </c>
      <c r="J71" s="1216">
        <v>159.136</v>
      </c>
      <c r="K71" s="1216" t="e">
        <f>I71-J71</f>
        <v>#REF!</v>
      </c>
      <c r="L71" s="1216" t="e">
        <f t="shared" si="55"/>
        <v>#REF!</v>
      </c>
      <c r="M71" s="1216">
        <v>180.39</v>
      </c>
      <c r="N71" s="1216" t="e">
        <f>L71-M71</f>
        <v>#REF!</v>
      </c>
      <c r="O71" s="1216" t="e">
        <f t="shared" si="55"/>
        <v>#REF!</v>
      </c>
      <c r="P71" s="1216" t="e">
        <f t="shared" si="55"/>
        <v>#REF!</v>
      </c>
      <c r="Q71" s="1216" t="e">
        <f t="shared" si="55"/>
        <v>#REF!</v>
      </c>
      <c r="R71" s="1216" t="e">
        <f t="shared" si="55"/>
        <v>#REF!</v>
      </c>
      <c r="S71" s="1216" t="e">
        <f t="shared" si="55"/>
        <v>#REF!</v>
      </c>
      <c r="T71" s="1216" t="e">
        <f t="shared" si="55"/>
        <v>#REF!</v>
      </c>
      <c r="U71" s="1216" t="e">
        <f t="shared" si="55"/>
        <v>#REF!</v>
      </c>
      <c r="V71" s="1216" t="e">
        <f t="shared" si="55"/>
        <v>#REF!</v>
      </c>
    </row>
    <row r="72" spans="1:22" x14ac:dyDescent="0.4">
      <c r="A72" s="1217" t="s">
        <v>376</v>
      </c>
      <c r="B72" s="1186" t="s">
        <v>354</v>
      </c>
      <c r="C72" s="1218"/>
      <c r="D72" s="1218" t="e">
        <f>D71/D4</f>
        <v>#REF!</v>
      </c>
      <c r="E72" s="1218" t="e">
        <f>E71/E4</f>
        <v>#REF!</v>
      </c>
      <c r="F72" s="1218" t="e">
        <f>F71/F4</f>
        <v>#REF!</v>
      </c>
      <c r="G72" s="1218">
        <f>G71/G4</f>
        <v>3.0596576148647085E-2</v>
      </c>
      <c r="H72" s="1218" t="e">
        <f>H71/H4</f>
        <v>#REF!</v>
      </c>
      <c r="I72" s="1219" t="e">
        <f>#REF!</f>
        <v>#REF!</v>
      </c>
      <c r="J72" s="1218">
        <f>J71/J4</f>
        <v>2.8923558206897879E-2</v>
      </c>
      <c r="K72" s="1218" t="e">
        <f>K71/K4</f>
        <v>#REF!</v>
      </c>
      <c r="L72" s="1219" t="e">
        <f>#REF!</f>
        <v>#REF!</v>
      </c>
      <c r="M72" s="1219">
        <f>M71/M4</f>
        <v>3.230353250830599E-2</v>
      </c>
      <c r="N72" s="1219" t="e">
        <f>N71/N4</f>
        <v>#REF!</v>
      </c>
      <c r="O72" s="1219" t="e">
        <f>#REF!</f>
        <v>#REF!</v>
      </c>
      <c r="P72" s="1219" t="e">
        <f>#REF!</f>
        <v>#REF!</v>
      </c>
      <c r="Q72" s="1219" t="e">
        <f>#REF!</f>
        <v>#REF!</v>
      </c>
      <c r="R72" s="1219" t="e">
        <f>#REF!</f>
        <v>#REF!</v>
      </c>
      <c r="S72" s="1219" t="e">
        <f>#REF!</f>
        <v>#REF!</v>
      </c>
      <c r="T72" s="1219" t="e">
        <f>#REF!</f>
        <v>#REF!</v>
      </c>
      <c r="U72" s="1219" t="e">
        <f>#REF!</f>
        <v>#REF!</v>
      </c>
      <c r="V72" s="1219" t="e">
        <f>#REF!</f>
        <v>#REF!</v>
      </c>
    </row>
    <row r="73" spans="1:22" x14ac:dyDescent="0.4">
      <c r="A73" s="1217"/>
      <c r="B73" s="1186"/>
      <c r="C73" s="1218"/>
      <c r="D73" s="1224"/>
      <c r="E73" s="1224"/>
      <c r="F73" s="1224"/>
      <c r="G73" s="1224"/>
      <c r="H73" s="1224"/>
      <c r="I73" s="1219"/>
      <c r="J73" s="1219"/>
      <c r="K73" s="1219"/>
      <c r="L73" s="1219"/>
      <c r="M73" s="1219"/>
      <c r="N73" s="1219"/>
      <c r="O73" s="1225"/>
      <c r="P73" s="1225"/>
      <c r="Q73" s="1219"/>
      <c r="R73" s="1219"/>
      <c r="S73" s="1219"/>
      <c r="T73" s="1219"/>
      <c r="U73" s="1219"/>
      <c r="V73" s="1219"/>
    </row>
    <row r="74" spans="1:22" x14ac:dyDescent="0.4">
      <c r="A74" s="1223" t="s">
        <v>377</v>
      </c>
      <c r="B74" s="1168" t="s">
        <v>378</v>
      </c>
      <c r="C74" s="1216"/>
      <c r="D74" s="1216" t="e">
        <f>+SUM(#REF!)</f>
        <v>#REF!</v>
      </c>
      <c r="E74" s="1216" t="e">
        <f>+SUM(#REF!)</f>
        <v>#REF!</v>
      </c>
      <c r="F74" s="1216" t="e">
        <f>+SUM(#REF!)</f>
        <v>#REF!</v>
      </c>
      <c r="G74" s="1216">
        <v>18.297999999999998</v>
      </c>
      <c r="H74" s="1216" t="e">
        <f>F74-G74</f>
        <v>#REF!</v>
      </c>
      <c r="I74" s="1225" t="e">
        <f>#REF!</f>
        <v>#REF!</v>
      </c>
      <c r="J74" s="1225">
        <v>0</v>
      </c>
      <c r="K74" s="1216" t="e">
        <f>I74-J74</f>
        <v>#REF!</v>
      </c>
      <c r="L74" s="1225" t="e">
        <f>#REF!</f>
        <v>#REF!</v>
      </c>
      <c r="M74" s="1225">
        <v>0</v>
      </c>
      <c r="N74" s="1225" t="e">
        <f>L74-M74</f>
        <v>#REF!</v>
      </c>
      <c r="O74" s="1225" t="e">
        <f>#REF!</f>
        <v>#REF!</v>
      </c>
      <c r="P74" s="1225" t="e">
        <f>#REF!</f>
        <v>#REF!</v>
      </c>
      <c r="Q74" s="1225" t="e">
        <f>#REF!</f>
        <v>#REF!</v>
      </c>
      <c r="R74" s="1225" t="e">
        <f>#REF!</f>
        <v>#REF!</v>
      </c>
      <c r="S74" s="1225" t="e">
        <f>#REF!</f>
        <v>#REF!</v>
      </c>
      <c r="T74" s="1225" t="e">
        <f>#REF!</f>
        <v>#REF!</v>
      </c>
      <c r="U74" s="1225" t="e">
        <f>#REF!</f>
        <v>#REF!</v>
      </c>
      <c r="V74" s="1225" t="e">
        <f>#REF!</f>
        <v>#REF!</v>
      </c>
    </row>
    <row r="75" spans="1:22" x14ac:dyDescent="0.4">
      <c r="B75" s="1202"/>
      <c r="C75" s="1226"/>
      <c r="D75" s="1226"/>
      <c r="E75" s="1227"/>
      <c r="F75" s="252"/>
      <c r="G75" s="252"/>
      <c r="H75" s="252"/>
    </row>
    <row r="76" spans="1:22" x14ac:dyDescent="0.4">
      <c r="A76" s="1223" t="s">
        <v>379</v>
      </c>
      <c r="B76" s="1168" t="s">
        <v>380</v>
      </c>
      <c r="C76" s="1216"/>
      <c r="D76" s="1216" t="e">
        <f>-#REF!</f>
        <v>#REF!</v>
      </c>
      <c r="E76" s="1216" t="e">
        <f>-#REF!</f>
        <v>#REF!</v>
      </c>
      <c r="F76" s="1216" t="e">
        <f>-#REF!</f>
        <v>#REF!</v>
      </c>
      <c r="G76" s="1216">
        <v>6.6539999999999999</v>
      </c>
      <c r="H76" s="1216" t="e">
        <f>F76-G76</f>
        <v>#REF!</v>
      </c>
      <c r="I76" s="1225" t="e">
        <f>#REF!</f>
        <v>#REF!</v>
      </c>
      <c r="J76" s="1225">
        <v>5.6390000000000002</v>
      </c>
      <c r="K76" s="1216" t="e">
        <f>I76-J76</f>
        <v>#REF!</v>
      </c>
      <c r="L76" s="1225" t="e">
        <f>#REF!</f>
        <v>#REF!</v>
      </c>
      <c r="M76" s="1225">
        <v>20.312000000000001</v>
      </c>
      <c r="N76" s="1225" t="e">
        <f>L76-M76</f>
        <v>#REF!</v>
      </c>
      <c r="O76" s="1225" t="e">
        <f>#REF!</f>
        <v>#REF!</v>
      </c>
      <c r="P76" s="1225" t="e">
        <f t="shared" ref="P76:V76" si="56">P4*P77</f>
        <v>#REF!</v>
      </c>
      <c r="Q76" s="1225" t="e">
        <f t="shared" si="56"/>
        <v>#REF!</v>
      </c>
      <c r="R76" s="1225" t="e">
        <f t="shared" si="56"/>
        <v>#REF!</v>
      </c>
      <c r="S76" s="1225" t="e">
        <f t="shared" si="56"/>
        <v>#REF!</v>
      </c>
      <c r="T76" s="1225" t="e">
        <f t="shared" si="56"/>
        <v>#REF!</v>
      </c>
      <c r="U76" s="1225" t="e">
        <f t="shared" si="56"/>
        <v>#REF!</v>
      </c>
      <c r="V76" s="1225" t="e">
        <f t="shared" si="56"/>
        <v>#REF!</v>
      </c>
    </row>
    <row r="77" spans="1:22" x14ac:dyDescent="0.4">
      <c r="A77" s="1217" t="s">
        <v>381</v>
      </c>
      <c r="B77" s="1186" t="s">
        <v>354</v>
      </c>
      <c r="C77" s="1218"/>
      <c r="D77" s="1218" t="e">
        <f t="shared" ref="D77:O77" si="57">+D76/D4</f>
        <v>#REF!</v>
      </c>
      <c r="E77" s="1218" t="e">
        <f t="shared" si="57"/>
        <v>#REF!</v>
      </c>
      <c r="F77" s="1218" t="e">
        <f t="shared" si="57"/>
        <v>#REF!</v>
      </c>
      <c r="G77" s="1218">
        <f>+G76/G4</f>
        <v>1.2233556125989082E-3</v>
      </c>
      <c r="H77" s="1218" t="e">
        <f>+H76/H4</f>
        <v>#REF!</v>
      </c>
      <c r="I77" s="1218" t="e">
        <f t="shared" si="57"/>
        <v>#REF!</v>
      </c>
      <c r="J77" s="1218">
        <f>+J76/J4</f>
        <v>1.0249091640401741E-3</v>
      </c>
      <c r="K77" s="1218" t="e">
        <f>+K76/K4</f>
        <v>#REF!</v>
      </c>
      <c r="L77" s="1218" t="e">
        <f t="shared" si="57"/>
        <v>#REF!</v>
      </c>
      <c r="M77" s="1218">
        <f>M76/M4</f>
        <v>3.6373931609773903E-3</v>
      </c>
      <c r="N77" s="1218" t="e">
        <f>N76/N4</f>
        <v>#REF!</v>
      </c>
      <c r="O77" s="1218" t="e">
        <f t="shared" si="57"/>
        <v>#REF!</v>
      </c>
      <c r="P77" s="1219" t="e">
        <f>#REF!</f>
        <v>#REF!</v>
      </c>
      <c r="Q77" s="1219" t="e">
        <f>#REF!</f>
        <v>#REF!</v>
      </c>
      <c r="R77" s="1219">
        <v>1.4500000000000001E-2</v>
      </c>
      <c r="S77" s="1219">
        <v>1.4500000000000001E-2</v>
      </c>
      <c r="T77" s="1219">
        <v>1.4500000000000001E-2</v>
      </c>
      <c r="U77" s="1219">
        <v>1.4500000000000001E-2</v>
      </c>
      <c r="V77" s="1219">
        <v>1.4500000000000001E-2</v>
      </c>
    </row>
    <row r="78" spans="1:22" x14ac:dyDescent="0.4">
      <c r="A78" s="1223"/>
      <c r="C78" s="1216"/>
      <c r="D78" s="1216"/>
      <c r="E78" s="1216"/>
      <c r="F78" s="1216"/>
      <c r="G78" s="1216"/>
      <c r="H78" s="1216"/>
      <c r="I78" s="1225"/>
      <c r="J78" s="1225"/>
      <c r="K78" s="1225"/>
      <c r="L78" s="1225"/>
      <c r="M78" s="1225"/>
      <c r="N78" s="1225"/>
      <c r="O78" s="1225"/>
      <c r="P78" s="1225"/>
      <c r="Q78" s="1225"/>
      <c r="R78" s="1225"/>
      <c r="S78" s="1225"/>
      <c r="T78" s="1225"/>
      <c r="U78" s="1225"/>
      <c r="V78" s="1225"/>
    </row>
    <row r="79" spans="1:22" x14ac:dyDescent="0.4">
      <c r="A79" s="1223" t="s">
        <v>382</v>
      </c>
      <c r="B79" s="1168" t="s">
        <v>160</v>
      </c>
      <c r="C79" s="1216"/>
      <c r="D79" s="1216" t="e">
        <f>+#REF!</f>
        <v>#REF!</v>
      </c>
      <c r="E79" s="1216" t="e">
        <f>+#REF!</f>
        <v>#REF!</v>
      </c>
      <c r="F79" s="1216" t="e">
        <f>+#REF!</f>
        <v>#REF!</v>
      </c>
      <c r="G79" s="1216">
        <v>4.899</v>
      </c>
      <c r="H79" s="1216" t="e">
        <f>F79-G79</f>
        <v>#REF!</v>
      </c>
      <c r="I79" s="1225" t="e">
        <f>#REF!</f>
        <v>#REF!</v>
      </c>
      <c r="J79" s="1225">
        <v>3.55</v>
      </c>
      <c r="K79" s="1216" t="e">
        <f>I79-J79</f>
        <v>#REF!</v>
      </c>
      <c r="L79" s="1225" t="e">
        <f>#REF!</f>
        <v>#REF!</v>
      </c>
      <c r="M79" s="1225">
        <v>9.5459999999999994</v>
      </c>
      <c r="N79" s="1225" t="e">
        <f>L79-M79</f>
        <v>#REF!</v>
      </c>
      <c r="O79" s="1225" t="e">
        <f>#REF!</f>
        <v>#REF!</v>
      </c>
      <c r="P79" s="1225" t="e">
        <f>#REF!</f>
        <v>#REF!</v>
      </c>
      <c r="Q79" s="1225" t="e">
        <f>#REF!</f>
        <v>#REF!</v>
      </c>
      <c r="R79" s="1225" t="e">
        <f>#REF!</f>
        <v>#REF!</v>
      </c>
      <c r="S79" s="1225" t="e">
        <f>#REF!</f>
        <v>#REF!</v>
      </c>
      <c r="T79" s="1225" t="e">
        <f>#REF!</f>
        <v>#REF!</v>
      </c>
      <c r="U79" s="1225" t="e">
        <f>#REF!</f>
        <v>#REF!</v>
      </c>
      <c r="V79" s="1225" t="e">
        <f>#REF!</f>
        <v>#REF!</v>
      </c>
    </row>
    <row r="80" spans="1:22" x14ac:dyDescent="0.4">
      <c r="A80" s="1223"/>
      <c r="B80" s="1171"/>
      <c r="C80" s="1216"/>
      <c r="D80" s="1216"/>
      <c r="E80" s="1216"/>
      <c r="F80" s="1225"/>
      <c r="G80" s="1225"/>
      <c r="H80" s="1225"/>
      <c r="I80" s="1225"/>
      <c r="J80" s="1225"/>
      <c r="K80" s="1225"/>
      <c r="L80" s="1225"/>
      <c r="M80" s="1225"/>
      <c r="N80" s="1225"/>
      <c r="O80" s="1225"/>
      <c r="P80" s="1225"/>
      <c r="Q80" s="1225"/>
      <c r="R80" s="1225"/>
      <c r="S80" s="1225"/>
      <c r="T80" s="1225"/>
      <c r="U80" s="1225"/>
      <c r="V80" s="1225"/>
    </row>
    <row r="81" spans="1:26" s="1171" customFormat="1" x14ac:dyDescent="0.4">
      <c r="A81" s="1182" t="s">
        <v>383</v>
      </c>
      <c r="B81" s="1183" t="s">
        <v>384</v>
      </c>
      <c r="C81" s="1228"/>
      <c r="D81" s="1228" t="e">
        <f t="shared" ref="D81:K81" si="58">+D41+D62+D65-D68-D71+D74-D76+D79</f>
        <v>#REF!</v>
      </c>
      <c r="E81" s="1228" t="e">
        <f t="shared" si="58"/>
        <v>#REF!</v>
      </c>
      <c r="F81" s="1228" t="e">
        <f t="shared" si="58"/>
        <v>#REF!</v>
      </c>
      <c r="G81" s="1228">
        <f t="shared" si="58"/>
        <v>311.00199999999973</v>
      </c>
      <c r="H81" s="1228" t="e">
        <f t="shared" si="58"/>
        <v>#REF!</v>
      </c>
      <c r="I81" s="1228" t="e">
        <f t="shared" si="58"/>
        <v>#REF!</v>
      </c>
      <c r="J81" s="1228">
        <f t="shared" si="58"/>
        <v>334.99900000000031</v>
      </c>
      <c r="K81" s="1228" t="e">
        <f t="shared" si="58"/>
        <v>#REF!</v>
      </c>
      <c r="L81" s="1228" t="e">
        <f t="shared" ref="L81:V81" si="59">L41+L62+L65-L68-L71+L74-L76+L79</f>
        <v>#REF!</v>
      </c>
      <c r="M81" s="1228">
        <f>M41+M62+M65-M68-M71+M74-M76+M79</f>
        <v>477.56100000000009</v>
      </c>
      <c r="N81" s="1228" t="e">
        <f>N41+N62+N65-N68-N71+N74-N76+N79</f>
        <v>#REF!</v>
      </c>
      <c r="O81" s="1228" t="e">
        <f t="shared" si="59"/>
        <v>#REF!</v>
      </c>
      <c r="P81" s="1228" t="e">
        <f t="shared" si="59"/>
        <v>#REF!</v>
      </c>
      <c r="Q81" s="1228" t="e">
        <f t="shared" si="59"/>
        <v>#REF!</v>
      </c>
      <c r="R81" s="1228" t="e">
        <f t="shared" si="59"/>
        <v>#REF!</v>
      </c>
      <c r="S81" s="1228" t="e">
        <f t="shared" si="59"/>
        <v>#REF!</v>
      </c>
      <c r="T81" s="1228" t="e">
        <f t="shared" si="59"/>
        <v>#REF!</v>
      </c>
      <c r="U81" s="1228" t="e">
        <f t="shared" si="59"/>
        <v>#REF!</v>
      </c>
      <c r="V81" s="1228" t="e">
        <f t="shared" si="59"/>
        <v>#REF!</v>
      </c>
      <c r="W81" s="266"/>
      <c r="X81" s="266"/>
    </row>
    <row r="82" spans="1:26" x14ac:dyDescent="0.4">
      <c r="A82" s="1223" t="s">
        <v>385</v>
      </c>
      <c r="B82" s="1168" t="s">
        <v>386</v>
      </c>
      <c r="C82" s="1216"/>
      <c r="D82" s="1216" t="e">
        <f>-#REF!</f>
        <v>#REF!</v>
      </c>
      <c r="E82" s="1216" t="e">
        <f>-#REF!</f>
        <v>#REF!</v>
      </c>
      <c r="F82" s="1216" t="e">
        <f>-#REF!</f>
        <v>#REF!</v>
      </c>
      <c r="G82" s="1216">
        <v>23.814</v>
      </c>
      <c r="H82" s="1216" t="e">
        <f>F82-G82</f>
        <v>#REF!</v>
      </c>
      <c r="I82" s="1216" t="e">
        <f t="shared" ref="I82:V82" si="60">I81*I83</f>
        <v>#REF!</v>
      </c>
      <c r="J82" s="1216">
        <v>31.648</v>
      </c>
      <c r="K82" s="1216" t="e">
        <f>I82-J82</f>
        <v>#REF!</v>
      </c>
      <c r="L82" s="1216" t="e">
        <f t="shared" si="60"/>
        <v>#REF!</v>
      </c>
      <c r="M82" s="1216">
        <v>75.832999999999998</v>
      </c>
      <c r="N82" s="1216" t="e">
        <f>L82-M82</f>
        <v>#REF!</v>
      </c>
      <c r="O82" s="1216" t="e">
        <f t="shared" si="60"/>
        <v>#REF!</v>
      </c>
      <c r="P82" s="1216" t="e">
        <f t="shared" si="60"/>
        <v>#REF!</v>
      </c>
      <c r="Q82" s="1216" t="e">
        <f t="shared" si="60"/>
        <v>#REF!</v>
      </c>
      <c r="R82" s="1216" t="e">
        <f t="shared" si="60"/>
        <v>#REF!</v>
      </c>
      <c r="S82" s="1216" t="e">
        <f t="shared" si="60"/>
        <v>#REF!</v>
      </c>
      <c r="T82" s="1216" t="e">
        <f t="shared" si="60"/>
        <v>#REF!</v>
      </c>
      <c r="U82" s="1216" t="e">
        <f t="shared" si="60"/>
        <v>#REF!</v>
      </c>
      <c r="V82" s="1216" t="e">
        <f t="shared" si="60"/>
        <v>#REF!</v>
      </c>
    </row>
    <row r="83" spans="1:26" s="1229" customFormat="1" x14ac:dyDescent="0.4">
      <c r="A83" s="1203" t="s">
        <v>387</v>
      </c>
      <c r="B83" s="1186" t="s">
        <v>388</v>
      </c>
      <c r="C83" s="275"/>
      <c r="D83" s="275" t="e">
        <f>D82/D81</f>
        <v>#REF!</v>
      </c>
      <c r="E83" s="275" t="e">
        <f>E82/E81</f>
        <v>#REF!</v>
      </c>
      <c r="F83" s="275" t="e">
        <f>F82/F81</f>
        <v>#REF!</v>
      </c>
      <c r="G83" s="275">
        <f>G82/G81</f>
        <v>7.6571854843377279E-2</v>
      </c>
      <c r="H83" s="275" t="e">
        <f>H82/H81</f>
        <v>#REF!</v>
      </c>
      <c r="I83" s="1230" t="e">
        <f>#REF!</f>
        <v>#REF!</v>
      </c>
      <c r="J83" s="275">
        <f>J82/J81</f>
        <v>9.4471923796787372E-2</v>
      </c>
      <c r="K83" s="275" t="e">
        <f>K82/K81</f>
        <v>#REF!</v>
      </c>
      <c r="L83" s="1230" t="e">
        <f>#REF!</f>
        <v>#REF!</v>
      </c>
      <c r="M83" s="1230">
        <f>M82/M81</f>
        <v>0.15879227993910722</v>
      </c>
      <c r="N83" s="1230" t="e">
        <f>N82/N81</f>
        <v>#REF!</v>
      </c>
      <c r="O83" s="1230" t="e">
        <f>#REF!</f>
        <v>#REF!</v>
      </c>
      <c r="P83" s="1230" t="e">
        <f>#REF!</f>
        <v>#REF!</v>
      </c>
      <c r="Q83" s="1230" t="e">
        <f>#REF!</f>
        <v>#REF!</v>
      </c>
      <c r="R83" s="1230" t="e">
        <f>#REF!</f>
        <v>#REF!</v>
      </c>
      <c r="S83" s="1230" t="e">
        <f>#REF!</f>
        <v>#REF!</v>
      </c>
      <c r="T83" s="1230" t="e">
        <f>#REF!</f>
        <v>#REF!</v>
      </c>
      <c r="U83" s="1230" t="e">
        <f>#REF!</f>
        <v>#REF!</v>
      </c>
      <c r="V83" s="1230" t="e">
        <f>#REF!</f>
        <v>#REF!</v>
      </c>
    </row>
    <row r="84" spans="1:26" x14ac:dyDescent="0.4">
      <c r="A84" s="1223" t="s">
        <v>389</v>
      </c>
      <c r="B84" s="1186" t="s">
        <v>390</v>
      </c>
      <c r="C84" s="1216"/>
      <c r="D84" s="1216" t="e">
        <f>#REF!</f>
        <v>#REF!</v>
      </c>
      <c r="E84" s="1216" t="e">
        <f>#REF!</f>
        <v>#REF!</v>
      </c>
      <c r="F84" s="1216" t="e">
        <f>#REF!</f>
        <v>#REF!</v>
      </c>
      <c r="G84" s="1216">
        <v>7.1180000000000003</v>
      </c>
      <c r="H84" s="1216" t="e">
        <f>F84-G84</f>
        <v>#REF!</v>
      </c>
      <c r="I84" s="1225" t="e">
        <f>#REF!</f>
        <v>#REF!</v>
      </c>
      <c r="J84" s="1225">
        <v>0</v>
      </c>
      <c r="K84" s="1216" t="e">
        <f>I84-J84</f>
        <v>#REF!</v>
      </c>
      <c r="L84" s="1225" t="e">
        <f>#REF!</f>
        <v>#REF!</v>
      </c>
      <c r="M84" s="1225">
        <v>0</v>
      </c>
      <c r="N84" s="1225" t="e">
        <f>L84-M84</f>
        <v>#REF!</v>
      </c>
      <c r="O84" s="1225" t="e">
        <f>#REF!</f>
        <v>#REF!</v>
      </c>
      <c r="P84" s="1225" t="e">
        <f>#REF!</f>
        <v>#REF!</v>
      </c>
      <c r="Q84" s="1225" t="e">
        <f>#REF!</f>
        <v>#REF!</v>
      </c>
      <c r="R84" s="1225" t="e">
        <f>#REF!</f>
        <v>#REF!</v>
      </c>
      <c r="S84" s="1225" t="e">
        <f>#REF!</f>
        <v>#REF!</v>
      </c>
      <c r="T84" s="1225" t="e">
        <f>#REF!</f>
        <v>#REF!</v>
      </c>
      <c r="U84" s="1225" t="e">
        <f>#REF!</f>
        <v>#REF!</v>
      </c>
      <c r="V84" s="1225" t="e">
        <f>#REF!</f>
        <v>#REF!</v>
      </c>
    </row>
    <row r="85" spans="1:26" x14ac:dyDescent="0.4">
      <c r="A85" s="1223"/>
      <c r="B85" s="1186"/>
      <c r="C85" s="261"/>
      <c r="D85" s="261"/>
      <c r="E85" s="261"/>
      <c r="F85" s="261"/>
      <c r="G85" s="261"/>
      <c r="H85" s="261"/>
      <c r="I85" s="261"/>
      <c r="J85" s="261"/>
      <c r="K85" s="261"/>
      <c r="L85" s="261"/>
      <c r="M85" s="261"/>
      <c r="N85" s="261"/>
      <c r="O85" s="1230"/>
      <c r="P85" s="1230"/>
      <c r="Q85" s="1230"/>
      <c r="R85" s="1230"/>
      <c r="S85" s="1230"/>
      <c r="T85" s="1230"/>
      <c r="U85" s="1230"/>
      <c r="V85" s="1230"/>
    </row>
    <row r="86" spans="1:26" s="1171" customFormat="1" x14ac:dyDescent="0.4">
      <c r="A86" s="1182" t="s">
        <v>391</v>
      </c>
      <c r="B86" s="1183" t="s">
        <v>392</v>
      </c>
      <c r="C86" s="1228"/>
      <c r="D86" s="1228" t="e">
        <f t="shared" ref="D86:V86" si="61">D81-D82-D84</f>
        <v>#REF!</v>
      </c>
      <c r="E86" s="1228" t="e">
        <f t="shared" si="61"/>
        <v>#REF!</v>
      </c>
      <c r="F86" s="1228" t="e">
        <f t="shared" si="61"/>
        <v>#REF!</v>
      </c>
      <c r="G86" s="1228">
        <f t="shared" si="61"/>
        <v>280.06999999999971</v>
      </c>
      <c r="H86" s="1228" t="e">
        <f t="shared" si="61"/>
        <v>#REF!</v>
      </c>
      <c r="I86" s="1228" t="e">
        <f t="shared" si="61"/>
        <v>#REF!</v>
      </c>
      <c r="J86" s="1228">
        <f t="shared" si="61"/>
        <v>303.35100000000028</v>
      </c>
      <c r="K86" s="1228" t="e">
        <f t="shared" si="61"/>
        <v>#REF!</v>
      </c>
      <c r="L86" s="1228" t="e">
        <f t="shared" si="61"/>
        <v>#REF!</v>
      </c>
      <c r="M86" s="1228">
        <f>M81-M82-M84</f>
        <v>401.72800000000007</v>
      </c>
      <c r="N86" s="1228" t="e">
        <f>N81-N82-N84</f>
        <v>#REF!</v>
      </c>
      <c r="O86" s="1228" t="e">
        <f t="shared" si="61"/>
        <v>#REF!</v>
      </c>
      <c r="P86" s="1228" t="e">
        <f t="shared" si="61"/>
        <v>#REF!</v>
      </c>
      <c r="Q86" s="1228" t="e">
        <f t="shared" si="61"/>
        <v>#REF!</v>
      </c>
      <c r="R86" s="1228" t="e">
        <f t="shared" si="61"/>
        <v>#REF!</v>
      </c>
      <c r="S86" s="1228" t="e">
        <f t="shared" si="61"/>
        <v>#REF!</v>
      </c>
      <c r="T86" s="1228" t="e">
        <f t="shared" si="61"/>
        <v>#REF!</v>
      </c>
      <c r="U86" s="1228" t="e">
        <f t="shared" si="61"/>
        <v>#REF!</v>
      </c>
      <c r="V86" s="1228" t="e">
        <f t="shared" si="61"/>
        <v>#REF!</v>
      </c>
      <c r="W86" s="252" t="e">
        <f>(F86/D86)^(1/2)-1</f>
        <v>#REF!</v>
      </c>
      <c r="X86" s="252" t="e">
        <f>(O86/F86)^(1/3)-1</f>
        <v>#REF!</v>
      </c>
      <c r="Y86" s="1231"/>
      <c r="Z86" s="1181"/>
    </row>
    <row r="87" spans="1:26" x14ac:dyDescent="0.4">
      <c r="A87" s="1202" t="s">
        <v>341</v>
      </c>
      <c r="B87" s="1202" t="s">
        <v>341</v>
      </c>
      <c r="C87" s="275"/>
      <c r="D87" s="275"/>
      <c r="E87" s="275" t="e">
        <f t="shared" ref="E87:V87" si="62">E86/D86-1</f>
        <v>#REF!</v>
      </c>
      <c r="F87" s="275" t="e">
        <f t="shared" si="62"/>
        <v>#REF!</v>
      </c>
      <c r="G87" s="275"/>
      <c r="H87" s="275"/>
      <c r="I87" s="275" t="e">
        <f>I86/F86-1</f>
        <v>#REF!</v>
      </c>
      <c r="J87" s="275"/>
      <c r="K87" s="275"/>
      <c r="L87" s="275" t="e">
        <f>L86/I86-1</f>
        <v>#REF!</v>
      </c>
      <c r="M87" s="275"/>
      <c r="N87" s="275"/>
      <c r="O87" s="275" t="e">
        <f>O86/L86-1</f>
        <v>#REF!</v>
      </c>
      <c r="P87" s="275" t="e">
        <f t="shared" si="62"/>
        <v>#REF!</v>
      </c>
      <c r="Q87" s="275" t="e">
        <f t="shared" si="62"/>
        <v>#REF!</v>
      </c>
      <c r="R87" s="275" t="e">
        <f t="shared" si="62"/>
        <v>#REF!</v>
      </c>
      <c r="S87" s="275" t="e">
        <f t="shared" si="62"/>
        <v>#REF!</v>
      </c>
      <c r="T87" s="275" t="e">
        <f t="shared" si="62"/>
        <v>#REF!</v>
      </c>
      <c r="U87" s="275" t="e">
        <f t="shared" si="62"/>
        <v>#REF!</v>
      </c>
      <c r="V87" s="275" t="e">
        <f t="shared" si="62"/>
        <v>#REF!</v>
      </c>
      <c r="W87" s="252"/>
      <c r="X87" s="252"/>
      <c r="Y87" s="252"/>
    </row>
    <row r="88" spans="1:26" x14ac:dyDescent="0.4">
      <c r="A88" s="1203" t="s">
        <v>393</v>
      </c>
      <c r="B88" s="1186" t="s">
        <v>394</v>
      </c>
      <c r="C88" s="275"/>
      <c r="D88" s="275" t="e">
        <f t="shared" ref="D88:V88" si="63">D86/D4</f>
        <v>#REF!</v>
      </c>
      <c r="E88" s="275" t="e">
        <f t="shared" si="63"/>
        <v>#REF!</v>
      </c>
      <c r="F88" s="275" t="e">
        <f t="shared" si="63"/>
        <v>#REF!</v>
      </c>
      <c r="G88" s="275">
        <f t="shared" si="63"/>
        <v>5.1491615031646509E-2</v>
      </c>
      <c r="H88" s="275" t="e">
        <f t="shared" si="63"/>
        <v>#REF!</v>
      </c>
      <c r="I88" s="275" t="e">
        <f t="shared" si="63"/>
        <v>#REF!</v>
      </c>
      <c r="J88" s="275">
        <f t="shared" si="63"/>
        <v>5.5135169324481495E-2</v>
      </c>
      <c r="K88" s="275" t="e">
        <f t="shared" si="63"/>
        <v>#REF!</v>
      </c>
      <c r="L88" s="275" t="e">
        <f t="shared" si="63"/>
        <v>#REF!</v>
      </c>
      <c r="M88" s="275">
        <f>M86/M4</f>
        <v>7.1939871985679651E-2</v>
      </c>
      <c r="N88" s="275" t="e">
        <f>N86/N4</f>
        <v>#REF!</v>
      </c>
      <c r="O88" s="275" t="e">
        <f t="shared" si="63"/>
        <v>#REF!</v>
      </c>
      <c r="P88" s="275" t="e">
        <f t="shared" si="63"/>
        <v>#REF!</v>
      </c>
      <c r="Q88" s="275" t="e">
        <f t="shared" si="63"/>
        <v>#REF!</v>
      </c>
      <c r="R88" s="275" t="e">
        <f t="shared" si="63"/>
        <v>#REF!</v>
      </c>
      <c r="S88" s="275" t="e">
        <f t="shared" si="63"/>
        <v>#REF!</v>
      </c>
      <c r="T88" s="275" t="e">
        <f t="shared" si="63"/>
        <v>#REF!</v>
      </c>
      <c r="U88" s="275" t="e">
        <f t="shared" si="63"/>
        <v>#REF!</v>
      </c>
      <c r="V88" s="275" t="e">
        <f t="shared" si="63"/>
        <v>#REF!</v>
      </c>
      <c r="W88" s="252"/>
      <c r="X88" s="252"/>
    </row>
    <row r="89" spans="1:26" x14ac:dyDescent="0.4">
      <c r="A89" s="1182"/>
      <c r="C89" s="1232"/>
      <c r="D89" s="1232"/>
      <c r="E89" s="1232"/>
      <c r="F89" s="275"/>
      <c r="G89" s="275"/>
      <c r="H89" s="275"/>
      <c r="I89" s="1232"/>
      <c r="J89" s="1232"/>
      <c r="K89" s="1232"/>
      <c r="L89" s="1232"/>
      <c r="M89" s="1232"/>
      <c r="N89" s="1232"/>
      <c r="O89" s="1232"/>
      <c r="P89" s="1232"/>
      <c r="Q89" s="1232"/>
      <c r="R89" s="1232"/>
      <c r="S89" s="1232"/>
      <c r="T89" s="1232"/>
      <c r="U89" s="1232"/>
      <c r="V89" s="1232"/>
      <c r="W89" s="277"/>
      <c r="X89" s="277"/>
    </row>
    <row r="90" spans="1:26" x14ac:dyDescent="0.4">
      <c r="B90" s="1202"/>
      <c r="C90" s="275"/>
      <c r="D90" s="275"/>
      <c r="E90" s="261"/>
      <c r="F90" s="294"/>
      <c r="G90" s="294"/>
      <c r="H90" s="294"/>
      <c r="I90" s="1179"/>
      <c r="J90" s="1179"/>
      <c r="K90" s="1179"/>
      <c r="L90" s="1179"/>
      <c r="M90" s="1179"/>
      <c r="N90" s="1179"/>
      <c r="O90" s="1179" t="e">
        <f>#REF!</f>
        <v>#REF!</v>
      </c>
      <c r="P90" s="1179" t="e">
        <f>#REF!</f>
        <v>#REF!</v>
      </c>
      <c r="Q90" s="1179" t="e">
        <f>#REF!</f>
        <v>#REF!</v>
      </c>
      <c r="R90" s="275"/>
      <c r="S90" s="275"/>
      <c r="T90" s="275"/>
      <c r="U90" s="275"/>
      <c r="V90" s="275"/>
      <c r="W90" s="252"/>
      <c r="X90" s="252"/>
    </row>
    <row r="91" spans="1:26" x14ac:dyDescent="0.4">
      <c r="B91" s="1202"/>
      <c r="C91" s="275"/>
      <c r="D91" s="275"/>
      <c r="E91" s="1233"/>
      <c r="F91" s="1233"/>
      <c r="G91" s="1233"/>
      <c r="H91" s="1233"/>
      <c r="I91" s="275"/>
      <c r="J91" s="275"/>
      <c r="K91" s="275"/>
      <c r="L91" s="1234"/>
      <c r="M91" s="1234"/>
      <c r="N91" s="1234"/>
      <c r="O91" s="275"/>
      <c r="P91" s="275"/>
      <c r="Q91" s="275"/>
      <c r="R91" s="275"/>
      <c r="S91" s="275"/>
      <c r="T91" s="275"/>
      <c r="U91" s="275"/>
      <c r="V91" s="275"/>
      <c r="W91" s="252"/>
      <c r="X91" s="252"/>
    </row>
    <row r="92" spans="1:26" x14ac:dyDescent="0.4">
      <c r="B92" s="1202"/>
      <c r="C92" s="275"/>
      <c r="D92" s="275"/>
      <c r="E92" s="261"/>
      <c r="F92" s="261"/>
      <c r="G92" s="261"/>
      <c r="H92" s="261"/>
      <c r="I92" s="261"/>
      <c r="J92" s="261"/>
      <c r="K92" s="261"/>
      <c r="L92" s="1235"/>
      <c r="M92" s="1235"/>
      <c r="N92" s="1235"/>
      <c r="O92" s="277"/>
      <c r="P92" s="277"/>
      <c r="Q92" s="277"/>
      <c r="R92" s="277"/>
      <c r="S92" s="277"/>
      <c r="T92" s="277"/>
      <c r="U92" s="277"/>
      <c r="V92" s="277"/>
      <c r="W92" s="252"/>
      <c r="X92" s="252"/>
    </row>
    <row r="93" spans="1:26" outlineLevel="1" x14ac:dyDescent="0.4">
      <c r="A93" s="1187" t="s">
        <v>395</v>
      </c>
      <c r="B93" s="1188" t="s">
        <v>396</v>
      </c>
      <c r="C93" s="1236"/>
      <c r="D93" s="1236"/>
      <c r="E93" s="1236" t="e">
        <f>E86/#REF!</f>
        <v>#REF!</v>
      </c>
      <c r="F93" s="1237" t="e">
        <f>F86/#REF!</f>
        <v>#REF!</v>
      </c>
      <c r="G93" s="1237"/>
      <c r="H93" s="1237"/>
      <c r="I93" s="1237" t="e">
        <f>I86/#REF!</f>
        <v>#REF!</v>
      </c>
      <c r="J93" s="1237"/>
      <c r="K93" s="1237"/>
      <c r="L93" s="1237" t="e">
        <f>L86/#REF!</f>
        <v>#REF!</v>
      </c>
      <c r="M93" s="1237"/>
      <c r="N93" s="1237"/>
      <c r="O93" s="1238" t="e">
        <f>O86/#REF!</f>
        <v>#REF!</v>
      </c>
      <c r="W93" s="1239" t="e">
        <f>I93*20/0.88</f>
        <v>#REF!</v>
      </c>
      <c r="X93" s="1239" t="e">
        <f>L93*15/0.88</f>
        <v>#REF!</v>
      </c>
    </row>
    <row r="94" spans="1:26" outlineLevel="1" x14ac:dyDescent="0.4">
      <c r="A94" s="1240" t="s">
        <v>99</v>
      </c>
      <c r="B94" s="1183" t="s">
        <v>397</v>
      </c>
      <c r="C94" s="1241"/>
      <c r="D94" s="1241"/>
      <c r="E94" s="1241" t="e">
        <f>#REF!*E1/'P&amp;L (半年)'!E93</f>
        <v>#REF!</v>
      </c>
      <c r="F94" s="1242" t="e">
        <f>#REF!*F1/'P&amp;L (半年)'!F93</f>
        <v>#REF!</v>
      </c>
      <c r="G94" s="1242"/>
      <c r="H94" s="1242"/>
      <c r="I94" s="1242" t="e">
        <f>#REF!*I1/'P&amp;L (半年)'!I93</f>
        <v>#REF!</v>
      </c>
      <c r="J94" s="1242"/>
      <c r="K94" s="1242"/>
      <c r="L94" s="1242" t="e">
        <f>#REF!*L1/'P&amp;L (半年)'!L93</f>
        <v>#REF!</v>
      </c>
      <c r="M94" s="1242"/>
      <c r="N94" s="1242"/>
      <c r="O94" s="1243" t="e">
        <f>#REF!*O1/'P&amp;L (半年)'!O93</f>
        <v>#REF!</v>
      </c>
      <c r="P94" s="1244"/>
      <c r="Q94" s="1244"/>
      <c r="R94" s="1244"/>
      <c r="S94" s="1244"/>
      <c r="T94" s="1244"/>
      <c r="U94" s="1244"/>
      <c r="V94" s="1244"/>
      <c r="X94" s="1185"/>
    </row>
    <row r="95" spans="1:26" outlineLevel="1" x14ac:dyDescent="0.4">
      <c r="A95" s="1193" t="s">
        <v>398</v>
      </c>
      <c r="B95" s="1183" t="s">
        <v>399</v>
      </c>
      <c r="C95" s="1241"/>
      <c r="D95" s="1241"/>
      <c r="E95" s="1241" t="e">
        <f>#REF!*'P&amp;L (半年)'!E1/'P&amp;L (半年)'!E93</f>
        <v>#REF!</v>
      </c>
      <c r="F95" s="1242" t="e">
        <f>#REF!*'P&amp;L (半年)'!F1/'P&amp;L (半年)'!F93</f>
        <v>#REF!</v>
      </c>
      <c r="G95" s="1242"/>
      <c r="H95" s="1242"/>
      <c r="I95" s="1242" t="e">
        <f>#REF!*'P&amp;L (半年)'!I1/'P&amp;L (半年)'!I93</f>
        <v>#REF!</v>
      </c>
      <c r="J95" s="1242"/>
      <c r="K95" s="1242"/>
      <c r="L95" s="1242" t="e">
        <f>#REF!*'P&amp;L (半年)'!L1/'P&amp;L (半年)'!L93</f>
        <v>#REF!</v>
      </c>
      <c r="M95" s="1242"/>
      <c r="N95" s="1242"/>
      <c r="O95" s="1243" t="e">
        <f>#REF!*'P&amp;L (半年)'!O1/'P&amp;L (半年)'!O93</f>
        <v>#REF!</v>
      </c>
      <c r="X95" s="1185"/>
    </row>
    <row r="96" spans="1:26" outlineLevel="1" x14ac:dyDescent="0.4">
      <c r="A96" s="1193" t="s">
        <v>400</v>
      </c>
      <c r="B96" s="1183" t="s">
        <v>401</v>
      </c>
      <c r="C96" s="1241"/>
      <c r="D96" s="1241" t="e">
        <f>#REF!*'P&amp;L (半年)'!D1/#REF!</f>
        <v>#REF!</v>
      </c>
      <c r="E96" s="1241" t="e">
        <f>#REF!*'P&amp;L (半年)'!E1/#REF!</f>
        <v>#REF!</v>
      </c>
      <c r="F96" s="1242" t="e">
        <f>#REF!*'P&amp;L (半年)'!F1/#REF!</f>
        <v>#REF!</v>
      </c>
      <c r="G96" s="1242"/>
      <c r="H96" s="1242"/>
      <c r="I96" s="1242" t="e">
        <f>#REF!*'P&amp;L (半年)'!I1/#REF!</f>
        <v>#REF!</v>
      </c>
      <c r="J96" s="1242"/>
      <c r="K96" s="1242"/>
      <c r="L96" s="1242" t="e">
        <f>#REF!*'P&amp;L (半年)'!L1/#REF!</f>
        <v>#REF!</v>
      </c>
      <c r="M96" s="1242"/>
      <c r="N96" s="1242"/>
      <c r="O96" s="1243" t="e">
        <f>#REF!*'P&amp;L (半年)'!O1/#REF!</f>
        <v>#REF!</v>
      </c>
      <c r="P96" s="295"/>
      <c r="Q96" s="295"/>
      <c r="R96" s="295"/>
      <c r="S96" s="295"/>
      <c r="T96" s="295"/>
      <c r="U96" s="295"/>
      <c r="V96" s="295"/>
      <c r="X96" s="1185"/>
      <c r="Y96" s="1245"/>
    </row>
    <row r="97" spans="1:25" s="1171" customFormat="1" outlineLevel="1" x14ac:dyDescent="0.4">
      <c r="A97" s="1193" t="s">
        <v>402</v>
      </c>
      <c r="B97" s="1183" t="s">
        <v>403</v>
      </c>
      <c r="C97" s="1246"/>
      <c r="D97" s="1246" t="e">
        <f>#REF!</f>
        <v>#REF!</v>
      </c>
      <c r="E97" s="1246" t="e">
        <f>#REF!</f>
        <v>#REF!</v>
      </c>
      <c r="F97" s="1247">
        <v>1453</v>
      </c>
      <c r="G97" s="1247"/>
      <c r="H97" s="1247"/>
      <c r="I97" s="1247" t="e">
        <f>I86*I99</f>
        <v>#REF!</v>
      </c>
      <c r="J97" s="1247"/>
      <c r="K97" s="1247"/>
      <c r="L97" s="1247" t="e">
        <f>L86*L99</f>
        <v>#REF!</v>
      </c>
      <c r="M97" s="1247"/>
      <c r="N97" s="1247"/>
      <c r="O97" s="1248" t="e">
        <f>O86*O99</f>
        <v>#REF!</v>
      </c>
      <c r="W97" s="1168"/>
      <c r="X97" s="1185"/>
    </row>
    <row r="98" spans="1:25" outlineLevel="1" x14ac:dyDescent="0.4">
      <c r="A98" s="1193" t="s">
        <v>404</v>
      </c>
      <c r="B98" s="1183" t="s">
        <v>405</v>
      </c>
      <c r="C98" s="1249"/>
      <c r="D98" s="1249" t="e">
        <f>D97/#REF!</f>
        <v>#REF!</v>
      </c>
      <c r="E98" s="1249" t="e">
        <f>E97/#REF!</f>
        <v>#REF!</v>
      </c>
      <c r="F98" s="1250" t="e">
        <f>F97/#REF!</f>
        <v>#REF!</v>
      </c>
      <c r="G98" s="1250"/>
      <c r="H98" s="1250"/>
      <c r="I98" s="1250" t="e">
        <f>I97/#REF!</f>
        <v>#REF!</v>
      </c>
      <c r="J98" s="1250"/>
      <c r="K98" s="1250"/>
      <c r="L98" s="1250" t="e">
        <f>L97/#REF!</f>
        <v>#REF!</v>
      </c>
      <c r="M98" s="1250"/>
      <c r="N98" s="1250"/>
      <c r="O98" s="1251" t="e">
        <f>O97/#REF!</f>
        <v>#REF!</v>
      </c>
      <c r="X98" s="1185"/>
      <c r="Y98" s="252"/>
    </row>
    <row r="99" spans="1:25" s="1171" customFormat="1" outlineLevel="1" x14ac:dyDescent="0.4">
      <c r="A99" s="1252" t="s">
        <v>406</v>
      </c>
      <c r="B99" s="1183" t="s">
        <v>406</v>
      </c>
      <c r="C99" s="1253"/>
      <c r="D99" s="1254" t="e">
        <f>D97/D86</f>
        <v>#REF!</v>
      </c>
      <c r="E99" s="1254" t="e">
        <f>E97/E86</f>
        <v>#REF!</v>
      </c>
      <c r="F99" s="1255" t="e">
        <f>F97/F86</f>
        <v>#REF!</v>
      </c>
      <c r="G99" s="1255"/>
      <c r="H99" s="1255"/>
      <c r="I99" s="1255">
        <v>0.25</v>
      </c>
      <c r="J99" s="1255"/>
      <c r="K99" s="1255"/>
      <c r="L99" s="1255">
        <v>0.25</v>
      </c>
      <c r="M99" s="1255"/>
      <c r="N99" s="1255"/>
      <c r="O99" s="1256">
        <v>0.25</v>
      </c>
      <c r="W99" s="1168"/>
      <c r="X99" s="1185"/>
    </row>
    <row r="100" spans="1:25" s="1171" customFormat="1" outlineLevel="1" x14ac:dyDescent="0.4">
      <c r="A100" s="1193" t="s">
        <v>407</v>
      </c>
      <c r="B100" s="1183" t="s">
        <v>408</v>
      </c>
      <c r="C100" s="1254"/>
      <c r="D100" s="1254" t="e">
        <f>D98/#REF!</f>
        <v>#REF!</v>
      </c>
      <c r="E100" s="1254" t="e">
        <f>E98/#REF!</f>
        <v>#REF!</v>
      </c>
      <c r="F100" s="1257" t="e">
        <f>F98/#REF!</f>
        <v>#REF!</v>
      </c>
      <c r="G100" s="1257"/>
      <c r="H100" s="1257"/>
      <c r="I100" s="1257" t="e">
        <f>I98/#REF!</f>
        <v>#REF!</v>
      </c>
      <c r="J100" s="1257"/>
      <c r="K100" s="1257"/>
      <c r="L100" s="1257" t="e">
        <f>L98/#REF!</f>
        <v>#REF!</v>
      </c>
      <c r="M100" s="1257"/>
      <c r="N100" s="1257"/>
      <c r="O100" s="1258" t="e">
        <f>O98/#REF!</f>
        <v>#REF!</v>
      </c>
      <c r="W100" s="1168"/>
      <c r="X100" s="1185"/>
    </row>
    <row r="101" spans="1:25" s="1171" customFormat="1" outlineLevel="1" x14ac:dyDescent="0.4">
      <c r="A101" s="1193"/>
      <c r="B101" s="1183" t="s">
        <v>409</v>
      </c>
      <c r="C101" s="1246"/>
      <c r="D101" s="1246" t="e">
        <f>+D81+D76</f>
        <v>#REF!</v>
      </c>
      <c r="E101" s="1246" t="e">
        <f>+E81+E76</f>
        <v>#REF!</v>
      </c>
      <c r="F101" s="1246" t="e">
        <f>+F81+F76</f>
        <v>#REF!</v>
      </c>
      <c r="G101" s="1246"/>
      <c r="H101" s="1246"/>
      <c r="I101" s="1247" t="e">
        <f>I81+I76</f>
        <v>#REF!</v>
      </c>
      <c r="J101" s="1247">
        <f t="shared" ref="J101:V101" si="64">J81+J76</f>
        <v>340.63800000000032</v>
      </c>
      <c r="K101" s="1247" t="e">
        <f t="shared" si="64"/>
        <v>#REF!</v>
      </c>
      <c r="L101" s="1247" t="e">
        <f t="shared" si="64"/>
        <v>#REF!</v>
      </c>
      <c r="M101" s="1247"/>
      <c r="N101" s="1247"/>
      <c r="O101" s="1248" t="e">
        <f t="shared" si="64"/>
        <v>#REF!</v>
      </c>
      <c r="P101" s="1247" t="e">
        <f t="shared" si="64"/>
        <v>#REF!</v>
      </c>
      <c r="Q101" s="1247" t="e">
        <f t="shared" si="64"/>
        <v>#REF!</v>
      </c>
      <c r="R101" s="1247" t="e">
        <f t="shared" si="64"/>
        <v>#REF!</v>
      </c>
      <c r="S101" s="1247" t="e">
        <f t="shared" si="64"/>
        <v>#REF!</v>
      </c>
      <c r="T101" s="1247" t="e">
        <f t="shared" si="64"/>
        <v>#REF!</v>
      </c>
      <c r="U101" s="1247" t="e">
        <f t="shared" si="64"/>
        <v>#REF!</v>
      </c>
      <c r="V101" s="1247" t="e">
        <f t="shared" si="64"/>
        <v>#REF!</v>
      </c>
      <c r="W101" s="1259"/>
      <c r="X101" s="1260"/>
    </row>
    <row r="102" spans="1:25" s="1171" customFormat="1" outlineLevel="1" x14ac:dyDescent="0.4">
      <c r="A102" s="1193"/>
      <c r="B102" s="1183" t="s">
        <v>410</v>
      </c>
      <c r="C102" s="1254"/>
      <c r="D102" s="1254" t="e">
        <f t="shared" ref="D102:O102" si="65">D101/D4</f>
        <v>#REF!</v>
      </c>
      <c r="E102" s="1254" t="e">
        <f t="shared" si="65"/>
        <v>#REF!</v>
      </c>
      <c r="F102" s="1257" t="e">
        <f t="shared" si="65"/>
        <v>#REF!</v>
      </c>
      <c r="G102" s="1257"/>
      <c r="H102" s="1257"/>
      <c r="I102" s="1257" t="e">
        <f t="shared" si="65"/>
        <v>#REF!</v>
      </c>
      <c r="J102" s="1257"/>
      <c r="K102" s="1257"/>
      <c r="L102" s="1257" t="e">
        <f t="shared" si="65"/>
        <v>#REF!</v>
      </c>
      <c r="M102" s="1257"/>
      <c r="N102" s="1257"/>
      <c r="O102" s="1258" t="e">
        <f t="shared" si="65"/>
        <v>#REF!</v>
      </c>
      <c r="P102" s="261"/>
      <c r="Q102" s="261"/>
      <c r="R102" s="261"/>
      <c r="S102" s="261"/>
      <c r="T102" s="261"/>
      <c r="U102" s="261"/>
      <c r="V102" s="261"/>
    </row>
    <row r="103" spans="1:25" s="1171" customFormat="1" outlineLevel="1" x14ac:dyDescent="0.4">
      <c r="A103" s="1252" t="s">
        <v>411</v>
      </c>
      <c r="B103" s="1183" t="s">
        <v>411</v>
      </c>
      <c r="C103" s="1246"/>
      <c r="D103" s="1246" t="e">
        <f>D101+#REF!</f>
        <v>#REF!</v>
      </c>
      <c r="E103" s="1246" t="e">
        <f>E101+#REF!</f>
        <v>#REF!</v>
      </c>
      <c r="F103" s="1247" t="e">
        <f>F101+#REF!</f>
        <v>#REF!</v>
      </c>
      <c r="G103" s="1247"/>
      <c r="H103" s="1247"/>
      <c r="I103" s="1247" t="e">
        <f>I101+#REF!</f>
        <v>#REF!</v>
      </c>
      <c r="J103" s="1247"/>
      <c r="K103" s="1247"/>
      <c r="L103" s="1247" t="e">
        <f>L101+#REF!</f>
        <v>#REF!</v>
      </c>
      <c r="M103" s="1247"/>
      <c r="N103" s="1247"/>
      <c r="O103" s="1248" t="e">
        <f>O101+#REF!</f>
        <v>#REF!</v>
      </c>
      <c r="P103" s="1261"/>
      <c r="Q103" s="1261"/>
    </row>
    <row r="104" spans="1:25" s="1171" customFormat="1" outlineLevel="1" x14ac:dyDescent="0.4">
      <c r="A104" s="1252" t="s">
        <v>412</v>
      </c>
      <c r="B104" s="1183" t="s">
        <v>413</v>
      </c>
      <c r="C104" s="1254"/>
      <c r="D104" s="1254" t="e">
        <f t="shared" ref="D104:O104" si="66">D103/D4</f>
        <v>#REF!</v>
      </c>
      <c r="E104" s="1254" t="e">
        <f t="shared" si="66"/>
        <v>#REF!</v>
      </c>
      <c r="F104" s="1257" t="e">
        <f t="shared" si="66"/>
        <v>#REF!</v>
      </c>
      <c r="G104" s="1257"/>
      <c r="H104" s="1257"/>
      <c r="I104" s="1257" t="e">
        <f t="shared" si="66"/>
        <v>#REF!</v>
      </c>
      <c r="J104" s="1257"/>
      <c r="K104" s="1257"/>
      <c r="L104" s="1257" t="e">
        <f t="shared" si="66"/>
        <v>#REF!</v>
      </c>
      <c r="M104" s="1257"/>
      <c r="N104" s="1257"/>
      <c r="O104" s="1258" t="e">
        <f t="shared" si="66"/>
        <v>#REF!</v>
      </c>
    </row>
    <row r="105" spans="1:25" s="1171" customFormat="1" outlineLevel="1" x14ac:dyDescent="0.4">
      <c r="A105" s="1252"/>
      <c r="B105" s="1183" t="s">
        <v>414</v>
      </c>
      <c r="C105" s="1246"/>
      <c r="D105" s="1246" t="e">
        <f>#REF!*'P&amp;L (半年)'!D1*#REF!+#REF!</f>
        <v>#REF!</v>
      </c>
      <c r="E105" s="1246" t="e">
        <f>#REF!*'P&amp;L (半年)'!E1*#REF!+#REF!</f>
        <v>#REF!</v>
      </c>
      <c r="F105" s="1247" t="e">
        <f>#REF!*'P&amp;L (半年)'!F1*#REF!+#REF!</f>
        <v>#REF!</v>
      </c>
      <c r="G105" s="1247"/>
      <c r="H105" s="1247"/>
      <c r="I105" s="1247" t="e">
        <f>#REF!*'P&amp;L (半年)'!I1*#REF!+#REF!</f>
        <v>#REF!</v>
      </c>
      <c r="J105" s="1247"/>
      <c r="K105" s="1247"/>
      <c r="L105" s="1247" t="e">
        <f>#REF!*'P&amp;L (半年)'!L1*#REF!+#REF!</f>
        <v>#REF!</v>
      </c>
      <c r="M105" s="1247"/>
      <c r="N105" s="1247"/>
      <c r="O105" s="1248" t="e">
        <f>#REF!*'P&amp;L (半年)'!O1*#REF!+#REF!</f>
        <v>#REF!</v>
      </c>
    </row>
    <row r="106" spans="1:25" s="1171" customFormat="1" outlineLevel="1" x14ac:dyDescent="0.4">
      <c r="A106" s="1252" t="s">
        <v>415</v>
      </c>
      <c r="B106" s="1183" t="s">
        <v>415</v>
      </c>
      <c r="C106" s="1262"/>
      <c r="D106" s="1262" t="e">
        <f t="shared" ref="D106:O106" si="67">D105/D103</f>
        <v>#REF!</v>
      </c>
      <c r="E106" s="1262" t="e">
        <f t="shared" si="67"/>
        <v>#REF!</v>
      </c>
      <c r="F106" s="1263" t="e">
        <f t="shared" si="67"/>
        <v>#REF!</v>
      </c>
      <c r="G106" s="1263"/>
      <c r="H106" s="1263"/>
      <c r="I106" s="1263" t="e">
        <f t="shared" si="67"/>
        <v>#REF!</v>
      </c>
      <c r="J106" s="1263"/>
      <c r="K106" s="1263"/>
      <c r="L106" s="1263" t="e">
        <f t="shared" si="67"/>
        <v>#REF!</v>
      </c>
      <c r="M106" s="1263"/>
      <c r="N106" s="1263"/>
      <c r="O106" s="1264" t="e">
        <f t="shared" si="67"/>
        <v>#REF!</v>
      </c>
    </row>
    <row r="107" spans="1:25" outlineLevel="1" x14ac:dyDescent="0.4">
      <c r="A107" s="1193" t="s">
        <v>416</v>
      </c>
      <c r="B107" s="1183" t="s">
        <v>417</v>
      </c>
      <c r="C107" s="1254"/>
      <c r="D107" s="1254" t="e">
        <f t="shared" ref="D107:O107" si="68">D86/D4</f>
        <v>#REF!</v>
      </c>
      <c r="E107" s="1254" t="e">
        <f t="shared" si="68"/>
        <v>#REF!</v>
      </c>
      <c r="F107" s="1257" t="e">
        <f t="shared" si="68"/>
        <v>#REF!</v>
      </c>
      <c r="G107" s="1257"/>
      <c r="H107" s="1257"/>
      <c r="I107" s="1257" t="e">
        <f t="shared" si="68"/>
        <v>#REF!</v>
      </c>
      <c r="J107" s="1257"/>
      <c r="K107" s="1257"/>
      <c r="L107" s="1257" t="e">
        <f t="shared" si="68"/>
        <v>#REF!</v>
      </c>
      <c r="M107" s="1257"/>
      <c r="N107" s="1257"/>
      <c r="O107" s="1258" t="e">
        <f t="shared" si="68"/>
        <v>#REF!</v>
      </c>
      <c r="P107" s="261"/>
      <c r="Q107" s="261"/>
      <c r="R107" s="261"/>
      <c r="S107" s="261"/>
      <c r="T107" s="261"/>
      <c r="U107" s="261"/>
      <c r="V107" s="261"/>
      <c r="X107" s="1171"/>
    </row>
    <row r="108" spans="1:25" outlineLevel="1" x14ac:dyDescent="0.4">
      <c r="A108" s="1252" t="s">
        <v>418</v>
      </c>
      <c r="B108" s="1183" t="s">
        <v>418</v>
      </c>
      <c r="C108" s="1254"/>
      <c r="D108" s="1254" t="e">
        <f>D86/(#REF!)</f>
        <v>#REF!</v>
      </c>
      <c r="E108" s="1254" t="e">
        <f>E86/(#REF!)</f>
        <v>#REF!</v>
      </c>
      <c r="F108" s="1257" t="e">
        <f>F86/(#REF!)</f>
        <v>#REF!</v>
      </c>
      <c r="G108" s="1257"/>
      <c r="H108" s="1257"/>
      <c r="I108" s="1257" t="e">
        <f>I86/(#REF!)</f>
        <v>#REF!</v>
      </c>
      <c r="J108" s="1257"/>
      <c r="K108" s="1257"/>
      <c r="L108" s="1257" t="e">
        <f>L86/(#REF!)</f>
        <v>#REF!</v>
      </c>
      <c r="M108" s="1257"/>
      <c r="N108" s="1257"/>
      <c r="O108" s="1258" t="e">
        <f>O86/(#REF!)</f>
        <v>#REF!</v>
      </c>
    </row>
    <row r="109" spans="1:25" outlineLevel="1" x14ac:dyDescent="0.4">
      <c r="A109" s="1265" t="s">
        <v>419</v>
      </c>
      <c r="B109" s="1266" t="s">
        <v>419</v>
      </c>
      <c r="C109" s="1267"/>
      <c r="D109" s="1267" t="e">
        <f>D86/#REF!</f>
        <v>#REF!</v>
      </c>
      <c r="E109" s="1267" t="e">
        <f>E86/#REF!</f>
        <v>#REF!</v>
      </c>
      <c r="F109" s="1268" t="e">
        <f>F86/#REF!</f>
        <v>#REF!</v>
      </c>
      <c r="G109" s="1268"/>
      <c r="H109" s="1268"/>
      <c r="I109" s="1268" t="e">
        <f>I86/#REF!</f>
        <v>#REF!</v>
      </c>
      <c r="J109" s="1268"/>
      <c r="K109" s="1268"/>
      <c r="L109" s="1268" t="e">
        <f>L86/#REF!</f>
        <v>#REF!</v>
      </c>
      <c r="M109" s="1268"/>
      <c r="N109" s="1268"/>
      <c r="O109" s="1269" t="e">
        <f>O86/#REF!</f>
        <v>#REF!</v>
      </c>
    </row>
    <row r="110" spans="1:25" x14ac:dyDescent="0.4">
      <c r="B110" s="1171"/>
      <c r="C110" s="1270"/>
      <c r="D110" s="1270"/>
      <c r="E110" s="1270"/>
      <c r="F110" s="1270"/>
      <c r="G110" s="1270"/>
      <c r="H110" s="1270"/>
    </row>
    <row r="111" spans="1:25" s="1171" customFormat="1" x14ac:dyDescent="0.4">
      <c r="A111" s="1182"/>
      <c r="C111" s="1271"/>
      <c r="D111" s="275"/>
      <c r="E111" s="275"/>
      <c r="F111" s="275"/>
      <c r="G111" s="275"/>
      <c r="H111" s="275"/>
      <c r="I111" s="275"/>
      <c r="J111" s="275"/>
      <c r="K111" s="275"/>
      <c r="L111" s="275"/>
      <c r="M111" s="275"/>
      <c r="N111" s="275"/>
      <c r="O111" s="275"/>
      <c r="P111" s="275"/>
      <c r="Q111" s="275"/>
      <c r="R111" s="275"/>
      <c r="S111" s="275"/>
      <c r="T111" s="275"/>
      <c r="U111" s="275"/>
      <c r="V111" s="275"/>
    </row>
    <row r="112" spans="1:25" x14ac:dyDescent="0.4">
      <c r="A112" s="1223"/>
      <c r="C112" s="1172"/>
      <c r="F112" s="1227"/>
      <c r="G112" s="1227"/>
      <c r="H112" s="1227"/>
      <c r="I112" s="1227"/>
      <c r="J112" s="1227"/>
      <c r="K112" s="1227"/>
      <c r="L112" s="1227"/>
      <c r="M112" s="1227"/>
      <c r="N112" s="1227"/>
      <c r="O112" s="1227"/>
      <c r="P112" s="1227"/>
      <c r="Q112" s="1227"/>
      <c r="R112" s="1227"/>
      <c r="S112" s="1227"/>
      <c r="T112" s="1227"/>
      <c r="U112" s="1227"/>
      <c r="V112" s="1227"/>
      <c r="X112" s="1171"/>
    </row>
    <row r="113" spans="1:241" x14ac:dyDescent="0.4">
      <c r="A113" s="1223"/>
      <c r="C113" s="1221"/>
      <c r="D113" s="1221"/>
      <c r="E113" s="1221"/>
      <c r="F113" s="1221"/>
      <c r="G113" s="1221"/>
      <c r="H113" s="1221"/>
      <c r="I113" s="1221"/>
      <c r="J113" s="1221"/>
      <c r="K113" s="1221"/>
      <c r="L113" s="1221"/>
      <c r="M113" s="1221"/>
      <c r="N113" s="1221"/>
      <c r="O113" s="1221"/>
      <c r="P113" s="1221"/>
      <c r="Q113" s="1221"/>
      <c r="R113" s="1221"/>
      <c r="S113" s="1221"/>
      <c r="T113" s="1221"/>
      <c r="U113" s="1221"/>
      <c r="V113" s="1221"/>
    </row>
    <row r="114" spans="1:241" x14ac:dyDescent="0.4">
      <c r="A114" s="1223"/>
      <c r="C114" s="1221"/>
      <c r="D114" s="261"/>
      <c r="E114" s="261"/>
      <c r="F114" s="261"/>
      <c r="G114" s="261"/>
      <c r="H114" s="261"/>
      <c r="I114" s="261"/>
      <c r="J114" s="261"/>
      <c r="K114" s="261"/>
      <c r="L114" s="261"/>
      <c r="M114" s="261"/>
      <c r="N114" s="261"/>
      <c r="O114" s="261"/>
      <c r="P114" s="261"/>
      <c r="Q114" s="261"/>
      <c r="R114" s="261"/>
      <c r="S114" s="261"/>
      <c r="T114" s="261"/>
      <c r="U114" s="261"/>
      <c r="V114" s="261"/>
    </row>
    <row r="115" spans="1:241" x14ac:dyDescent="0.4">
      <c r="A115" s="1223"/>
      <c r="C115" s="1272"/>
      <c r="D115" s="1221"/>
      <c r="E115" s="1221"/>
      <c r="F115" s="1221"/>
      <c r="G115" s="1221"/>
      <c r="H115" s="1221"/>
      <c r="I115" s="1221"/>
      <c r="J115" s="1221"/>
      <c r="K115" s="1221"/>
      <c r="L115" s="1221"/>
      <c r="M115" s="1221"/>
      <c r="N115" s="1221"/>
      <c r="O115" s="1221"/>
      <c r="P115" s="1221"/>
      <c r="Q115" s="1221"/>
      <c r="R115" s="1221"/>
      <c r="S115" s="1221"/>
      <c r="T115" s="1221"/>
      <c r="U115" s="1221"/>
      <c r="V115" s="1221"/>
    </row>
    <row r="116" spans="1:241" x14ac:dyDescent="0.4">
      <c r="A116" s="1223"/>
      <c r="C116" s="1272"/>
      <c r="D116" s="261"/>
      <c r="E116" s="261"/>
      <c r="F116" s="261"/>
      <c r="G116" s="261"/>
      <c r="H116" s="261"/>
      <c r="I116" s="261"/>
      <c r="J116" s="261"/>
      <c r="K116" s="261"/>
      <c r="L116" s="261"/>
      <c r="M116" s="261"/>
      <c r="N116" s="261"/>
      <c r="O116" s="261"/>
      <c r="P116" s="261"/>
      <c r="Q116" s="261"/>
      <c r="R116" s="261"/>
      <c r="S116" s="261"/>
      <c r="T116" s="261"/>
      <c r="U116" s="261"/>
      <c r="V116" s="261"/>
    </row>
    <row r="117" spans="1:241" x14ac:dyDescent="0.3">
      <c r="A117" s="1182"/>
      <c r="C117" s="1273"/>
      <c r="D117" s="1273"/>
      <c r="E117" s="1273"/>
      <c r="F117" s="1273"/>
      <c r="G117" s="1273"/>
      <c r="H117" s="1273"/>
      <c r="I117" s="1273"/>
      <c r="J117" s="1273"/>
      <c r="K117" s="1273"/>
      <c r="L117" s="1273"/>
      <c r="M117" s="1273"/>
      <c r="N117" s="1273"/>
      <c r="O117" s="1273"/>
      <c r="P117" s="1273"/>
      <c r="Q117" s="1273"/>
      <c r="R117" s="1273"/>
      <c r="S117" s="1273"/>
      <c r="T117" s="1273"/>
      <c r="U117" s="1273"/>
      <c r="V117" s="1273"/>
    </row>
    <row r="118" spans="1:241" x14ac:dyDescent="0.3">
      <c r="A118" s="1223"/>
      <c r="C118" s="1274"/>
      <c r="D118" s="261"/>
      <c r="E118" s="261"/>
      <c r="F118" s="261"/>
      <c r="G118" s="261"/>
      <c r="H118" s="261"/>
      <c r="I118" s="261"/>
      <c r="J118" s="261"/>
      <c r="K118" s="261"/>
      <c r="L118" s="261"/>
      <c r="M118" s="261"/>
      <c r="N118" s="261"/>
      <c r="O118" s="261"/>
      <c r="P118" s="261"/>
      <c r="Q118" s="261"/>
      <c r="R118" s="261"/>
      <c r="S118" s="261"/>
      <c r="T118" s="261"/>
      <c r="U118" s="261"/>
      <c r="V118" s="261"/>
      <c r="W118" s="1227"/>
    </row>
    <row r="119" spans="1:241" x14ac:dyDescent="0.3">
      <c r="A119" s="1223"/>
      <c r="C119" s="1275"/>
      <c r="D119" s="1275"/>
      <c r="E119" s="1275"/>
      <c r="F119" s="1275"/>
      <c r="G119" s="1275"/>
      <c r="H119" s="1275"/>
      <c r="I119" s="1275"/>
      <c r="J119" s="1275"/>
      <c r="K119" s="1275"/>
      <c r="L119" s="1275"/>
      <c r="M119" s="1275"/>
      <c r="N119" s="1275"/>
      <c r="O119" s="261"/>
      <c r="P119" s="261"/>
      <c r="Q119" s="261"/>
      <c r="R119" s="261"/>
      <c r="S119" s="261"/>
      <c r="T119" s="261"/>
      <c r="U119" s="261"/>
      <c r="V119" s="261"/>
    </row>
    <row r="120" spans="1:241" x14ac:dyDescent="0.4">
      <c r="A120" s="1182"/>
      <c r="C120" s="1231"/>
      <c r="D120" s="1231"/>
      <c r="E120" s="1231"/>
      <c r="F120" s="1231"/>
      <c r="G120" s="1231"/>
      <c r="H120" s="1231"/>
      <c r="I120" s="1231"/>
      <c r="J120" s="1231"/>
      <c r="K120" s="1231"/>
      <c r="L120" s="1231"/>
      <c r="M120" s="1231"/>
      <c r="N120" s="1231"/>
    </row>
    <row r="121" spans="1:241" x14ac:dyDescent="0.3">
      <c r="C121" s="1276"/>
      <c r="D121" s="252"/>
      <c r="E121" s="252"/>
      <c r="F121" s="252"/>
      <c r="G121" s="252"/>
      <c r="H121" s="252"/>
      <c r="I121" s="252"/>
      <c r="J121" s="252"/>
      <c r="K121" s="252"/>
      <c r="L121" s="252"/>
      <c r="M121" s="252"/>
      <c r="N121" s="252"/>
      <c r="O121" s="1274"/>
      <c r="P121" s="1274"/>
      <c r="Q121" s="1274"/>
      <c r="R121" s="1274"/>
      <c r="S121" s="1277"/>
      <c r="T121" s="1277"/>
      <c r="U121" s="1277"/>
      <c r="V121" s="1277"/>
      <c r="W121" s="1277"/>
      <c r="Y121" s="1277"/>
      <c r="Z121" s="1277"/>
      <c r="AA121" s="1277"/>
      <c r="AB121" s="1277"/>
      <c r="AC121" s="1277"/>
      <c r="AD121" s="1277"/>
      <c r="AE121" s="1277"/>
      <c r="AF121" s="1277"/>
      <c r="AG121" s="1277"/>
      <c r="AH121" s="1277"/>
      <c r="AI121" s="1277"/>
      <c r="AJ121" s="1277"/>
      <c r="AK121" s="1277"/>
      <c r="AL121" s="1277"/>
      <c r="AM121" s="1277"/>
      <c r="AN121" s="1277"/>
      <c r="AO121" s="1277"/>
      <c r="AP121" s="1277"/>
      <c r="AQ121" s="1277"/>
      <c r="AR121" s="1277"/>
      <c r="AS121" s="1277"/>
      <c r="AT121" s="1277"/>
      <c r="AU121" s="1277"/>
      <c r="AV121" s="1277"/>
      <c r="AW121" s="1277"/>
      <c r="AX121" s="1277"/>
      <c r="AY121" s="1277"/>
      <c r="AZ121" s="1277"/>
      <c r="BA121" s="1277"/>
      <c r="BB121" s="1277"/>
      <c r="BC121" s="1277"/>
      <c r="BD121" s="1277"/>
      <c r="BE121" s="1277"/>
      <c r="BF121" s="1277"/>
      <c r="BG121" s="1277"/>
      <c r="BH121" s="1277"/>
      <c r="BI121" s="1277"/>
      <c r="BJ121" s="1277"/>
      <c r="BK121" s="1277"/>
      <c r="BL121" s="1277"/>
      <c r="BM121" s="1277"/>
      <c r="BN121" s="1277"/>
      <c r="BO121" s="1277"/>
      <c r="BP121" s="1277"/>
      <c r="BQ121" s="1277"/>
      <c r="BR121" s="1277"/>
      <c r="BS121" s="1277"/>
      <c r="BT121" s="1277"/>
      <c r="BU121" s="1277"/>
      <c r="BV121" s="1277"/>
      <c r="BW121" s="1277"/>
      <c r="BX121" s="1277"/>
      <c r="BY121" s="1277"/>
      <c r="BZ121" s="1277"/>
      <c r="CA121" s="1277"/>
      <c r="CB121" s="1277"/>
      <c r="CC121" s="1277"/>
      <c r="CD121" s="1277"/>
      <c r="CE121" s="1277"/>
      <c r="CF121" s="1277"/>
      <c r="CG121" s="1277"/>
      <c r="CH121" s="1277"/>
      <c r="CI121" s="1277"/>
      <c r="CJ121" s="1277"/>
      <c r="CK121" s="1277"/>
      <c r="CL121" s="1277"/>
      <c r="CM121" s="1277"/>
      <c r="CN121" s="1277"/>
      <c r="CO121" s="1277"/>
      <c r="CP121" s="1277"/>
      <c r="CQ121" s="1277"/>
      <c r="CR121" s="1277"/>
      <c r="CS121" s="1277"/>
      <c r="CT121" s="1277"/>
      <c r="CU121" s="1277"/>
      <c r="CV121" s="1277"/>
      <c r="CW121" s="1277"/>
      <c r="CX121" s="1277"/>
      <c r="CY121" s="1277"/>
      <c r="CZ121" s="1277"/>
      <c r="DA121" s="1277"/>
      <c r="DB121" s="1277"/>
      <c r="DC121" s="1277"/>
      <c r="DD121" s="1277"/>
      <c r="DE121" s="1277"/>
      <c r="DF121" s="1277"/>
      <c r="DG121" s="1277"/>
      <c r="DH121" s="1277"/>
      <c r="DI121" s="1277"/>
      <c r="DJ121" s="1277"/>
      <c r="DK121" s="1277"/>
      <c r="DL121" s="1277"/>
      <c r="DM121" s="1277"/>
      <c r="DN121" s="1277"/>
      <c r="DO121" s="1277"/>
      <c r="DP121" s="1277"/>
      <c r="DQ121" s="1277"/>
      <c r="DR121" s="1277"/>
      <c r="DS121" s="1277"/>
      <c r="DT121" s="1277"/>
      <c r="DU121" s="1277"/>
      <c r="DV121" s="1277"/>
      <c r="DW121" s="1277"/>
      <c r="DX121" s="1277"/>
      <c r="DY121" s="1277"/>
      <c r="DZ121" s="1277"/>
      <c r="EA121" s="1277"/>
      <c r="EB121" s="1277"/>
      <c r="EC121" s="1277"/>
      <c r="ED121" s="1277"/>
      <c r="EE121" s="1277"/>
      <c r="EF121" s="1277"/>
      <c r="EG121" s="1277"/>
      <c r="EH121" s="1277"/>
      <c r="EI121" s="1277"/>
      <c r="EJ121" s="1277"/>
      <c r="EK121" s="1277"/>
      <c r="EL121" s="1277"/>
      <c r="EM121" s="1277"/>
      <c r="EN121" s="1277"/>
      <c r="EO121" s="1277"/>
      <c r="EP121" s="1277"/>
      <c r="EQ121" s="1277"/>
      <c r="ER121" s="1277"/>
      <c r="ES121" s="1277"/>
      <c r="ET121" s="1277"/>
      <c r="EU121" s="1277"/>
      <c r="EV121" s="1277"/>
      <c r="EW121" s="1277"/>
      <c r="EX121" s="1277"/>
      <c r="EY121" s="1277"/>
      <c r="EZ121" s="1277"/>
      <c r="FA121" s="1277"/>
      <c r="FB121" s="1277"/>
      <c r="FC121" s="1277"/>
      <c r="FD121" s="1277"/>
      <c r="FE121" s="1277"/>
      <c r="FF121" s="1277"/>
      <c r="FG121" s="1277"/>
      <c r="FH121" s="1277"/>
      <c r="FI121" s="1277"/>
      <c r="FJ121" s="1277"/>
      <c r="FK121" s="1277"/>
      <c r="FL121" s="1277"/>
      <c r="FM121" s="1277"/>
      <c r="FN121" s="1277"/>
      <c r="FO121" s="1277"/>
      <c r="FP121" s="1277"/>
      <c r="FQ121" s="1277"/>
      <c r="FR121" s="1277"/>
      <c r="FS121" s="1277"/>
      <c r="FT121" s="1277"/>
      <c r="FU121" s="1277"/>
      <c r="FV121" s="1277"/>
      <c r="FW121" s="1277"/>
      <c r="FX121" s="1277"/>
      <c r="FY121" s="1277"/>
      <c r="FZ121" s="1277"/>
      <c r="GA121" s="1277"/>
      <c r="GB121" s="1277"/>
      <c r="GC121" s="1277"/>
      <c r="GD121" s="1277"/>
      <c r="GE121" s="1277"/>
      <c r="GF121" s="1277"/>
      <c r="GG121" s="1277"/>
      <c r="GH121" s="1277"/>
      <c r="GI121" s="1277"/>
      <c r="GJ121" s="1277"/>
      <c r="GK121" s="1277"/>
      <c r="GL121" s="1277"/>
      <c r="GM121" s="1277"/>
      <c r="GN121" s="1277"/>
      <c r="GO121" s="1277"/>
      <c r="GP121" s="1277"/>
      <c r="GQ121" s="1277"/>
      <c r="GR121" s="1277"/>
      <c r="GS121" s="1277"/>
      <c r="GT121" s="1277"/>
      <c r="GU121" s="1277"/>
      <c r="GV121" s="1277"/>
      <c r="GW121" s="1277"/>
      <c r="GX121" s="1277"/>
      <c r="GY121" s="1277"/>
      <c r="GZ121" s="1277"/>
      <c r="HA121" s="1277"/>
      <c r="HB121" s="1277"/>
      <c r="HC121" s="1277"/>
      <c r="HD121" s="1277"/>
      <c r="HE121" s="1277"/>
      <c r="HF121" s="1277"/>
      <c r="HG121" s="1277"/>
      <c r="HH121" s="1277"/>
      <c r="HI121" s="1277"/>
      <c r="HJ121" s="1277"/>
      <c r="HK121" s="1277"/>
      <c r="HL121" s="1277"/>
      <c r="HM121" s="1277"/>
      <c r="HN121" s="1277"/>
      <c r="HO121" s="1277"/>
      <c r="HP121" s="1277"/>
      <c r="HQ121" s="1277"/>
      <c r="HR121" s="1277"/>
      <c r="HS121" s="1277"/>
      <c r="HT121" s="1277"/>
      <c r="HU121" s="1277"/>
      <c r="HV121" s="1277"/>
      <c r="HW121" s="1277"/>
      <c r="HX121" s="1277"/>
      <c r="HY121" s="1277"/>
      <c r="HZ121" s="1277"/>
      <c r="IA121" s="1277"/>
      <c r="IB121" s="1277"/>
      <c r="IC121" s="1277"/>
      <c r="ID121" s="1277"/>
      <c r="IE121" s="1277"/>
      <c r="IF121" s="1277"/>
      <c r="IG121" s="1277"/>
    </row>
    <row r="122" spans="1:241" x14ac:dyDescent="0.3">
      <c r="A122" s="1182"/>
      <c r="C122" s="1231"/>
      <c r="D122" s="1231"/>
      <c r="E122" s="1231"/>
      <c r="F122" s="1231"/>
      <c r="G122" s="1231"/>
      <c r="H122" s="1231"/>
      <c r="I122" s="1231"/>
      <c r="J122" s="1231"/>
      <c r="K122" s="1231"/>
      <c r="L122" s="1231"/>
      <c r="M122" s="1231"/>
      <c r="N122" s="1231"/>
      <c r="O122" s="1277"/>
      <c r="P122" s="1277"/>
      <c r="Q122" s="1277"/>
      <c r="R122" s="1277"/>
      <c r="S122" s="1277"/>
      <c r="T122" s="1277"/>
      <c r="U122" s="1277"/>
      <c r="V122" s="1277"/>
      <c r="W122" s="1277"/>
      <c r="X122" s="1277"/>
      <c r="Y122" s="1277"/>
      <c r="Z122" s="1277"/>
      <c r="AA122" s="1277"/>
      <c r="AB122" s="1277"/>
      <c r="AC122" s="1277"/>
      <c r="AD122" s="1277"/>
      <c r="AE122" s="1277"/>
      <c r="AF122" s="1277"/>
      <c r="AG122" s="1277"/>
      <c r="AH122" s="1277"/>
      <c r="AI122" s="1277"/>
      <c r="AJ122" s="1277"/>
      <c r="AK122" s="1277"/>
      <c r="AL122" s="1277"/>
      <c r="AM122" s="1277"/>
      <c r="AN122" s="1277"/>
      <c r="AO122" s="1277"/>
      <c r="AP122" s="1277"/>
      <c r="AQ122" s="1277"/>
      <c r="AR122" s="1277"/>
      <c r="AS122" s="1277"/>
      <c r="AT122" s="1277"/>
      <c r="AU122" s="1277"/>
      <c r="AV122" s="1277"/>
      <c r="AW122" s="1277"/>
      <c r="AX122" s="1277"/>
      <c r="AY122" s="1277"/>
      <c r="AZ122" s="1277"/>
      <c r="BA122" s="1277"/>
      <c r="BB122" s="1277"/>
      <c r="BC122" s="1277"/>
      <c r="BD122" s="1277"/>
      <c r="BE122" s="1277"/>
      <c r="BF122" s="1277"/>
      <c r="BG122" s="1277"/>
      <c r="BH122" s="1277"/>
      <c r="BI122" s="1277"/>
      <c r="BJ122" s="1277"/>
      <c r="BK122" s="1277"/>
      <c r="BL122" s="1277"/>
      <c r="BM122" s="1277"/>
      <c r="BN122" s="1277"/>
      <c r="BO122" s="1277"/>
      <c r="BP122" s="1277"/>
      <c r="BQ122" s="1277"/>
      <c r="BR122" s="1277"/>
      <c r="BS122" s="1277"/>
      <c r="BT122" s="1277"/>
      <c r="BU122" s="1277"/>
      <c r="BV122" s="1277"/>
      <c r="BW122" s="1277"/>
      <c r="BX122" s="1277"/>
      <c r="BY122" s="1277"/>
      <c r="BZ122" s="1277"/>
      <c r="CA122" s="1277"/>
      <c r="CB122" s="1277"/>
      <c r="CC122" s="1277"/>
      <c r="CD122" s="1277"/>
      <c r="CE122" s="1277"/>
      <c r="CF122" s="1277"/>
      <c r="CG122" s="1277"/>
      <c r="CH122" s="1277"/>
      <c r="CI122" s="1277"/>
      <c r="CJ122" s="1277"/>
      <c r="CK122" s="1277"/>
      <c r="CL122" s="1277"/>
      <c r="CM122" s="1277"/>
      <c r="CN122" s="1277"/>
      <c r="CO122" s="1277"/>
      <c r="CP122" s="1277"/>
      <c r="CQ122" s="1277"/>
      <c r="CR122" s="1277"/>
      <c r="CS122" s="1277"/>
      <c r="CT122" s="1277"/>
      <c r="CU122" s="1277"/>
      <c r="CV122" s="1277"/>
      <c r="CW122" s="1277"/>
      <c r="CX122" s="1277"/>
      <c r="CY122" s="1277"/>
      <c r="CZ122" s="1277"/>
      <c r="DA122" s="1277"/>
      <c r="DB122" s="1277"/>
      <c r="DC122" s="1277"/>
      <c r="DD122" s="1277"/>
      <c r="DE122" s="1277"/>
      <c r="DF122" s="1277"/>
      <c r="DG122" s="1277"/>
      <c r="DH122" s="1277"/>
      <c r="DI122" s="1277"/>
      <c r="DJ122" s="1277"/>
      <c r="DK122" s="1277"/>
      <c r="DL122" s="1277"/>
      <c r="DM122" s="1277"/>
      <c r="DN122" s="1277"/>
      <c r="DO122" s="1277"/>
      <c r="DP122" s="1277"/>
      <c r="DQ122" s="1277"/>
      <c r="DR122" s="1277"/>
      <c r="DS122" s="1277"/>
      <c r="DT122" s="1277"/>
      <c r="DU122" s="1277"/>
      <c r="DV122" s="1277"/>
      <c r="DW122" s="1277"/>
      <c r="DX122" s="1277"/>
      <c r="DY122" s="1277"/>
      <c r="DZ122" s="1277"/>
      <c r="EA122" s="1277"/>
      <c r="EB122" s="1277"/>
      <c r="EC122" s="1277"/>
      <c r="ED122" s="1277"/>
      <c r="EE122" s="1277"/>
      <c r="EF122" s="1277"/>
      <c r="EG122" s="1277"/>
      <c r="EH122" s="1277"/>
      <c r="EI122" s="1277"/>
      <c r="EJ122" s="1277"/>
      <c r="EK122" s="1277"/>
      <c r="EL122" s="1277"/>
      <c r="EM122" s="1277"/>
      <c r="EN122" s="1277"/>
      <c r="EO122" s="1277"/>
      <c r="EP122" s="1277"/>
      <c r="EQ122" s="1277"/>
      <c r="ER122" s="1277"/>
      <c r="ES122" s="1277"/>
      <c r="ET122" s="1277"/>
      <c r="EU122" s="1277"/>
      <c r="EV122" s="1277"/>
      <c r="EW122" s="1277"/>
      <c r="EX122" s="1277"/>
      <c r="EY122" s="1277"/>
      <c r="EZ122" s="1277"/>
      <c r="FA122" s="1277"/>
      <c r="FB122" s="1277"/>
      <c r="FC122" s="1277"/>
      <c r="FD122" s="1277"/>
      <c r="FE122" s="1277"/>
      <c r="FF122" s="1277"/>
      <c r="FG122" s="1277"/>
      <c r="FH122" s="1277"/>
      <c r="FI122" s="1277"/>
      <c r="FJ122" s="1277"/>
      <c r="FK122" s="1277"/>
      <c r="FL122" s="1277"/>
      <c r="FM122" s="1277"/>
      <c r="FN122" s="1277"/>
      <c r="FO122" s="1277"/>
      <c r="FP122" s="1277"/>
      <c r="FQ122" s="1277"/>
      <c r="FR122" s="1277"/>
      <c r="FS122" s="1277"/>
      <c r="FT122" s="1277"/>
      <c r="FU122" s="1277"/>
      <c r="FV122" s="1277"/>
      <c r="FW122" s="1277"/>
      <c r="FX122" s="1277"/>
      <c r="FY122" s="1277"/>
      <c r="FZ122" s="1277"/>
      <c r="GA122" s="1277"/>
      <c r="GB122" s="1277"/>
      <c r="GC122" s="1277"/>
      <c r="GD122" s="1277"/>
      <c r="GE122" s="1277"/>
      <c r="GF122" s="1277"/>
      <c r="GG122" s="1277"/>
      <c r="GH122" s="1277"/>
      <c r="GI122" s="1277"/>
      <c r="GJ122" s="1277"/>
      <c r="GK122" s="1277"/>
      <c r="GL122" s="1277"/>
      <c r="GM122" s="1277"/>
      <c r="GN122" s="1277"/>
      <c r="GO122" s="1277"/>
      <c r="GP122" s="1277"/>
      <c r="GQ122" s="1277"/>
      <c r="GR122" s="1277"/>
      <c r="GS122" s="1277"/>
      <c r="GT122" s="1277"/>
      <c r="GU122" s="1277"/>
      <c r="GV122" s="1277"/>
      <c r="GW122" s="1277"/>
      <c r="GX122" s="1277"/>
      <c r="GY122" s="1277"/>
      <c r="GZ122" s="1277"/>
      <c r="HA122" s="1277"/>
      <c r="HB122" s="1277"/>
      <c r="HC122" s="1277"/>
      <c r="HD122" s="1277"/>
      <c r="HE122" s="1277"/>
      <c r="HF122" s="1277"/>
      <c r="HG122" s="1277"/>
      <c r="HH122" s="1277"/>
      <c r="HI122" s="1277"/>
      <c r="HJ122" s="1277"/>
      <c r="HK122" s="1277"/>
      <c r="HL122" s="1277"/>
      <c r="HM122" s="1277"/>
      <c r="HN122" s="1277"/>
      <c r="HO122" s="1277"/>
      <c r="HP122" s="1277"/>
      <c r="HQ122" s="1277"/>
      <c r="HR122" s="1277"/>
      <c r="HS122" s="1277"/>
      <c r="HT122" s="1277"/>
      <c r="HU122" s="1277"/>
      <c r="HV122" s="1277"/>
      <c r="HW122" s="1277"/>
      <c r="HX122" s="1277"/>
      <c r="HY122" s="1277"/>
      <c r="HZ122" s="1277"/>
      <c r="IA122" s="1277"/>
      <c r="IB122" s="1277"/>
      <c r="IC122" s="1277"/>
      <c r="ID122" s="1277"/>
      <c r="IE122" s="1277"/>
      <c r="IF122" s="1277"/>
      <c r="IG122" s="1277"/>
    </row>
    <row r="123" spans="1:241" x14ac:dyDescent="0.3">
      <c r="C123" s="1278"/>
      <c r="D123" s="1275"/>
      <c r="E123" s="1275"/>
      <c r="F123" s="1275"/>
      <c r="G123" s="1275"/>
      <c r="H123" s="1275"/>
      <c r="I123" s="1275"/>
      <c r="J123" s="1275"/>
      <c r="K123" s="1275"/>
      <c r="L123" s="1275"/>
      <c r="M123" s="1275"/>
      <c r="N123" s="1275"/>
      <c r="O123" s="1277"/>
      <c r="P123" s="1277"/>
      <c r="Q123" s="1277"/>
      <c r="R123" s="1277"/>
      <c r="S123" s="1277"/>
      <c r="T123" s="1277"/>
      <c r="U123" s="1277"/>
      <c r="V123" s="1277"/>
      <c r="W123" s="1277"/>
      <c r="X123" s="1277"/>
      <c r="Y123" s="1277"/>
      <c r="Z123" s="1277"/>
      <c r="AA123" s="1277"/>
      <c r="AB123" s="1277"/>
      <c r="AC123" s="1277"/>
      <c r="AD123" s="1277"/>
      <c r="AE123" s="1277"/>
      <c r="AF123" s="1277"/>
      <c r="AG123" s="1277"/>
      <c r="AH123" s="1277"/>
      <c r="AI123" s="1277"/>
      <c r="AJ123" s="1277"/>
      <c r="AK123" s="1277"/>
      <c r="AL123" s="1277"/>
      <c r="AM123" s="1277"/>
      <c r="AN123" s="1277"/>
      <c r="AO123" s="1277"/>
      <c r="AP123" s="1277"/>
      <c r="AQ123" s="1277"/>
      <c r="AR123" s="1277"/>
      <c r="AS123" s="1277"/>
      <c r="AT123" s="1277"/>
      <c r="AU123" s="1277"/>
      <c r="AV123" s="1277"/>
      <c r="AW123" s="1277"/>
      <c r="AX123" s="1277"/>
      <c r="AY123" s="1277"/>
      <c r="AZ123" s="1277"/>
      <c r="BA123" s="1277"/>
      <c r="BB123" s="1277"/>
      <c r="BC123" s="1277"/>
      <c r="BD123" s="1277"/>
      <c r="BE123" s="1277"/>
      <c r="BF123" s="1277"/>
      <c r="BG123" s="1277"/>
      <c r="BH123" s="1277"/>
      <c r="BI123" s="1277"/>
      <c r="BJ123" s="1277"/>
      <c r="BK123" s="1277"/>
      <c r="BL123" s="1277"/>
      <c r="BM123" s="1277"/>
      <c r="BN123" s="1277"/>
      <c r="BO123" s="1277"/>
      <c r="BP123" s="1277"/>
      <c r="BQ123" s="1277"/>
      <c r="BR123" s="1277"/>
      <c r="BS123" s="1277"/>
      <c r="BT123" s="1277"/>
      <c r="BU123" s="1277"/>
      <c r="BV123" s="1277"/>
      <c r="BW123" s="1277"/>
      <c r="BX123" s="1277"/>
      <c r="BY123" s="1277"/>
      <c r="BZ123" s="1277"/>
      <c r="CA123" s="1277"/>
      <c r="CB123" s="1277"/>
      <c r="CC123" s="1277"/>
      <c r="CD123" s="1277"/>
      <c r="CE123" s="1277"/>
      <c r="CF123" s="1277"/>
      <c r="CG123" s="1277"/>
      <c r="CH123" s="1277"/>
      <c r="CI123" s="1277"/>
      <c r="CJ123" s="1277"/>
      <c r="CK123" s="1277"/>
      <c r="CL123" s="1277"/>
      <c r="CM123" s="1277"/>
      <c r="CN123" s="1277"/>
      <c r="CO123" s="1277"/>
      <c r="CP123" s="1277"/>
      <c r="CQ123" s="1277"/>
      <c r="CR123" s="1277"/>
      <c r="CS123" s="1277"/>
      <c r="CT123" s="1277"/>
      <c r="CU123" s="1277"/>
      <c r="CV123" s="1277"/>
      <c r="CW123" s="1277"/>
      <c r="CX123" s="1277"/>
      <c r="CY123" s="1277"/>
      <c r="CZ123" s="1277"/>
      <c r="DA123" s="1277"/>
      <c r="DB123" s="1277"/>
      <c r="DC123" s="1277"/>
      <c r="DD123" s="1277"/>
      <c r="DE123" s="1277"/>
      <c r="DF123" s="1277"/>
      <c r="DG123" s="1277"/>
      <c r="DH123" s="1277"/>
      <c r="DI123" s="1277"/>
      <c r="DJ123" s="1277"/>
      <c r="DK123" s="1277"/>
      <c r="DL123" s="1277"/>
      <c r="DM123" s="1277"/>
      <c r="DN123" s="1277"/>
      <c r="DO123" s="1277"/>
      <c r="DP123" s="1277"/>
      <c r="DQ123" s="1277"/>
      <c r="DR123" s="1277"/>
      <c r="DS123" s="1277"/>
      <c r="DT123" s="1277"/>
      <c r="DU123" s="1277"/>
      <c r="DV123" s="1277"/>
      <c r="DW123" s="1277"/>
      <c r="DX123" s="1277"/>
      <c r="DY123" s="1277"/>
      <c r="DZ123" s="1277"/>
      <c r="EA123" s="1277"/>
      <c r="EB123" s="1277"/>
      <c r="EC123" s="1277"/>
      <c r="ED123" s="1277"/>
      <c r="EE123" s="1277"/>
      <c r="EF123" s="1277"/>
      <c r="EG123" s="1277"/>
      <c r="EH123" s="1277"/>
      <c r="EI123" s="1277"/>
      <c r="EJ123" s="1277"/>
      <c r="EK123" s="1277"/>
      <c r="EL123" s="1277"/>
      <c r="EM123" s="1277"/>
      <c r="EN123" s="1277"/>
      <c r="EO123" s="1277"/>
      <c r="EP123" s="1277"/>
      <c r="EQ123" s="1277"/>
      <c r="ER123" s="1277"/>
      <c r="ES123" s="1277"/>
      <c r="ET123" s="1277"/>
      <c r="EU123" s="1277"/>
      <c r="EV123" s="1277"/>
      <c r="EW123" s="1277"/>
      <c r="EX123" s="1277"/>
      <c r="EY123" s="1277"/>
      <c r="EZ123" s="1277"/>
      <c r="FA123" s="1277"/>
      <c r="FB123" s="1277"/>
      <c r="FC123" s="1277"/>
      <c r="FD123" s="1277"/>
      <c r="FE123" s="1277"/>
      <c r="FF123" s="1277"/>
      <c r="FG123" s="1277"/>
      <c r="FH123" s="1277"/>
      <c r="FI123" s="1277"/>
      <c r="FJ123" s="1277"/>
      <c r="FK123" s="1277"/>
      <c r="FL123" s="1277"/>
      <c r="FM123" s="1277"/>
      <c r="FN123" s="1277"/>
      <c r="FO123" s="1277"/>
      <c r="FP123" s="1277"/>
      <c r="FQ123" s="1277"/>
      <c r="FR123" s="1277"/>
      <c r="FS123" s="1277"/>
      <c r="FT123" s="1277"/>
      <c r="FU123" s="1277"/>
      <c r="FV123" s="1277"/>
      <c r="FW123" s="1277"/>
      <c r="FX123" s="1277"/>
      <c r="FY123" s="1277"/>
      <c r="FZ123" s="1277"/>
      <c r="GA123" s="1277"/>
      <c r="GB123" s="1277"/>
      <c r="GC123" s="1277"/>
      <c r="GD123" s="1277"/>
      <c r="GE123" s="1277"/>
      <c r="GF123" s="1277"/>
      <c r="GG123" s="1277"/>
      <c r="GH123" s="1277"/>
      <c r="GI123" s="1277"/>
      <c r="GJ123" s="1277"/>
      <c r="GK123" s="1277"/>
      <c r="GL123" s="1277"/>
      <c r="GM123" s="1277"/>
      <c r="GN123" s="1277"/>
      <c r="GO123" s="1277"/>
      <c r="GP123" s="1277"/>
      <c r="GQ123" s="1277"/>
      <c r="GR123" s="1277"/>
      <c r="GS123" s="1277"/>
      <c r="GT123" s="1277"/>
      <c r="GU123" s="1277"/>
      <c r="GV123" s="1277"/>
      <c r="GW123" s="1277"/>
      <c r="GX123" s="1277"/>
      <c r="GY123" s="1277"/>
      <c r="GZ123" s="1277"/>
      <c r="HA123" s="1277"/>
      <c r="HB123" s="1277"/>
      <c r="HC123" s="1277"/>
      <c r="HD123" s="1277"/>
      <c r="HE123" s="1277"/>
      <c r="HF123" s="1277"/>
      <c r="HG123" s="1277"/>
      <c r="HH123" s="1277"/>
      <c r="HI123" s="1277"/>
      <c r="HJ123" s="1277"/>
      <c r="HK123" s="1277"/>
      <c r="HL123" s="1277"/>
      <c r="HM123" s="1277"/>
      <c r="HN123" s="1277"/>
      <c r="HO123" s="1277"/>
      <c r="HP123" s="1277"/>
      <c r="HQ123" s="1277"/>
      <c r="HR123" s="1277"/>
      <c r="HS123" s="1277"/>
      <c r="HT123" s="1277"/>
      <c r="HU123" s="1277"/>
      <c r="HV123" s="1277"/>
      <c r="HW123" s="1277"/>
      <c r="HX123" s="1277"/>
      <c r="HY123" s="1277"/>
      <c r="HZ123" s="1277"/>
      <c r="IA123" s="1277"/>
      <c r="IB123" s="1277"/>
      <c r="IC123" s="1277"/>
      <c r="ID123" s="1277"/>
      <c r="IE123" s="1277"/>
      <c r="IF123" s="1277"/>
      <c r="IG123" s="1277"/>
    </row>
    <row r="124" spans="1:241" x14ac:dyDescent="0.3">
      <c r="A124" s="1182"/>
      <c r="C124" s="1231"/>
      <c r="D124" s="1231"/>
      <c r="E124" s="1231"/>
      <c r="F124" s="1231"/>
      <c r="G124" s="1231"/>
      <c r="H124" s="1231"/>
      <c r="I124" s="1231"/>
      <c r="J124" s="1231"/>
      <c r="K124" s="1231"/>
      <c r="L124" s="1231"/>
      <c r="M124" s="1231"/>
      <c r="N124" s="1231"/>
      <c r="O124" s="1277"/>
      <c r="P124" s="1277"/>
      <c r="Q124" s="1277"/>
      <c r="R124" s="1277"/>
      <c r="S124" s="1277"/>
      <c r="T124" s="1277"/>
      <c r="U124" s="1277"/>
      <c r="V124" s="1277"/>
      <c r="W124" s="1277"/>
      <c r="X124" s="1277"/>
      <c r="Y124" s="1277"/>
      <c r="Z124" s="1277"/>
      <c r="AA124" s="1277"/>
      <c r="AB124" s="1277"/>
      <c r="AC124" s="1277"/>
      <c r="AD124" s="1277"/>
      <c r="AE124" s="1277"/>
      <c r="AF124" s="1277"/>
      <c r="AG124" s="1277"/>
      <c r="AH124" s="1277"/>
      <c r="AI124" s="1277"/>
      <c r="AJ124" s="1277"/>
      <c r="AK124" s="1277"/>
      <c r="AL124" s="1277"/>
      <c r="AM124" s="1277"/>
      <c r="AN124" s="1277"/>
      <c r="AO124" s="1277"/>
      <c r="AP124" s="1277"/>
      <c r="AQ124" s="1277"/>
      <c r="AR124" s="1277"/>
      <c r="AS124" s="1277"/>
      <c r="AT124" s="1277"/>
      <c r="AU124" s="1277"/>
      <c r="AV124" s="1277"/>
      <c r="AW124" s="1277"/>
      <c r="AX124" s="1277"/>
      <c r="AY124" s="1277"/>
      <c r="AZ124" s="1277"/>
      <c r="BA124" s="1277"/>
      <c r="BB124" s="1277"/>
      <c r="BC124" s="1277"/>
      <c r="BD124" s="1277"/>
      <c r="BE124" s="1277"/>
      <c r="BF124" s="1277"/>
      <c r="BG124" s="1277"/>
      <c r="BH124" s="1277"/>
      <c r="BI124" s="1277"/>
      <c r="BJ124" s="1277"/>
      <c r="BK124" s="1277"/>
      <c r="BL124" s="1277"/>
      <c r="BM124" s="1277"/>
      <c r="BN124" s="1277"/>
      <c r="BO124" s="1277"/>
      <c r="BP124" s="1277"/>
      <c r="BQ124" s="1277"/>
      <c r="BR124" s="1277"/>
      <c r="BS124" s="1277"/>
      <c r="BT124" s="1277"/>
      <c r="BU124" s="1277"/>
      <c r="BV124" s="1277"/>
      <c r="BW124" s="1277"/>
      <c r="BX124" s="1277"/>
      <c r="BY124" s="1277"/>
      <c r="BZ124" s="1277"/>
      <c r="CA124" s="1277"/>
      <c r="CB124" s="1277"/>
      <c r="CC124" s="1277"/>
      <c r="CD124" s="1277"/>
      <c r="CE124" s="1277"/>
      <c r="CF124" s="1277"/>
      <c r="CG124" s="1277"/>
      <c r="CH124" s="1277"/>
      <c r="CI124" s="1277"/>
      <c r="CJ124" s="1277"/>
      <c r="CK124" s="1277"/>
      <c r="CL124" s="1277"/>
      <c r="CM124" s="1277"/>
      <c r="CN124" s="1277"/>
      <c r="CO124" s="1277"/>
      <c r="CP124" s="1277"/>
      <c r="CQ124" s="1277"/>
      <c r="CR124" s="1277"/>
      <c r="CS124" s="1277"/>
      <c r="CT124" s="1277"/>
      <c r="CU124" s="1277"/>
      <c r="CV124" s="1277"/>
      <c r="CW124" s="1277"/>
      <c r="CX124" s="1277"/>
      <c r="CY124" s="1277"/>
      <c r="CZ124" s="1277"/>
      <c r="DA124" s="1277"/>
      <c r="DB124" s="1277"/>
      <c r="DC124" s="1277"/>
      <c r="DD124" s="1277"/>
      <c r="DE124" s="1277"/>
      <c r="DF124" s="1277"/>
      <c r="DG124" s="1277"/>
      <c r="DH124" s="1277"/>
      <c r="DI124" s="1277"/>
      <c r="DJ124" s="1277"/>
      <c r="DK124" s="1277"/>
      <c r="DL124" s="1277"/>
      <c r="DM124" s="1277"/>
      <c r="DN124" s="1277"/>
      <c r="DO124" s="1277"/>
      <c r="DP124" s="1277"/>
      <c r="DQ124" s="1277"/>
      <c r="DR124" s="1277"/>
      <c r="DS124" s="1277"/>
      <c r="DT124" s="1277"/>
      <c r="DU124" s="1277"/>
      <c r="DV124" s="1277"/>
      <c r="DW124" s="1277"/>
      <c r="DX124" s="1277"/>
      <c r="DY124" s="1277"/>
      <c r="DZ124" s="1277"/>
      <c r="EA124" s="1277"/>
      <c r="EB124" s="1277"/>
      <c r="EC124" s="1277"/>
      <c r="ED124" s="1277"/>
      <c r="EE124" s="1277"/>
      <c r="EF124" s="1277"/>
      <c r="EG124" s="1277"/>
      <c r="EH124" s="1277"/>
      <c r="EI124" s="1277"/>
      <c r="EJ124" s="1277"/>
      <c r="EK124" s="1277"/>
      <c r="EL124" s="1277"/>
      <c r="EM124" s="1277"/>
      <c r="EN124" s="1277"/>
      <c r="EO124" s="1277"/>
      <c r="EP124" s="1277"/>
      <c r="EQ124" s="1277"/>
      <c r="ER124" s="1277"/>
      <c r="ES124" s="1277"/>
      <c r="ET124" s="1277"/>
      <c r="EU124" s="1277"/>
      <c r="EV124" s="1277"/>
      <c r="EW124" s="1277"/>
      <c r="EX124" s="1277"/>
      <c r="EY124" s="1277"/>
      <c r="EZ124" s="1277"/>
      <c r="FA124" s="1277"/>
      <c r="FB124" s="1277"/>
      <c r="FC124" s="1277"/>
      <c r="FD124" s="1277"/>
      <c r="FE124" s="1277"/>
      <c r="FF124" s="1277"/>
      <c r="FG124" s="1277"/>
      <c r="FH124" s="1277"/>
      <c r="FI124" s="1277"/>
      <c r="FJ124" s="1277"/>
      <c r="FK124" s="1277"/>
      <c r="FL124" s="1277"/>
      <c r="FM124" s="1277"/>
      <c r="FN124" s="1277"/>
      <c r="FO124" s="1277"/>
      <c r="FP124" s="1277"/>
      <c r="FQ124" s="1277"/>
      <c r="FR124" s="1277"/>
      <c r="FS124" s="1277"/>
      <c r="FT124" s="1277"/>
      <c r="FU124" s="1277"/>
      <c r="FV124" s="1277"/>
      <c r="FW124" s="1277"/>
      <c r="FX124" s="1277"/>
      <c r="FY124" s="1277"/>
      <c r="FZ124" s="1277"/>
      <c r="GA124" s="1277"/>
      <c r="GB124" s="1277"/>
      <c r="GC124" s="1277"/>
      <c r="GD124" s="1277"/>
      <c r="GE124" s="1277"/>
      <c r="GF124" s="1277"/>
      <c r="GG124" s="1277"/>
      <c r="GH124" s="1277"/>
      <c r="GI124" s="1277"/>
      <c r="GJ124" s="1277"/>
      <c r="GK124" s="1277"/>
      <c r="GL124" s="1277"/>
      <c r="GM124" s="1277"/>
      <c r="GN124" s="1277"/>
      <c r="GO124" s="1277"/>
      <c r="GP124" s="1277"/>
      <c r="GQ124" s="1277"/>
      <c r="GR124" s="1277"/>
      <c r="GS124" s="1277"/>
      <c r="GT124" s="1277"/>
      <c r="GU124" s="1277"/>
      <c r="GV124" s="1277"/>
      <c r="GW124" s="1277"/>
      <c r="GX124" s="1277"/>
      <c r="GY124" s="1277"/>
      <c r="GZ124" s="1277"/>
      <c r="HA124" s="1277"/>
      <c r="HB124" s="1277"/>
      <c r="HC124" s="1277"/>
      <c r="HD124" s="1277"/>
      <c r="HE124" s="1277"/>
      <c r="HF124" s="1277"/>
      <c r="HG124" s="1277"/>
      <c r="HH124" s="1277"/>
      <c r="HI124" s="1277"/>
      <c r="HJ124" s="1277"/>
      <c r="HK124" s="1277"/>
      <c r="HL124" s="1277"/>
      <c r="HM124" s="1277"/>
      <c r="HN124" s="1277"/>
      <c r="HO124" s="1277"/>
      <c r="HP124" s="1277"/>
      <c r="HQ124" s="1277"/>
      <c r="HR124" s="1277"/>
      <c r="HS124" s="1277"/>
      <c r="HT124" s="1277"/>
      <c r="HU124" s="1277"/>
      <c r="HV124" s="1277"/>
      <c r="HW124" s="1277"/>
      <c r="HX124" s="1277"/>
      <c r="HY124" s="1277"/>
      <c r="HZ124" s="1277"/>
      <c r="IA124" s="1277"/>
      <c r="IB124" s="1277"/>
      <c r="IC124" s="1277"/>
      <c r="ID124" s="1277"/>
      <c r="IE124" s="1277"/>
      <c r="IF124" s="1277"/>
      <c r="IG124" s="1277"/>
    </row>
    <row r="125" spans="1:241" x14ac:dyDescent="0.3">
      <c r="C125" s="1279"/>
      <c r="D125" s="261"/>
      <c r="E125" s="261"/>
      <c r="F125" s="261"/>
      <c r="G125" s="261"/>
      <c r="H125" s="261"/>
      <c r="I125" s="261"/>
      <c r="J125" s="261"/>
      <c r="K125" s="261"/>
      <c r="L125" s="261"/>
      <c r="M125" s="261"/>
      <c r="N125" s="261"/>
      <c r="O125" s="1275"/>
      <c r="P125" s="1275"/>
      <c r="Q125" s="1275"/>
      <c r="R125" s="1275"/>
      <c r="S125" s="1275"/>
      <c r="T125" s="1275"/>
      <c r="U125" s="1275"/>
      <c r="V125" s="1275"/>
      <c r="W125" s="1277"/>
      <c r="X125" s="1277"/>
      <c r="Y125" s="1277"/>
      <c r="Z125" s="1277"/>
      <c r="AA125" s="1277"/>
      <c r="AB125" s="1277"/>
      <c r="AC125" s="1277"/>
      <c r="AD125" s="1277"/>
      <c r="AE125" s="1277"/>
      <c r="AF125" s="1277"/>
      <c r="AG125" s="1277"/>
      <c r="AH125" s="1277"/>
      <c r="AI125" s="1277"/>
      <c r="AJ125" s="1277"/>
      <c r="AK125" s="1277"/>
      <c r="AL125" s="1277"/>
      <c r="AM125" s="1277"/>
      <c r="AN125" s="1277"/>
      <c r="AO125" s="1277"/>
      <c r="AP125" s="1277"/>
      <c r="AQ125" s="1277"/>
      <c r="AR125" s="1277"/>
      <c r="AS125" s="1277"/>
      <c r="AT125" s="1277"/>
      <c r="AU125" s="1277"/>
      <c r="AV125" s="1277"/>
      <c r="AW125" s="1277"/>
      <c r="AX125" s="1277"/>
      <c r="AY125" s="1277"/>
      <c r="AZ125" s="1277"/>
      <c r="BA125" s="1277"/>
      <c r="BB125" s="1277"/>
      <c r="BC125" s="1277"/>
      <c r="BD125" s="1277"/>
      <c r="BE125" s="1277"/>
      <c r="BF125" s="1277"/>
      <c r="BG125" s="1277"/>
      <c r="BH125" s="1277"/>
      <c r="BI125" s="1277"/>
      <c r="BJ125" s="1277"/>
      <c r="BK125" s="1277"/>
      <c r="BL125" s="1277"/>
      <c r="BM125" s="1277"/>
      <c r="BN125" s="1277"/>
      <c r="BO125" s="1277"/>
      <c r="BP125" s="1277"/>
      <c r="BQ125" s="1277"/>
      <c r="BR125" s="1277"/>
      <c r="BS125" s="1277"/>
      <c r="BT125" s="1277"/>
      <c r="BU125" s="1277"/>
      <c r="BV125" s="1277"/>
      <c r="BW125" s="1277"/>
      <c r="BX125" s="1277"/>
      <c r="BY125" s="1277"/>
      <c r="BZ125" s="1277"/>
      <c r="CA125" s="1277"/>
      <c r="CB125" s="1277"/>
      <c r="CC125" s="1277"/>
      <c r="CD125" s="1277"/>
      <c r="CE125" s="1277"/>
      <c r="CF125" s="1277"/>
      <c r="CG125" s="1277"/>
      <c r="CH125" s="1277"/>
      <c r="CI125" s="1277"/>
      <c r="CJ125" s="1277"/>
      <c r="CK125" s="1277"/>
      <c r="CL125" s="1277"/>
      <c r="CM125" s="1277"/>
      <c r="CN125" s="1277"/>
      <c r="CO125" s="1277"/>
      <c r="CP125" s="1277"/>
      <c r="CQ125" s="1277"/>
      <c r="CR125" s="1277"/>
      <c r="CS125" s="1277"/>
      <c r="CT125" s="1277"/>
      <c r="CU125" s="1277"/>
      <c r="CV125" s="1277"/>
      <c r="CW125" s="1277"/>
      <c r="CX125" s="1277"/>
      <c r="CY125" s="1277"/>
      <c r="CZ125" s="1277"/>
      <c r="DA125" s="1277"/>
      <c r="DB125" s="1277"/>
      <c r="DC125" s="1277"/>
      <c r="DD125" s="1277"/>
      <c r="DE125" s="1277"/>
      <c r="DF125" s="1277"/>
      <c r="DG125" s="1277"/>
      <c r="DH125" s="1277"/>
      <c r="DI125" s="1277"/>
      <c r="DJ125" s="1277"/>
      <c r="DK125" s="1277"/>
      <c r="DL125" s="1277"/>
      <c r="DM125" s="1277"/>
      <c r="DN125" s="1277"/>
      <c r="DO125" s="1277"/>
      <c r="DP125" s="1277"/>
      <c r="DQ125" s="1277"/>
      <c r="DR125" s="1277"/>
      <c r="DS125" s="1277"/>
      <c r="DT125" s="1277"/>
      <c r="DU125" s="1277"/>
      <c r="DV125" s="1277"/>
      <c r="DW125" s="1277"/>
      <c r="DX125" s="1277"/>
      <c r="DY125" s="1277"/>
      <c r="DZ125" s="1277"/>
      <c r="EA125" s="1277"/>
      <c r="EB125" s="1277"/>
      <c r="EC125" s="1277"/>
      <c r="ED125" s="1277"/>
      <c r="EE125" s="1277"/>
      <c r="EF125" s="1277"/>
      <c r="EG125" s="1277"/>
      <c r="EH125" s="1277"/>
      <c r="EI125" s="1277"/>
      <c r="EJ125" s="1277"/>
      <c r="EK125" s="1277"/>
      <c r="EL125" s="1277"/>
      <c r="EM125" s="1277"/>
      <c r="EN125" s="1277"/>
      <c r="EO125" s="1277"/>
      <c r="EP125" s="1277"/>
      <c r="EQ125" s="1277"/>
      <c r="ER125" s="1277"/>
      <c r="ES125" s="1277"/>
      <c r="ET125" s="1277"/>
      <c r="EU125" s="1277"/>
      <c r="EV125" s="1277"/>
      <c r="EW125" s="1277"/>
      <c r="EX125" s="1277"/>
      <c r="EY125" s="1277"/>
      <c r="EZ125" s="1277"/>
      <c r="FA125" s="1277"/>
      <c r="FB125" s="1277"/>
      <c r="FC125" s="1277"/>
      <c r="FD125" s="1277"/>
      <c r="FE125" s="1277"/>
      <c r="FF125" s="1277"/>
      <c r="FG125" s="1277"/>
      <c r="FH125" s="1277"/>
      <c r="FI125" s="1277"/>
      <c r="FJ125" s="1277"/>
      <c r="FK125" s="1277"/>
      <c r="FL125" s="1277"/>
      <c r="FM125" s="1277"/>
      <c r="FN125" s="1277"/>
      <c r="FO125" s="1277"/>
      <c r="FP125" s="1277"/>
      <c r="FQ125" s="1277"/>
      <c r="FR125" s="1277"/>
      <c r="FS125" s="1277"/>
      <c r="FT125" s="1277"/>
      <c r="FU125" s="1277"/>
      <c r="FV125" s="1277"/>
      <c r="FW125" s="1277"/>
      <c r="FX125" s="1277"/>
      <c r="FY125" s="1277"/>
      <c r="FZ125" s="1277"/>
      <c r="GA125" s="1277"/>
      <c r="GB125" s="1277"/>
      <c r="GC125" s="1277"/>
      <c r="GD125" s="1277"/>
      <c r="GE125" s="1277"/>
      <c r="GF125" s="1277"/>
      <c r="GG125" s="1277"/>
      <c r="GH125" s="1277"/>
      <c r="GI125" s="1277"/>
      <c r="GJ125" s="1277"/>
      <c r="GK125" s="1277"/>
      <c r="GL125" s="1277"/>
      <c r="GM125" s="1277"/>
      <c r="GN125" s="1277"/>
      <c r="GO125" s="1277"/>
      <c r="GP125" s="1277"/>
      <c r="GQ125" s="1277"/>
      <c r="GR125" s="1277"/>
      <c r="GS125" s="1277"/>
      <c r="GT125" s="1277"/>
      <c r="GU125" s="1277"/>
      <c r="GV125" s="1277"/>
      <c r="GW125" s="1277"/>
      <c r="GX125" s="1277"/>
      <c r="GY125" s="1277"/>
      <c r="GZ125" s="1277"/>
      <c r="HA125" s="1277"/>
      <c r="HB125" s="1277"/>
      <c r="HC125" s="1277"/>
      <c r="HD125" s="1277"/>
      <c r="HE125" s="1277"/>
      <c r="HF125" s="1277"/>
      <c r="HG125" s="1277"/>
      <c r="HH125" s="1277"/>
      <c r="HI125" s="1277"/>
      <c r="HJ125" s="1277"/>
      <c r="HK125" s="1277"/>
      <c r="HL125" s="1277"/>
      <c r="HM125" s="1277"/>
      <c r="HN125" s="1277"/>
      <c r="HO125" s="1277"/>
      <c r="HP125" s="1277"/>
      <c r="HQ125" s="1277"/>
      <c r="HR125" s="1277"/>
      <c r="HS125" s="1277"/>
      <c r="HT125" s="1277"/>
      <c r="HU125" s="1277"/>
      <c r="HV125" s="1277"/>
      <c r="HW125" s="1277"/>
      <c r="HX125" s="1277"/>
      <c r="HY125" s="1277"/>
      <c r="HZ125" s="1277"/>
      <c r="IA125" s="1277"/>
      <c r="IB125" s="1277"/>
      <c r="IC125" s="1277"/>
      <c r="ID125" s="1277"/>
      <c r="IE125" s="1277"/>
      <c r="IF125" s="1277"/>
      <c r="IG125" s="1277"/>
    </row>
    <row r="126" spans="1:241" x14ac:dyDescent="0.3">
      <c r="A126" s="1182"/>
      <c r="C126" s="1231"/>
      <c r="D126" s="1231"/>
      <c r="E126" s="1231"/>
      <c r="F126" s="1231"/>
      <c r="G126" s="1231"/>
      <c r="H126" s="1231"/>
      <c r="I126" s="1231"/>
      <c r="J126" s="1231"/>
      <c r="K126" s="1231"/>
      <c r="L126" s="1231"/>
      <c r="M126" s="1231"/>
      <c r="N126" s="1231"/>
      <c r="X126" s="1277"/>
    </row>
    <row r="127" spans="1:241" x14ac:dyDescent="0.4">
      <c r="C127" s="261"/>
      <c r="D127" s="261"/>
      <c r="E127" s="261"/>
      <c r="F127" s="261"/>
      <c r="G127" s="261"/>
      <c r="H127" s="261"/>
      <c r="I127" s="261"/>
      <c r="J127" s="261"/>
      <c r="K127" s="261"/>
      <c r="L127" s="261"/>
      <c r="M127" s="261"/>
      <c r="N127" s="261"/>
    </row>
    <row r="128" spans="1:241" x14ac:dyDescent="0.4">
      <c r="A128" s="1182"/>
      <c r="C128" s="1231"/>
      <c r="D128" s="1231"/>
      <c r="E128" s="1231"/>
      <c r="F128" s="1231"/>
      <c r="G128" s="1231"/>
      <c r="H128" s="1231"/>
      <c r="I128" s="1231"/>
      <c r="J128" s="1231"/>
      <c r="K128" s="1231"/>
      <c r="L128" s="1231"/>
      <c r="M128" s="1231"/>
      <c r="N128" s="1231"/>
      <c r="O128" s="1231"/>
      <c r="P128" s="1231"/>
      <c r="Q128" s="1231"/>
      <c r="R128" s="1231"/>
      <c r="S128" s="1231"/>
      <c r="T128" s="1231"/>
      <c r="U128" s="1231"/>
      <c r="V128" s="1231"/>
    </row>
    <row r="129" spans="1:24" x14ac:dyDescent="0.4">
      <c r="C129" s="308"/>
      <c r="D129" s="308"/>
      <c r="E129" s="308"/>
      <c r="F129" s="308"/>
      <c r="G129" s="308"/>
      <c r="H129" s="308"/>
      <c r="I129" s="308"/>
      <c r="J129" s="308"/>
      <c r="K129" s="308"/>
      <c r="L129" s="308"/>
      <c r="M129" s="308"/>
      <c r="N129" s="308"/>
    </row>
    <row r="130" spans="1:24" x14ac:dyDescent="0.4">
      <c r="A130" s="1182"/>
      <c r="C130" s="308"/>
      <c r="D130" s="308"/>
      <c r="E130" s="308"/>
      <c r="F130" s="308"/>
      <c r="G130" s="308"/>
      <c r="H130" s="308"/>
      <c r="I130" s="308"/>
      <c r="J130" s="308"/>
      <c r="K130" s="308"/>
      <c r="L130" s="308"/>
      <c r="M130" s="308"/>
      <c r="N130" s="308"/>
    </row>
    <row r="131" spans="1:24" x14ac:dyDescent="0.4">
      <c r="A131" s="1223"/>
      <c r="C131" s="261"/>
      <c r="D131" s="261"/>
      <c r="E131" s="261"/>
      <c r="F131" s="261"/>
      <c r="G131" s="261"/>
      <c r="H131" s="261"/>
      <c r="I131" s="261"/>
      <c r="J131" s="261"/>
      <c r="K131" s="261"/>
      <c r="L131" s="261"/>
      <c r="M131" s="261"/>
      <c r="N131" s="261"/>
    </row>
    <row r="132" spans="1:24" x14ac:dyDescent="0.4">
      <c r="C132" s="261"/>
      <c r="D132" s="261"/>
      <c r="E132" s="261"/>
      <c r="F132" s="261"/>
      <c r="G132" s="261"/>
      <c r="H132" s="261"/>
      <c r="I132" s="261"/>
      <c r="J132" s="261"/>
      <c r="K132" s="261"/>
      <c r="L132" s="261"/>
      <c r="M132" s="261"/>
      <c r="N132" s="261"/>
      <c r="W132" s="1227"/>
    </row>
    <row r="133" spans="1:24" x14ac:dyDescent="0.4">
      <c r="C133" s="261"/>
      <c r="D133" s="261"/>
      <c r="E133" s="261"/>
      <c r="F133" s="261"/>
      <c r="G133" s="261"/>
      <c r="H133" s="261"/>
      <c r="I133" s="261"/>
      <c r="J133" s="261"/>
      <c r="K133" s="261"/>
      <c r="L133" s="261"/>
      <c r="M133" s="261"/>
      <c r="N133" s="261"/>
      <c r="X133" s="1227"/>
    </row>
    <row r="134" spans="1:24" x14ac:dyDescent="0.4">
      <c r="C134" s="261"/>
      <c r="D134" s="261"/>
      <c r="E134" s="261"/>
      <c r="F134" s="261"/>
      <c r="G134" s="261"/>
      <c r="H134" s="261"/>
      <c r="I134" s="261"/>
      <c r="J134" s="261"/>
      <c r="K134" s="261"/>
      <c r="L134" s="261"/>
      <c r="M134" s="261"/>
      <c r="N134" s="261"/>
      <c r="O134" s="261"/>
      <c r="P134" s="261"/>
      <c r="Q134" s="261"/>
      <c r="R134" s="261"/>
      <c r="S134" s="261"/>
      <c r="T134" s="261"/>
      <c r="U134" s="261"/>
      <c r="V134" s="261"/>
    </row>
    <row r="135" spans="1:24" x14ac:dyDescent="0.4">
      <c r="C135" s="261"/>
      <c r="D135" s="261"/>
      <c r="E135" s="261"/>
      <c r="F135" s="261"/>
      <c r="G135" s="261"/>
      <c r="H135" s="261"/>
      <c r="I135" s="261"/>
      <c r="J135" s="261"/>
      <c r="K135" s="261"/>
      <c r="L135" s="261"/>
      <c r="M135" s="261"/>
      <c r="N135" s="261"/>
    </row>
    <row r="136" spans="1:24" x14ac:dyDescent="0.4">
      <c r="C136" s="308"/>
      <c r="D136" s="308"/>
      <c r="E136" s="308"/>
      <c r="F136" s="308"/>
      <c r="G136" s="308"/>
      <c r="H136" s="308"/>
      <c r="I136" s="308"/>
      <c r="J136" s="308"/>
      <c r="K136" s="308"/>
      <c r="L136" s="308"/>
      <c r="M136" s="308"/>
      <c r="N136" s="308"/>
    </row>
    <row r="137" spans="1:24" x14ac:dyDescent="0.4">
      <c r="C137" s="308"/>
      <c r="D137" s="308"/>
      <c r="E137" s="308"/>
      <c r="F137" s="308"/>
      <c r="G137" s="308"/>
      <c r="H137" s="308"/>
      <c r="I137" s="308"/>
      <c r="J137" s="308"/>
      <c r="K137" s="308"/>
      <c r="L137" s="308"/>
      <c r="M137" s="308"/>
      <c r="N137" s="308"/>
    </row>
    <row r="138" spans="1:24" x14ac:dyDescent="0.4">
      <c r="A138" s="1182"/>
      <c r="B138" s="1169"/>
      <c r="C138" s="308"/>
      <c r="D138" s="308"/>
    </row>
    <row r="139" spans="1:24" x14ac:dyDescent="0.4">
      <c r="C139" s="261"/>
      <c r="D139" s="261"/>
      <c r="E139" s="261"/>
      <c r="F139" s="261"/>
      <c r="G139" s="261"/>
      <c r="H139" s="261"/>
      <c r="I139" s="261"/>
      <c r="J139" s="261"/>
      <c r="K139" s="261"/>
      <c r="L139" s="261"/>
      <c r="M139" s="261"/>
      <c r="N139" s="261"/>
    </row>
    <row r="140" spans="1:24" x14ac:dyDescent="0.4">
      <c r="C140" s="261"/>
      <c r="D140" s="261"/>
      <c r="E140" s="261"/>
      <c r="F140" s="261"/>
      <c r="G140" s="261"/>
      <c r="H140" s="261"/>
      <c r="I140" s="261"/>
      <c r="J140" s="261"/>
      <c r="K140" s="261"/>
      <c r="L140" s="261"/>
      <c r="M140" s="261"/>
      <c r="N140" s="261"/>
    </row>
    <row r="141" spans="1:24" x14ac:dyDescent="0.4">
      <c r="C141" s="261"/>
      <c r="D141" s="261"/>
      <c r="E141" s="261"/>
      <c r="F141" s="261"/>
      <c r="G141" s="261"/>
      <c r="H141" s="261"/>
      <c r="I141" s="261"/>
      <c r="J141" s="261"/>
      <c r="K141" s="261"/>
      <c r="L141" s="261"/>
      <c r="M141" s="261"/>
      <c r="N141" s="261"/>
    </row>
    <row r="142" spans="1:24" x14ac:dyDescent="0.4">
      <c r="C142" s="261"/>
      <c r="D142" s="261"/>
      <c r="E142" s="261"/>
      <c r="F142" s="261"/>
      <c r="G142" s="261"/>
      <c r="H142" s="261"/>
      <c r="I142" s="261"/>
      <c r="J142" s="261"/>
      <c r="K142" s="261"/>
      <c r="L142" s="261"/>
      <c r="M142" s="261"/>
      <c r="N142" s="261"/>
      <c r="O142" s="261"/>
      <c r="P142" s="261"/>
      <c r="Q142" s="261"/>
      <c r="R142" s="261"/>
      <c r="S142" s="261"/>
      <c r="T142" s="261"/>
      <c r="U142" s="261"/>
      <c r="V142" s="261"/>
    </row>
    <row r="143" spans="1:24" x14ac:dyDescent="0.4">
      <c r="C143" s="261"/>
      <c r="D143" s="261"/>
      <c r="E143" s="261"/>
      <c r="F143" s="261"/>
      <c r="G143" s="261"/>
      <c r="H143" s="261"/>
      <c r="I143" s="261"/>
      <c r="J143" s="261"/>
      <c r="K143" s="261"/>
      <c r="L143" s="261"/>
      <c r="M143" s="261"/>
      <c r="N143" s="261"/>
      <c r="O143" s="261"/>
      <c r="P143" s="261"/>
      <c r="Q143" s="261"/>
      <c r="R143" s="261"/>
      <c r="S143" s="261"/>
      <c r="T143" s="261"/>
      <c r="U143" s="261"/>
      <c r="V143" s="261"/>
    </row>
    <row r="144" spans="1:24" x14ac:dyDescent="0.4">
      <c r="B144" s="1280"/>
    </row>
    <row r="145" spans="1:11" x14ac:dyDescent="0.4">
      <c r="C145" s="1259"/>
      <c r="D145" s="1259"/>
      <c r="E145" s="1259"/>
      <c r="F145" s="1259"/>
      <c r="G145" s="1259"/>
      <c r="H145" s="1259"/>
      <c r="I145" s="1259"/>
      <c r="J145" s="1259"/>
      <c r="K145" s="1259"/>
    </row>
    <row r="146" spans="1:11" x14ac:dyDescent="0.4">
      <c r="C146" s="261"/>
      <c r="D146" s="261"/>
      <c r="E146" s="261"/>
      <c r="F146" s="261"/>
      <c r="G146" s="261"/>
      <c r="H146" s="261"/>
      <c r="I146" s="261"/>
      <c r="J146" s="261"/>
      <c r="K146" s="261"/>
    </row>
    <row r="147" spans="1:11" x14ac:dyDescent="0.4">
      <c r="C147" s="261"/>
      <c r="D147" s="261"/>
      <c r="E147" s="261"/>
      <c r="F147" s="261"/>
      <c r="G147" s="261"/>
      <c r="H147" s="261"/>
      <c r="I147" s="261"/>
      <c r="J147" s="261"/>
      <c r="K147" s="261"/>
    </row>
    <row r="148" spans="1:11" x14ac:dyDescent="0.4">
      <c r="C148" s="261"/>
      <c r="D148" s="252"/>
      <c r="E148" s="252"/>
      <c r="F148" s="252"/>
      <c r="G148" s="252"/>
      <c r="H148" s="252"/>
      <c r="I148" s="252"/>
      <c r="J148" s="252"/>
      <c r="K148" s="252"/>
    </row>
    <row r="149" spans="1:11" x14ac:dyDescent="0.4">
      <c r="C149" s="261"/>
      <c r="D149" s="252"/>
      <c r="E149" s="252"/>
      <c r="F149" s="252"/>
      <c r="G149" s="252"/>
      <c r="H149" s="252"/>
      <c r="I149" s="252"/>
      <c r="J149" s="252"/>
      <c r="K149" s="252"/>
    </row>
    <row r="150" spans="1:11" x14ac:dyDescent="0.4">
      <c r="C150" s="261"/>
      <c r="D150" s="252"/>
      <c r="E150" s="252"/>
      <c r="F150" s="252"/>
      <c r="G150" s="252"/>
      <c r="H150" s="252"/>
      <c r="I150" s="252"/>
      <c r="J150" s="252"/>
      <c r="K150" s="252"/>
    </row>
    <row r="151" spans="1:11" x14ac:dyDescent="0.4">
      <c r="B151" s="1280"/>
      <c r="C151" s="1259"/>
      <c r="D151" s="1259"/>
    </row>
    <row r="152" spans="1:11" x14ac:dyDescent="0.4">
      <c r="A152" s="1182"/>
      <c r="C152" s="1179"/>
      <c r="D152" s="1179"/>
    </row>
    <row r="153" spans="1:11" x14ac:dyDescent="0.4">
      <c r="A153" s="1223"/>
      <c r="C153" s="261"/>
      <c r="D153" s="261"/>
    </row>
    <row r="154" spans="1:11" x14ac:dyDescent="0.4">
      <c r="A154" s="1223"/>
      <c r="C154" s="261"/>
      <c r="D154" s="261"/>
    </row>
    <row r="155" spans="1:11" x14ac:dyDescent="0.4">
      <c r="A155" s="1223"/>
    </row>
    <row r="156" spans="1:11" x14ac:dyDescent="0.4">
      <c r="A156" s="1182"/>
      <c r="C156" s="1179"/>
      <c r="D156" s="1179"/>
    </row>
    <row r="157" spans="1:11" x14ac:dyDescent="0.4">
      <c r="C157" s="261"/>
      <c r="D157" s="261"/>
    </row>
    <row r="158" spans="1:11" x14ac:dyDescent="0.4">
      <c r="C158" s="261"/>
      <c r="D158" s="261"/>
    </row>
    <row r="159" spans="1:11" x14ac:dyDescent="0.4">
      <c r="A159" s="1182"/>
      <c r="C159" s="1179"/>
      <c r="D159" s="1179"/>
    </row>
    <row r="160" spans="1:11" x14ac:dyDescent="0.4">
      <c r="C160" s="261"/>
      <c r="D160" s="261"/>
    </row>
    <row r="161" spans="1:4" x14ac:dyDescent="0.4">
      <c r="C161" s="261"/>
      <c r="D161" s="261"/>
    </row>
    <row r="162" spans="1:4" x14ac:dyDescent="0.4">
      <c r="A162" s="1182"/>
      <c r="C162" s="1179"/>
      <c r="D162" s="1179"/>
    </row>
    <row r="163" spans="1:4" x14ac:dyDescent="0.4">
      <c r="C163" s="261"/>
      <c r="D163" s="261"/>
    </row>
    <row r="164" spans="1:4" x14ac:dyDescent="0.4">
      <c r="C164" s="261"/>
      <c r="D164" s="261"/>
    </row>
    <row r="165" spans="1:4" x14ac:dyDescent="0.4">
      <c r="A165" s="1182"/>
      <c r="C165" s="1179"/>
      <c r="D165" s="1179"/>
    </row>
    <row r="166" spans="1:4" x14ac:dyDescent="0.4">
      <c r="C166" s="261"/>
      <c r="D166" s="261"/>
    </row>
    <row r="167" spans="1:4" x14ac:dyDescent="0.4">
      <c r="C167" s="261"/>
      <c r="D167" s="261"/>
    </row>
  </sheetData>
  <phoneticPr fontId="51" type="noConversion"/>
  <pageMargins left="0.74803149606299213" right="0.74803149606299213" top="0.5" bottom="0.4" header="0.34" footer="0.23"/>
  <pageSetup paperSize="9" scale="10"/>
  <headerFooter alignWithMargins="0">
    <oddHeader>&amp;A</oddHeader>
    <oddFooter>&amp;F</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D3:K57"/>
  <sheetViews>
    <sheetView showGridLines="0" workbookViewId="0"/>
  </sheetViews>
  <sheetFormatPr defaultColWidth="9" defaultRowHeight="11.65" x14ac:dyDescent="0.35"/>
  <cols>
    <col min="1" max="3" width="9" style="1281"/>
    <col min="4" max="4" width="12.5" style="1281" bestFit="1" customWidth="1"/>
    <col min="5" max="5" width="11.8125" style="1282" bestFit="1" customWidth="1"/>
    <col min="6" max="6" width="11.75" style="1282" customWidth="1"/>
    <col min="7" max="7" width="9.8125" style="1282" customWidth="1"/>
    <col min="8" max="8" width="8.5" style="1282" bestFit="1" customWidth="1"/>
    <col min="9" max="16384" width="9" style="1281"/>
  </cols>
  <sheetData>
    <row r="3" spans="4:11" s="1283" customFormat="1" x14ac:dyDescent="0.35">
      <c r="D3" s="1284"/>
      <c r="E3" s="1768" t="s">
        <v>1466</v>
      </c>
      <c r="F3" s="1768"/>
      <c r="G3" s="1768" t="s">
        <v>1467</v>
      </c>
      <c r="H3" s="1768"/>
      <c r="J3" s="1283" t="s">
        <v>1474</v>
      </c>
    </row>
    <row r="4" spans="4:11" x14ac:dyDescent="0.35">
      <c r="D4" s="1285" t="s">
        <v>1468</v>
      </c>
      <c r="E4" s="1286" t="s">
        <v>1469</v>
      </c>
      <c r="F4" s="1286" t="s">
        <v>1470</v>
      </c>
      <c r="G4" s="1286" t="s">
        <v>1469</v>
      </c>
      <c r="H4" s="1286" t="s">
        <v>1470</v>
      </c>
      <c r="J4" s="1281" t="s">
        <v>1475</v>
      </c>
      <c r="K4" s="1287">
        <v>19200</v>
      </c>
    </row>
    <row r="5" spans="4:11" x14ac:dyDescent="0.35">
      <c r="D5" s="1281" t="s">
        <v>1471</v>
      </c>
      <c r="E5" s="1288">
        <v>6247706</v>
      </c>
      <c r="F5" s="1288">
        <v>5061858</v>
      </c>
      <c r="G5" s="1289">
        <f t="shared" ref="G5:G10" si="0">E5/$E$10</f>
        <v>0.438164431043924</v>
      </c>
      <c r="H5" s="1289">
        <f t="shared" ref="H5:H10" si="1">F5/$F$10</f>
        <v>0.43981885071988686</v>
      </c>
      <c r="J5" s="1281" t="s">
        <v>1472</v>
      </c>
      <c r="K5" s="1281">
        <v>14500</v>
      </c>
    </row>
    <row r="6" spans="4:11" x14ac:dyDescent="0.35">
      <c r="D6" s="1281" t="s">
        <v>1472</v>
      </c>
      <c r="E6" s="1288">
        <v>6428187</v>
      </c>
      <c r="F6" s="1288">
        <v>5217022</v>
      </c>
      <c r="G6" s="1289">
        <f t="shared" si="0"/>
        <v>0.45082193360234118</v>
      </c>
      <c r="H6" s="1289">
        <f t="shared" si="1"/>
        <v>0.45330086703743283</v>
      </c>
      <c r="J6" s="1281" t="s">
        <v>1461</v>
      </c>
    </row>
    <row r="7" spans="4:11" x14ac:dyDescent="0.35">
      <c r="D7" s="1281" t="s">
        <v>1460</v>
      </c>
      <c r="E7" s="1288">
        <v>968553</v>
      </c>
      <c r="F7" s="1288">
        <v>427166</v>
      </c>
      <c r="G7" s="1289">
        <f t="shared" si="0"/>
        <v>6.7926607651013937E-2</v>
      </c>
      <c r="H7" s="1289">
        <f t="shared" si="1"/>
        <v>3.711594817290631E-2</v>
      </c>
    </row>
    <row r="8" spans="4:11" x14ac:dyDescent="0.35">
      <c r="D8" s="1281" t="s">
        <v>1461</v>
      </c>
      <c r="E8" s="1288">
        <v>0</v>
      </c>
      <c r="F8" s="1288">
        <v>16474</v>
      </c>
      <c r="G8" s="1289">
        <f t="shared" si="0"/>
        <v>0</v>
      </c>
      <c r="H8" s="1289">
        <f t="shared" si="1"/>
        <v>1.43140636239883E-3</v>
      </c>
    </row>
    <row r="9" spans="4:11" x14ac:dyDescent="0.35">
      <c r="D9" s="1281" t="s">
        <v>1462</v>
      </c>
      <c r="E9" s="1288">
        <v>614370</v>
      </c>
      <c r="F9" s="1288">
        <v>786441</v>
      </c>
      <c r="G9" s="1289">
        <f t="shared" si="0"/>
        <v>4.3087027702720902E-2</v>
      </c>
      <c r="H9" s="1289">
        <f t="shared" si="1"/>
        <v>6.8332927707375146E-2</v>
      </c>
    </row>
    <row r="10" spans="4:11" x14ac:dyDescent="0.35">
      <c r="D10" s="1283" t="s">
        <v>1463</v>
      </c>
      <c r="E10" s="1290">
        <f>SUM(E5:E9)</f>
        <v>14258816</v>
      </c>
      <c r="F10" s="1290">
        <f>SUM(F5:F9)</f>
        <v>11508961</v>
      </c>
      <c r="G10" s="1291">
        <f t="shared" si="0"/>
        <v>1</v>
      </c>
      <c r="H10" s="1291">
        <f t="shared" si="1"/>
        <v>1</v>
      </c>
    </row>
    <row r="12" spans="4:11" s="1283" customFormat="1" x14ac:dyDescent="0.35">
      <c r="D12" s="1284"/>
      <c r="E12" s="1768" t="s">
        <v>20</v>
      </c>
      <c r="F12" s="1768"/>
      <c r="G12" s="1768" t="s">
        <v>1467</v>
      </c>
      <c r="H12" s="1768"/>
    </row>
    <row r="13" spans="4:11" x14ac:dyDescent="0.35">
      <c r="D13" s="1285" t="s">
        <v>1468</v>
      </c>
      <c r="E13" s="1286" t="s">
        <v>1469</v>
      </c>
      <c r="F13" s="1286" t="s">
        <v>1470</v>
      </c>
      <c r="G13" s="1286" t="s">
        <v>1469</v>
      </c>
      <c r="H13" s="1286" t="s">
        <v>1470</v>
      </c>
    </row>
    <row r="14" spans="4:11" x14ac:dyDescent="0.35">
      <c r="D14" s="1281" t="s">
        <v>1471</v>
      </c>
      <c r="E14" s="1288">
        <v>392731</v>
      </c>
      <c r="F14" s="1288">
        <v>340309</v>
      </c>
      <c r="G14" s="1289">
        <f t="shared" ref="G14:G19" si="2">E14/$E$19</f>
        <v>0.19619863306258029</v>
      </c>
      <c r="H14" s="1289">
        <f t="shared" ref="H14:H19" si="3">F14/$F$19</f>
        <v>0.20991386542181517</v>
      </c>
    </row>
    <row r="15" spans="4:11" x14ac:dyDescent="0.35">
      <c r="D15" s="1281" t="s">
        <v>1472</v>
      </c>
      <c r="E15" s="1288">
        <v>1489433</v>
      </c>
      <c r="F15" s="1288">
        <v>1128207</v>
      </c>
      <c r="G15" s="1289">
        <f t="shared" si="2"/>
        <v>0.74408365684984923</v>
      </c>
      <c r="H15" s="1289">
        <f t="shared" si="3"/>
        <v>0.69591545438395641</v>
      </c>
    </row>
    <row r="16" spans="4:11" x14ac:dyDescent="0.35">
      <c r="D16" s="1281" t="s">
        <v>1460</v>
      </c>
      <c r="E16" s="1288">
        <v>62405</v>
      </c>
      <c r="F16" s="1288">
        <v>94507</v>
      </c>
      <c r="G16" s="1289">
        <f t="shared" si="2"/>
        <v>3.1175984824906418E-2</v>
      </c>
      <c r="H16" s="1289">
        <f t="shared" si="3"/>
        <v>5.8295048557103941E-2</v>
      </c>
    </row>
    <row r="17" spans="4:8" x14ac:dyDescent="0.35">
      <c r="D17" s="1281" t="s">
        <v>1461</v>
      </c>
      <c r="E17" s="1288">
        <v>-1235</v>
      </c>
      <c r="F17" s="1288">
        <v>-1912</v>
      </c>
      <c r="G17" s="1289">
        <f t="shared" si="2"/>
        <v>-6.1697526253921039E-4</v>
      </c>
      <c r="H17" s="1289">
        <f t="shared" si="3"/>
        <v>-1.1793849433500453E-3</v>
      </c>
    </row>
    <row r="18" spans="4:8" x14ac:dyDescent="0.35">
      <c r="D18" s="1281" t="s">
        <v>1462</v>
      </c>
      <c r="E18" s="1288">
        <v>58367</v>
      </c>
      <c r="F18" s="1288">
        <v>60073</v>
      </c>
      <c r="G18" s="1289">
        <f t="shared" si="2"/>
        <v>2.9158700525203314E-2</v>
      </c>
      <c r="H18" s="1289">
        <f t="shared" si="3"/>
        <v>3.7055016580474519E-2</v>
      </c>
    </row>
    <row r="19" spans="4:8" x14ac:dyDescent="0.35">
      <c r="D19" s="1283" t="s">
        <v>1463</v>
      </c>
      <c r="E19" s="1290">
        <f>SUM(E14:E18)</f>
        <v>2001701</v>
      </c>
      <c r="F19" s="1290">
        <f>SUM(F14:F18)</f>
        <v>1621184</v>
      </c>
      <c r="G19" s="1291">
        <f t="shared" si="2"/>
        <v>1</v>
      </c>
      <c r="H19" s="1291">
        <f t="shared" si="3"/>
        <v>1</v>
      </c>
    </row>
    <row r="21" spans="4:8" s="1283" customFormat="1" x14ac:dyDescent="0.35">
      <c r="D21" s="1292"/>
      <c r="E21" s="1768" t="s">
        <v>1464</v>
      </c>
      <c r="F21" s="1768"/>
      <c r="G21" s="1769" t="s">
        <v>1465</v>
      </c>
      <c r="H21" s="1293"/>
    </row>
    <row r="22" spans="4:8" x14ac:dyDescent="0.35">
      <c r="D22" s="1292" t="s">
        <v>1468</v>
      </c>
      <c r="E22" s="1286" t="s">
        <v>1469</v>
      </c>
      <c r="F22" s="1286" t="s">
        <v>1470</v>
      </c>
      <c r="G22" s="1769"/>
    </row>
    <row r="23" spans="4:8" x14ac:dyDescent="0.35">
      <c r="D23" s="1281" t="s">
        <v>1471</v>
      </c>
      <c r="E23" s="1289">
        <f>E14/E5</f>
        <v>6.2860032146198938E-2</v>
      </c>
      <c r="F23" s="1289">
        <f>F14/F5</f>
        <v>6.7230056631379223E-2</v>
      </c>
      <c r="G23" s="1294" t="str">
        <f>(ROUND(E23-F23,3)*100)&amp;"ppt"</f>
        <v>-0.4ppt</v>
      </c>
      <c r="H23" s="1289"/>
    </row>
    <row r="24" spans="4:8" x14ac:dyDescent="0.35">
      <c r="D24" s="1281" t="s">
        <v>1472</v>
      </c>
      <c r="E24" s="1289">
        <f t="shared" ref="E24:F28" si="4">E15/E6</f>
        <v>0.23170343364310964</v>
      </c>
      <c r="F24" s="1289">
        <f t="shared" si="4"/>
        <v>0.21625498224849349</v>
      </c>
      <c r="G24" s="1294" t="str">
        <f>(ROUND(E24-F24,3)*100)&amp;"ppt"</f>
        <v>1.5ppt</v>
      </c>
      <c r="H24" s="1289"/>
    </row>
    <row r="25" spans="4:8" x14ac:dyDescent="0.35">
      <c r="D25" s="1281" t="s">
        <v>1460</v>
      </c>
      <c r="E25" s="1289">
        <f t="shared" si="4"/>
        <v>6.4431166905683013E-2</v>
      </c>
      <c r="F25" s="1289">
        <f t="shared" si="4"/>
        <v>0.22124185913672906</v>
      </c>
      <c r="G25" s="1294" t="str">
        <f>(ROUND(E25-F25,3)*100)&amp;"ppt"</f>
        <v>-15.7ppt</v>
      </c>
      <c r="H25" s="1289"/>
    </row>
    <row r="26" spans="4:8" x14ac:dyDescent="0.35">
      <c r="D26" s="1281" t="s">
        <v>1461</v>
      </c>
      <c r="E26" s="1289" t="s">
        <v>1473</v>
      </c>
      <c r="F26" s="1289">
        <f t="shared" si="4"/>
        <v>-0.11606167293917688</v>
      </c>
      <c r="G26" s="1289" t="s">
        <v>1473</v>
      </c>
      <c r="H26" s="1289"/>
    </row>
    <row r="27" spans="4:8" x14ac:dyDescent="0.35">
      <c r="D27" s="1281" t="s">
        <v>1462</v>
      </c>
      <c r="E27" s="1289">
        <f t="shared" si="4"/>
        <v>9.5003011214740307E-2</v>
      </c>
      <c r="F27" s="1289">
        <f t="shared" si="4"/>
        <v>7.6385895445430743E-2</v>
      </c>
      <c r="G27" s="1294" t="str">
        <f>(ROUND(E27-F27,3)*100)&amp;"ppt"</f>
        <v>1.9ppt</v>
      </c>
      <c r="H27" s="1289"/>
    </row>
    <row r="28" spans="4:8" x14ac:dyDescent="0.35">
      <c r="D28" s="1283" t="s">
        <v>1463</v>
      </c>
      <c r="E28" s="1291">
        <f t="shared" si="4"/>
        <v>0.14038339508694131</v>
      </c>
      <c r="F28" s="1291">
        <f t="shared" si="4"/>
        <v>0.14086275902750908</v>
      </c>
      <c r="G28" s="1295" t="str">
        <f>(ROUND(E28-F28,3)*100)&amp;"ppt"</f>
        <v>0ppt</v>
      </c>
      <c r="H28" s="1289"/>
    </row>
    <row r="32" spans="4:8" x14ac:dyDescent="0.35">
      <c r="D32" s="1284"/>
      <c r="E32" s="1768" t="s">
        <v>262</v>
      </c>
      <c r="F32" s="1768"/>
      <c r="G32" s="1768" t="s">
        <v>1393</v>
      </c>
      <c r="H32" s="1768"/>
    </row>
    <row r="33" spans="4:8" x14ac:dyDescent="0.35">
      <c r="D33" s="1285" t="s">
        <v>1468</v>
      </c>
      <c r="E33" s="1284" t="s">
        <v>1519</v>
      </c>
      <c r="F33" s="1284" t="s">
        <v>1520</v>
      </c>
      <c r="G33" s="1284" t="s">
        <v>1519</v>
      </c>
      <c r="H33" s="1284" t="s">
        <v>1520</v>
      </c>
    </row>
    <row r="34" spans="4:8" x14ac:dyDescent="0.35">
      <c r="D34" s="1281" t="s">
        <v>1471</v>
      </c>
      <c r="E34" s="1288">
        <v>7505169</v>
      </c>
      <c r="F34" s="1288">
        <v>6247706</v>
      </c>
      <c r="G34" s="1289">
        <f t="shared" ref="G34:G39" si="5">E34/$E$39</f>
        <v>0.44211165680513809</v>
      </c>
      <c r="H34" s="1289">
        <f t="shared" ref="H34:H39" si="6">F34/$F$39</f>
        <v>0.43740948425118736</v>
      </c>
    </row>
    <row r="35" spans="4:8" x14ac:dyDescent="0.35">
      <c r="D35" s="1281" t="s">
        <v>1472</v>
      </c>
      <c r="E35" s="1288">
        <v>6780305</v>
      </c>
      <c r="F35" s="1288">
        <v>6452797</v>
      </c>
      <c r="G35" s="1289">
        <f t="shared" si="5"/>
        <v>0.39941164245524141</v>
      </c>
      <c r="H35" s="1289">
        <f t="shared" si="6"/>
        <v>0.45176815422294342</v>
      </c>
    </row>
    <row r="36" spans="4:8" x14ac:dyDescent="0.35">
      <c r="D36" s="1281" t="s">
        <v>359</v>
      </c>
      <c r="E36" s="1288">
        <v>1876156</v>
      </c>
      <c r="F36" s="1288">
        <v>968553</v>
      </c>
      <c r="G36" s="1289">
        <f t="shared" si="5"/>
        <v>0.11051988803781775</v>
      </c>
      <c r="H36" s="1289">
        <f t="shared" si="6"/>
        <v>6.7809571737200869E-2</v>
      </c>
    </row>
    <row r="37" spans="4:8" x14ac:dyDescent="0.35">
      <c r="D37" s="1281" t="s">
        <v>718</v>
      </c>
      <c r="E37" s="1282">
        <v>0</v>
      </c>
      <c r="F37" s="1288">
        <v>0</v>
      </c>
      <c r="G37" s="1289">
        <f t="shared" si="5"/>
        <v>0</v>
      </c>
      <c r="H37" s="1289">
        <f t="shared" si="6"/>
        <v>0</v>
      </c>
    </row>
    <row r="38" spans="4:8" x14ac:dyDescent="0.35">
      <c r="D38" s="1281" t="s">
        <v>1462</v>
      </c>
      <c r="E38" s="1288">
        <v>814102</v>
      </c>
      <c r="F38" s="1288">
        <v>614370</v>
      </c>
      <c r="G38" s="1289">
        <f t="shared" si="5"/>
        <v>4.7956812701802784E-2</v>
      </c>
      <c r="H38" s="1289">
        <f t="shared" si="6"/>
        <v>4.3012789788668349E-2</v>
      </c>
    </row>
    <row r="39" spans="4:8" x14ac:dyDescent="0.35">
      <c r="D39" s="1283" t="s">
        <v>1463</v>
      </c>
      <c r="E39" s="1290">
        <f>SUM(E34:E38)</f>
        <v>16975732</v>
      </c>
      <c r="F39" s="1290">
        <f>SUM(F34:F38)</f>
        <v>14283426</v>
      </c>
      <c r="G39" s="1291">
        <f t="shared" si="5"/>
        <v>1</v>
      </c>
      <c r="H39" s="1291">
        <f t="shared" si="6"/>
        <v>1</v>
      </c>
    </row>
    <row r="41" spans="4:8" x14ac:dyDescent="0.35">
      <c r="D41" s="1284"/>
      <c r="E41" s="1768" t="s">
        <v>20</v>
      </c>
      <c r="F41" s="1768"/>
      <c r="G41" s="1768" t="s">
        <v>1393</v>
      </c>
      <c r="H41" s="1768"/>
    </row>
    <row r="42" spans="4:8" x14ac:dyDescent="0.35">
      <c r="D42" s="1285" t="s">
        <v>1468</v>
      </c>
      <c r="E42" s="1284" t="s">
        <v>1519</v>
      </c>
      <c r="F42" s="1284" t="s">
        <v>1520</v>
      </c>
      <c r="G42" s="1284" t="s">
        <v>1519</v>
      </c>
      <c r="H42" s="1284" t="s">
        <v>1520</v>
      </c>
    </row>
    <row r="43" spans="4:8" x14ac:dyDescent="0.35">
      <c r="D43" s="1281" t="s">
        <v>1471</v>
      </c>
      <c r="E43" s="1288">
        <v>529223</v>
      </c>
      <c r="F43" s="1288">
        <v>392731</v>
      </c>
      <c r="G43" s="1289">
        <f t="shared" ref="G43:G48" si="7">E43/$E$48</f>
        <v>0.21114065657422018</v>
      </c>
      <c r="H43" s="1289">
        <f t="shared" ref="H43:H48" si="8">F43/$F$48</f>
        <v>0.19619863306258029</v>
      </c>
    </row>
    <row r="44" spans="4:8" x14ac:dyDescent="0.35">
      <c r="D44" s="1281" t="s">
        <v>1472</v>
      </c>
      <c r="E44" s="1288">
        <v>1784593</v>
      </c>
      <c r="F44" s="1288">
        <v>1489433</v>
      </c>
      <c r="G44" s="1289">
        <f t="shared" si="7"/>
        <v>0.71198745658778495</v>
      </c>
      <c r="H44" s="1289">
        <f t="shared" si="8"/>
        <v>0.74408365684984923</v>
      </c>
    </row>
    <row r="45" spans="4:8" x14ac:dyDescent="0.35">
      <c r="D45" s="1281" t="s">
        <v>359</v>
      </c>
      <c r="E45" s="1288">
        <v>77375</v>
      </c>
      <c r="F45" s="1288">
        <v>62405</v>
      </c>
      <c r="G45" s="1289">
        <f t="shared" si="7"/>
        <v>3.0869800258927306E-2</v>
      </c>
      <c r="H45" s="1289">
        <f t="shared" si="8"/>
        <v>3.1175984824906418E-2</v>
      </c>
    </row>
    <row r="46" spans="4:8" x14ac:dyDescent="0.35">
      <c r="D46" s="1281" t="s">
        <v>718</v>
      </c>
      <c r="E46" s="1288">
        <v>-10269</v>
      </c>
      <c r="F46" s="1288">
        <v>-1235</v>
      </c>
      <c r="G46" s="1289">
        <f t="shared" si="7"/>
        <v>-4.0969561080313344E-3</v>
      </c>
      <c r="H46" s="1289">
        <f t="shared" si="8"/>
        <v>-6.1697526253921039E-4</v>
      </c>
    </row>
    <row r="47" spans="4:8" x14ac:dyDescent="0.35">
      <c r="D47" s="1281" t="s">
        <v>1462</v>
      </c>
      <c r="E47" s="1288">
        <v>125573</v>
      </c>
      <c r="F47" s="1288">
        <v>58367</v>
      </c>
      <c r="G47" s="1289">
        <f t="shared" si="7"/>
        <v>5.0099042687098916E-2</v>
      </c>
      <c r="H47" s="1289">
        <f t="shared" si="8"/>
        <v>2.9158700525203314E-2</v>
      </c>
    </row>
    <row r="48" spans="4:8" x14ac:dyDescent="0.35">
      <c r="D48" s="1283" t="s">
        <v>1463</v>
      </c>
      <c r="E48" s="1290">
        <f>SUM(E43:E47)</f>
        <v>2506495</v>
      </c>
      <c r="F48" s="1290">
        <f>SUM(F43:F47)</f>
        <v>2001701</v>
      </c>
      <c r="G48" s="1291">
        <f t="shared" si="7"/>
        <v>1</v>
      </c>
      <c r="H48" s="1291">
        <f t="shared" si="8"/>
        <v>1</v>
      </c>
    </row>
    <row r="50" spans="4:8" x14ac:dyDescent="0.35">
      <c r="D50" s="1292"/>
      <c r="E50" s="1768" t="s">
        <v>1464</v>
      </c>
      <c r="F50" s="1768"/>
      <c r="G50" s="1769" t="s">
        <v>1465</v>
      </c>
      <c r="H50" s="1293"/>
    </row>
    <row r="51" spans="4:8" x14ac:dyDescent="0.35">
      <c r="D51" s="1292" t="s">
        <v>1468</v>
      </c>
      <c r="E51" s="1284" t="s">
        <v>1519</v>
      </c>
      <c r="F51" s="1284" t="s">
        <v>1520</v>
      </c>
      <c r="G51" s="1769"/>
    </row>
    <row r="52" spans="4:8" x14ac:dyDescent="0.35">
      <c r="D52" s="1281" t="s">
        <v>1471</v>
      </c>
      <c r="E52" s="1289">
        <f t="shared" ref="E52:F54" si="9">E43/E34</f>
        <v>7.0514468095255411E-2</v>
      </c>
      <c r="F52" s="1289">
        <f t="shared" si="9"/>
        <v>6.2860032146198938E-2</v>
      </c>
      <c r="G52" s="1294" t="str">
        <f>(ROUND(E52-F52,3)*100)&amp;"ppt"</f>
        <v>0.8ppt</v>
      </c>
      <c r="H52" s="1289"/>
    </row>
    <row r="53" spans="4:8" x14ac:dyDescent="0.35">
      <c r="D53" s="1281" t="s">
        <v>1472</v>
      </c>
      <c r="E53" s="1289">
        <f t="shared" si="9"/>
        <v>0.26320246655570806</v>
      </c>
      <c r="F53" s="1289">
        <f t="shared" si="9"/>
        <v>0.230819751496909</v>
      </c>
      <c r="G53" s="1294" t="str">
        <f>(ROUND(E53-F53,3)*100)&amp;"ppt"</f>
        <v>3.2ppt</v>
      </c>
      <c r="H53" s="1289"/>
    </row>
    <row r="54" spans="4:8" x14ac:dyDescent="0.35">
      <c r="D54" s="1281" t="s">
        <v>359</v>
      </c>
      <c r="E54" s="1289">
        <f t="shared" si="9"/>
        <v>4.124124006745708E-2</v>
      </c>
      <c r="F54" s="1289">
        <f t="shared" si="9"/>
        <v>6.4431166905683013E-2</v>
      </c>
      <c r="G54" s="1294" t="str">
        <f>(ROUND(E54-F54,3)*100)&amp;"ppt"</f>
        <v>-2.3ppt</v>
      </c>
      <c r="H54" s="1289"/>
    </row>
    <row r="55" spans="4:8" x14ac:dyDescent="0.35">
      <c r="D55" s="1281" t="s">
        <v>718</v>
      </c>
      <c r="E55" s="1289" t="s">
        <v>1473</v>
      </c>
      <c r="F55" s="1289" t="s">
        <v>1521</v>
      </c>
      <c r="G55" s="1289" t="s">
        <v>1473</v>
      </c>
      <c r="H55" s="1289"/>
    </row>
    <row r="56" spans="4:8" x14ac:dyDescent="0.35">
      <c r="D56" s="1281" t="s">
        <v>1462</v>
      </c>
      <c r="E56" s="1289">
        <f>E47/E38</f>
        <v>0.15424725648628795</v>
      </c>
      <c r="F56" s="1289">
        <f>F47/F38</f>
        <v>9.5003011214740307E-2</v>
      </c>
      <c r="G56" s="1294" t="str">
        <f>(ROUND(E56-F56,3)*100)&amp;"ppt"</f>
        <v>5.9ppt</v>
      </c>
      <c r="H56" s="1289"/>
    </row>
    <row r="57" spans="4:8" x14ac:dyDescent="0.35">
      <c r="D57" s="1283" t="s">
        <v>1463</v>
      </c>
      <c r="E57" s="1291">
        <f>E48/E39</f>
        <v>0.14765165943948691</v>
      </c>
      <c r="F57" s="1291">
        <f>F48/F39</f>
        <v>0.14014151786833215</v>
      </c>
      <c r="G57" s="1295" t="str">
        <f>(ROUND(E57-F57,3)*100)&amp;"ppt"</f>
        <v>0.8ppt</v>
      </c>
      <c r="H57" s="1289"/>
    </row>
  </sheetData>
  <mergeCells count="12">
    <mergeCell ref="E41:F41"/>
    <mergeCell ref="G41:H41"/>
    <mergeCell ref="E50:F50"/>
    <mergeCell ref="G50:G51"/>
    <mergeCell ref="E32:F32"/>
    <mergeCell ref="G32:H32"/>
    <mergeCell ref="E3:F3"/>
    <mergeCell ref="G3:H3"/>
    <mergeCell ref="E12:F12"/>
    <mergeCell ref="G12:H12"/>
    <mergeCell ref="E21:F21"/>
    <mergeCell ref="G21:G22"/>
  </mergeCells>
  <phoneticPr fontId="51"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indexed="10"/>
  </sheetPr>
  <dimension ref="A1:AL353"/>
  <sheetViews>
    <sheetView workbookViewId="0">
      <selection activeCell="M72" sqref="M72"/>
    </sheetView>
  </sheetViews>
  <sheetFormatPr defaultColWidth="10" defaultRowHeight="15.75" x14ac:dyDescent="0.35"/>
  <cols>
    <col min="1" max="1" width="13.5" customWidth="1"/>
    <col min="2" max="2" width="23.75" style="1296" customWidth="1"/>
    <col min="3" max="3" width="23.25" style="1035" customWidth="1"/>
    <col min="4" max="4" width="12.75" customWidth="1"/>
    <col min="5" max="5" width="10.75" customWidth="1"/>
    <col min="6" max="6" width="11.5" customWidth="1"/>
    <col min="7" max="7" width="10.25" customWidth="1"/>
    <col min="8" max="9" width="8.8125" customWidth="1"/>
    <col min="10" max="10" width="12.3125" customWidth="1"/>
    <col min="11" max="11" width="15.75" customWidth="1"/>
    <col min="12" max="12" width="22.25" style="1296" customWidth="1"/>
    <col min="13" max="19" width="15.75" customWidth="1"/>
    <col min="20" max="21" width="12.25" style="1035" customWidth="1"/>
    <col min="23" max="23" width="11.5" customWidth="1"/>
    <col min="24" max="24" width="11.25" customWidth="1"/>
  </cols>
  <sheetData>
    <row r="1" spans="1:25" x14ac:dyDescent="0.4">
      <c r="A1" s="1297">
        <v>2009</v>
      </c>
      <c r="S1" s="1298" t="s">
        <v>92</v>
      </c>
    </row>
    <row r="2" spans="1:25" s="1298" customFormat="1" ht="15" customHeight="1" x14ac:dyDescent="0.4">
      <c r="A2" s="1299" t="s">
        <v>94</v>
      </c>
      <c r="B2" s="1298" t="s">
        <v>95</v>
      </c>
      <c r="C2" s="1300"/>
      <c r="D2" s="1301" t="s">
        <v>138</v>
      </c>
      <c r="E2" s="1301" t="s">
        <v>144</v>
      </c>
      <c r="F2" s="1301" t="s">
        <v>140</v>
      </c>
      <c r="G2" s="1301" t="s">
        <v>142</v>
      </c>
      <c r="H2" s="1301" t="s">
        <v>146</v>
      </c>
      <c r="I2" s="1301" t="s">
        <v>148</v>
      </c>
      <c r="J2" s="1302" t="s">
        <v>96</v>
      </c>
      <c r="L2" s="1300" t="s">
        <v>806</v>
      </c>
      <c r="M2" s="1300">
        <v>2006</v>
      </c>
      <c r="N2" s="1300">
        <v>2007</v>
      </c>
      <c r="O2" s="1300">
        <v>2008</v>
      </c>
      <c r="P2" s="1300" t="s">
        <v>184</v>
      </c>
      <c r="Q2" s="1300">
        <v>2009</v>
      </c>
      <c r="R2" s="1300" t="s">
        <v>185</v>
      </c>
      <c r="S2" s="1303">
        <v>2006</v>
      </c>
      <c r="T2" s="1303">
        <v>2007</v>
      </c>
      <c r="U2" s="1303">
        <v>2008</v>
      </c>
    </row>
    <row r="3" spans="1:25" x14ac:dyDescent="0.4">
      <c r="B3" s="1296" t="s">
        <v>810</v>
      </c>
      <c r="C3" s="1035" t="s">
        <v>586</v>
      </c>
      <c r="D3" s="1304"/>
      <c r="E3" s="1304"/>
      <c r="F3" s="1304"/>
      <c r="G3" s="1304"/>
      <c r="H3" s="1304"/>
      <c r="I3" s="1304"/>
      <c r="J3" s="1305"/>
      <c r="K3" s="1306" t="s">
        <v>137</v>
      </c>
      <c r="L3" s="1307" t="s">
        <v>153</v>
      </c>
      <c r="M3" s="1041">
        <f>$D53</f>
        <v>7464.6279999999997</v>
      </c>
      <c r="N3" s="1041">
        <f>$D36</f>
        <v>5527.5870000000004</v>
      </c>
      <c r="O3" s="1041">
        <f>D19</f>
        <v>6195.6409999999996</v>
      </c>
      <c r="P3" s="1041">
        <v>2841.9520000000002</v>
      </c>
      <c r="Q3" s="1041">
        <f>D5</f>
        <v>0</v>
      </c>
      <c r="R3" s="1041">
        <v>3353.3580000000002</v>
      </c>
      <c r="S3" s="1044">
        <f>M3/($M$9-$M$8)</f>
        <v>0.67188141030660731</v>
      </c>
      <c r="T3" s="1044">
        <f>N3/($N$9-$N$8)</f>
        <v>0.53678155796173632</v>
      </c>
      <c r="U3" s="1044">
        <f>O3/($O$9-$O$8)</f>
        <v>0.55339355930831802</v>
      </c>
      <c r="V3" s="1307" t="s">
        <v>153</v>
      </c>
      <c r="Y3" s="1296" t="s">
        <v>167</v>
      </c>
    </row>
    <row r="4" spans="1:25" x14ac:dyDescent="0.4">
      <c r="B4" s="1296" t="s">
        <v>811</v>
      </c>
      <c r="C4" s="1035" t="s">
        <v>112</v>
      </c>
      <c r="D4" s="1041"/>
      <c r="E4" s="1041"/>
      <c r="F4" s="1041"/>
      <c r="G4" s="1041"/>
      <c r="H4" s="1041"/>
      <c r="I4" s="1041"/>
      <c r="J4" s="1305"/>
      <c r="K4" s="1306" t="s">
        <v>139</v>
      </c>
      <c r="L4" s="1307" t="s">
        <v>154</v>
      </c>
      <c r="M4" s="1041">
        <f>$F53</f>
        <v>1551.6</v>
      </c>
      <c r="N4" s="1041">
        <f>$F36</f>
        <v>1586.7819999999999</v>
      </c>
      <c r="O4" s="1041">
        <f>F19</f>
        <v>2078.19</v>
      </c>
      <c r="P4" s="1041">
        <v>1276.307</v>
      </c>
      <c r="Q4" s="1041">
        <f>F5</f>
        <v>0</v>
      </c>
      <c r="R4" s="1041">
        <v>889.37900000000002</v>
      </c>
      <c r="S4" s="1044">
        <f>M4/($M$9-$M$8)</f>
        <v>0.13965748812020262</v>
      </c>
      <c r="T4" s="1044">
        <f>N4/($N$9-$N$8)</f>
        <v>0.15409170658112478</v>
      </c>
      <c r="U4" s="1044">
        <f>O4/($O$9-$O$8)</f>
        <v>0.18562356356976678</v>
      </c>
      <c r="V4" s="1307" t="s">
        <v>154</v>
      </c>
      <c r="Y4" s="1296" t="s">
        <v>147</v>
      </c>
    </row>
    <row r="5" spans="1:25" x14ac:dyDescent="0.4">
      <c r="B5" s="1308" t="s">
        <v>812</v>
      </c>
      <c r="C5" s="1307" t="s">
        <v>788</v>
      </c>
      <c r="D5" s="1304">
        <f t="shared" ref="D5:I5" si="0">D3+D4</f>
        <v>0</v>
      </c>
      <c r="E5" s="1304">
        <f t="shared" si="0"/>
        <v>0</v>
      </c>
      <c r="F5" s="1304">
        <f t="shared" si="0"/>
        <v>0</v>
      </c>
      <c r="G5" s="1304">
        <f t="shared" si="0"/>
        <v>0</v>
      </c>
      <c r="H5" s="1304">
        <f t="shared" si="0"/>
        <v>0</v>
      </c>
      <c r="I5" s="1304">
        <f t="shared" si="0"/>
        <v>0</v>
      </c>
      <c r="J5" s="1305">
        <f>SUM(D5:I5)</f>
        <v>0</v>
      </c>
      <c r="K5" s="1306" t="s">
        <v>141</v>
      </c>
      <c r="L5" s="1307" t="s">
        <v>155</v>
      </c>
      <c r="M5" s="1041">
        <f>$G53</f>
        <v>794.50400000000002</v>
      </c>
      <c r="N5" s="1041">
        <f>$G36</f>
        <v>2065.4450000000002</v>
      </c>
      <c r="O5" s="1041">
        <f>G19</f>
        <v>1797.3019999999999</v>
      </c>
      <c r="P5" s="1041">
        <v>944.56700000000001</v>
      </c>
      <c r="Q5" s="1041">
        <f>G5</f>
        <v>0</v>
      </c>
      <c r="R5" s="1041">
        <v>644.09500000000003</v>
      </c>
      <c r="S5" s="1044">
        <f>M5/($M$9-$M$8)</f>
        <v>7.1512266654713511E-2</v>
      </c>
      <c r="T5" s="1044">
        <f>N5/($N$9-$N$8)</f>
        <v>0.20057446133082635</v>
      </c>
      <c r="U5" s="1044">
        <f>O5/($O$9-$O$8)</f>
        <v>0.16053469704457674</v>
      </c>
      <c r="V5" s="1307" t="s">
        <v>155</v>
      </c>
      <c r="Y5" s="1296" t="s">
        <v>141</v>
      </c>
    </row>
    <row r="6" spans="1:25" x14ac:dyDescent="0.4">
      <c r="B6" s="1308" t="s">
        <v>24</v>
      </c>
      <c r="C6" s="1309" t="s">
        <v>25</v>
      </c>
      <c r="D6" s="1310"/>
      <c r="E6" s="1310"/>
      <c r="F6" s="1310"/>
      <c r="G6" s="1310"/>
      <c r="H6" s="1310"/>
      <c r="I6" s="1310"/>
      <c r="J6" s="1311"/>
      <c r="K6" s="1306" t="s">
        <v>143</v>
      </c>
      <c r="L6" s="1307" t="s">
        <v>157</v>
      </c>
      <c r="M6" s="1041">
        <f>$E53</f>
        <v>845.16200000000003</v>
      </c>
      <c r="N6" s="1041">
        <f>$E36</f>
        <v>766.40899999999999</v>
      </c>
      <c r="O6" s="1041">
        <f>E19</f>
        <v>1052.143</v>
      </c>
      <c r="P6" s="1041">
        <v>385.57799999999997</v>
      </c>
      <c r="Q6" s="1041">
        <f>+E5</f>
        <v>0</v>
      </c>
      <c r="R6" s="1041">
        <v>671.89099999999996</v>
      </c>
      <c r="S6" s="1044">
        <f>M6/($M$9-$M$8)</f>
        <v>7.6071927026712241E-2</v>
      </c>
      <c r="T6" s="1044">
        <f>N6/($N$9-$N$8)</f>
        <v>7.4425643061953858E-2</v>
      </c>
      <c r="U6" s="1044">
        <f>O6/($O$9-$O$8)</f>
        <v>9.3977226839213515E-2</v>
      </c>
      <c r="V6" s="1307" t="s">
        <v>156</v>
      </c>
      <c r="Y6" s="1296" t="s">
        <v>143</v>
      </c>
    </row>
    <row r="7" spans="1:25" x14ac:dyDescent="0.4">
      <c r="B7" s="1308" t="s">
        <v>813</v>
      </c>
      <c r="C7" s="1307" t="s">
        <v>113</v>
      </c>
      <c r="D7" s="1304"/>
      <c r="E7" s="1304"/>
      <c r="F7" s="1304"/>
      <c r="G7" s="1304"/>
      <c r="H7" s="1304"/>
      <c r="I7" s="1304"/>
      <c r="J7" s="1305">
        <f>SUM(D7:I7)</f>
        <v>0</v>
      </c>
      <c r="K7" s="1306" t="s">
        <v>145</v>
      </c>
      <c r="L7" s="1307" t="s">
        <v>159</v>
      </c>
      <c r="M7" s="1041">
        <f>$H53</f>
        <v>454.14400000000001</v>
      </c>
      <c r="N7" s="1041">
        <f>$H36</f>
        <v>351.42399999999998</v>
      </c>
      <c r="O7" s="1041">
        <f>H19</f>
        <v>72.447000000000003</v>
      </c>
      <c r="P7" s="1041">
        <v>57.198</v>
      </c>
      <c r="Q7" s="1041">
        <f>+H5</f>
        <v>0</v>
      </c>
      <c r="R7" s="1041">
        <v>0</v>
      </c>
      <c r="S7" s="1044">
        <f>M7/($M$9-$M$8)</f>
        <v>4.0876907891764187E-2</v>
      </c>
      <c r="T7" s="1044">
        <f>N7/($N$9-$N$8)</f>
        <v>3.4126631064358676E-2</v>
      </c>
      <c r="U7" s="1044">
        <f>O7/($O$9-$O$8)</f>
        <v>6.4709532381249518E-3</v>
      </c>
      <c r="V7" s="1307" t="s">
        <v>158</v>
      </c>
      <c r="Y7" s="1296" t="s">
        <v>145</v>
      </c>
    </row>
    <row r="8" spans="1:25" x14ac:dyDescent="0.4">
      <c r="B8" s="1296" t="s">
        <v>150</v>
      </c>
      <c r="C8" s="1035" t="s">
        <v>164</v>
      </c>
      <c r="D8" s="1041"/>
      <c r="E8" s="1041"/>
      <c r="F8" s="1041"/>
      <c r="G8" s="1041"/>
      <c r="H8" s="1041"/>
      <c r="I8" s="1041"/>
      <c r="J8" s="1305">
        <f>SUM(D8:I8)</f>
        <v>0</v>
      </c>
      <c r="K8" s="1306" t="s">
        <v>148</v>
      </c>
      <c r="L8" s="1307" t="s">
        <v>519</v>
      </c>
      <c r="M8" s="1041">
        <f>$I53</f>
        <v>-15.492000000000001</v>
      </c>
      <c r="N8" s="1041">
        <f>$I36</f>
        <v>-64.765000000000001</v>
      </c>
      <c r="O8" s="1041">
        <f>I19</f>
        <v>-174.31800000000001</v>
      </c>
      <c r="P8" s="1041">
        <v>-66.463999999999999</v>
      </c>
      <c r="Q8" s="1041">
        <f>+I5</f>
        <v>0</v>
      </c>
      <c r="R8" s="1041">
        <v>-56.771999999999998</v>
      </c>
      <c r="S8" s="1044">
        <f>SUM(S3:S7)</f>
        <v>1</v>
      </c>
      <c r="T8" s="1044">
        <f>SUM(T3:T7)</f>
        <v>1</v>
      </c>
      <c r="U8" s="1044">
        <f>SUM(U3:U7)</f>
        <v>1</v>
      </c>
    </row>
    <row r="9" spans="1:25" x14ac:dyDescent="0.4">
      <c r="B9" s="1296" t="s">
        <v>149</v>
      </c>
      <c r="C9" s="1035" t="s">
        <v>161</v>
      </c>
      <c r="D9" s="1041"/>
      <c r="E9" s="1041"/>
      <c r="F9" s="1041"/>
      <c r="G9" s="1041"/>
      <c r="H9" s="1041"/>
      <c r="I9" s="1041"/>
      <c r="J9" s="1305">
        <f t="shared" ref="J9:J14" si="1">SUM(D9:I9)</f>
        <v>0</v>
      </c>
      <c r="L9" s="1307" t="s">
        <v>809</v>
      </c>
      <c r="M9" s="1304">
        <f t="shared" ref="M9:R9" si="2">SUM(M3:M8)</f>
        <v>11094.546</v>
      </c>
      <c r="N9" s="1304">
        <f t="shared" si="2"/>
        <v>10232.882000000001</v>
      </c>
      <c r="O9" s="1304">
        <f t="shared" si="2"/>
        <v>11021.405000000001</v>
      </c>
      <c r="P9" s="1304">
        <f t="shared" si="2"/>
        <v>5439.1380000000008</v>
      </c>
      <c r="Q9" s="1304">
        <f t="shared" si="2"/>
        <v>0</v>
      </c>
      <c r="R9" s="1304">
        <f t="shared" si="2"/>
        <v>5501.951</v>
      </c>
      <c r="S9" s="1304"/>
    </row>
    <row r="10" spans="1:25" x14ac:dyDescent="0.4">
      <c r="B10" s="1296" t="s">
        <v>151</v>
      </c>
      <c r="C10" s="1035" t="s">
        <v>162</v>
      </c>
      <c r="D10" s="1041"/>
      <c r="E10" s="1041"/>
      <c r="F10" s="1041"/>
      <c r="G10" s="1041"/>
      <c r="H10" s="1041"/>
      <c r="I10" s="1041"/>
      <c r="J10" s="1305">
        <f t="shared" si="1"/>
        <v>0</v>
      </c>
      <c r="L10" s="1308"/>
      <c r="M10" s="1304"/>
      <c r="N10" s="1304"/>
      <c r="O10" s="1304"/>
      <c r="P10" s="1304"/>
      <c r="Q10" s="1304"/>
      <c r="R10" s="1304"/>
      <c r="S10" s="1304"/>
    </row>
    <row r="11" spans="1:25" x14ac:dyDescent="0.4">
      <c r="B11" s="1296" t="s">
        <v>152</v>
      </c>
      <c r="C11" s="1035" t="s">
        <v>163</v>
      </c>
      <c r="D11" s="1041"/>
      <c r="E11" s="1041"/>
      <c r="F11" s="1041"/>
      <c r="G11" s="1041"/>
      <c r="H11" s="1041"/>
      <c r="I11" s="1041"/>
      <c r="J11" s="1305">
        <f t="shared" si="1"/>
        <v>0</v>
      </c>
      <c r="L11" s="1308"/>
      <c r="M11" s="1304">
        <f>M9-M6</f>
        <v>10249.384</v>
      </c>
      <c r="N11" s="1304">
        <f>N9-N6</f>
        <v>9466.4730000000018</v>
      </c>
      <c r="O11" s="1304">
        <f>O9-O6</f>
        <v>9969.2620000000006</v>
      </c>
      <c r="P11" s="1304"/>
      <c r="Q11" s="1304"/>
      <c r="R11" s="1304"/>
      <c r="S11" s="1304"/>
    </row>
    <row r="12" spans="1:25" x14ac:dyDescent="0.4">
      <c r="B12" s="1296" t="s">
        <v>485</v>
      </c>
      <c r="C12" s="1035" t="s">
        <v>23</v>
      </c>
      <c r="D12" s="1041"/>
      <c r="E12" s="1041"/>
      <c r="F12" s="1041"/>
      <c r="G12" s="1041"/>
      <c r="H12" s="1041"/>
      <c r="I12" s="1041"/>
      <c r="J12" s="1305">
        <f t="shared" si="1"/>
        <v>0</v>
      </c>
      <c r="L12" s="1308"/>
      <c r="M12" s="1304"/>
      <c r="N12" s="1304"/>
      <c r="O12" s="1304"/>
      <c r="P12" s="1304"/>
      <c r="Q12" s="1304"/>
      <c r="R12" s="1304"/>
      <c r="S12" s="1304"/>
    </row>
    <row r="13" spans="1:25" x14ac:dyDescent="0.4">
      <c r="B13" s="1296" t="s">
        <v>486</v>
      </c>
      <c r="C13" s="1035" t="s">
        <v>527</v>
      </c>
      <c r="D13" s="1041"/>
      <c r="E13" s="1041"/>
      <c r="F13" s="1041"/>
      <c r="G13" s="1041"/>
      <c r="H13" s="1041"/>
      <c r="I13" s="1041"/>
      <c r="J13" s="1305">
        <f t="shared" si="1"/>
        <v>0</v>
      </c>
      <c r="M13" s="1041"/>
      <c r="N13" s="1041"/>
      <c r="O13" s="1041"/>
      <c r="P13" s="1041"/>
      <c r="Q13" s="1041"/>
      <c r="R13" s="1041"/>
      <c r="S13" s="1041"/>
    </row>
    <row r="14" spans="1:25" x14ac:dyDescent="0.4">
      <c r="B14" s="1296" t="s">
        <v>487</v>
      </c>
      <c r="C14" s="1035" t="s">
        <v>166</v>
      </c>
      <c r="D14" s="1041"/>
      <c r="E14" s="1041"/>
      <c r="F14" s="1041"/>
      <c r="G14" s="1041"/>
      <c r="H14" s="1041"/>
      <c r="I14" s="1041"/>
      <c r="J14" s="1305">
        <f t="shared" si="1"/>
        <v>0</v>
      </c>
      <c r="M14" s="1041"/>
      <c r="N14" s="1041"/>
      <c r="O14" s="1041"/>
      <c r="P14" s="1041"/>
      <c r="Q14" s="1041"/>
      <c r="R14" s="1041"/>
      <c r="S14" s="1298" t="s">
        <v>28</v>
      </c>
      <c r="W14" s="1298" t="s">
        <v>29</v>
      </c>
    </row>
    <row r="15" spans="1:25" x14ac:dyDescent="0.4">
      <c r="D15" s="1041"/>
      <c r="E15" s="1041"/>
      <c r="F15" s="1041"/>
      <c r="G15" s="1041"/>
      <c r="H15" s="1041"/>
      <c r="I15" s="1041"/>
      <c r="J15" s="1041"/>
      <c r="L15" s="1298" t="s">
        <v>26</v>
      </c>
      <c r="M15" s="1300">
        <v>2006</v>
      </c>
      <c r="N15" s="1300">
        <v>2007</v>
      </c>
      <c r="O15" s="1300">
        <v>2008</v>
      </c>
      <c r="P15" s="1300" t="s">
        <v>184</v>
      </c>
      <c r="Q15" s="1300">
        <v>2009</v>
      </c>
      <c r="R15" s="1300" t="s">
        <v>185</v>
      </c>
      <c r="S15" s="1303">
        <v>2006</v>
      </c>
      <c r="T15" s="1303">
        <v>2007</v>
      </c>
      <c r="U15" s="1303">
        <v>2008</v>
      </c>
      <c r="W15" s="1303">
        <v>2006</v>
      </c>
      <c r="X15" s="1303">
        <v>2007</v>
      </c>
      <c r="Y15" s="1303">
        <v>2008</v>
      </c>
    </row>
    <row r="16" spans="1:25" x14ac:dyDescent="0.4">
      <c r="D16" s="1041"/>
      <c r="E16" s="1041"/>
      <c r="F16" s="1041"/>
      <c r="G16" s="1041"/>
      <c r="H16" s="1041"/>
      <c r="I16" s="1041"/>
      <c r="J16" s="1041"/>
      <c r="L16" s="1307" t="s">
        <v>153</v>
      </c>
      <c r="M16" s="1041">
        <f>$D56</f>
        <v>348.37599999999998</v>
      </c>
      <c r="N16" s="1041">
        <f>$D39</f>
        <v>179.39699999999999</v>
      </c>
      <c r="O16" s="1041">
        <f>D22</f>
        <v>228</v>
      </c>
      <c r="P16" s="1041">
        <v>116.999</v>
      </c>
      <c r="Q16" s="1041">
        <f>D6</f>
        <v>0</v>
      </c>
      <c r="R16" s="1041">
        <v>162.767</v>
      </c>
      <c r="S16" s="1044">
        <f>M16/($M$22-$M$21)</f>
        <v>0.64351289146344615</v>
      </c>
      <c r="T16" s="1044">
        <f>N16/($N$22-$N$21)</f>
        <v>0.21596480942652799</v>
      </c>
      <c r="U16" s="1044" t="e">
        <f>O16/($O$22-$O$21)</f>
        <v>#REF!</v>
      </c>
      <c r="V16" s="1307" t="s">
        <v>153</v>
      </c>
      <c r="W16" s="1044">
        <f t="shared" ref="W16:Y20" si="3">M16/M3</f>
        <v>4.6670242643035931E-2</v>
      </c>
      <c r="X16" s="1044">
        <f t="shared" si="3"/>
        <v>3.2454848743221951E-2</v>
      </c>
      <c r="Y16" s="1044">
        <f t="shared" si="3"/>
        <v>3.6800066369242504E-2</v>
      </c>
    </row>
    <row r="17" spans="1:38" x14ac:dyDescent="0.4">
      <c r="A17" s="1297">
        <v>2008</v>
      </c>
      <c r="D17" s="1041"/>
      <c r="E17" s="1041"/>
      <c r="F17" s="1041"/>
      <c r="G17" s="1041"/>
      <c r="H17" s="1041"/>
      <c r="I17" s="1041"/>
      <c r="J17" s="1041"/>
      <c r="L17" s="1307" t="s">
        <v>154</v>
      </c>
      <c r="M17" s="1041">
        <f>$F56</f>
        <v>109.172</v>
      </c>
      <c r="N17" s="1041">
        <f>$F39</f>
        <v>274.07</v>
      </c>
      <c r="O17" s="1041">
        <f>F22</f>
        <v>282</v>
      </c>
      <c r="P17" s="1041">
        <v>139.29599999999999</v>
      </c>
      <c r="Q17" s="1041">
        <f>+F6</f>
        <v>0</v>
      </c>
      <c r="R17" s="1041">
        <v>108.093</v>
      </c>
      <c r="S17" s="1044">
        <f>M17/($M$22-$M$21)</f>
        <v>0.20166024464040963</v>
      </c>
      <c r="T17" s="1044">
        <f>N17/($N$22-$N$21)</f>
        <v>0.32993570304703268</v>
      </c>
      <c r="U17" s="1044" t="e">
        <f>O17/($O$22-$O$21)</f>
        <v>#REF!</v>
      </c>
      <c r="V17" s="1307" t="s">
        <v>154</v>
      </c>
      <c r="W17" s="1044">
        <f t="shared" si="3"/>
        <v>7.0360917762309877E-2</v>
      </c>
      <c r="X17" s="1044">
        <f t="shared" si="3"/>
        <v>0.17272063837376528</v>
      </c>
      <c r="Y17" s="1044">
        <f t="shared" si="3"/>
        <v>0.13569500382544425</v>
      </c>
    </row>
    <row r="18" spans="1:38" s="1298" customFormat="1" ht="13.5" x14ac:dyDescent="0.4">
      <c r="A18" s="1299" t="s">
        <v>94</v>
      </c>
      <c r="B18" s="1298" t="s">
        <v>95</v>
      </c>
      <c r="C18" s="1312"/>
      <c r="D18" s="1301" t="s">
        <v>138</v>
      </c>
      <c r="E18" s="1301" t="s">
        <v>144</v>
      </c>
      <c r="F18" s="1301" t="s">
        <v>140</v>
      </c>
      <c r="G18" s="1301" t="s">
        <v>142</v>
      </c>
      <c r="H18" s="1301" t="s">
        <v>146</v>
      </c>
      <c r="I18" s="1301" t="s">
        <v>148</v>
      </c>
      <c r="J18" s="1313" t="s">
        <v>809</v>
      </c>
      <c r="L18" s="1307" t="s">
        <v>155</v>
      </c>
      <c r="M18" s="1041">
        <f>$G56</f>
        <v>6.7309999999999999</v>
      </c>
      <c r="N18" s="1041">
        <f>$G39</f>
        <v>52.790999999999997</v>
      </c>
      <c r="O18" s="1041">
        <f>G22</f>
        <v>57</v>
      </c>
      <c r="P18" s="1041">
        <v>52.277000000000001</v>
      </c>
      <c r="Q18" s="1041">
        <f>+G6</f>
        <v>0</v>
      </c>
      <c r="R18" s="1041">
        <v>27.661000000000001</v>
      </c>
      <c r="S18" s="1044">
        <f>M18/($M$22-$M$21)</f>
        <v>1.2433363011345375E-2</v>
      </c>
      <c r="T18" s="1044">
        <f>N18/($N$22-$N$21)</f>
        <v>6.3551777646425736E-2</v>
      </c>
      <c r="U18" s="1044" t="e">
        <f>O18/($O$22-$O$21)</f>
        <v>#REF!</v>
      </c>
      <c r="V18" s="1307" t="s">
        <v>155</v>
      </c>
      <c r="W18" s="1044">
        <f t="shared" si="3"/>
        <v>8.4719523123860923E-3</v>
      </c>
      <c r="X18" s="1044">
        <f t="shared" si="3"/>
        <v>2.5559141008354127E-2</v>
      </c>
      <c r="Y18" s="1044">
        <f t="shared" si="3"/>
        <v>3.1714202732762778E-2</v>
      </c>
    </row>
    <row r="19" spans="1:38" x14ac:dyDescent="0.4">
      <c r="B19" s="1296" t="s">
        <v>810</v>
      </c>
      <c r="C19" s="1035" t="s">
        <v>586</v>
      </c>
      <c r="D19" s="1304">
        <v>6195.6409999999996</v>
      </c>
      <c r="E19" s="1304">
        <v>1052.143</v>
      </c>
      <c r="F19" s="1304">
        <v>2078.19</v>
      </c>
      <c r="G19" s="1304">
        <v>1797.3019999999999</v>
      </c>
      <c r="H19" s="1304">
        <v>72.447000000000003</v>
      </c>
      <c r="I19" s="1304">
        <v>-174.31800000000001</v>
      </c>
      <c r="J19" s="1305">
        <f>SUM(D19:I19)</f>
        <v>11021.405000000001</v>
      </c>
      <c r="L19" s="1307" t="s">
        <v>157</v>
      </c>
      <c r="M19" s="1041">
        <f>$E56</f>
        <v>68.894000000000005</v>
      </c>
      <c r="N19" s="1041">
        <f>$E39</f>
        <v>298.904</v>
      </c>
      <c r="O19" s="1041">
        <f>E22</f>
        <v>338</v>
      </c>
      <c r="P19" s="1041">
        <v>118.03100000000001</v>
      </c>
      <c r="Q19" s="1041">
        <f>+E6</f>
        <v>0</v>
      </c>
      <c r="R19" s="1041">
        <v>166.02500000000001</v>
      </c>
      <c r="S19" s="1044">
        <f>M19/($M$22-$M$21)</f>
        <v>0.12725956192298743</v>
      </c>
      <c r="T19" s="1044">
        <f>N19/($N$22-$N$21)</f>
        <v>0.35983179984518648</v>
      </c>
      <c r="U19" s="1044" t="e">
        <f>O19/($O$22-$O$21)</f>
        <v>#REF!</v>
      </c>
      <c r="V19" s="1307" t="s">
        <v>156</v>
      </c>
      <c r="W19" s="1044">
        <f t="shared" si="3"/>
        <v>8.1515733078392077E-2</v>
      </c>
      <c r="X19" s="1044">
        <f t="shared" si="3"/>
        <v>0.39000585849070146</v>
      </c>
      <c r="Y19" s="1044">
        <f t="shared" si="3"/>
        <v>0.32124910777337301</v>
      </c>
    </row>
    <row r="20" spans="1:38" x14ac:dyDescent="0.4">
      <c r="B20" s="1296" t="s">
        <v>811</v>
      </c>
      <c r="C20" s="1035" t="s">
        <v>112</v>
      </c>
      <c r="D20" s="1041">
        <v>-4.1340000000000003</v>
      </c>
      <c r="E20" s="1041">
        <v>-170.184</v>
      </c>
      <c r="F20" s="1041">
        <v>0</v>
      </c>
      <c r="G20" s="1041">
        <v>0</v>
      </c>
      <c r="H20" s="1041">
        <v>0</v>
      </c>
      <c r="I20" s="1041">
        <v>174.31800000000001</v>
      </c>
      <c r="J20" s="1305">
        <f>SUM(D20:I20)</f>
        <v>0</v>
      </c>
      <c r="L20" s="1307" t="s">
        <v>159</v>
      </c>
      <c r="M20" s="1041">
        <f>$H56</f>
        <v>8.1929999999999996</v>
      </c>
      <c r="N20" s="1041">
        <f>$H39</f>
        <v>25.515000000000001</v>
      </c>
      <c r="O20" s="1041" t="e">
        <f>H22</f>
        <v>#REF!</v>
      </c>
      <c r="P20" s="1041">
        <v>3.0830000000000002</v>
      </c>
      <c r="Q20" s="1041">
        <f>+H6</f>
        <v>0</v>
      </c>
      <c r="R20" s="1041">
        <v>0</v>
      </c>
      <c r="S20" s="1044">
        <f>M20/($M$22-$M$21)</f>
        <v>1.5133938961811418E-2</v>
      </c>
      <c r="T20" s="1044">
        <f>N20/($N$22-$N$21)</f>
        <v>3.0715910034827015E-2</v>
      </c>
      <c r="U20" s="1044" t="e">
        <f>O20/($O$22-$O$21)</f>
        <v>#REF!</v>
      </c>
      <c r="V20" s="1307" t="s">
        <v>158</v>
      </c>
      <c r="W20" s="1044">
        <f t="shared" si="3"/>
        <v>1.8040533399098082E-2</v>
      </c>
      <c r="X20" s="1044">
        <f t="shared" si="3"/>
        <v>7.2604602986705527E-2</v>
      </c>
      <c r="Y20" s="1044" t="e">
        <f t="shared" si="3"/>
        <v>#REF!</v>
      </c>
      <c r="AL20" s="1314"/>
    </row>
    <row r="21" spans="1:38" x14ac:dyDescent="0.4">
      <c r="B21" s="1308" t="s">
        <v>812</v>
      </c>
      <c r="C21" s="1307" t="s">
        <v>788</v>
      </c>
      <c r="D21" s="1304">
        <f t="shared" ref="D21:I21" si="4">D19+D20</f>
        <v>6191.5069999999996</v>
      </c>
      <c r="E21" s="1304">
        <f>E19+E20</f>
        <v>881.95900000000006</v>
      </c>
      <c r="F21" s="1304">
        <f t="shared" si="4"/>
        <v>2078.19</v>
      </c>
      <c r="G21" s="1304">
        <f t="shared" si="4"/>
        <v>1797.3019999999999</v>
      </c>
      <c r="H21" s="1304">
        <f t="shared" si="4"/>
        <v>72.447000000000003</v>
      </c>
      <c r="I21" s="1304">
        <f t="shared" si="4"/>
        <v>0</v>
      </c>
      <c r="J21" s="1305">
        <f>SUM(D21:I21)</f>
        <v>11021.404999999999</v>
      </c>
      <c r="L21" s="1307" t="s">
        <v>519</v>
      </c>
      <c r="M21" s="1041">
        <f>$I56</f>
        <v>0</v>
      </c>
      <c r="N21" s="1041">
        <f>$I39</f>
        <v>0</v>
      </c>
      <c r="O21" s="1041">
        <f>I22</f>
        <v>0</v>
      </c>
      <c r="P21" s="1041"/>
      <c r="Q21" s="1041">
        <f>+I6</f>
        <v>0</v>
      </c>
      <c r="R21" s="1041">
        <v>0</v>
      </c>
      <c r="S21" s="1044">
        <f>SUM(S16:S20)</f>
        <v>0.99999999999999989</v>
      </c>
      <c r="T21" s="1044">
        <f>SUM(T16:T20)</f>
        <v>0.99999999999999989</v>
      </c>
      <c r="U21" s="1044" t="e">
        <f>SUM(U16:U20)</f>
        <v>#REF!</v>
      </c>
    </row>
    <row r="22" spans="1:38" x14ac:dyDescent="0.4">
      <c r="B22" s="1308" t="s">
        <v>24</v>
      </c>
      <c r="C22" s="1309" t="s">
        <v>25</v>
      </c>
      <c r="D22" s="1310">
        <v>228</v>
      </c>
      <c r="E22" s="1310">
        <v>338</v>
      </c>
      <c r="F22" s="1310">
        <v>282</v>
      </c>
      <c r="G22" s="1310">
        <v>57</v>
      </c>
      <c r="H22" s="1310" t="e">
        <f>+J22-E22-G22-F22-D22</f>
        <v>#REF!</v>
      </c>
      <c r="I22" s="1310">
        <v>0</v>
      </c>
      <c r="J22" s="1311" t="e">
        <f>+#REF!</f>
        <v>#REF!</v>
      </c>
      <c r="L22" s="1307" t="s">
        <v>809</v>
      </c>
      <c r="M22" s="1304">
        <f t="shared" ref="M22:R22" si="5">SUM(M16:M21)</f>
        <v>541.36599999999999</v>
      </c>
      <c r="N22" s="1304">
        <f t="shared" si="5"/>
        <v>830.67700000000002</v>
      </c>
      <c r="O22" s="1304" t="e">
        <f t="shared" si="5"/>
        <v>#REF!</v>
      </c>
      <c r="P22" s="1304">
        <f t="shared" si="5"/>
        <v>429.68599999999998</v>
      </c>
      <c r="Q22" s="1304">
        <f t="shared" si="5"/>
        <v>0</v>
      </c>
      <c r="R22" s="1304">
        <f t="shared" si="5"/>
        <v>464.54600000000005</v>
      </c>
      <c r="S22" s="1304"/>
    </row>
    <row r="23" spans="1:38" x14ac:dyDescent="0.4">
      <c r="B23" s="1308" t="s">
        <v>813</v>
      </c>
      <c r="C23" s="1307" t="s">
        <v>113</v>
      </c>
      <c r="D23" s="1304">
        <v>130.85300000000001</v>
      </c>
      <c r="E23" s="1304">
        <v>273.166</v>
      </c>
      <c r="F23" s="1304">
        <v>261.81700000000001</v>
      </c>
      <c r="G23" s="1304">
        <v>1.6639999999999999</v>
      </c>
      <c r="H23" s="1304">
        <v>8.3620000000000001</v>
      </c>
      <c r="I23" s="1304">
        <v>0</v>
      </c>
      <c r="J23" s="1305">
        <f>SUM(D23:I23)</f>
        <v>675.86199999999997</v>
      </c>
      <c r="L23" s="1308"/>
      <c r="M23" s="1304"/>
      <c r="N23" s="1304"/>
      <c r="O23" s="1304"/>
      <c r="P23" s="1304"/>
      <c r="Q23" s="1304"/>
      <c r="R23" s="1304"/>
      <c r="S23" s="1304"/>
    </row>
    <row r="24" spans="1:38" x14ac:dyDescent="0.4">
      <c r="B24" s="1296" t="s">
        <v>150</v>
      </c>
      <c r="C24" s="1035" t="s">
        <v>164</v>
      </c>
      <c r="D24" s="1041">
        <v>36.335000000000001</v>
      </c>
      <c r="E24" s="1041">
        <v>78.668000000000006</v>
      </c>
      <c r="F24" s="1041">
        <v>2.0329999999999999</v>
      </c>
      <c r="G24" s="1041">
        <v>16.617000000000001</v>
      </c>
      <c r="H24" s="1041">
        <v>2.1000000000000001E-2</v>
      </c>
      <c r="I24" s="1041">
        <v>0</v>
      </c>
      <c r="J24" s="1305">
        <f>SUM(D24:I24)</f>
        <v>133.67400000000001</v>
      </c>
      <c r="L24" s="1308"/>
      <c r="M24" s="1304"/>
      <c r="N24" s="1304"/>
      <c r="O24" s="1304"/>
      <c r="P24" s="1304"/>
      <c r="Q24" s="1304"/>
      <c r="R24" s="1304"/>
      <c r="S24" s="1304"/>
    </row>
    <row r="25" spans="1:38" x14ac:dyDescent="0.4">
      <c r="B25" s="1296" t="s">
        <v>149</v>
      </c>
      <c r="C25" s="1035" t="s">
        <v>161</v>
      </c>
      <c r="D25" s="1041">
        <v>9.3710000000000004</v>
      </c>
      <c r="E25" s="1041">
        <v>0</v>
      </c>
      <c r="F25" s="1041">
        <v>7.3999999999999996E-2</v>
      </c>
      <c r="G25" s="1041">
        <v>0</v>
      </c>
      <c r="H25" s="1041">
        <v>0</v>
      </c>
      <c r="I25" s="1041">
        <v>0</v>
      </c>
      <c r="J25" s="1305">
        <f t="shared" ref="J25:J30" si="6">SUM(D25:I25)</f>
        <v>9.4450000000000003</v>
      </c>
      <c r="L25" s="1308"/>
      <c r="M25" s="1304"/>
      <c r="N25" s="1304"/>
      <c r="O25" s="1304"/>
      <c r="P25" s="1304"/>
      <c r="Q25" s="1304"/>
      <c r="R25" s="1304"/>
      <c r="S25" s="1304"/>
    </row>
    <row r="26" spans="1:38" x14ac:dyDescent="0.4">
      <c r="B26" s="1296" t="s">
        <v>151</v>
      </c>
      <c r="C26" s="1035" t="s">
        <v>162</v>
      </c>
      <c r="D26" s="1041">
        <v>36.000999999999998</v>
      </c>
      <c r="E26" s="1041">
        <v>0</v>
      </c>
      <c r="F26" s="1041">
        <v>5.2469999999999999</v>
      </c>
      <c r="G26" s="1041">
        <v>0</v>
      </c>
      <c r="H26" s="1041">
        <v>0</v>
      </c>
      <c r="I26" s="1041">
        <v>0</v>
      </c>
      <c r="J26" s="1305">
        <f t="shared" si="6"/>
        <v>41.247999999999998</v>
      </c>
      <c r="L26" s="1308"/>
      <c r="M26" s="1304"/>
      <c r="N26" s="1304"/>
      <c r="O26" s="1304"/>
      <c r="P26" s="1304"/>
      <c r="Q26" s="1304"/>
      <c r="R26" s="1304"/>
      <c r="S26" s="1041"/>
    </row>
    <row r="27" spans="1:38" ht="17.25" customHeight="1" x14ac:dyDescent="0.4">
      <c r="B27" s="1296" t="s">
        <v>152</v>
      </c>
      <c r="C27" s="1035" t="s">
        <v>163</v>
      </c>
      <c r="D27" s="1041">
        <v>9.2420000000000009</v>
      </c>
      <c r="E27" s="1041">
        <v>6.7000000000000004E-2</v>
      </c>
      <c r="F27" s="1041">
        <v>7.2999999999999995E-2</v>
      </c>
      <c r="G27" s="1041">
        <v>-6.8000000000000005E-2</v>
      </c>
      <c r="H27" s="1041">
        <v>0</v>
      </c>
      <c r="I27" s="1041">
        <v>0</v>
      </c>
      <c r="J27" s="1305">
        <f t="shared" si="6"/>
        <v>9.3140000000000018</v>
      </c>
      <c r="L27" s="1308"/>
      <c r="M27" s="1304"/>
      <c r="N27" s="1304"/>
      <c r="O27" s="1304"/>
      <c r="P27" s="1304"/>
      <c r="Q27" s="1304"/>
      <c r="R27" s="1304"/>
      <c r="S27" s="1298" t="s">
        <v>27</v>
      </c>
      <c r="W27" s="1298" t="s">
        <v>93</v>
      </c>
    </row>
    <row r="28" spans="1:38" ht="15" customHeight="1" x14ac:dyDescent="0.4">
      <c r="B28" s="1296" t="s">
        <v>485</v>
      </c>
      <c r="C28" s="1035" t="s">
        <v>23</v>
      </c>
      <c r="D28" s="1041">
        <v>3379.587</v>
      </c>
      <c r="E28" s="1041">
        <v>2593.8130000000001</v>
      </c>
      <c r="F28" s="1041">
        <v>1271.018</v>
      </c>
      <c r="G28" s="1041">
        <v>1317.787</v>
      </c>
      <c r="H28" s="1041">
        <v>43.677</v>
      </c>
      <c r="I28" s="1041">
        <v>0</v>
      </c>
      <c r="J28" s="1305">
        <f t="shared" si="6"/>
        <v>8605.8819999999996</v>
      </c>
      <c r="L28" s="1298" t="s">
        <v>488</v>
      </c>
      <c r="M28" s="1300">
        <v>2006</v>
      </c>
      <c r="N28" s="1300">
        <v>2007</v>
      </c>
      <c r="O28" s="1300">
        <v>2008</v>
      </c>
      <c r="P28" s="1300" t="s">
        <v>184</v>
      </c>
      <c r="Q28" s="1300">
        <v>2009</v>
      </c>
      <c r="R28" s="1300" t="s">
        <v>185</v>
      </c>
      <c r="S28" s="1303">
        <v>2006</v>
      </c>
      <c r="T28" s="1303">
        <v>2007</v>
      </c>
      <c r="U28" s="1303">
        <v>2008</v>
      </c>
      <c r="W28" s="1303">
        <v>2006</v>
      </c>
      <c r="X28" s="1303">
        <v>2007</v>
      </c>
      <c r="Y28" s="1303">
        <v>2008</v>
      </c>
    </row>
    <row r="29" spans="1:38" x14ac:dyDescent="0.4">
      <c r="B29" s="1296" t="s">
        <v>486</v>
      </c>
      <c r="C29" s="1035" t="s">
        <v>527</v>
      </c>
      <c r="D29" s="1041">
        <v>2912.5239999999999</v>
      </c>
      <c r="E29" s="1041">
        <v>748.34500000000003</v>
      </c>
      <c r="F29" s="1041">
        <v>748.52700000000004</v>
      </c>
      <c r="G29" s="1041">
        <v>821.50900000000001</v>
      </c>
      <c r="H29" s="1041">
        <v>6.383</v>
      </c>
      <c r="I29" s="1041">
        <v>0</v>
      </c>
      <c r="J29" s="1305">
        <f t="shared" si="6"/>
        <v>5237.2879999999996</v>
      </c>
      <c r="L29" s="1307" t="s">
        <v>153</v>
      </c>
      <c r="M29" s="1041">
        <f>$D57</f>
        <v>481.654</v>
      </c>
      <c r="N29" s="1041">
        <f>$D40</f>
        <v>119.241</v>
      </c>
      <c r="O29" s="1041">
        <f>D23</f>
        <v>130.85300000000001</v>
      </c>
      <c r="P29" s="1041">
        <v>86.197999999999993</v>
      </c>
      <c r="Q29" s="1041">
        <f>+D7</f>
        <v>0</v>
      </c>
      <c r="R29" s="1041">
        <v>114.708</v>
      </c>
      <c r="S29" s="1044">
        <f>M29/($M$35-$M$34)</f>
        <v>0.81455825823134176</v>
      </c>
      <c r="T29" s="1044">
        <f>N29/($N$35-$N$34)</f>
        <v>0.18515654478797391</v>
      </c>
      <c r="U29" s="1044">
        <f>O29/($O$35-$O$34)</f>
        <v>0.19360905036827047</v>
      </c>
      <c r="V29" s="1307" t="s">
        <v>153</v>
      </c>
      <c r="W29" s="1044">
        <f>M29/M3</f>
        <v>6.4524849731292702E-2</v>
      </c>
      <c r="X29" s="1044">
        <f>N29/N3</f>
        <v>2.1571980685242943E-2</v>
      </c>
      <c r="Y29" s="1044">
        <f>O29/O3</f>
        <v>2.1120171423747763E-2</v>
      </c>
    </row>
    <row r="30" spans="1:38" x14ac:dyDescent="0.4">
      <c r="B30" s="1296" t="s">
        <v>487</v>
      </c>
      <c r="C30" s="1035" t="s">
        <v>166</v>
      </c>
      <c r="D30" s="1041">
        <v>47.747999999999998</v>
      </c>
      <c r="E30" s="1041">
        <v>157.005</v>
      </c>
      <c r="F30" s="1041">
        <v>0.94699999999999995</v>
      </c>
      <c r="G30" s="1041">
        <v>26.818000000000001</v>
      </c>
      <c r="H30" s="1041">
        <v>8.5999999999999993E-2</v>
      </c>
      <c r="I30" s="1041">
        <v>0</v>
      </c>
      <c r="J30" s="1305">
        <f t="shared" si="6"/>
        <v>232.60400000000001</v>
      </c>
      <c r="L30" s="1307" t="s">
        <v>154</v>
      </c>
      <c r="M30" s="1041">
        <f>$F57</f>
        <v>80.856999999999999</v>
      </c>
      <c r="N30" s="1041">
        <f>$F40</f>
        <v>249.232</v>
      </c>
      <c r="O30" s="1041">
        <f>F23</f>
        <v>261.81700000000001</v>
      </c>
      <c r="P30" s="1041">
        <v>136.024</v>
      </c>
      <c r="Q30" s="1041">
        <f>+F7</f>
        <v>0</v>
      </c>
      <c r="R30" s="1041">
        <v>106.408</v>
      </c>
      <c r="S30" s="1044">
        <f>M30/($M$35-$M$34)</f>
        <v>0.1367428425504856</v>
      </c>
      <c r="T30" s="1044">
        <f>N30/($N$35-$N$34)</f>
        <v>0.38700561023973562</v>
      </c>
      <c r="U30" s="1044">
        <f>O30/($O$35-$O$34)</f>
        <v>0.3873823354471771</v>
      </c>
      <c r="V30" s="1307" t="s">
        <v>154</v>
      </c>
      <c r="W30" s="1044">
        <f t="shared" ref="W30:Y33" si="7">M30/M4</f>
        <v>5.211201340551689E-2</v>
      </c>
      <c r="X30" s="1044">
        <f t="shared" si="7"/>
        <v>0.15706757449983677</v>
      </c>
      <c r="Y30" s="1044">
        <f t="shared" si="7"/>
        <v>0.12598318729278843</v>
      </c>
    </row>
    <row r="31" spans="1:38" x14ac:dyDescent="0.4">
      <c r="L31" s="1307" t="s">
        <v>155</v>
      </c>
      <c r="M31" s="1041">
        <f>$G57</f>
        <v>-17.63</v>
      </c>
      <c r="N31" s="1041">
        <f>$G40</f>
        <v>11.542999999999999</v>
      </c>
      <c r="O31" s="1041">
        <f>G23</f>
        <v>1.6639999999999999</v>
      </c>
      <c r="P31" s="1041">
        <v>26.82</v>
      </c>
      <c r="Q31" s="1041">
        <f>+G7</f>
        <v>0</v>
      </c>
      <c r="R31" s="1041">
        <v>10.909000000000001</v>
      </c>
      <c r="S31" s="1044">
        <f>M31/($M$35-$M$34)</f>
        <v>-2.9815307446047483E-2</v>
      </c>
      <c r="T31" s="1044">
        <f>N31/($N$35-$N$34)</f>
        <v>1.7923885211358365E-2</v>
      </c>
      <c r="U31" s="1044">
        <f>O31/($O$35-$O$34)</f>
        <v>2.4620410675552109E-3</v>
      </c>
      <c r="V31" s="1307" t="s">
        <v>155</v>
      </c>
      <c r="W31" s="1044">
        <f t="shared" si="7"/>
        <v>-2.2189944921611467E-2</v>
      </c>
      <c r="X31" s="1044">
        <f t="shared" si="7"/>
        <v>5.5886261798304962E-3</v>
      </c>
      <c r="Y31" s="1044">
        <f t="shared" si="7"/>
        <v>9.2583216398802208E-4</v>
      </c>
    </row>
    <row r="32" spans="1:38" x14ac:dyDescent="0.4">
      <c r="L32" s="1307" t="s">
        <v>157</v>
      </c>
      <c r="M32" s="1041">
        <f>$E57</f>
        <v>33.253999999999998</v>
      </c>
      <c r="N32" s="1041">
        <f>$E40</f>
        <v>233.27500000000001</v>
      </c>
      <c r="O32" s="1041">
        <f>E23</f>
        <v>273.166</v>
      </c>
      <c r="P32" s="1041">
        <v>100.849</v>
      </c>
      <c r="Q32" s="1041">
        <f>+E7</f>
        <v>0</v>
      </c>
      <c r="R32" s="1041">
        <v>158.96199999999999</v>
      </c>
      <c r="S32" s="1044">
        <f>M32/($M$35-$M$34)</f>
        <v>5.6238130108387012E-2</v>
      </c>
      <c r="T32" s="1044">
        <f>N32/($N$35-$N$34)</f>
        <v>0.362227698404195</v>
      </c>
      <c r="U32" s="1044">
        <f>O32/($O$35-$O$34)</f>
        <v>0.40417422491573723</v>
      </c>
      <c r="V32" s="1307" t="s">
        <v>156</v>
      </c>
      <c r="W32" s="1044">
        <f t="shared" si="7"/>
        <v>3.9346302838982342E-2</v>
      </c>
      <c r="X32" s="1044">
        <f t="shared" si="7"/>
        <v>0.30437403527359413</v>
      </c>
      <c r="Y32" s="1044">
        <f t="shared" si="7"/>
        <v>0.2596282064320154</v>
      </c>
    </row>
    <row r="33" spans="1:30" x14ac:dyDescent="0.4">
      <c r="A33" s="1297">
        <v>2007</v>
      </c>
      <c r="D33" s="1044"/>
      <c r="E33" s="1044"/>
      <c r="F33" s="1044"/>
      <c r="G33" s="1044"/>
      <c r="H33" s="1044"/>
      <c r="I33" s="1044"/>
      <c r="J33" s="1044"/>
      <c r="L33" s="1307" t="s">
        <v>159</v>
      </c>
      <c r="M33" s="1041">
        <f>$H57</f>
        <v>13.172000000000001</v>
      </c>
      <c r="N33" s="1041">
        <f>$H40</f>
        <v>30.71</v>
      </c>
      <c r="O33" s="1041">
        <f>H23</f>
        <v>8.3620000000000001</v>
      </c>
      <c r="P33" s="1041">
        <v>2.5350000000000001</v>
      </c>
      <c r="Q33" s="1041">
        <f>+G7</f>
        <v>0</v>
      </c>
      <c r="R33" s="1041">
        <v>-1.728</v>
      </c>
      <c r="S33" s="1044">
        <f>M33/($M$35-$M$34)</f>
        <v>2.2276076555833097E-2</v>
      </c>
      <c r="T33" s="1044">
        <f>N33/($N$35-$N$34)</f>
        <v>4.7686261356737016E-2</v>
      </c>
      <c r="U33" s="1044">
        <f>O33/($O$35-$O$34)</f>
        <v>1.2372348201260021E-2</v>
      </c>
      <c r="V33" s="1307" t="s">
        <v>158</v>
      </c>
      <c r="W33" s="1044">
        <f t="shared" si="7"/>
        <v>2.9004016347237881E-2</v>
      </c>
      <c r="X33" s="1044">
        <f t="shared" si="7"/>
        <v>8.7387315607357505E-2</v>
      </c>
      <c r="Y33" s="1044">
        <f t="shared" si="7"/>
        <v>0.11542230872223833</v>
      </c>
    </row>
    <row r="34" spans="1:30" s="1298" customFormat="1" ht="16.5" customHeight="1" x14ac:dyDescent="0.4">
      <c r="A34" s="1299" t="s">
        <v>94</v>
      </c>
      <c r="B34" s="1296"/>
      <c r="C34" s="1035"/>
      <c r="D34" s="1041"/>
      <c r="E34" s="1041"/>
      <c r="F34" s="1041"/>
      <c r="G34" s="1041"/>
      <c r="H34" s="1041"/>
      <c r="I34" s="1041"/>
      <c r="J34" s="1041"/>
      <c r="L34" s="1307" t="s">
        <v>519</v>
      </c>
      <c r="M34" s="1041">
        <f>$I57</f>
        <v>0</v>
      </c>
      <c r="N34" s="1041">
        <f>$I40</f>
        <v>0</v>
      </c>
      <c r="O34" s="1041">
        <f>I23</f>
        <v>0</v>
      </c>
      <c r="P34" s="1041">
        <v>0</v>
      </c>
      <c r="Q34" s="1041">
        <f>+I7</f>
        <v>0</v>
      </c>
      <c r="R34" s="1041"/>
      <c r="S34" s="1044">
        <f>SUM(S29:S33)</f>
        <v>1</v>
      </c>
      <c r="T34" s="1044">
        <f>SUM(T29:T33)</f>
        <v>0.99999999999999989</v>
      </c>
      <c r="U34" s="1044">
        <f>SUM(U29:U33)</f>
        <v>1.0000000000000002</v>
      </c>
      <c r="V34"/>
    </row>
    <row r="35" spans="1:30" x14ac:dyDescent="0.4">
      <c r="B35" s="1298" t="s">
        <v>95</v>
      </c>
      <c r="C35" s="1312"/>
      <c r="D35" s="1301" t="s">
        <v>138</v>
      </c>
      <c r="E35" s="1301" t="s">
        <v>144</v>
      </c>
      <c r="F35" s="1301" t="s">
        <v>140</v>
      </c>
      <c r="G35" s="1301" t="s">
        <v>142</v>
      </c>
      <c r="H35" s="1301" t="s">
        <v>146</v>
      </c>
      <c r="I35" s="1301" t="s">
        <v>148</v>
      </c>
      <c r="J35" s="1313" t="s">
        <v>809</v>
      </c>
      <c r="L35" s="1307" t="s">
        <v>809</v>
      </c>
      <c r="M35" s="1304">
        <f t="shared" ref="M35:R35" si="8">SUM(M29:M34)</f>
        <v>591.30700000000002</v>
      </c>
      <c r="N35" s="1304">
        <f t="shared" si="8"/>
        <v>644.00100000000009</v>
      </c>
      <c r="O35" s="1304">
        <f t="shared" si="8"/>
        <v>675.86199999999997</v>
      </c>
      <c r="P35" s="1304">
        <f t="shared" si="8"/>
        <v>352.42599999999999</v>
      </c>
      <c r="Q35" s="1304">
        <f t="shared" si="8"/>
        <v>0</v>
      </c>
      <c r="R35" s="1304">
        <f t="shared" si="8"/>
        <v>389.25899999999996</v>
      </c>
      <c r="S35" s="1304"/>
    </row>
    <row r="36" spans="1:30" x14ac:dyDescent="0.4">
      <c r="B36" s="1296" t="s">
        <v>810</v>
      </c>
      <c r="C36" s="1035" t="s">
        <v>586</v>
      </c>
      <c r="D36" s="1304">
        <v>5527.5870000000004</v>
      </c>
      <c r="E36" s="1304">
        <v>766.40899999999999</v>
      </c>
      <c r="F36" s="1304">
        <v>1586.7819999999999</v>
      </c>
      <c r="G36" s="1304">
        <v>2065.4450000000002</v>
      </c>
      <c r="H36" s="1304">
        <v>351.42399999999998</v>
      </c>
      <c r="I36" s="1304">
        <v>-64.765000000000001</v>
      </c>
      <c r="J36" s="1305">
        <f t="shared" ref="J36:J44" si="9">SUM(D36:I36)</f>
        <v>10232.882000000001</v>
      </c>
      <c r="M36" s="1041"/>
      <c r="N36" s="1041"/>
      <c r="O36" s="1041"/>
      <c r="P36" s="1041"/>
      <c r="Q36" s="1041"/>
      <c r="R36" s="1041"/>
      <c r="S36" s="1041"/>
    </row>
    <row r="37" spans="1:30" x14ac:dyDescent="0.4">
      <c r="B37" s="1296" t="s">
        <v>811</v>
      </c>
      <c r="C37" s="1035" t="s">
        <v>112</v>
      </c>
      <c r="D37" s="1041">
        <v>-26.178999999999998</v>
      </c>
      <c r="E37" s="1041">
        <v>-38.585999999999999</v>
      </c>
      <c r="F37" s="1041">
        <v>0</v>
      </c>
      <c r="G37" s="1041">
        <v>0</v>
      </c>
      <c r="H37" s="1041">
        <v>0</v>
      </c>
      <c r="I37" s="1041">
        <v>64.765000000000001</v>
      </c>
      <c r="J37" s="1305">
        <f t="shared" si="9"/>
        <v>0</v>
      </c>
      <c r="M37" s="1041"/>
      <c r="N37" s="1041"/>
      <c r="O37" s="1041"/>
      <c r="P37" s="1041"/>
      <c r="Q37" s="1041"/>
      <c r="R37" s="1041"/>
      <c r="S37" s="1041"/>
    </row>
    <row r="38" spans="1:30" x14ac:dyDescent="0.4">
      <c r="B38" s="1308" t="s">
        <v>812</v>
      </c>
      <c r="C38" s="1307" t="s">
        <v>788</v>
      </c>
      <c r="D38" s="1304">
        <f t="shared" ref="D38:I38" si="10">D36+D37</f>
        <v>5501.4080000000004</v>
      </c>
      <c r="E38" s="1304">
        <f t="shared" si="10"/>
        <v>727.82299999999998</v>
      </c>
      <c r="F38" s="1304">
        <f t="shared" si="10"/>
        <v>1586.7819999999999</v>
      </c>
      <c r="G38" s="1304">
        <f t="shared" si="10"/>
        <v>2065.4450000000002</v>
      </c>
      <c r="H38" s="1304">
        <f t="shared" si="10"/>
        <v>351.42399999999998</v>
      </c>
      <c r="I38" s="1304">
        <f t="shared" si="10"/>
        <v>0</v>
      </c>
      <c r="J38" s="1305">
        <f>SUM(D38:I38)</f>
        <v>10232.882000000001</v>
      </c>
      <c r="L38" s="1298" t="s">
        <v>485</v>
      </c>
      <c r="M38" s="1300">
        <v>2006</v>
      </c>
      <c r="N38" s="1300">
        <v>2007</v>
      </c>
      <c r="O38" s="1300">
        <v>2008</v>
      </c>
      <c r="P38" s="1300"/>
      <c r="Q38" s="1300">
        <v>2009</v>
      </c>
      <c r="R38" s="1300"/>
      <c r="S38" s="1300"/>
      <c r="Y38" t="s">
        <v>608</v>
      </c>
      <c r="Z38" t="s">
        <v>27</v>
      </c>
    </row>
    <row r="39" spans="1:30" x14ac:dyDescent="0.4">
      <c r="B39" s="1308" t="s">
        <v>24</v>
      </c>
      <c r="C39" s="1309" t="s">
        <v>25</v>
      </c>
      <c r="D39" s="1310">
        <v>179.39699999999999</v>
      </c>
      <c r="E39" s="1310">
        <v>298.904</v>
      </c>
      <c r="F39" s="1310">
        <v>274.07</v>
      </c>
      <c r="G39" s="1310">
        <v>52.790999999999997</v>
      </c>
      <c r="H39" s="1310">
        <v>25.515000000000001</v>
      </c>
      <c r="I39" s="1310">
        <v>0</v>
      </c>
      <c r="J39" s="1311">
        <f t="shared" si="9"/>
        <v>830.67700000000002</v>
      </c>
      <c r="L39" s="1307" t="s">
        <v>153</v>
      </c>
      <c r="M39" s="1041">
        <f>$D62</f>
        <v>3936.9549999999999</v>
      </c>
      <c r="N39" s="1041">
        <f>$D45</f>
        <v>3384.06</v>
      </c>
      <c r="O39" s="1041">
        <f>D28</f>
        <v>3379.587</v>
      </c>
      <c r="P39" s="1041"/>
      <c r="Q39" s="1041">
        <f>+D12</f>
        <v>0</v>
      </c>
      <c r="R39" s="1041"/>
      <c r="S39" s="1041"/>
      <c r="X39" s="1307" t="s">
        <v>153</v>
      </c>
      <c r="Y39" s="1044">
        <f>U3</f>
        <v>0.55339355930831802</v>
      </c>
      <c r="Z39" s="1044">
        <f>U29</f>
        <v>0.19360905036827047</v>
      </c>
    </row>
    <row r="40" spans="1:30" x14ac:dyDescent="0.4">
      <c r="B40" s="1308" t="s">
        <v>813</v>
      </c>
      <c r="C40" s="1307" t="s">
        <v>113</v>
      </c>
      <c r="D40" s="1304">
        <v>119.241</v>
      </c>
      <c r="E40" s="1304">
        <v>233.27500000000001</v>
      </c>
      <c r="F40" s="1304">
        <v>249.232</v>
      </c>
      <c r="G40" s="1304">
        <v>11.542999999999999</v>
      </c>
      <c r="H40" s="1304">
        <v>30.71</v>
      </c>
      <c r="I40" s="1304">
        <v>0</v>
      </c>
      <c r="J40" s="1305">
        <f>SUM(D40:I40)</f>
        <v>644.00100000000009</v>
      </c>
      <c r="L40" s="1307" t="s">
        <v>154</v>
      </c>
      <c r="M40" s="1041">
        <f>$F62</f>
        <v>831.64</v>
      </c>
      <c r="N40" s="1041">
        <f>$F45</f>
        <v>1115.568</v>
      </c>
      <c r="O40" s="1041">
        <f>F28</f>
        <v>1271.018</v>
      </c>
      <c r="P40" s="1041"/>
      <c r="Q40" s="1041">
        <f>+F12</f>
        <v>0</v>
      </c>
      <c r="R40" s="1041"/>
      <c r="S40" s="1041"/>
      <c r="X40" s="1307" t="s">
        <v>154</v>
      </c>
      <c r="Y40" s="1044">
        <f>U4</f>
        <v>0.18562356356976678</v>
      </c>
      <c r="Z40" s="1044">
        <f>U30</f>
        <v>0.3873823354471771</v>
      </c>
    </row>
    <row r="41" spans="1:30" x14ac:dyDescent="0.4">
      <c r="B41" s="1296" t="s">
        <v>150</v>
      </c>
      <c r="C41" s="1035" t="s">
        <v>164</v>
      </c>
      <c r="D41" s="1041">
        <v>17.994</v>
      </c>
      <c r="E41" s="1041">
        <v>47.545999999999999</v>
      </c>
      <c r="F41" s="1041">
        <v>2.004</v>
      </c>
      <c r="G41" s="1041">
        <v>13.286</v>
      </c>
      <c r="H41" s="1041">
        <v>7.851</v>
      </c>
      <c r="I41" s="1041"/>
      <c r="J41" s="1305">
        <f t="shared" si="9"/>
        <v>88.680999999999997</v>
      </c>
      <c r="L41" s="1307" t="s">
        <v>155</v>
      </c>
      <c r="M41" s="1041">
        <f>$G62</f>
        <v>519.79999999999995</v>
      </c>
      <c r="N41" s="1041">
        <f>$G45</f>
        <v>1086.521</v>
      </c>
      <c r="O41" s="1041">
        <f>G28</f>
        <v>1317.787</v>
      </c>
      <c r="P41" s="1041"/>
      <c r="Q41" s="1041">
        <f>+G12</f>
        <v>0</v>
      </c>
      <c r="R41" s="1041"/>
      <c r="S41" s="1041"/>
      <c r="X41" s="1307" t="s">
        <v>155</v>
      </c>
      <c r="Y41" s="1044">
        <f>U5</f>
        <v>0.16053469704457674</v>
      </c>
      <c r="Z41" s="1044">
        <f>U31</f>
        <v>2.4620410675552109E-3</v>
      </c>
    </row>
    <row r="42" spans="1:30" x14ac:dyDescent="0.4">
      <c r="B42" s="1296" t="s">
        <v>149</v>
      </c>
      <c r="C42" s="1035" t="s">
        <v>161</v>
      </c>
      <c r="D42" s="1041">
        <v>3.4780000000000002</v>
      </c>
      <c r="E42" s="1041">
        <v>0</v>
      </c>
      <c r="F42" s="1041">
        <v>5.31</v>
      </c>
      <c r="G42" s="1041">
        <v>0</v>
      </c>
      <c r="H42" s="1041">
        <v>0</v>
      </c>
      <c r="I42" s="1041">
        <v>0</v>
      </c>
      <c r="J42" s="1305">
        <f t="shared" si="9"/>
        <v>8.7880000000000003</v>
      </c>
      <c r="L42" s="1307" t="s">
        <v>157</v>
      </c>
      <c r="M42" s="1041">
        <f>$E62</f>
        <v>1362.163</v>
      </c>
      <c r="N42" s="1041">
        <f>$E45</f>
        <v>2114.2669999999998</v>
      </c>
      <c r="O42" s="1041">
        <f>E28</f>
        <v>2593.8130000000001</v>
      </c>
      <c r="P42" s="1041"/>
      <c r="Q42" s="1041">
        <f>+E12</f>
        <v>0</v>
      </c>
      <c r="R42" s="1041"/>
      <c r="S42" s="1041"/>
      <c r="X42" s="1307" t="s">
        <v>156</v>
      </c>
      <c r="Y42" s="1044">
        <f>U6</f>
        <v>9.3977226839213515E-2</v>
      </c>
      <c r="Z42" s="1044">
        <f>U32</f>
        <v>0.40417422491573723</v>
      </c>
    </row>
    <row r="43" spans="1:30" x14ac:dyDescent="0.4">
      <c r="B43" s="1296" t="s">
        <v>151</v>
      </c>
      <c r="C43" s="1035" t="s">
        <v>162</v>
      </c>
      <c r="D43" s="1041">
        <v>29.79</v>
      </c>
      <c r="E43" s="1041">
        <v>0</v>
      </c>
      <c r="F43" s="1041">
        <v>5.2809999999999997</v>
      </c>
      <c r="G43" s="1041">
        <v>0</v>
      </c>
      <c r="H43" s="1041">
        <v>0</v>
      </c>
      <c r="I43" s="1041">
        <v>0</v>
      </c>
      <c r="J43" s="1305">
        <f t="shared" si="9"/>
        <v>35.070999999999998</v>
      </c>
      <c r="L43" s="1307" t="s">
        <v>159</v>
      </c>
      <c r="M43" s="1041">
        <f>$H62</f>
        <v>412.17899999999997</v>
      </c>
      <c r="N43" s="1041">
        <f>$H45</f>
        <v>75.882000000000005</v>
      </c>
      <c r="O43" s="1041">
        <f>H28</f>
        <v>43.677</v>
      </c>
      <c r="P43" s="1041"/>
      <c r="Q43" s="1041">
        <f>+H12</f>
        <v>0</v>
      </c>
      <c r="R43" s="1041"/>
      <c r="S43" s="1041"/>
      <c r="X43" s="1307" t="s">
        <v>158</v>
      </c>
      <c r="Y43" s="1044">
        <f>U7</f>
        <v>6.4709532381249518E-3</v>
      </c>
      <c r="Z43" s="1044">
        <f>U33</f>
        <v>1.2372348201260021E-2</v>
      </c>
    </row>
    <row r="44" spans="1:30" x14ac:dyDescent="0.4">
      <c r="B44" s="1296" t="s">
        <v>152</v>
      </c>
      <c r="C44" s="1035" t="s">
        <v>163</v>
      </c>
      <c r="D44" s="1041">
        <v>8.1950000000000003</v>
      </c>
      <c r="E44" s="1041">
        <v>1.109</v>
      </c>
      <c r="F44" s="1041">
        <v>1.29</v>
      </c>
      <c r="G44" s="1041">
        <v>0</v>
      </c>
      <c r="H44" s="1041">
        <v>1.2689999999999999</v>
      </c>
      <c r="I44" s="1041">
        <v>0</v>
      </c>
      <c r="J44" s="1305">
        <f t="shared" si="9"/>
        <v>11.863000000000001</v>
      </c>
      <c r="L44" s="1307" t="s">
        <v>519</v>
      </c>
      <c r="M44" s="1041">
        <f>$I62</f>
        <v>0</v>
      </c>
      <c r="N44" s="1041">
        <f>$I45</f>
        <v>0</v>
      </c>
      <c r="O44" s="1041">
        <f>I28</f>
        <v>0</v>
      </c>
      <c r="P44" s="1041"/>
      <c r="Q44" s="1041">
        <f>+I12</f>
        <v>0</v>
      </c>
      <c r="R44" s="1041"/>
      <c r="S44" s="1041"/>
    </row>
    <row r="45" spans="1:30" x14ac:dyDescent="0.4">
      <c r="B45" s="1296" t="s">
        <v>485</v>
      </c>
      <c r="C45" s="1035" t="s">
        <v>23</v>
      </c>
      <c r="D45" s="1041">
        <v>3384.06</v>
      </c>
      <c r="E45" s="1041">
        <v>2114.2669999999998</v>
      </c>
      <c r="F45" s="1041">
        <v>1115.568</v>
      </c>
      <c r="G45" s="1041">
        <v>1086.521</v>
      </c>
      <c r="H45" s="1041">
        <v>75.882000000000005</v>
      </c>
      <c r="I45" s="1041">
        <v>0</v>
      </c>
      <c r="J45" s="1305">
        <f>SUM(D45:I45)</f>
        <v>7776.2979999999989</v>
      </c>
      <c r="L45" s="1307" t="s">
        <v>809</v>
      </c>
      <c r="M45" s="1304">
        <f>SUM(M39:M44)</f>
        <v>7062.737000000001</v>
      </c>
      <c r="N45" s="1304">
        <f>SUM(N39:N44)</f>
        <v>7776.2979999999989</v>
      </c>
      <c r="O45" s="1304">
        <f>SUM(O39:O44)</f>
        <v>8605.8819999999996</v>
      </c>
      <c r="P45" s="1304"/>
      <c r="Q45" s="1304">
        <f>SUM(Q39:Q44)</f>
        <v>0</v>
      </c>
      <c r="R45" s="1304"/>
      <c r="S45" s="1304"/>
      <c r="X45" s="1315" t="s">
        <v>609</v>
      </c>
      <c r="AD45" t="s">
        <v>610</v>
      </c>
    </row>
    <row r="46" spans="1:30" x14ac:dyDescent="0.4">
      <c r="B46" s="1296" t="s">
        <v>486</v>
      </c>
      <c r="C46" s="1035" t="s">
        <v>527</v>
      </c>
      <c r="D46" s="1041">
        <v>3002.6959999999999</v>
      </c>
      <c r="E46" s="1041">
        <v>1056.51</v>
      </c>
      <c r="F46" s="1041">
        <v>856.202</v>
      </c>
      <c r="G46" s="1041">
        <v>730.274</v>
      </c>
      <c r="H46" s="1041">
        <v>25.128</v>
      </c>
      <c r="I46" s="1041">
        <v>0</v>
      </c>
      <c r="J46" s="1305">
        <f>SUM(D46:I46)</f>
        <v>5670.81</v>
      </c>
      <c r="M46" s="1041"/>
      <c r="N46" s="1041"/>
      <c r="O46" s="1041"/>
      <c r="P46" s="1041"/>
      <c r="Q46" s="1041"/>
      <c r="R46" s="1041"/>
      <c r="S46" s="1041"/>
    </row>
    <row r="47" spans="1:30" s="1298" customFormat="1" ht="16.5" customHeight="1" x14ac:dyDescent="0.4">
      <c r="A47"/>
      <c r="B47" s="1296" t="s">
        <v>487</v>
      </c>
      <c r="C47" s="1035" t="s">
        <v>165</v>
      </c>
      <c r="D47" s="1041">
        <v>28.141999999999999</v>
      </c>
      <c r="E47" s="1041">
        <v>72.347999999999999</v>
      </c>
      <c r="F47" s="1041">
        <v>2.375</v>
      </c>
      <c r="G47" s="1041">
        <v>21.132999999999999</v>
      </c>
      <c r="H47" s="1041">
        <v>0.58599999999999997</v>
      </c>
      <c r="I47" s="1041"/>
      <c r="J47" s="1305">
        <f>SUM(D47:I47)</f>
        <v>124.58399999999999</v>
      </c>
      <c r="L47" s="1296"/>
      <c r="M47" s="1041"/>
      <c r="N47" s="1041"/>
      <c r="O47" s="1041"/>
      <c r="P47" s="1041"/>
      <c r="Q47" s="1041"/>
      <c r="R47" s="1041"/>
      <c r="S47" s="1316"/>
      <c r="T47" s="1300"/>
      <c r="U47" s="1300"/>
    </row>
    <row r="48" spans="1:30" x14ac:dyDescent="0.4">
      <c r="L48" s="1298" t="s">
        <v>486</v>
      </c>
      <c r="M48" s="1300">
        <v>2006</v>
      </c>
      <c r="N48" s="1300">
        <v>2007</v>
      </c>
      <c r="O48" s="1300">
        <v>2008</v>
      </c>
      <c r="P48" s="1300"/>
      <c r="Q48" s="1300">
        <v>2009</v>
      </c>
      <c r="R48" s="1300"/>
      <c r="S48" s="1300"/>
    </row>
    <row r="49" spans="1:21" x14ac:dyDescent="0.4">
      <c r="A49" s="1297">
        <v>2006</v>
      </c>
      <c r="L49" s="1307" t="s">
        <v>153</v>
      </c>
      <c r="M49" s="1041">
        <f>$D63</f>
        <v>3545.627</v>
      </c>
      <c r="N49" s="1041">
        <f>$D46</f>
        <v>3002.6959999999999</v>
      </c>
      <c r="O49" s="1041">
        <f>D29</f>
        <v>2912.5239999999999</v>
      </c>
      <c r="P49" s="1041"/>
      <c r="Q49" s="1041">
        <f>+D13</f>
        <v>0</v>
      </c>
      <c r="R49" s="1041"/>
      <c r="S49" s="1041"/>
    </row>
    <row r="50" spans="1:21" x14ac:dyDescent="0.4">
      <c r="A50" s="1299" t="s">
        <v>94</v>
      </c>
      <c r="D50" s="1041"/>
      <c r="E50" s="1041"/>
      <c r="F50" s="1041"/>
      <c r="G50" s="1041"/>
      <c r="H50" s="1041"/>
      <c r="I50" s="1041"/>
      <c r="J50" s="1041"/>
      <c r="L50" s="1307" t="s">
        <v>154</v>
      </c>
      <c r="M50" s="1041">
        <f>$F63</f>
        <v>860.72500000000002</v>
      </c>
      <c r="N50" s="1041">
        <f>$F46</f>
        <v>856.202</v>
      </c>
      <c r="O50" s="1041">
        <f>F29</f>
        <v>748.52700000000004</v>
      </c>
      <c r="P50" s="1041"/>
      <c r="Q50" s="1041">
        <f>+F13</f>
        <v>0</v>
      </c>
      <c r="R50" s="1041"/>
      <c r="S50" s="1041"/>
    </row>
    <row r="51" spans="1:21" x14ac:dyDescent="0.4">
      <c r="D51" s="1041"/>
      <c r="E51" s="1041"/>
      <c r="F51" s="1041"/>
      <c r="G51" s="1041"/>
      <c r="H51" s="1041"/>
      <c r="I51" s="1041"/>
      <c r="J51" s="1041"/>
      <c r="L51" s="1307" t="s">
        <v>155</v>
      </c>
      <c r="M51" s="1041">
        <f>$G63</f>
        <v>372.63600000000002</v>
      </c>
      <c r="N51" s="1041">
        <f>$G46</f>
        <v>730.274</v>
      </c>
      <c r="O51" s="1041">
        <f>G29</f>
        <v>821.50900000000001</v>
      </c>
      <c r="P51" s="1041"/>
      <c r="Q51" s="1041">
        <f>+G13</f>
        <v>0</v>
      </c>
      <c r="R51" s="1041"/>
      <c r="S51" s="1041"/>
    </row>
    <row r="52" spans="1:21" x14ac:dyDescent="0.4">
      <c r="B52" s="1298" t="s">
        <v>95</v>
      </c>
      <c r="C52" s="1312"/>
      <c r="D52" s="1301" t="s">
        <v>138</v>
      </c>
      <c r="E52" s="1301" t="s">
        <v>144</v>
      </c>
      <c r="F52" s="1301" t="s">
        <v>140</v>
      </c>
      <c r="G52" s="1301" t="s">
        <v>142</v>
      </c>
      <c r="H52" s="1301" t="s">
        <v>146</v>
      </c>
      <c r="I52" s="1301" t="s">
        <v>148</v>
      </c>
      <c r="J52" s="1313" t="s">
        <v>809</v>
      </c>
      <c r="L52" s="1307" t="s">
        <v>157</v>
      </c>
      <c r="M52" s="1041">
        <f>$E63</f>
        <v>1074.8789999999999</v>
      </c>
      <c r="N52" s="1041">
        <f>$E46</f>
        <v>1056.51</v>
      </c>
      <c r="O52" s="1041">
        <f>E29</f>
        <v>748.34500000000003</v>
      </c>
      <c r="P52" s="1041"/>
      <c r="Q52" s="1041">
        <f>+E13</f>
        <v>0</v>
      </c>
      <c r="R52" s="1041"/>
      <c r="S52" s="1041"/>
    </row>
    <row r="53" spans="1:21" x14ac:dyDescent="0.4">
      <c r="B53" s="1296" t="s">
        <v>810</v>
      </c>
      <c r="C53" s="1035" t="s">
        <v>586</v>
      </c>
      <c r="D53" s="1304">
        <v>7464.6279999999997</v>
      </c>
      <c r="E53" s="1304">
        <v>845.16200000000003</v>
      </c>
      <c r="F53" s="1304">
        <v>1551.6</v>
      </c>
      <c r="G53" s="1304">
        <v>794.50400000000002</v>
      </c>
      <c r="H53" s="1304">
        <v>454.14400000000001</v>
      </c>
      <c r="I53" s="1304">
        <v>-15.492000000000001</v>
      </c>
      <c r="J53" s="1305">
        <f t="shared" ref="J53:J58" si="11">SUM(D53:I53)</f>
        <v>11094.546</v>
      </c>
      <c r="L53" s="1307" t="s">
        <v>159</v>
      </c>
      <c r="M53" s="1041">
        <f>$H63</f>
        <v>339.09800000000001</v>
      </c>
      <c r="N53" s="1041">
        <f>$H46</f>
        <v>25.128</v>
      </c>
      <c r="O53" s="1041">
        <f>H29</f>
        <v>6.383</v>
      </c>
      <c r="P53" s="1041"/>
      <c r="Q53" s="1041">
        <f>+H13</f>
        <v>0</v>
      </c>
      <c r="R53" s="1041"/>
      <c r="S53" s="1041"/>
    </row>
    <row r="54" spans="1:21" x14ac:dyDescent="0.4">
      <c r="B54" s="1296" t="s">
        <v>811</v>
      </c>
      <c r="C54" s="1035" t="s">
        <v>112</v>
      </c>
      <c r="D54" s="1041">
        <v>-15.492000000000001</v>
      </c>
      <c r="E54" s="1041">
        <v>0</v>
      </c>
      <c r="F54" s="1041">
        <v>0</v>
      </c>
      <c r="G54" s="1041">
        <v>0</v>
      </c>
      <c r="H54" s="1041">
        <v>0</v>
      </c>
      <c r="I54" s="1041">
        <v>15.492000000000001</v>
      </c>
      <c r="J54" s="1305">
        <f t="shared" si="11"/>
        <v>0</v>
      </c>
      <c r="L54" s="1307" t="s">
        <v>519</v>
      </c>
      <c r="M54" s="1041">
        <f>$I63</f>
        <v>0</v>
      </c>
      <c r="N54" s="1041">
        <f>$I46</f>
        <v>0</v>
      </c>
      <c r="O54" s="1041">
        <f>I29</f>
        <v>0</v>
      </c>
      <c r="P54" s="1041"/>
      <c r="Q54" s="1041">
        <f>+I13</f>
        <v>0</v>
      </c>
      <c r="R54" s="1041"/>
      <c r="S54" s="1041"/>
    </row>
    <row r="55" spans="1:21" x14ac:dyDescent="0.4">
      <c r="B55" s="1308" t="s">
        <v>812</v>
      </c>
      <c r="C55" s="1307" t="s">
        <v>788</v>
      </c>
      <c r="D55" s="1304">
        <f t="shared" ref="D55:I55" si="12">D53+D54</f>
        <v>7449.1359999999995</v>
      </c>
      <c r="E55" s="1304">
        <f>E53+E54</f>
        <v>845.16200000000003</v>
      </c>
      <c r="F55" s="1304">
        <f t="shared" si="12"/>
        <v>1551.6</v>
      </c>
      <c r="G55" s="1304">
        <f t="shared" si="12"/>
        <v>794.50400000000002</v>
      </c>
      <c r="H55" s="1304">
        <f t="shared" si="12"/>
        <v>454.14400000000001</v>
      </c>
      <c r="I55" s="1304">
        <f t="shared" si="12"/>
        <v>0</v>
      </c>
      <c r="J55" s="1305">
        <f t="shared" si="11"/>
        <v>11094.546</v>
      </c>
      <c r="L55" s="1307" t="s">
        <v>809</v>
      </c>
      <c r="M55" s="1304">
        <f>SUM(M49:M54)</f>
        <v>6192.9650000000001</v>
      </c>
      <c r="N55" s="1304">
        <f>SUM(N49:N54)</f>
        <v>5670.81</v>
      </c>
      <c r="O55" s="1304">
        <f>SUM(O49:O54)</f>
        <v>5237.2879999999996</v>
      </c>
      <c r="P55" s="1304"/>
      <c r="Q55" s="1304">
        <f>SUM(Q49:Q54)</f>
        <v>0</v>
      </c>
      <c r="R55" s="1304"/>
      <c r="S55" s="1304"/>
    </row>
    <row r="56" spans="1:21" x14ac:dyDescent="0.4">
      <c r="B56" s="1308" t="s">
        <v>24</v>
      </c>
      <c r="C56" s="1309" t="s">
        <v>25</v>
      </c>
      <c r="D56" s="1310">
        <v>348.37599999999998</v>
      </c>
      <c r="E56" s="1310">
        <v>68.894000000000005</v>
      </c>
      <c r="F56" s="1310">
        <v>109.172</v>
      </c>
      <c r="G56" s="1310">
        <v>6.7309999999999999</v>
      </c>
      <c r="H56" s="1310">
        <v>8.1929999999999996</v>
      </c>
      <c r="I56" s="1310">
        <v>0</v>
      </c>
      <c r="J56" s="1311">
        <f t="shared" si="11"/>
        <v>541.36599999999999</v>
      </c>
      <c r="M56" s="1041"/>
      <c r="N56" s="1041"/>
      <c r="O56" s="1041"/>
      <c r="P56" s="1041"/>
      <c r="Q56" s="1041"/>
      <c r="R56" s="1041"/>
      <c r="S56" s="1041"/>
    </row>
    <row r="57" spans="1:21" x14ac:dyDescent="0.4">
      <c r="B57" s="1308" t="s">
        <v>813</v>
      </c>
      <c r="C57" s="1307" t="s">
        <v>113</v>
      </c>
      <c r="D57" s="1304">
        <v>481.654</v>
      </c>
      <c r="E57" s="1304">
        <v>33.253999999999998</v>
      </c>
      <c r="F57" s="1304">
        <v>80.856999999999999</v>
      </c>
      <c r="G57" s="1304">
        <v>-17.63</v>
      </c>
      <c r="H57" s="1304">
        <v>13.172000000000001</v>
      </c>
      <c r="I57" s="1304">
        <v>0</v>
      </c>
      <c r="J57" s="1305">
        <f t="shared" si="11"/>
        <v>591.30700000000002</v>
      </c>
      <c r="L57" s="1298"/>
      <c r="M57" s="1316"/>
      <c r="N57" s="1316"/>
      <c r="O57" s="1316"/>
      <c r="P57" s="1316"/>
      <c r="Q57" s="1316"/>
      <c r="R57" s="1316"/>
      <c r="S57" s="1041"/>
    </row>
    <row r="58" spans="1:21" x14ac:dyDescent="0.4">
      <c r="B58" s="1296" t="s">
        <v>150</v>
      </c>
      <c r="C58" s="1035" t="s">
        <v>164</v>
      </c>
      <c r="D58" s="1041">
        <v>26.553999999999998</v>
      </c>
      <c r="E58" s="1041">
        <v>50.436999999999998</v>
      </c>
      <c r="F58" s="1041">
        <v>2.1789999999999998</v>
      </c>
      <c r="G58" s="1041">
        <v>9.02</v>
      </c>
      <c r="H58" s="1041">
        <v>4.4379999999999997</v>
      </c>
      <c r="I58" s="1041">
        <v>0</v>
      </c>
      <c r="J58" s="1305">
        <f t="shared" si="11"/>
        <v>92.628</v>
      </c>
      <c r="K58" s="1317"/>
      <c r="L58" s="1298" t="s">
        <v>489</v>
      </c>
      <c r="M58" s="1300">
        <v>2006</v>
      </c>
      <c r="N58" s="1300">
        <v>2007</v>
      </c>
      <c r="O58" s="1300">
        <v>2008</v>
      </c>
      <c r="P58" s="1300"/>
      <c r="Q58" s="1300">
        <v>2009</v>
      </c>
      <c r="R58" s="1300"/>
      <c r="S58" s="1300"/>
    </row>
    <row r="59" spans="1:21" x14ac:dyDescent="0.4">
      <c r="B59" s="1296" t="s">
        <v>149</v>
      </c>
      <c r="C59" s="1035" t="s">
        <v>161</v>
      </c>
      <c r="D59" s="1041"/>
      <c r="E59" s="1041"/>
      <c r="F59" s="1041"/>
      <c r="G59" s="1041"/>
      <c r="H59" s="1041"/>
      <c r="I59" s="1041"/>
      <c r="J59" s="1305">
        <v>6.86</v>
      </c>
      <c r="L59" s="1307" t="s">
        <v>153</v>
      </c>
      <c r="M59" s="1041">
        <f>$D64</f>
        <v>19.268000000000001</v>
      </c>
      <c r="N59" s="1041">
        <f>$D47</f>
        <v>28.141999999999999</v>
      </c>
      <c r="O59" s="1041">
        <f>D30</f>
        <v>47.747999999999998</v>
      </c>
      <c r="P59" s="1041"/>
      <c r="Q59" s="1041">
        <f>$D14</f>
        <v>0</v>
      </c>
      <c r="R59" s="1041"/>
      <c r="S59" s="1041"/>
    </row>
    <row r="60" spans="1:21" s="1298" customFormat="1" ht="17.25" customHeight="1" x14ac:dyDescent="0.4">
      <c r="A60"/>
      <c r="B60" s="1296" t="s">
        <v>151</v>
      </c>
      <c r="C60" s="1035" t="s">
        <v>162</v>
      </c>
      <c r="D60" s="1041"/>
      <c r="E60" s="1041"/>
      <c r="F60" s="1041"/>
      <c r="G60" s="1041"/>
      <c r="H60" s="1041"/>
      <c r="I60" s="1041"/>
      <c r="J60" s="1305">
        <v>44.494</v>
      </c>
      <c r="L60" s="1307" t="s">
        <v>154</v>
      </c>
      <c r="M60" s="1041">
        <f>$F64</f>
        <v>2.6019999999999999</v>
      </c>
      <c r="N60" s="1041">
        <f>$F47</f>
        <v>2.375</v>
      </c>
      <c r="O60" s="1041">
        <f>F30</f>
        <v>0.94699999999999995</v>
      </c>
      <c r="P60" s="1041"/>
      <c r="Q60" s="1041">
        <f>$F14</f>
        <v>0</v>
      </c>
      <c r="R60" s="1041"/>
      <c r="S60" s="1041"/>
      <c r="T60" s="1300"/>
      <c r="U60" s="1300"/>
    </row>
    <row r="61" spans="1:21" x14ac:dyDescent="0.4">
      <c r="B61" s="1296" t="s">
        <v>152</v>
      </c>
      <c r="C61" s="1035" t="s">
        <v>163</v>
      </c>
      <c r="D61" s="1041"/>
      <c r="E61" s="1041"/>
      <c r="F61" s="1041"/>
      <c r="G61" s="1041"/>
      <c r="H61" s="1041"/>
      <c r="I61" s="1041"/>
      <c r="J61" s="1305">
        <f>SUM(D61:I61)</f>
        <v>0</v>
      </c>
      <c r="L61" s="1307" t="s">
        <v>155</v>
      </c>
      <c r="M61" s="1041">
        <f>$G64</f>
        <v>42.055</v>
      </c>
      <c r="N61" s="1041">
        <f>$G47</f>
        <v>21.132999999999999</v>
      </c>
      <c r="O61" s="1041">
        <f>G30</f>
        <v>26.818000000000001</v>
      </c>
      <c r="P61" s="1041"/>
      <c r="Q61" s="1041">
        <f>$G14</f>
        <v>0</v>
      </c>
      <c r="R61" s="1041"/>
      <c r="S61" s="1041"/>
    </row>
    <row r="62" spans="1:21" x14ac:dyDescent="0.4">
      <c r="B62" s="1296" t="s">
        <v>485</v>
      </c>
      <c r="C62" s="1035" t="s">
        <v>23</v>
      </c>
      <c r="D62" s="1041">
        <v>3936.9549999999999</v>
      </c>
      <c r="E62" s="1041">
        <v>1362.163</v>
      </c>
      <c r="F62" s="1041">
        <v>831.64</v>
      </c>
      <c r="G62" s="1041">
        <v>519.79999999999995</v>
      </c>
      <c r="H62" s="1041">
        <v>412.17899999999997</v>
      </c>
      <c r="I62" s="1041">
        <v>0</v>
      </c>
      <c r="J62" s="1305">
        <f>SUM(D62:I62)</f>
        <v>7062.737000000001</v>
      </c>
      <c r="L62" s="1307" t="s">
        <v>157</v>
      </c>
      <c r="M62" s="1041">
        <f>$E64</f>
        <v>85.010999999999996</v>
      </c>
      <c r="N62" s="1041">
        <f>$E47</f>
        <v>72.347999999999999</v>
      </c>
      <c r="O62" s="1041">
        <f>E30</f>
        <v>157.005</v>
      </c>
      <c r="P62" s="1041"/>
      <c r="Q62" s="1041">
        <f>$E14</f>
        <v>0</v>
      </c>
      <c r="R62" s="1041"/>
      <c r="S62" s="1041"/>
    </row>
    <row r="63" spans="1:21" x14ac:dyDescent="0.4">
      <c r="B63" s="1296" t="s">
        <v>486</v>
      </c>
      <c r="C63" s="1035" t="s">
        <v>527</v>
      </c>
      <c r="D63" s="1041">
        <v>3545.627</v>
      </c>
      <c r="E63" s="1041">
        <v>1074.8789999999999</v>
      </c>
      <c r="F63" s="1041">
        <v>860.72500000000002</v>
      </c>
      <c r="G63" s="1041">
        <v>372.63600000000002</v>
      </c>
      <c r="H63" s="1041">
        <v>339.09800000000001</v>
      </c>
      <c r="I63" s="1041">
        <v>0</v>
      </c>
      <c r="J63" s="1305">
        <f>SUM(D63:I63)</f>
        <v>6192.9650000000001</v>
      </c>
      <c r="L63" s="1307" t="s">
        <v>159</v>
      </c>
      <c r="M63" s="1041">
        <f>$H64</f>
        <v>8.1869999999999994</v>
      </c>
      <c r="N63" s="1041">
        <f>$H47</f>
        <v>0.58599999999999997</v>
      </c>
      <c r="O63" s="1041">
        <f>H30</f>
        <v>8.5999999999999993E-2</v>
      </c>
      <c r="P63" s="1041"/>
      <c r="Q63" s="1041">
        <f>$H14</f>
        <v>0</v>
      </c>
      <c r="R63" s="1041"/>
      <c r="S63" s="1041"/>
    </row>
    <row r="64" spans="1:21" x14ac:dyDescent="0.4">
      <c r="B64" s="1296" t="s">
        <v>487</v>
      </c>
      <c r="C64" s="1035" t="s">
        <v>165</v>
      </c>
      <c r="D64" s="1041">
        <v>19.268000000000001</v>
      </c>
      <c r="E64" s="1041">
        <v>85.010999999999996</v>
      </c>
      <c r="F64" s="1041">
        <v>2.6019999999999999</v>
      </c>
      <c r="G64" s="1041">
        <v>42.055</v>
      </c>
      <c r="H64" s="1041">
        <v>8.1869999999999994</v>
      </c>
      <c r="I64" s="1041">
        <v>0</v>
      </c>
      <c r="J64" s="1305">
        <f>SUM(D64:I64)</f>
        <v>157.12300000000002</v>
      </c>
      <c r="L64" s="1307" t="s">
        <v>519</v>
      </c>
      <c r="M64" s="1041">
        <f>$I64</f>
        <v>0</v>
      </c>
      <c r="N64" s="1041">
        <f>$I47</f>
        <v>0</v>
      </c>
      <c r="O64" s="1041">
        <f>I30</f>
        <v>0</v>
      </c>
      <c r="P64" s="1041"/>
      <c r="Q64" s="1041">
        <f>$I14</f>
        <v>0</v>
      </c>
      <c r="R64" s="1041"/>
      <c r="S64" s="1041"/>
    </row>
    <row r="65" spans="1:21" x14ac:dyDescent="0.4">
      <c r="A65" s="1297"/>
      <c r="K65" s="1296"/>
      <c r="L65" s="1307" t="s">
        <v>809</v>
      </c>
      <c r="M65" s="1304">
        <f>SUM(M59:M64)</f>
        <v>157.12299999999999</v>
      </c>
      <c r="N65" s="1304">
        <f>SUM(N59:N64)</f>
        <v>124.58399999999999</v>
      </c>
      <c r="O65" s="1304">
        <f>SUM(O59:O64)</f>
        <v>232.60400000000001</v>
      </c>
      <c r="P65" s="1304"/>
      <c r="Q65" s="1304">
        <f>SUM(Q59:Q64)</f>
        <v>0</v>
      </c>
      <c r="R65" s="1304"/>
      <c r="S65" s="1304"/>
    </row>
    <row r="66" spans="1:21" x14ac:dyDescent="0.35">
      <c r="A66" s="1299"/>
      <c r="M66" s="1041"/>
      <c r="N66" s="1041"/>
      <c r="O66" s="1041"/>
      <c r="P66" s="1041"/>
      <c r="Q66" s="1041"/>
      <c r="R66" s="1041"/>
      <c r="S66" s="1041"/>
    </row>
    <row r="67" spans="1:21" x14ac:dyDescent="0.35">
      <c r="D67" s="1318"/>
      <c r="E67" s="1041"/>
      <c r="F67" s="1041"/>
      <c r="G67" s="1041"/>
      <c r="H67" s="1041"/>
      <c r="I67" s="1041"/>
      <c r="J67" s="1041"/>
      <c r="M67" s="1041"/>
      <c r="N67" s="1041"/>
      <c r="O67" s="1041"/>
      <c r="P67" s="1041"/>
      <c r="Q67" s="1041"/>
      <c r="R67" s="1041"/>
      <c r="S67" s="1041"/>
    </row>
    <row r="68" spans="1:21" x14ac:dyDescent="0.4">
      <c r="D68" s="1041"/>
      <c r="E68" s="1041"/>
      <c r="F68" s="1041"/>
      <c r="G68" s="1041"/>
      <c r="H68" s="1041"/>
      <c r="I68" s="1041"/>
      <c r="J68" s="1041"/>
      <c r="L68" s="1298" t="s">
        <v>490</v>
      </c>
      <c r="M68" s="1300">
        <v>2006</v>
      </c>
      <c r="N68" s="1300">
        <v>2007</v>
      </c>
      <c r="O68" s="1300">
        <v>2008</v>
      </c>
      <c r="P68" s="1300"/>
      <c r="Q68" s="1300">
        <v>2009</v>
      </c>
      <c r="R68" s="1300"/>
      <c r="S68" s="1300"/>
    </row>
    <row r="69" spans="1:21" x14ac:dyDescent="0.4">
      <c r="B69" s="1298"/>
      <c r="C69" s="1300"/>
      <c r="D69" s="1302"/>
      <c r="E69" s="1302"/>
      <c r="F69" s="1302"/>
      <c r="G69" s="1302"/>
      <c r="H69" s="1302"/>
      <c r="I69" s="1302"/>
      <c r="J69" s="1302"/>
      <c r="L69" s="1307" t="s">
        <v>153</v>
      </c>
      <c r="M69" s="1041">
        <f>$D58+$D59</f>
        <v>26.553999999999998</v>
      </c>
      <c r="N69" s="1041">
        <f>$D41+$D42</f>
        <v>21.472000000000001</v>
      </c>
      <c r="O69" s="1041">
        <f>D24</f>
        <v>36.335000000000001</v>
      </c>
      <c r="P69" s="1041"/>
      <c r="Q69" s="1041">
        <f>$D8</f>
        <v>0</v>
      </c>
      <c r="R69" s="1041"/>
      <c r="S69" s="1041"/>
    </row>
    <row r="70" spans="1:21" x14ac:dyDescent="0.4">
      <c r="B70" s="1308"/>
      <c r="C70" s="1307"/>
      <c r="D70" s="1304"/>
      <c r="E70" s="1304"/>
      <c r="F70" s="1304"/>
      <c r="G70" s="1304"/>
      <c r="H70" s="1304"/>
      <c r="I70" s="1304"/>
      <c r="J70" s="1305"/>
      <c r="L70" s="1307" t="s">
        <v>154</v>
      </c>
      <c r="M70" s="1041">
        <f>$F58+$F59</f>
        <v>2.1789999999999998</v>
      </c>
      <c r="N70" s="1041">
        <f>$F41+$F42</f>
        <v>7.3140000000000001</v>
      </c>
      <c r="O70" s="1041">
        <f>F24</f>
        <v>2.0329999999999999</v>
      </c>
      <c r="P70" s="1041"/>
      <c r="Q70" s="1041">
        <f>$F8</f>
        <v>0</v>
      </c>
      <c r="R70" s="1041"/>
      <c r="S70" s="1041"/>
    </row>
    <row r="71" spans="1:21" x14ac:dyDescent="0.4">
      <c r="D71" s="1041"/>
      <c r="E71" s="1041"/>
      <c r="F71" s="1041"/>
      <c r="G71" s="1041"/>
      <c r="H71" s="1041"/>
      <c r="I71" s="1041"/>
      <c r="J71" s="1305"/>
      <c r="L71" s="1307" t="s">
        <v>155</v>
      </c>
      <c r="M71" s="1041">
        <f>$G58+$G59</f>
        <v>9.02</v>
      </c>
      <c r="N71" s="1041">
        <f>$G41+$G42</f>
        <v>13.286</v>
      </c>
      <c r="O71" s="1041">
        <f>G24</f>
        <v>16.617000000000001</v>
      </c>
      <c r="P71" s="1041"/>
      <c r="Q71" s="1041">
        <f>$G8</f>
        <v>0</v>
      </c>
      <c r="R71" s="1041"/>
      <c r="S71" s="1041"/>
    </row>
    <row r="72" spans="1:21" x14ac:dyDescent="0.4">
      <c r="D72" s="1041"/>
      <c r="E72" s="1041"/>
      <c r="F72" s="1041"/>
      <c r="G72" s="1041"/>
      <c r="H72" s="1041"/>
      <c r="I72" s="1041"/>
      <c r="J72" s="1305"/>
      <c r="L72" s="1307" t="s">
        <v>157</v>
      </c>
      <c r="M72" s="1041">
        <f>$E58+$E59</f>
        <v>50.436999999999998</v>
      </c>
      <c r="N72" s="1041">
        <f>$E41+$E42</f>
        <v>47.545999999999999</v>
      </c>
      <c r="O72" s="1041">
        <f>E24</f>
        <v>78.668000000000006</v>
      </c>
      <c r="P72" s="1041"/>
      <c r="Q72" s="1041">
        <f>$E8</f>
        <v>0</v>
      </c>
      <c r="R72" s="1041"/>
      <c r="S72" s="1041"/>
    </row>
    <row r="73" spans="1:21" x14ac:dyDescent="0.4">
      <c r="B73" s="1308"/>
      <c r="C73" s="1307"/>
      <c r="D73" s="1304"/>
      <c r="E73" s="1304"/>
      <c r="F73" s="1304"/>
      <c r="G73" s="1304"/>
      <c r="H73" s="1304"/>
      <c r="I73" s="1304"/>
      <c r="J73" s="1305"/>
      <c r="L73" s="1307" t="s">
        <v>159</v>
      </c>
      <c r="M73" s="1041">
        <f>$H58+$H59</f>
        <v>4.4379999999999997</v>
      </c>
      <c r="N73" s="1041">
        <f>$H41+$H42</f>
        <v>7.851</v>
      </c>
      <c r="O73" s="1041">
        <f>H24</f>
        <v>2.1000000000000001E-2</v>
      </c>
      <c r="P73" s="1041"/>
      <c r="Q73" s="1041">
        <f>$H8</f>
        <v>0</v>
      </c>
      <c r="R73" s="1041"/>
      <c r="S73" s="1041"/>
    </row>
    <row r="74" spans="1:21" s="1298" customFormat="1" ht="18" customHeight="1" x14ac:dyDescent="0.4">
      <c r="A74"/>
      <c r="B74" s="1308"/>
      <c r="C74" s="1307"/>
      <c r="D74" s="1304"/>
      <c r="E74" s="1304"/>
      <c r="F74" s="1304"/>
      <c r="G74" s="1304"/>
      <c r="H74" s="1304"/>
      <c r="I74" s="1304"/>
      <c r="J74" s="1305"/>
      <c r="L74" s="1307" t="s">
        <v>519</v>
      </c>
      <c r="M74" s="1041">
        <f>$I58+$I59</f>
        <v>0</v>
      </c>
      <c r="N74" s="1041">
        <f>$I41+$I42</f>
        <v>0</v>
      </c>
      <c r="O74" s="1041">
        <f>I24</f>
        <v>0</v>
      </c>
      <c r="P74" s="1041"/>
      <c r="Q74" s="1041">
        <f>$I8</f>
        <v>0</v>
      </c>
      <c r="R74" s="1041"/>
      <c r="S74" s="1041"/>
      <c r="T74" s="1300"/>
      <c r="U74" s="1300"/>
    </row>
    <row r="75" spans="1:21" x14ac:dyDescent="0.4">
      <c r="D75" s="1041"/>
      <c r="E75" s="1041"/>
      <c r="F75" s="1041"/>
      <c r="G75" s="1041"/>
      <c r="H75" s="1041"/>
      <c r="I75" s="1041"/>
      <c r="J75" s="1305"/>
      <c r="K75" s="1317"/>
      <c r="L75" s="1307" t="s">
        <v>809</v>
      </c>
      <c r="M75" s="1304">
        <f>SUM(M69:M74)</f>
        <v>92.628</v>
      </c>
      <c r="N75" s="1304">
        <f>SUM(N69:N74)</f>
        <v>97.468999999999994</v>
      </c>
      <c r="O75" s="1304">
        <f>SUM(O69:O74)</f>
        <v>133.67400000000001</v>
      </c>
      <c r="P75" s="1304"/>
      <c r="Q75" s="1304">
        <f>SUM(Q69:Q74)</f>
        <v>0</v>
      </c>
      <c r="R75" s="1304"/>
      <c r="S75" s="1304"/>
    </row>
    <row r="76" spans="1:21" x14ac:dyDescent="0.4">
      <c r="D76" s="1041"/>
      <c r="E76" s="1041"/>
      <c r="F76" s="1041"/>
      <c r="G76" s="1041"/>
      <c r="H76" s="1041"/>
      <c r="I76" s="1041"/>
      <c r="J76" s="1305"/>
      <c r="M76" s="1041"/>
      <c r="N76" s="1041"/>
      <c r="O76" s="1041"/>
      <c r="P76" s="1041"/>
      <c r="Q76" s="1041"/>
      <c r="R76" s="1041"/>
      <c r="S76" s="1041"/>
    </row>
    <row r="77" spans="1:21" x14ac:dyDescent="0.4">
      <c r="D77" s="1041"/>
      <c r="E77" s="1041"/>
      <c r="F77" s="1041"/>
      <c r="G77" s="1041"/>
      <c r="H77" s="1041"/>
      <c r="I77" s="1041"/>
      <c r="J77" s="1305"/>
      <c r="M77" s="1041"/>
      <c r="N77" s="1041"/>
      <c r="O77" s="1041"/>
      <c r="P77" s="1041"/>
      <c r="Q77" s="1041"/>
      <c r="R77" s="1041"/>
      <c r="S77" s="1041"/>
    </row>
    <row r="78" spans="1:21" x14ac:dyDescent="0.4">
      <c r="D78" s="1041"/>
      <c r="E78" s="1041"/>
      <c r="F78" s="1041"/>
      <c r="G78" s="1041"/>
      <c r="H78" s="1041"/>
      <c r="I78" s="1041"/>
      <c r="J78" s="1305"/>
      <c r="L78" s="1298"/>
      <c r="M78" s="1300"/>
      <c r="N78" s="1300"/>
      <c r="O78" s="1300"/>
      <c r="P78" s="1300"/>
      <c r="Q78" s="1300"/>
      <c r="R78" s="1300"/>
      <c r="S78" s="1041"/>
    </row>
    <row r="79" spans="1:21" x14ac:dyDescent="0.4">
      <c r="D79" s="1041"/>
      <c r="E79" s="1041"/>
      <c r="F79" s="1041"/>
      <c r="G79" s="1041"/>
      <c r="H79" s="1041"/>
      <c r="I79" s="1041"/>
      <c r="J79" s="1305"/>
      <c r="L79" s="1308"/>
      <c r="M79" s="1041"/>
      <c r="N79" s="1041"/>
      <c r="O79" s="1041"/>
      <c r="P79" s="1041"/>
      <c r="Q79" s="1041"/>
      <c r="R79" s="1041"/>
      <c r="S79" s="1041"/>
    </row>
    <row r="80" spans="1:21" x14ac:dyDescent="0.4">
      <c r="D80" s="1041"/>
      <c r="E80" s="1041"/>
      <c r="F80" s="1041"/>
      <c r="G80" s="1041"/>
      <c r="H80" s="1041"/>
      <c r="I80" s="1041"/>
      <c r="J80" s="1305"/>
      <c r="L80" s="1308"/>
      <c r="M80" s="1041"/>
      <c r="N80" s="1041"/>
      <c r="O80" s="1041"/>
      <c r="P80" s="1041"/>
      <c r="Q80" s="1041"/>
      <c r="R80" s="1041"/>
      <c r="S80" s="1041"/>
    </row>
    <row r="81" spans="1:19" x14ac:dyDescent="0.4">
      <c r="D81" s="1041"/>
      <c r="E81" s="1041"/>
      <c r="F81" s="1041"/>
      <c r="G81" s="1041"/>
      <c r="H81" s="1041"/>
      <c r="I81" s="1041"/>
      <c r="J81" s="1305"/>
      <c r="L81" s="1308"/>
      <c r="M81" s="1041"/>
      <c r="N81" s="1041"/>
      <c r="O81" s="1041"/>
      <c r="P81" s="1041"/>
      <c r="Q81" s="1041"/>
      <c r="R81" s="1041"/>
      <c r="S81" s="1041"/>
    </row>
    <row r="82" spans="1:19" x14ac:dyDescent="0.4">
      <c r="A82" s="1297"/>
      <c r="D82" s="1041"/>
      <c r="E82" s="1041"/>
      <c r="F82" s="1041"/>
      <c r="G82" s="1041"/>
      <c r="H82" s="1041"/>
      <c r="I82" s="1041"/>
      <c r="J82" s="1305"/>
      <c r="L82" s="1308"/>
      <c r="M82" s="1041"/>
      <c r="N82" s="1041"/>
      <c r="O82" s="1041"/>
      <c r="P82" s="1041"/>
      <c r="Q82" s="1041"/>
      <c r="R82" s="1041"/>
      <c r="S82" s="1041"/>
    </row>
    <row r="83" spans="1:19" x14ac:dyDescent="0.35">
      <c r="A83" s="1299"/>
      <c r="D83" s="1041"/>
      <c r="E83" s="1041"/>
      <c r="F83" s="1041"/>
      <c r="G83" s="1041"/>
      <c r="H83" s="1041"/>
      <c r="I83" s="1041"/>
      <c r="J83" s="1041"/>
      <c r="L83" s="1308"/>
      <c r="M83" s="1041"/>
      <c r="N83" s="1041"/>
      <c r="O83" s="1041"/>
      <c r="P83" s="1041"/>
      <c r="Q83" s="1041"/>
      <c r="R83" s="1041"/>
      <c r="S83" s="1041"/>
    </row>
    <row r="84" spans="1:19" x14ac:dyDescent="0.35">
      <c r="D84" s="1041"/>
      <c r="E84" s="1041"/>
      <c r="F84" s="1041"/>
      <c r="G84" s="1041"/>
      <c r="H84" s="1041"/>
      <c r="I84" s="1041"/>
      <c r="J84" s="1041"/>
      <c r="L84" s="1308"/>
      <c r="M84" s="1041"/>
      <c r="N84" s="1041"/>
      <c r="O84" s="1041"/>
      <c r="P84" s="1041"/>
      <c r="Q84" s="1041"/>
      <c r="R84" s="1041"/>
      <c r="S84" s="1041"/>
    </row>
    <row r="85" spans="1:19" x14ac:dyDescent="0.4">
      <c r="D85" s="1041"/>
      <c r="E85" s="1041"/>
      <c r="F85" s="1041"/>
      <c r="G85" s="1041"/>
      <c r="H85" s="1041"/>
      <c r="I85" s="1041"/>
      <c r="J85" s="1041"/>
      <c r="L85" s="1308"/>
      <c r="M85" s="1304"/>
      <c r="N85" s="1304"/>
      <c r="O85" s="1304"/>
      <c r="P85" s="1304"/>
      <c r="Q85" s="1304"/>
      <c r="R85" s="1304"/>
      <c r="S85" s="1041"/>
    </row>
    <row r="86" spans="1:19" x14ac:dyDescent="0.4">
      <c r="B86" s="1298"/>
      <c r="C86" s="1300"/>
      <c r="D86" s="1302"/>
      <c r="E86" s="1302"/>
      <c r="F86" s="1302"/>
      <c r="G86" s="1302"/>
      <c r="H86" s="1302"/>
      <c r="I86" s="1302"/>
      <c r="J86" s="1319"/>
      <c r="M86" s="1041"/>
      <c r="N86" s="1041"/>
      <c r="O86" s="1041"/>
      <c r="P86" s="1041"/>
      <c r="Q86" s="1041"/>
      <c r="R86" s="1041"/>
      <c r="S86" s="1041"/>
    </row>
    <row r="87" spans="1:19" x14ac:dyDescent="0.4">
      <c r="B87" s="1308"/>
      <c r="D87" s="1044"/>
      <c r="E87" s="1044"/>
      <c r="F87" s="1044"/>
      <c r="G87" s="1044"/>
      <c r="H87" s="1044"/>
      <c r="I87" s="1044"/>
      <c r="J87" s="1320"/>
      <c r="M87" s="1041"/>
      <c r="N87" s="1041"/>
      <c r="O87" s="1041"/>
      <c r="P87" s="1041"/>
      <c r="Q87" s="1041"/>
      <c r="R87" s="1041"/>
      <c r="S87" s="1041"/>
    </row>
    <row r="88" spans="1:19" x14ac:dyDescent="0.4">
      <c r="D88" s="1044"/>
      <c r="E88" s="1044"/>
      <c r="F88" s="1044"/>
      <c r="G88" s="1044"/>
      <c r="H88" s="1044"/>
      <c r="I88" s="1044"/>
      <c r="J88" s="1320"/>
      <c r="M88" s="1041"/>
      <c r="N88" s="1041"/>
      <c r="O88" s="1041"/>
      <c r="P88" s="1041"/>
      <c r="Q88" s="1041"/>
      <c r="R88" s="1041"/>
      <c r="S88" s="1041"/>
    </row>
    <row r="89" spans="1:19" x14ac:dyDescent="0.4">
      <c r="D89" s="1044"/>
      <c r="E89" s="1044"/>
      <c r="F89" s="1044"/>
      <c r="G89" s="1044"/>
      <c r="H89" s="1044"/>
      <c r="I89" s="1044"/>
      <c r="J89" s="1320"/>
      <c r="M89" s="1041"/>
      <c r="N89" s="1041"/>
      <c r="O89" s="1041"/>
      <c r="P89" s="1041"/>
      <c r="Q89" s="1041"/>
      <c r="R89" s="1041"/>
      <c r="S89" s="1041"/>
    </row>
    <row r="90" spans="1:19" x14ac:dyDescent="0.4">
      <c r="B90" s="1308"/>
      <c r="C90" s="1307"/>
      <c r="D90" s="1320"/>
      <c r="E90" s="1320"/>
      <c r="F90" s="1320"/>
      <c r="G90" s="1320"/>
      <c r="H90" s="1320"/>
      <c r="I90" s="1320"/>
      <c r="J90" s="1320"/>
      <c r="M90" s="1041"/>
      <c r="N90" s="1041"/>
      <c r="O90" s="1041"/>
      <c r="P90" s="1041"/>
      <c r="Q90" s="1041"/>
      <c r="R90" s="1041"/>
      <c r="S90" s="1041"/>
    </row>
    <row r="91" spans="1:19" x14ac:dyDescent="0.4">
      <c r="B91" s="1308"/>
      <c r="C91" s="1307"/>
      <c r="D91" s="1320"/>
      <c r="E91" s="1320"/>
      <c r="F91" s="1320"/>
      <c r="G91" s="1320"/>
      <c r="H91" s="1320"/>
      <c r="I91" s="1320"/>
      <c r="J91" s="1320"/>
      <c r="M91" s="1041"/>
      <c r="N91" s="1041"/>
      <c r="O91" s="1041"/>
      <c r="P91" s="1041"/>
      <c r="Q91" s="1041"/>
      <c r="R91" s="1041"/>
      <c r="S91" s="1041"/>
    </row>
    <row r="92" spans="1:19" x14ac:dyDescent="0.4">
      <c r="D92" s="1041"/>
      <c r="E92" s="1041"/>
      <c r="F92" s="1041"/>
      <c r="G92" s="1041"/>
      <c r="H92" s="1041"/>
      <c r="I92" s="1041"/>
      <c r="J92" s="1305"/>
      <c r="M92" s="1041"/>
      <c r="N92" s="1041"/>
      <c r="O92" s="1041"/>
      <c r="P92" s="1041"/>
      <c r="Q92" s="1041"/>
      <c r="R92" s="1041"/>
      <c r="S92" s="1041"/>
    </row>
    <row r="93" spans="1:19" x14ac:dyDescent="0.4">
      <c r="D93" s="1041"/>
      <c r="E93" s="1041"/>
      <c r="F93" s="1041"/>
      <c r="G93" s="1041"/>
      <c r="H93" s="1041"/>
      <c r="I93" s="1041"/>
      <c r="J93" s="1305"/>
      <c r="M93" s="1041"/>
      <c r="N93" s="1041"/>
      <c r="O93" s="1041"/>
      <c r="P93" s="1041"/>
      <c r="Q93" s="1041"/>
      <c r="R93" s="1041"/>
      <c r="S93" s="1041"/>
    </row>
    <row r="94" spans="1:19" x14ac:dyDescent="0.4">
      <c r="D94" s="1041"/>
      <c r="E94" s="1041"/>
      <c r="F94" s="1041"/>
      <c r="G94" s="1041"/>
      <c r="H94" s="1041"/>
      <c r="I94" s="1041"/>
      <c r="J94" s="1305"/>
      <c r="M94" s="1041"/>
      <c r="N94" s="1041"/>
      <c r="O94" s="1041"/>
      <c r="P94" s="1041"/>
      <c r="Q94" s="1041"/>
      <c r="R94" s="1041"/>
      <c r="S94" s="1041"/>
    </row>
    <row r="95" spans="1:19" x14ac:dyDescent="0.4">
      <c r="D95" s="1041"/>
      <c r="E95" s="1041"/>
      <c r="F95" s="1041"/>
      <c r="G95" s="1041"/>
      <c r="H95" s="1041"/>
      <c r="I95" s="1041"/>
      <c r="J95" s="1305"/>
      <c r="M95" s="1041"/>
      <c r="N95" s="1041"/>
      <c r="O95" s="1041"/>
      <c r="P95" s="1041"/>
      <c r="Q95" s="1041"/>
      <c r="R95" s="1041"/>
      <c r="S95" s="1041"/>
    </row>
    <row r="96" spans="1:19" x14ac:dyDescent="0.4">
      <c r="D96" s="1041"/>
      <c r="E96" s="1041"/>
      <c r="F96" s="1041"/>
      <c r="G96" s="1041"/>
      <c r="H96" s="1041"/>
      <c r="I96" s="1041"/>
      <c r="J96" s="1305"/>
      <c r="M96" s="1041"/>
      <c r="N96" s="1041"/>
      <c r="O96" s="1041"/>
      <c r="P96" s="1041"/>
      <c r="Q96" s="1041"/>
      <c r="R96" s="1041"/>
      <c r="S96" s="1041"/>
    </row>
    <row r="97" spans="4:22" x14ac:dyDescent="0.4">
      <c r="D97" s="1041"/>
      <c r="E97" s="1041"/>
      <c r="F97" s="1041"/>
      <c r="G97" s="1041"/>
      <c r="H97" s="1041"/>
      <c r="I97" s="1041"/>
      <c r="J97" s="1305"/>
      <c r="M97" s="1041"/>
      <c r="N97" s="1041"/>
      <c r="O97" s="1041"/>
      <c r="P97" s="1041"/>
      <c r="Q97" s="1041"/>
      <c r="R97" s="1041"/>
      <c r="S97" s="1041"/>
    </row>
    <row r="98" spans="4:22" x14ac:dyDescent="0.4">
      <c r="D98" s="1041"/>
      <c r="E98" s="1041"/>
      <c r="F98" s="1041"/>
      <c r="G98" s="1041"/>
      <c r="H98" s="1041"/>
      <c r="I98" s="1041"/>
      <c r="J98" s="1305"/>
      <c r="M98" s="1041"/>
      <c r="N98" s="1041"/>
      <c r="O98" s="1041"/>
      <c r="P98" s="1041"/>
      <c r="Q98" s="1041"/>
      <c r="R98" s="1041"/>
      <c r="S98" s="1041"/>
    </row>
    <row r="99" spans="4:22" x14ac:dyDescent="0.4">
      <c r="D99" s="1041"/>
      <c r="E99" s="1041"/>
      <c r="F99" s="1041"/>
      <c r="G99" s="1041"/>
      <c r="H99" s="1041"/>
      <c r="I99" s="1041"/>
      <c r="J99" s="1305"/>
      <c r="M99" s="1041"/>
      <c r="N99" s="1041"/>
      <c r="O99" s="1041"/>
      <c r="P99" s="1041"/>
      <c r="Q99" s="1041"/>
      <c r="R99" s="1041"/>
      <c r="S99" s="1041"/>
    </row>
    <row r="100" spans="4:22" x14ac:dyDescent="0.35">
      <c r="D100" s="1041"/>
      <c r="E100" s="1041"/>
      <c r="F100" s="1041"/>
      <c r="G100" s="1041"/>
      <c r="H100" s="1041"/>
      <c r="I100" s="1041"/>
      <c r="J100" s="1041"/>
      <c r="M100" s="1041"/>
      <c r="N100" s="1041"/>
      <c r="O100" s="1041"/>
      <c r="P100" s="1041"/>
      <c r="Q100" s="1041"/>
      <c r="R100" s="1041"/>
      <c r="S100" s="1041"/>
    </row>
    <row r="101" spans="4:22" x14ac:dyDescent="0.35">
      <c r="D101" s="1041"/>
      <c r="E101" s="1041"/>
      <c r="F101" s="1041"/>
      <c r="G101" s="1041"/>
      <c r="H101" s="1041"/>
      <c r="I101" s="1041"/>
      <c r="J101" s="1041"/>
      <c r="M101" s="1041"/>
      <c r="N101" s="1041"/>
      <c r="O101" s="1041"/>
      <c r="P101" s="1041"/>
      <c r="Q101" s="1041"/>
      <c r="R101" s="1041"/>
      <c r="S101" s="1041"/>
    </row>
    <row r="102" spans="4:22" x14ac:dyDescent="0.35">
      <c r="D102" s="1041"/>
      <c r="E102" s="1041"/>
      <c r="F102" s="1041"/>
      <c r="G102" s="1041"/>
      <c r="H102" s="1041"/>
      <c r="I102" s="1041"/>
      <c r="J102" s="1041"/>
      <c r="M102" s="1041"/>
      <c r="N102" s="1041"/>
      <c r="O102" s="1041"/>
      <c r="P102" s="1041"/>
      <c r="Q102" s="1041"/>
      <c r="R102" s="1041"/>
      <c r="S102" s="1041"/>
    </row>
    <row r="103" spans="4:22" x14ac:dyDescent="0.35">
      <c r="D103" s="1041"/>
      <c r="E103" s="1041"/>
      <c r="F103" s="1041"/>
      <c r="G103" s="1041"/>
      <c r="H103" s="1041"/>
      <c r="I103" s="1041"/>
      <c r="J103" s="1041"/>
      <c r="M103" s="1041"/>
      <c r="N103" s="1041"/>
      <c r="O103" s="1041"/>
      <c r="P103" s="1041"/>
      <c r="Q103" s="1041"/>
      <c r="R103" s="1041"/>
      <c r="S103" s="1041"/>
    </row>
    <row r="104" spans="4:22" x14ac:dyDescent="0.35">
      <c r="D104" s="1041"/>
      <c r="E104" s="1041"/>
      <c r="F104" s="1041"/>
      <c r="G104" s="1041"/>
      <c r="H104" s="1041"/>
      <c r="I104" s="1041"/>
      <c r="J104" s="1041"/>
      <c r="M104" s="1041"/>
      <c r="N104" s="1041"/>
      <c r="O104" s="1041"/>
      <c r="P104" s="1041"/>
      <c r="Q104" s="1041"/>
      <c r="R104" s="1041"/>
      <c r="S104" s="1041"/>
    </row>
    <row r="105" spans="4:22" x14ac:dyDescent="0.35">
      <c r="D105" s="1041"/>
      <c r="E105" s="1041"/>
      <c r="F105" s="1041"/>
      <c r="G105" s="1041"/>
      <c r="H105" s="1041"/>
      <c r="I105" s="1041"/>
      <c r="J105" s="1041"/>
      <c r="M105" s="1041"/>
      <c r="N105" s="1041"/>
      <c r="O105" s="1041"/>
      <c r="P105" s="1041"/>
      <c r="Q105" s="1041"/>
      <c r="R105" s="1041"/>
      <c r="S105" s="1041"/>
    </row>
    <row r="106" spans="4:22" x14ac:dyDescent="0.35">
      <c r="D106" s="1041"/>
      <c r="E106" s="1041"/>
      <c r="F106" s="1041"/>
      <c r="G106" s="1041"/>
      <c r="H106" s="1041"/>
      <c r="I106" s="1041"/>
      <c r="J106" s="1041"/>
      <c r="M106" s="1041"/>
      <c r="N106" s="1041"/>
      <c r="O106" s="1041"/>
      <c r="P106" s="1041"/>
      <c r="Q106" s="1041"/>
      <c r="R106" s="1041"/>
      <c r="S106" s="1041"/>
    </row>
    <row r="107" spans="4:22" x14ac:dyDescent="0.35">
      <c r="D107" s="1041"/>
      <c r="E107" s="1041"/>
      <c r="F107" s="1041"/>
      <c r="G107" s="1041"/>
      <c r="H107" s="1041"/>
      <c r="I107" s="1041"/>
      <c r="J107" s="1041"/>
      <c r="M107" s="1041"/>
      <c r="N107" s="1041"/>
      <c r="O107" s="1041"/>
      <c r="P107" s="1041"/>
      <c r="Q107" s="1041"/>
      <c r="R107" s="1041"/>
      <c r="S107" s="1041"/>
    </row>
    <row r="108" spans="4:22" x14ac:dyDescent="0.35">
      <c r="D108" s="1041"/>
      <c r="E108" s="1041"/>
      <c r="F108" s="1041"/>
      <c r="G108" s="1041"/>
      <c r="H108" s="1041"/>
      <c r="I108" s="1041"/>
      <c r="J108" s="1041"/>
      <c r="M108" s="1041"/>
      <c r="N108" s="1041"/>
      <c r="O108" s="1041"/>
      <c r="P108" s="1041"/>
      <c r="Q108" s="1041"/>
      <c r="R108" s="1041"/>
      <c r="S108" s="1041"/>
    </row>
    <row r="109" spans="4:22" x14ac:dyDescent="0.35">
      <c r="D109" s="1041"/>
      <c r="E109" s="1041"/>
      <c r="F109" s="1041"/>
      <c r="G109" s="1041"/>
      <c r="H109" s="1041"/>
      <c r="I109" s="1041"/>
      <c r="J109" s="1041"/>
      <c r="M109" s="1041"/>
      <c r="N109" s="1041"/>
      <c r="O109" s="1041"/>
      <c r="P109" s="1041"/>
      <c r="Q109" s="1041"/>
      <c r="R109" s="1041"/>
      <c r="S109" s="1041"/>
    </row>
    <row r="110" spans="4:22" x14ac:dyDescent="0.35">
      <c r="D110" s="1041"/>
      <c r="E110" s="1041"/>
      <c r="F110" s="1041"/>
      <c r="G110" s="1041"/>
      <c r="H110" s="1041"/>
      <c r="I110" s="1041"/>
      <c r="J110" s="1041"/>
      <c r="M110" s="1041"/>
      <c r="N110" s="1041"/>
      <c r="O110" s="1041"/>
      <c r="P110" s="1041"/>
      <c r="Q110" s="1041"/>
      <c r="R110" s="1041"/>
      <c r="S110" s="1041"/>
    </row>
    <row r="111" spans="4:22" x14ac:dyDescent="0.35">
      <c r="D111" s="1041"/>
      <c r="E111" s="1041"/>
      <c r="F111" s="1041"/>
      <c r="G111" s="1041"/>
      <c r="H111" s="1041"/>
      <c r="I111" s="1041"/>
      <c r="J111" s="1041"/>
      <c r="K111" s="1041"/>
      <c r="L111"/>
      <c r="M111" s="1041"/>
      <c r="N111" s="1041"/>
      <c r="O111" s="1041"/>
      <c r="P111" s="1041"/>
      <c r="Q111" s="1041"/>
      <c r="R111" s="1041"/>
      <c r="S111" s="1041"/>
      <c r="T111" s="1041"/>
      <c r="U111" s="1041"/>
      <c r="V111" s="1035"/>
    </row>
    <row r="112" spans="4:22" x14ac:dyDescent="0.35">
      <c r="D112" s="1041"/>
      <c r="E112" s="1041"/>
      <c r="F112" s="1041"/>
      <c r="G112" s="1041"/>
      <c r="H112" s="1041"/>
      <c r="I112" s="1041"/>
      <c r="J112" s="1041"/>
      <c r="K112" s="1041"/>
      <c r="L112" s="1041"/>
      <c r="M112" s="1041"/>
      <c r="N112" s="1041"/>
      <c r="O112" s="1041"/>
      <c r="P112" s="1041"/>
      <c r="Q112" s="1041"/>
      <c r="R112" s="1041"/>
      <c r="S112" s="1041"/>
      <c r="T112" s="1041"/>
      <c r="U112" s="1041"/>
      <c r="V112" s="1041"/>
    </row>
    <row r="113" spans="3:22" x14ac:dyDescent="0.35">
      <c r="D113" s="1041"/>
      <c r="E113" s="1041"/>
      <c r="F113" s="1041"/>
      <c r="G113" s="1041"/>
      <c r="H113" s="1041"/>
      <c r="I113" s="1041"/>
      <c r="J113" s="1041"/>
      <c r="K113" s="1041"/>
      <c r="L113" s="1041"/>
      <c r="M113" s="1041"/>
      <c r="N113" s="1041"/>
      <c r="O113" s="1041"/>
      <c r="P113" s="1041"/>
      <c r="Q113" s="1041"/>
      <c r="R113" s="1041"/>
      <c r="S113" s="1041"/>
      <c r="T113" s="1041"/>
      <c r="U113" s="1041"/>
      <c r="V113" s="1041"/>
    </row>
    <row r="114" spans="3:22" x14ac:dyDescent="0.4">
      <c r="C114" s="1321"/>
      <c r="D114" s="1322"/>
      <c r="E114" s="1322"/>
      <c r="F114" s="1323"/>
      <c r="G114" s="1324"/>
      <c r="H114" s="1323"/>
      <c r="I114" s="1080"/>
      <c r="J114" s="1041"/>
      <c r="K114" s="1041"/>
      <c r="L114" s="1041"/>
      <c r="M114" s="1041"/>
      <c r="N114" s="1041"/>
      <c r="O114" s="1041"/>
      <c r="P114" s="1041"/>
      <c r="Q114" s="1041"/>
      <c r="R114" s="1041"/>
      <c r="S114" s="1041"/>
      <c r="T114" s="1041"/>
      <c r="U114" s="1041"/>
      <c r="V114" s="1317"/>
    </row>
    <row r="115" spans="3:22" x14ac:dyDescent="0.4">
      <c r="C115" s="1325"/>
      <c r="D115" s="1326"/>
      <c r="E115" s="1327"/>
      <c r="F115" s="1327"/>
      <c r="G115" s="1328"/>
      <c r="H115" s="1327"/>
      <c r="I115" s="1329"/>
      <c r="J115" s="1041"/>
      <c r="K115" s="1041"/>
      <c r="L115" s="1041"/>
      <c r="M115" s="1041"/>
      <c r="N115" s="1041"/>
      <c r="O115" s="1041"/>
      <c r="P115" s="1041"/>
      <c r="Q115" s="1041"/>
      <c r="R115" s="1041"/>
      <c r="S115" s="1041"/>
      <c r="T115" s="1041"/>
      <c r="U115" s="1041"/>
      <c r="V115" s="1317"/>
    </row>
    <row r="116" spans="3:22" x14ac:dyDescent="0.4">
      <c r="D116" s="1330"/>
      <c r="E116" s="1331"/>
      <c r="F116" s="1331"/>
      <c r="G116" s="1332"/>
      <c r="H116" s="1331"/>
      <c r="I116" s="1333"/>
      <c r="J116" s="1041"/>
      <c r="K116" s="1041"/>
      <c r="L116" s="1041"/>
      <c r="M116" s="1041"/>
      <c r="N116" s="1041"/>
      <c r="O116" s="1041"/>
      <c r="P116" s="1041"/>
      <c r="Q116" s="1041"/>
      <c r="R116" s="1041"/>
      <c r="S116" s="1041"/>
      <c r="T116" s="1041"/>
      <c r="U116" s="1041"/>
      <c r="V116" s="1317"/>
    </row>
    <row r="117" spans="3:22" x14ac:dyDescent="0.4">
      <c r="C117" s="1321"/>
      <c r="D117" s="1334"/>
      <c r="E117" s="1335"/>
      <c r="F117" s="1335"/>
      <c r="G117" s="1336"/>
      <c r="H117" s="1335"/>
      <c r="I117" s="1337"/>
      <c r="J117" s="1041"/>
      <c r="M117" s="1041"/>
      <c r="N117" s="1041"/>
      <c r="O117" s="1041"/>
      <c r="P117" s="1041"/>
      <c r="Q117" s="1041"/>
      <c r="R117" s="1041"/>
      <c r="S117" s="1317"/>
    </row>
    <row r="118" spans="3:22" x14ac:dyDescent="0.4">
      <c r="D118" s="1330"/>
      <c r="E118" s="1331"/>
      <c r="F118" s="1331"/>
      <c r="G118" s="1332"/>
      <c r="H118" s="1331"/>
      <c r="I118" s="1333"/>
      <c r="J118" s="1041"/>
      <c r="M118" s="1041"/>
      <c r="N118" s="1041"/>
      <c r="O118" s="1041"/>
      <c r="P118" s="1041"/>
      <c r="Q118" s="1041"/>
      <c r="R118" s="1041"/>
      <c r="S118" s="1317"/>
    </row>
    <row r="119" spans="3:22" x14ac:dyDescent="0.4">
      <c r="C119" s="1321"/>
      <c r="D119" s="1334"/>
      <c r="E119" s="1335"/>
      <c r="F119" s="1335"/>
      <c r="G119" s="1336"/>
      <c r="H119" s="1335"/>
      <c r="I119" s="1337"/>
      <c r="J119" s="1041"/>
      <c r="M119" s="1041"/>
      <c r="N119" s="1041"/>
      <c r="O119" s="1041"/>
      <c r="P119" s="1041"/>
      <c r="Q119" s="1041"/>
      <c r="R119" s="1041"/>
      <c r="S119" s="1317"/>
    </row>
    <row r="120" spans="3:22" x14ac:dyDescent="0.4">
      <c r="C120" s="1307"/>
      <c r="D120" s="1338"/>
      <c r="E120" s="1339"/>
      <c r="F120" s="1339"/>
      <c r="G120" s="1340"/>
      <c r="H120" s="1339"/>
      <c r="I120" s="1341"/>
      <c r="J120" s="1041"/>
      <c r="M120" s="1041"/>
      <c r="N120" s="1041"/>
      <c r="O120" s="1041"/>
      <c r="P120" s="1041"/>
      <c r="Q120" s="1041"/>
      <c r="R120" s="1041"/>
      <c r="S120" s="1317"/>
    </row>
    <row r="121" spans="3:22" x14ac:dyDescent="0.4">
      <c r="D121" s="1041"/>
      <c r="E121" s="1041"/>
      <c r="F121" s="1041"/>
      <c r="G121" s="1041"/>
      <c r="H121" s="1041"/>
      <c r="I121" s="1041"/>
      <c r="J121" s="1041"/>
      <c r="M121" s="1041"/>
      <c r="N121" s="1041"/>
      <c r="O121" s="1041"/>
      <c r="P121" s="1041"/>
      <c r="Q121" s="1041"/>
      <c r="R121" s="1041"/>
      <c r="S121" s="1317"/>
    </row>
    <row r="122" spans="3:22" x14ac:dyDescent="0.4">
      <c r="D122" s="1041"/>
      <c r="E122" s="1041"/>
      <c r="F122" s="1041"/>
      <c r="G122" s="1041"/>
      <c r="H122" s="1041"/>
      <c r="I122" s="1041"/>
      <c r="J122" s="1041"/>
      <c r="M122" s="1041"/>
      <c r="N122" s="1041"/>
      <c r="O122" s="1041"/>
      <c r="P122" s="1041"/>
      <c r="Q122" s="1041"/>
      <c r="R122" s="1041"/>
      <c r="S122" s="1317"/>
    </row>
    <row r="123" spans="3:22" x14ac:dyDescent="0.4">
      <c r="D123" s="1041"/>
      <c r="E123" s="1041"/>
      <c r="F123" s="1041"/>
      <c r="G123" s="1041"/>
      <c r="H123" s="1041"/>
      <c r="I123" s="1041"/>
      <c r="J123" s="1041"/>
      <c r="M123" s="1041"/>
      <c r="N123" s="1041"/>
      <c r="O123" s="1041"/>
      <c r="P123" s="1041"/>
      <c r="Q123" s="1041"/>
      <c r="R123" s="1041"/>
      <c r="S123" s="1317"/>
    </row>
    <row r="124" spans="3:22" x14ac:dyDescent="0.4">
      <c r="D124" s="1041"/>
      <c r="E124" s="1041"/>
      <c r="F124" s="1041"/>
      <c r="G124" s="1041"/>
      <c r="H124" s="1041"/>
      <c r="I124" s="1041"/>
      <c r="J124" s="1041"/>
      <c r="M124" s="1317"/>
      <c r="N124" s="1317"/>
      <c r="O124" s="1317"/>
      <c r="P124" s="1317"/>
      <c r="Q124" s="1317"/>
      <c r="R124" s="1317"/>
      <c r="S124" s="1317"/>
    </row>
    <row r="125" spans="3:22" x14ac:dyDescent="0.4">
      <c r="D125" s="1041"/>
      <c r="E125" s="1041"/>
      <c r="F125" s="1041"/>
      <c r="G125" s="1041"/>
      <c r="H125" s="1041"/>
      <c r="I125" s="1041"/>
      <c r="J125" s="1041"/>
      <c r="M125" s="1317"/>
      <c r="N125" s="1317"/>
      <c r="O125" s="1317"/>
      <c r="P125" s="1317"/>
      <c r="Q125" s="1317"/>
      <c r="R125" s="1317"/>
      <c r="S125" s="1317"/>
    </row>
    <row r="126" spans="3:22" x14ac:dyDescent="0.4">
      <c r="D126" s="1041"/>
      <c r="E126" s="1041"/>
      <c r="F126" s="1041"/>
      <c r="G126" s="1041"/>
      <c r="H126" s="1041"/>
      <c r="I126" s="1041"/>
      <c r="J126" s="1041"/>
      <c r="M126" s="1317"/>
      <c r="N126" s="1317"/>
      <c r="O126" s="1317"/>
      <c r="P126" s="1317"/>
      <c r="Q126" s="1317"/>
      <c r="R126" s="1317"/>
      <c r="S126" s="1317"/>
    </row>
    <row r="127" spans="3:22" x14ac:dyDescent="0.4">
      <c r="D127" s="1041"/>
      <c r="E127" s="1041"/>
      <c r="F127" s="1041"/>
      <c r="G127" s="1041"/>
      <c r="H127" s="1041"/>
      <c r="I127" s="1041"/>
      <c r="J127" s="1041"/>
      <c r="M127" s="1317"/>
      <c r="N127" s="1317"/>
      <c r="O127" s="1317"/>
      <c r="P127" s="1317"/>
      <c r="Q127" s="1317"/>
      <c r="R127" s="1317"/>
      <c r="S127" s="1317"/>
    </row>
    <row r="128" spans="3:22" x14ac:dyDescent="0.4">
      <c r="D128" s="1041"/>
      <c r="E128" s="1041"/>
      <c r="F128" s="1041"/>
      <c r="G128" s="1041"/>
      <c r="H128" s="1041"/>
      <c r="I128" s="1041"/>
      <c r="J128" s="1041"/>
      <c r="M128" s="1317"/>
      <c r="N128" s="1317"/>
      <c r="O128" s="1317"/>
      <c r="P128" s="1317"/>
      <c r="Q128" s="1317"/>
      <c r="R128" s="1317"/>
      <c r="S128" s="1317"/>
    </row>
    <row r="129" spans="4:19" x14ac:dyDescent="0.4">
      <c r="D129" s="1041"/>
      <c r="E129" s="1041"/>
      <c r="F129" s="1041"/>
      <c r="G129" s="1041"/>
      <c r="H129" s="1041"/>
      <c r="I129" s="1041"/>
      <c r="J129" s="1041"/>
      <c r="M129" s="1317"/>
      <c r="N129" s="1317"/>
      <c r="O129" s="1317"/>
      <c r="P129" s="1317"/>
      <c r="Q129" s="1317"/>
      <c r="R129" s="1317"/>
      <c r="S129" s="1317"/>
    </row>
    <row r="130" spans="4:19" x14ac:dyDescent="0.4">
      <c r="D130" s="1041"/>
      <c r="E130" s="1041"/>
      <c r="F130" s="1041"/>
      <c r="G130" s="1041"/>
      <c r="H130" s="1041"/>
      <c r="I130" s="1041"/>
      <c r="J130" s="1041"/>
      <c r="M130" s="1317"/>
      <c r="N130" s="1317"/>
      <c r="O130" s="1317"/>
      <c r="P130" s="1317"/>
      <c r="Q130" s="1317"/>
      <c r="R130" s="1317"/>
      <c r="S130" s="1317"/>
    </row>
    <row r="131" spans="4:19" x14ac:dyDescent="0.4">
      <c r="D131" s="1041"/>
      <c r="E131" s="1041"/>
      <c r="F131" s="1041"/>
      <c r="G131" s="1041"/>
      <c r="H131" s="1041"/>
      <c r="I131" s="1041"/>
      <c r="J131" s="1041"/>
      <c r="M131" s="1317"/>
      <c r="N131" s="1317"/>
      <c r="O131" s="1317"/>
      <c r="P131" s="1317"/>
      <c r="Q131" s="1317"/>
      <c r="R131" s="1317"/>
      <c r="S131" s="1317"/>
    </row>
    <row r="132" spans="4:19" x14ac:dyDescent="0.4">
      <c r="D132" s="1041"/>
      <c r="E132" s="1041"/>
      <c r="F132" s="1041"/>
      <c r="G132" s="1041"/>
      <c r="H132" s="1041"/>
      <c r="I132" s="1041"/>
      <c r="J132" s="1041"/>
      <c r="M132" s="1317"/>
      <c r="N132" s="1317"/>
      <c r="O132" s="1317"/>
      <c r="P132" s="1317"/>
      <c r="Q132" s="1317"/>
      <c r="R132" s="1317"/>
      <c r="S132" s="1317"/>
    </row>
    <row r="133" spans="4:19" x14ac:dyDescent="0.4">
      <c r="D133" s="1041"/>
      <c r="E133" s="1041"/>
      <c r="F133" s="1041"/>
      <c r="G133" s="1041"/>
      <c r="H133" s="1041"/>
      <c r="I133" s="1041"/>
      <c r="J133" s="1041"/>
      <c r="M133" s="1317"/>
      <c r="N133" s="1317"/>
      <c r="O133" s="1317"/>
      <c r="P133" s="1317"/>
      <c r="Q133" s="1317"/>
      <c r="R133" s="1317"/>
      <c r="S133" s="1317"/>
    </row>
    <row r="134" spans="4:19" x14ac:dyDescent="0.4">
      <c r="D134" s="1041"/>
      <c r="E134" s="1041"/>
      <c r="F134" s="1041"/>
      <c r="G134" s="1041"/>
      <c r="H134" s="1041"/>
      <c r="I134" s="1041"/>
      <c r="J134" s="1041"/>
      <c r="M134" s="1317"/>
      <c r="N134" s="1317"/>
      <c r="O134" s="1317"/>
      <c r="P134" s="1317"/>
      <c r="Q134" s="1317"/>
      <c r="R134" s="1317"/>
      <c r="S134" s="1317"/>
    </row>
    <row r="135" spans="4:19" x14ac:dyDescent="0.4">
      <c r="D135" s="1041"/>
      <c r="E135" s="1041"/>
      <c r="F135" s="1041"/>
      <c r="G135" s="1041"/>
      <c r="H135" s="1041"/>
      <c r="I135" s="1041"/>
      <c r="J135" s="1041"/>
      <c r="M135" s="1317"/>
      <c r="N135" s="1317"/>
      <c r="O135" s="1317"/>
      <c r="P135" s="1317"/>
      <c r="Q135" s="1317"/>
      <c r="R135" s="1317"/>
      <c r="S135" s="1317"/>
    </row>
    <row r="136" spans="4:19" x14ac:dyDescent="0.4">
      <c r="D136" s="1041"/>
      <c r="E136" s="1041"/>
      <c r="F136" s="1041"/>
      <c r="G136" s="1041"/>
      <c r="H136" s="1041"/>
      <c r="I136" s="1041"/>
      <c r="J136" s="1041"/>
      <c r="M136" s="1317"/>
      <c r="N136" s="1317"/>
      <c r="O136" s="1317"/>
      <c r="P136" s="1317"/>
      <c r="Q136" s="1317"/>
      <c r="R136" s="1317"/>
      <c r="S136" s="1317"/>
    </row>
    <row r="137" spans="4:19" x14ac:dyDescent="0.4">
      <c r="D137" s="1041"/>
      <c r="E137" s="1041"/>
      <c r="F137" s="1041"/>
      <c r="G137" s="1041"/>
      <c r="H137" s="1041"/>
      <c r="I137" s="1041"/>
      <c r="J137" s="1041"/>
      <c r="M137" s="1317"/>
      <c r="N137" s="1317"/>
      <c r="O137" s="1317"/>
      <c r="P137" s="1317"/>
      <c r="Q137" s="1317"/>
      <c r="R137" s="1317"/>
      <c r="S137" s="1317"/>
    </row>
    <row r="138" spans="4:19" x14ac:dyDescent="0.4">
      <c r="D138" s="1041"/>
      <c r="E138" s="1041"/>
      <c r="F138" s="1041"/>
      <c r="G138" s="1041"/>
      <c r="H138" s="1041"/>
      <c r="I138" s="1041"/>
      <c r="J138" s="1041"/>
      <c r="M138" s="1317"/>
      <c r="N138" s="1317"/>
      <c r="O138" s="1317"/>
      <c r="P138" s="1317"/>
      <c r="Q138" s="1317"/>
      <c r="R138" s="1317"/>
    </row>
    <row r="139" spans="4:19" x14ac:dyDescent="0.4">
      <c r="D139" s="1041"/>
      <c r="E139" s="1041"/>
      <c r="F139" s="1041"/>
      <c r="G139" s="1041"/>
      <c r="H139" s="1041"/>
      <c r="I139" s="1041"/>
      <c r="J139" s="1041"/>
      <c r="M139" s="1317"/>
      <c r="N139" s="1317"/>
      <c r="O139" s="1317"/>
      <c r="P139" s="1317"/>
      <c r="Q139" s="1317"/>
      <c r="R139" s="1317"/>
    </row>
    <row r="140" spans="4:19" x14ac:dyDescent="0.4">
      <c r="D140" s="1041"/>
      <c r="E140" s="1041"/>
      <c r="F140" s="1041"/>
      <c r="G140" s="1041"/>
      <c r="H140" s="1041"/>
      <c r="I140" s="1041"/>
      <c r="J140" s="1041"/>
      <c r="M140" s="1317"/>
      <c r="N140" s="1317"/>
      <c r="O140" s="1317"/>
      <c r="P140" s="1317"/>
      <c r="Q140" s="1317"/>
      <c r="R140" s="1317"/>
    </row>
    <row r="141" spans="4:19" x14ac:dyDescent="0.4">
      <c r="D141" s="1041"/>
      <c r="E141" s="1041"/>
      <c r="F141" s="1041"/>
      <c r="G141" s="1041"/>
      <c r="H141" s="1041"/>
      <c r="I141" s="1041"/>
      <c r="J141" s="1041"/>
      <c r="M141" s="1317"/>
      <c r="N141" s="1317"/>
      <c r="O141" s="1317"/>
      <c r="P141" s="1317"/>
      <c r="Q141" s="1317"/>
      <c r="R141" s="1317"/>
    </row>
    <row r="142" spans="4:19" x14ac:dyDescent="0.4">
      <c r="D142" s="1041"/>
      <c r="E142" s="1041"/>
      <c r="F142" s="1041"/>
      <c r="G142" s="1041"/>
      <c r="H142" s="1041"/>
      <c r="I142" s="1041"/>
      <c r="J142" s="1041"/>
      <c r="M142" s="1317"/>
      <c r="N142" s="1317"/>
      <c r="O142" s="1317"/>
      <c r="P142" s="1317"/>
      <c r="Q142" s="1317"/>
      <c r="R142" s="1317"/>
    </row>
    <row r="143" spans="4:19" x14ac:dyDescent="0.4">
      <c r="D143" s="1041"/>
      <c r="E143" s="1041"/>
      <c r="F143" s="1041"/>
      <c r="G143" s="1041"/>
      <c r="H143" s="1041"/>
      <c r="I143" s="1041"/>
      <c r="J143" s="1041"/>
      <c r="M143" s="1317"/>
      <c r="N143" s="1317"/>
      <c r="O143" s="1317"/>
      <c r="P143" s="1317"/>
      <c r="Q143" s="1317"/>
      <c r="R143" s="1317"/>
    </row>
    <row r="144" spans="4:19" x14ac:dyDescent="0.4">
      <c r="D144" s="1041"/>
      <c r="E144" s="1041"/>
      <c r="F144" s="1041"/>
      <c r="G144" s="1041"/>
      <c r="H144" s="1041"/>
      <c r="I144" s="1041"/>
      <c r="J144" s="1041"/>
      <c r="M144" s="1317"/>
      <c r="N144" s="1317"/>
      <c r="O144" s="1317"/>
      <c r="P144" s="1317"/>
      <c r="Q144" s="1317"/>
      <c r="R144" s="1317"/>
    </row>
    <row r="145" spans="4:18" x14ac:dyDescent="0.4">
      <c r="D145" s="1041"/>
      <c r="E145" s="1041"/>
      <c r="F145" s="1041"/>
      <c r="G145" s="1041"/>
      <c r="H145" s="1041"/>
      <c r="I145" s="1041"/>
      <c r="J145" s="1041"/>
      <c r="M145" s="1317"/>
      <c r="N145" s="1317"/>
      <c r="O145" s="1317"/>
      <c r="P145" s="1317"/>
      <c r="Q145" s="1317"/>
      <c r="R145" s="1317"/>
    </row>
    <row r="146" spans="4:18" x14ac:dyDescent="0.4">
      <c r="D146" s="1041"/>
      <c r="E146" s="1041"/>
      <c r="F146" s="1041"/>
      <c r="G146" s="1041"/>
      <c r="H146" s="1041"/>
      <c r="I146" s="1041"/>
      <c r="J146" s="1041"/>
      <c r="M146" s="1317"/>
      <c r="N146" s="1317"/>
      <c r="O146" s="1317"/>
      <c r="P146" s="1317"/>
      <c r="Q146" s="1317"/>
      <c r="R146" s="1317"/>
    </row>
    <row r="147" spans="4:18" x14ac:dyDescent="0.4">
      <c r="D147" s="1041"/>
      <c r="E147" s="1041"/>
      <c r="F147" s="1041"/>
      <c r="G147" s="1041"/>
      <c r="H147" s="1041"/>
      <c r="I147" s="1041"/>
      <c r="J147" s="1041"/>
      <c r="M147" s="1317"/>
      <c r="N147" s="1317"/>
      <c r="O147" s="1317"/>
      <c r="P147" s="1317"/>
      <c r="Q147" s="1317"/>
      <c r="R147" s="1317"/>
    </row>
    <row r="148" spans="4:18" x14ac:dyDescent="0.35">
      <c r="D148" s="1041"/>
      <c r="E148" s="1041"/>
      <c r="F148" s="1041"/>
      <c r="G148" s="1041"/>
      <c r="H148" s="1041"/>
      <c r="I148" s="1041"/>
      <c r="J148" s="1041"/>
    </row>
    <row r="149" spans="4:18" x14ac:dyDescent="0.35">
      <c r="D149" s="1041"/>
      <c r="E149" s="1041"/>
      <c r="F149" s="1041"/>
      <c r="G149" s="1041"/>
      <c r="H149" s="1041"/>
      <c r="I149" s="1041"/>
      <c r="J149" s="1041"/>
    </row>
    <row r="150" spans="4:18" x14ac:dyDescent="0.35">
      <c r="D150" s="1041"/>
      <c r="E150" s="1041"/>
      <c r="F150" s="1041"/>
      <c r="G150" s="1041"/>
      <c r="H150" s="1041"/>
      <c r="I150" s="1041"/>
      <c r="J150" s="1041"/>
    </row>
    <row r="151" spans="4:18" x14ac:dyDescent="0.35">
      <c r="D151" s="1041"/>
      <c r="E151" s="1041"/>
      <c r="F151" s="1041"/>
      <c r="G151" s="1041"/>
      <c r="H151" s="1041"/>
      <c r="I151" s="1041"/>
      <c r="J151" s="1041"/>
    </row>
    <row r="152" spans="4:18" x14ac:dyDescent="0.35">
      <c r="D152" s="1041"/>
      <c r="E152" s="1041"/>
      <c r="F152" s="1041"/>
      <c r="G152" s="1041"/>
      <c r="H152" s="1041"/>
      <c r="I152" s="1041"/>
      <c r="J152" s="1041"/>
    </row>
    <row r="153" spans="4:18" x14ac:dyDescent="0.35">
      <c r="D153" s="1041"/>
      <c r="E153" s="1041"/>
      <c r="F153" s="1041"/>
      <c r="G153" s="1041"/>
      <c r="H153" s="1041"/>
      <c r="I153" s="1041"/>
      <c r="J153" s="1041"/>
    </row>
    <row r="154" spans="4:18" x14ac:dyDescent="0.35">
      <c r="D154" s="1041"/>
      <c r="E154" s="1041"/>
      <c r="F154" s="1041"/>
      <c r="G154" s="1041"/>
      <c r="H154" s="1041"/>
      <c r="I154" s="1041"/>
      <c r="J154" s="1041"/>
    </row>
    <row r="155" spans="4:18" x14ac:dyDescent="0.35">
      <c r="D155" s="1041"/>
      <c r="E155" s="1041"/>
      <c r="F155" s="1041"/>
      <c r="G155" s="1041"/>
      <c r="H155" s="1041"/>
      <c r="I155" s="1041"/>
      <c r="J155" s="1041"/>
    </row>
    <row r="156" spans="4:18" x14ac:dyDescent="0.35">
      <c r="D156" s="1041"/>
      <c r="E156" s="1041"/>
      <c r="F156" s="1041"/>
      <c r="G156" s="1041"/>
      <c r="H156" s="1041"/>
      <c r="I156" s="1041"/>
      <c r="J156" s="1041"/>
    </row>
    <row r="157" spans="4:18" x14ac:dyDescent="0.35">
      <c r="D157" s="1041"/>
      <c r="E157" s="1041"/>
      <c r="F157" s="1041"/>
      <c r="G157" s="1041"/>
      <c r="H157" s="1041"/>
      <c r="I157" s="1041"/>
      <c r="J157" s="1041"/>
    </row>
    <row r="158" spans="4:18" x14ac:dyDescent="0.35">
      <c r="D158" s="1041"/>
      <c r="E158" s="1041"/>
      <c r="F158" s="1041"/>
      <c r="G158" s="1041"/>
      <c r="H158" s="1041"/>
      <c r="I158" s="1041"/>
      <c r="J158" s="1041"/>
    </row>
    <row r="159" spans="4:18" x14ac:dyDescent="0.35">
      <c r="D159" s="1041"/>
      <c r="E159" s="1041"/>
      <c r="F159" s="1041"/>
      <c r="G159" s="1041"/>
      <c r="H159" s="1041"/>
      <c r="I159" s="1041"/>
      <c r="J159" s="1041"/>
    </row>
    <row r="160" spans="4:18" x14ac:dyDescent="0.35">
      <c r="D160" s="1041"/>
      <c r="E160" s="1041"/>
      <c r="F160" s="1041"/>
      <c r="G160" s="1041"/>
      <c r="H160" s="1041"/>
      <c r="I160" s="1041"/>
      <c r="J160" s="1041"/>
    </row>
    <row r="161" spans="4:10" x14ac:dyDescent="0.35">
      <c r="D161" s="1041"/>
      <c r="E161" s="1041"/>
      <c r="F161" s="1041"/>
      <c r="G161" s="1041"/>
      <c r="H161" s="1041"/>
      <c r="I161" s="1041"/>
      <c r="J161" s="1041"/>
    </row>
    <row r="162" spans="4:10" x14ac:dyDescent="0.35">
      <c r="D162" s="1041"/>
      <c r="E162" s="1041"/>
      <c r="F162" s="1041"/>
      <c r="G162" s="1041"/>
      <c r="H162" s="1041"/>
      <c r="I162" s="1041"/>
      <c r="J162" s="1041"/>
    </row>
    <row r="163" spans="4:10" x14ac:dyDescent="0.35">
      <c r="D163" s="1041"/>
      <c r="E163" s="1041"/>
      <c r="F163" s="1041"/>
      <c r="G163" s="1041"/>
      <c r="H163" s="1041"/>
      <c r="I163" s="1041"/>
      <c r="J163" s="1041"/>
    </row>
    <row r="164" spans="4:10" x14ac:dyDescent="0.35">
      <c r="D164" s="1041"/>
      <c r="E164" s="1041"/>
      <c r="F164" s="1041"/>
      <c r="G164" s="1041"/>
      <c r="H164" s="1041"/>
      <c r="I164" s="1041"/>
      <c r="J164" s="1041"/>
    </row>
    <row r="165" spans="4:10" x14ac:dyDescent="0.35">
      <c r="D165" s="1041"/>
      <c r="E165" s="1041"/>
      <c r="F165" s="1041"/>
      <c r="G165" s="1041"/>
      <c r="H165" s="1041"/>
      <c r="I165" s="1041"/>
      <c r="J165" s="1041"/>
    </row>
    <row r="166" spans="4:10" x14ac:dyDescent="0.35">
      <c r="D166" s="1041"/>
      <c r="E166" s="1041"/>
      <c r="F166" s="1041"/>
      <c r="G166" s="1041"/>
      <c r="H166" s="1041"/>
      <c r="I166" s="1041"/>
      <c r="J166" s="1041"/>
    </row>
    <row r="167" spans="4:10" x14ac:dyDescent="0.35">
      <c r="D167" s="1041"/>
      <c r="E167" s="1041"/>
      <c r="F167" s="1041"/>
      <c r="G167" s="1041"/>
      <c r="H167" s="1041"/>
      <c r="I167" s="1041"/>
      <c r="J167" s="1041"/>
    </row>
    <row r="168" spans="4:10" x14ac:dyDescent="0.35">
      <c r="D168" s="1041"/>
      <c r="E168" s="1041"/>
      <c r="F168" s="1041"/>
      <c r="G168" s="1041"/>
      <c r="H168" s="1041"/>
      <c r="I168" s="1041"/>
      <c r="J168" s="1041"/>
    </row>
    <row r="169" spans="4:10" x14ac:dyDescent="0.35">
      <c r="D169" s="1041"/>
      <c r="E169" s="1041"/>
      <c r="F169" s="1041"/>
      <c r="G169" s="1041"/>
      <c r="H169" s="1041"/>
      <c r="I169" s="1041"/>
      <c r="J169" s="1041"/>
    </row>
    <row r="170" spans="4:10" x14ac:dyDescent="0.35">
      <c r="D170" s="1041"/>
      <c r="E170" s="1041"/>
      <c r="F170" s="1041"/>
      <c r="G170" s="1041"/>
      <c r="H170" s="1041"/>
      <c r="I170" s="1041"/>
      <c r="J170" s="1041"/>
    </row>
    <row r="171" spans="4:10" x14ac:dyDescent="0.35">
      <c r="D171" s="1041"/>
      <c r="E171" s="1041"/>
      <c r="F171" s="1041"/>
      <c r="G171" s="1041"/>
      <c r="H171" s="1041"/>
      <c r="I171" s="1041"/>
      <c r="J171" s="1041"/>
    </row>
    <row r="172" spans="4:10" x14ac:dyDescent="0.35">
      <c r="D172" s="1041"/>
      <c r="E172" s="1041"/>
      <c r="F172" s="1041"/>
      <c r="G172" s="1041"/>
      <c r="H172" s="1041"/>
      <c r="I172" s="1041"/>
      <c r="J172" s="1041"/>
    </row>
    <row r="173" spans="4:10" x14ac:dyDescent="0.35">
      <c r="D173" s="1041"/>
      <c r="E173" s="1041"/>
      <c r="F173" s="1041"/>
      <c r="G173" s="1041"/>
      <c r="H173" s="1041"/>
      <c r="I173" s="1041"/>
      <c r="J173" s="1041"/>
    </row>
    <row r="174" spans="4:10" x14ac:dyDescent="0.35">
      <c r="D174" s="1041"/>
      <c r="E174" s="1041"/>
      <c r="F174" s="1041"/>
      <c r="G174" s="1041"/>
      <c r="H174" s="1041"/>
      <c r="I174" s="1041"/>
      <c r="J174" s="1041"/>
    </row>
    <row r="175" spans="4:10" x14ac:dyDescent="0.35">
      <c r="D175" s="1041"/>
      <c r="E175" s="1041"/>
      <c r="F175" s="1041"/>
      <c r="G175" s="1041"/>
      <c r="H175" s="1041"/>
      <c r="I175" s="1041"/>
      <c r="J175" s="1041"/>
    </row>
    <row r="176" spans="4:10" x14ac:dyDescent="0.35">
      <c r="D176" s="1041"/>
      <c r="E176" s="1041"/>
      <c r="F176" s="1041"/>
      <c r="G176" s="1041"/>
      <c r="H176" s="1041"/>
      <c r="I176" s="1041"/>
      <c r="J176" s="1041"/>
    </row>
    <row r="177" spans="4:10" x14ac:dyDescent="0.35">
      <c r="D177" s="1041"/>
      <c r="E177" s="1041"/>
      <c r="F177" s="1041"/>
      <c r="G177" s="1041"/>
      <c r="H177" s="1041"/>
      <c r="I177" s="1041"/>
      <c r="J177" s="1041"/>
    </row>
    <row r="178" spans="4:10" x14ac:dyDescent="0.35">
      <c r="D178" s="1041"/>
      <c r="E178" s="1041"/>
      <c r="F178" s="1041"/>
      <c r="G178" s="1041"/>
      <c r="H178" s="1041"/>
      <c r="I178" s="1041"/>
      <c r="J178" s="1041"/>
    </row>
    <row r="179" spans="4:10" x14ac:dyDescent="0.35">
      <c r="D179" s="1041"/>
      <c r="E179" s="1041"/>
      <c r="F179" s="1041"/>
      <c r="G179" s="1041"/>
      <c r="H179" s="1041"/>
      <c r="I179" s="1041"/>
      <c r="J179" s="1041"/>
    </row>
    <row r="180" spans="4:10" x14ac:dyDescent="0.35">
      <c r="D180" s="1041"/>
      <c r="E180" s="1041"/>
      <c r="F180" s="1041"/>
      <c r="G180" s="1041"/>
      <c r="H180" s="1041"/>
      <c r="I180" s="1041"/>
      <c r="J180" s="1041"/>
    </row>
    <row r="181" spans="4:10" x14ac:dyDescent="0.35">
      <c r="D181" s="1041"/>
      <c r="E181" s="1041"/>
      <c r="F181" s="1041"/>
      <c r="G181" s="1041"/>
      <c r="H181" s="1041"/>
      <c r="I181" s="1041"/>
      <c r="J181" s="1041"/>
    </row>
    <row r="182" spans="4:10" x14ac:dyDescent="0.35">
      <c r="D182" s="1041"/>
      <c r="E182" s="1041"/>
      <c r="F182" s="1041"/>
      <c r="G182" s="1041"/>
      <c r="H182" s="1041"/>
      <c r="I182" s="1041"/>
      <c r="J182" s="1041"/>
    </row>
    <row r="183" spans="4:10" x14ac:dyDescent="0.35">
      <c r="D183" s="1041"/>
      <c r="E183" s="1041"/>
      <c r="F183" s="1041"/>
      <c r="G183" s="1041"/>
      <c r="H183" s="1041"/>
      <c r="I183" s="1041"/>
      <c r="J183" s="1041"/>
    </row>
    <row r="184" spans="4:10" x14ac:dyDescent="0.35">
      <c r="D184" s="1041"/>
      <c r="E184" s="1041"/>
      <c r="F184" s="1041"/>
      <c r="G184" s="1041"/>
      <c r="H184" s="1041"/>
      <c r="I184" s="1041"/>
      <c r="J184" s="1041"/>
    </row>
    <row r="185" spans="4:10" x14ac:dyDescent="0.35">
      <c r="D185" s="1041"/>
      <c r="E185" s="1041"/>
      <c r="F185" s="1041"/>
      <c r="G185" s="1041"/>
      <c r="H185" s="1041"/>
      <c r="I185" s="1041"/>
      <c r="J185" s="1041"/>
    </row>
    <row r="186" spans="4:10" x14ac:dyDescent="0.35">
      <c r="D186" s="1041"/>
      <c r="E186" s="1041"/>
      <c r="F186" s="1041"/>
      <c r="G186" s="1041"/>
      <c r="H186" s="1041"/>
      <c r="I186" s="1041"/>
      <c r="J186" s="1041"/>
    </row>
    <row r="187" spans="4:10" x14ac:dyDescent="0.35">
      <c r="D187" s="1041"/>
      <c r="E187" s="1041"/>
      <c r="F187" s="1041"/>
      <c r="G187" s="1041"/>
      <c r="H187" s="1041"/>
      <c r="I187" s="1041"/>
      <c r="J187" s="1041"/>
    </row>
    <row r="188" spans="4:10" x14ac:dyDescent="0.35">
      <c r="D188" s="1041"/>
      <c r="E188" s="1041"/>
      <c r="F188" s="1041"/>
      <c r="G188" s="1041"/>
      <c r="H188" s="1041"/>
      <c r="I188" s="1041"/>
      <c r="J188" s="1041"/>
    </row>
    <row r="189" spans="4:10" x14ac:dyDescent="0.35">
      <c r="D189" s="1041"/>
      <c r="E189" s="1041"/>
      <c r="F189" s="1041"/>
      <c r="G189" s="1041"/>
      <c r="H189" s="1041"/>
      <c r="I189" s="1041"/>
      <c r="J189" s="1041"/>
    </row>
    <row r="190" spans="4:10" x14ac:dyDescent="0.35">
      <c r="D190" s="1041"/>
      <c r="E190" s="1041"/>
      <c r="F190" s="1041"/>
      <c r="G190" s="1041"/>
      <c r="H190" s="1041"/>
      <c r="I190" s="1041"/>
      <c r="J190" s="1041"/>
    </row>
    <row r="191" spans="4:10" x14ac:dyDescent="0.35">
      <c r="D191" s="1041"/>
      <c r="E191" s="1041"/>
      <c r="F191" s="1041"/>
      <c r="G191" s="1041"/>
      <c r="H191" s="1041"/>
      <c r="I191" s="1041"/>
      <c r="J191" s="1041"/>
    </row>
    <row r="192" spans="4:10" x14ac:dyDescent="0.35">
      <c r="D192" s="1041"/>
      <c r="E192" s="1041"/>
      <c r="F192" s="1041"/>
      <c r="G192" s="1041"/>
      <c r="H192" s="1041"/>
      <c r="I192" s="1041"/>
      <c r="J192" s="1041"/>
    </row>
    <row r="193" spans="4:10" x14ac:dyDescent="0.35">
      <c r="D193" s="1041"/>
      <c r="E193" s="1041"/>
      <c r="F193" s="1041"/>
      <c r="G193" s="1041"/>
      <c r="H193" s="1041"/>
      <c r="I193" s="1041"/>
      <c r="J193" s="1041"/>
    </row>
    <row r="194" spans="4:10" x14ac:dyDescent="0.35">
      <c r="D194" s="1041"/>
      <c r="E194" s="1041"/>
      <c r="F194" s="1041"/>
      <c r="G194" s="1041"/>
      <c r="H194" s="1041"/>
      <c r="I194" s="1041"/>
      <c r="J194" s="1041"/>
    </row>
    <row r="195" spans="4:10" x14ac:dyDescent="0.35">
      <c r="D195" s="1041"/>
      <c r="E195" s="1041"/>
      <c r="F195" s="1041"/>
      <c r="G195" s="1041"/>
      <c r="H195" s="1041"/>
      <c r="I195" s="1041"/>
      <c r="J195" s="1041"/>
    </row>
    <row r="196" spans="4:10" x14ac:dyDescent="0.35">
      <c r="D196" s="1041"/>
      <c r="E196" s="1041"/>
      <c r="F196" s="1041"/>
      <c r="G196" s="1041"/>
      <c r="H196" s="1041"/>
      <c r="I196" s="1041"/>
      <c r="J196" s="1041"/>
    </row>
    <row r="197" spans="4:10" x14ac:dyDescent="0.35">
      <c r="D197" s="1041"/>
      <c r="E197" s="1041"/>
      <c r="F197" s="1041"/>
      <c r="G197" s="1041"/>
      <c r="H197" s="1041"/>
      <c r="I197" s="1041"/>
      <c r="J197" s="1041"/>
    </row>
    <row r="198" spans="4:10" x14ac:dyDescent="0.35">
      <c r="D198" s="1041"/>
      <c r="E198" s="1041"/>
      <c r="F198" s="1041"/>
      <c r="G198" s="1041"/>
      <c r="H198" s="1041"/>
      <c r="I198" s="1041"/>
      <c r="J198" s="1041"/>
    </row>
    <row r="199" spans="4:10" x14ac:dyDescent="0.35">
      <c r="D199" s="1041"/>
      <c r="E199" s="1041"/>
      <c r="F199" s="1041"/>
      <c r="G199" s="1041"/>
      <c r="H199" s="1041"/>
      <c r="I199" s="1041"/>
      <c r="J199" s="1041"/>
    </row>
    <row r="200" spans="4:10" x14ac:dyDescent="0.35">
      <c r="D200" s="1041"/>
      <c r="E200" s="1041"/>
      <c r="F200" s="1041"/>
      <c r="G200" s="1041"/>
      <c r="H200" s="1041"/>
      <c r="I200" s="1041"/>
      <c r="J200" s="1041"/>
    </row>
    <row r="201" spans="4:10" x14ac:dyDescent="0.35">
      <c r="D201" s="1041"/>
      <c r="E201" s="1041"/>
      <c r="F201" s="1041"/>
      <c r="G201" s="1041"/>
      <c r="H201" s="1041"/>
      <c r="I201" s="1041"/>
      <c r="J201" s="1041"/>
    </row>
    <row r="202" spans="4:10" x14ac:dyDescent="0.35">
      <c r="D202" s="1041"/>
      <c r="E202" s="1041"/>
      <c r="F202" s="1041"/>
      <c r="G202" s="1041"/>
      <c r="H202" s="1041"/>
      <c r="I202" s="1041"/>
      <c r="J202" s="1041"/>
    </row>
    <row r="203" spans="4:10" x14ac:dyDescent="0.35">
      <c r="D203" s="1041"/>
      <c r="E203" s="1041"/>
      <c r="F203" s="1041"/>
      <c r="G203" s="1041"/>
      <c r="H203" s="1041"/>
      <c r="I203" s="1041"/>
      <c r="J203" s="1041"/>
    </row>
    <row r="204" spans="4:10" x14ac:dyDescent="0.35">
      <c r="D204" s="1041"/>
      <c r="E204" s="1041"/>
      <c r="F204" s="1041"/>
      <c r="G204" s="1041"/>
      <c r="H204" s="1041"/>
      <c r="I204" s="1041"/>
      <c r="J204" s="1041"/>
    </row>
    <row r="205" spans="4:10" x14ac:dyDescent="0.35">
      <c r="D205" s="1041"/>
      <c r="E205" s="1041"/>
      <c r="F205" s="1041"/>
      <c r="G205" s="1041"/>
      <c r="H205" s="1041"/>
      <c r="I205" s="1041"/>
      <c r="J205" s="1041"/>
    </row>
    <row r="206" spans="4:10" x14ac:dyDescent="0.35">
      <c r="D206" s="1041"/>
      <c r="E206" s="1041"/>
      <c r="F206" s="1041"/>
      <c r="G206" s="1041"/>
      <c r="H206" s="1041"/>
      <c r="I206" s="1041"/>
      <c r="J206" s="1041"/>
    </row>
    <row r="207" spans="4:10" x14ac:dyDescent="0.35">
      <c r="D207" s="1041"/>
      <c r="E207" s="1041"/>
      <c r="F207" s="1041"/>
      <c r="G207" s="1041"/>
      <c r="H207" s="1041"/>
      <c r="I207" s="1041"/>
      <c r="J207" s="1041"/>
    </row>
    <row r="208" spans="4:10" x14ac:dyDescent="0.35">
      <c r="D208" s="1041"/>
      <c r="E208" s="1041"/>
      <c r="F208" s="1041"/>
      <c r="G208" s="1041"/>
      <c r="H208" s="1041"/>
      <c r="I208" s="1041"/>
      <c r="J208" s="1041"/>
    </row>
    <row r="209" spans="4:10" x14ac:dyDescent="0.35">
      <c r="D209" s="1041"/>
      <c r="E209" s="1041"/>
      <c r="F209" s="1041"/>
      <c r="G209" s="1041"/>
      <c r="H209" s="1041"/>
      <c r="I209" s="1041"/>
      <c r="J209" s="1041"/>
    </row>
    <row r="210" spans="4:10" x14ac:dyDescent="0.35">
      <c r="D210" s="1041"/>
      <c r="E210" s="1041"/>
      <c r="F210" s="1041"/>
      <c r="G210" s="1041"/>
      <c r="H210" s="1041"/>
      <c r="I210" s="1041"/>
      <c r="J210" s="1041"/>
    </row>
    <row r="211" spans="4:10" x14ac:dyDescent="0.35">
      <c r="D211" s="1041"/>
      <c r="E211" s="1041"/>
      <c r="F211" s="1041"/>
      <c r="G211" s="1041"/>
      <c r="H211" s="1041"/>
      <c r="I211" s="1041"/>
      <c r="J211" s="1041"/>
    </row>
    <row r="212" spans="4:10" x14ac:dyDescent="0.35">
      <c r="D212" s="1041"/>
      <c r="E212" s="1041"/>
      <c r="F212" s="1041"/>
      <c r="G212" s="1041"/>
      <c r="H212" s="1041"/>
      <c r="I212" s="1041"/>
      <c r="J212" s="1041"/>
    </row>
    <row r="213" spans="4:10" x14ac:dyDescent="0.35">
      <c r="D213" s="1041"/>
      <c r="E213" s="1041"/>
      <c r="F213" s="1041"/>
      <c r="G213" s="1041"/>
      <c r="H213" s="1041"/>
      <c r="I213" s="1041"/>
      <c r="J213" s="1041"/>
    </row>
    <row r="214" spans="4:10" x14ac:dyDescent="0.35">
      <c r="D214" s="1041"/>
      <c r="E214" s="1041"/>
      <c r="F214" s="1041"/>
      <c r="G214" s="1041"/>
      <c r="H214" s="1041"/>
      <c r="I214" s="1041"/>
      <c r="J214" s="1041"/>
    </row>
    <row r="215" spans="4:10" x14ac:dyDescent="0.35">
      <c r="D215" s="1041"/>
      <c r="E215" s="1041"/>
      <c r="F215" s="1041"/>
      <c r="G215" s="1041"/>
      <c r="H215" s="1041"/>
      <c r="I215" s="1041"/>
      <c r="J215" s="1041"/>
    </row>
    <row r="216" spans="4:10" x14ac:dyDescent="0.35">
      <c r="D216" s="1041"/>
      <c r="E216" s="1041"/>
      <c r="F216" s="1041"/>
      <c r="G216" s="1041"/>
      <c r="H216" s="1041"/>
      <c r="I216" s="1041"/>
      <c r="J216" s="1041"/>
    </row>
    <row r="217" spans="4:10" x14ac:dyDescent="0.35">
      <c r="D217" s="1041"/>
      <c r="E217" s="1041"/>
      <c r="F217" s="1041"/>
      <c r="G217" s="1041"/>
      <c r="H217" s="1041"/>
      <c r="I217" s="1041"/>
      <c r="J217" s="1041"/>
    </row>
    <row r="218" spans="4:10" x14ac:dyDescent="0.35">
      <c r="D218" s="1041"/>
      <c r="E218" s="1041"/>
      <c r="F218" s="1041"/>
      <c r="G218" s="1041"/>
      <c r="H218" s="1041"/>
      <c r="I218" s="1041"/>
      <c r="J218" s="1041"/>
    </row>
    <row r="219" spans="4:10" x14ac:dyDescent="0.35">
      <c r="D219" s="1041"/>
      <c r="E219" s="1041"/>
      <c r="F219" s="1041"/>
      <c r="G219" s="1041"/>
      <c r="H219" s="1041"/>
      <c r="I219" s="1041"/>
      <c r="J219" s="1041"/>
    </row>
    <row r="220" spans="4:10" x14ac:dyDescent="0.35">
      <c r="D220" s="1041"/>
      <c r="E220" s="1041"/>
      <c r="F220" s="1041"/>
      <c r="G220" s="1041"/>
      <c r="H220" s="1041"/>
      <c r="I220" s="1041"/>
      <c r="J220" s="1041"/>
    </row>
    <row r="221" spans="4:10" x14ac:dyDescent="0.35">
      <c r="D221" s="1041"/>
      <c r="E221" s="1041"/>
      <c r="F221" s="1041"/>
      <c r="G221" s="1041"/>
      <c r="H221" s="1041"/>
      <c r="I221" s="1041"/>
      <c r="J221" s="1041"/>
    </row>
    <row r="222" spans="4:10" x14ac:dyDescent="0.35">
      <c r="D222" s="1041"/>
      <c r="E222" s="1041"/>
      <c r="F222" s="1041"/>
      <c r="G222" s="1041"/>
      <c r="H222" s="1041"/>
      <c r="I222" s="1041"/>
      <c r="J222" s="1041"/>
    </row>
    <row r="223" spans="4:10" x14ac:dyDescent="0.35">
      <c r="D223" s="1041"/>
      <c r="E223" s="1041"/>
      <c r="F223" s="1041"/>
      <c r="G223" s="1041"/>
      <c r="H223" s="1041"/>
      <c r="I223" s="1041"/>
      <c r="J223" s="1041"/>
    </row>
    <row r="224" spans="4:10" x14ac:dyDescent="0.35">
      <c r="D224" s="1041"/>
      <c r="E224" s="1041"/>
      <c r="F224" s="1041"/>
      <c r="G224" s="1041"/>
      <c r="H224" s="1041"/>
      <c r="I224" s="1041"/>
      <c r="J224" s="1041"/>
    </row>
    <row r="225" spans="4:10" x14ac:dyDescent="0.35">
      <c r="D225" s="1041"/>
      <c r="E225" s="1041"/>
      <c r="F225" s="1041"/>
      <c r="G225" s="1041"/>
      <c r="H225" s="1041"/>
      <c r="I225" s="1041"/>
      <c r="J225" s="1041"/>
    </row>
    <row r="226" spans="4:10" x14ac:dyDescent="0.35">
      <c r="D226" s="1041"/>
      <c r="E226" s="1041"/>
      <c r="F226" s="1041"/>
      <c r="G226" s="1041"/>
      <c r="H226" s="1041"/>
      <c r="I226" s="1041"/>
      <c r="J226" s="1041"/>
    </row>
    <row r="227" spans="4:10" x14ac:dyDescent="0.35">
      <c r="D227" s="1041"/>
      <c r="E227" s="1041"/>
      <c r="F227" s="1041"/>
      <c r="G227" s="1041"/>
      <c r="H227" s="1041"/>
      <c r="I227" s="1041"/>
      <c r="J227" s="1041"/>
    </row>
    <row r="228" spans="4:10" x14ac:dyDescent="0.35">
      <c r="D228" s="1041"/>
      <c r="E228" s="1041"/>
      <c r="F228" s="1041"/>
      <c r="G228" s="1041"/>
      <c r="H228" s="1041"/>
      <c r="I228" s="1041"/>
      <c r="J228" s="1041"/>
    </row>
    <row r="229" spans="4:10" x14ac:dyDescent="0.35">
      <c r="D229" s="1041"/>
      <c r="E229" s="1041"/>
      <c r="F229" s="1041"/>
      <c r="G229" s="1041"/>
      <c r="H229" s="1041"/>
      <c r="I229" s="1041"/>
      <c r="J229" s="1041"/>
    </row>
    <row r="230" spans="4:10" x14ac:dyDescent="0.35">
      <c r="D230" s="1041"/>
      <c r="E230" s="1041"/>
      <c r="F230" s="1041"/>
      <c r="G230" s="1041"/>
      <c r="H230" s="1041"/>
      <c r="I230" s="1041"/>
      <c r="J230" s="1041"/>
    </row>
    <row r="231" spans="4:10" x14ac:dyDescent="0.35">
      <c r="D231" s="1041"/>
      <c r="E231" s="1041"/>
      <c r="F231" s="1041"/>
      <c r="G231" s="1041"/>
      <c r="H231" s="1041"/>
      <c r="I231" s="1041"/>
      <c r="J231" s="1041"/>
    </row>
    <row r="232" spans="4:10" x14ac:dyDescent="0.35">
      <c r="D232" s="1041"/>
      <c r="E232" s="1041"/>
      <c r="F232" s="1041"/>
      <c r="G232" s="1041"/>
      <c r="H232" s="1041"/>
      <c r="I232" s="1041"/>
      <c r="J232" s="1041"/>
    </row>
    <row r="233" spans="4:10" x14ac:dyDescent="0.35">
      <c r="D233" s="1041"/>
      <c r="E233" s="1041"/>
      <c r="F233" s="1041"/>
      <c r="G233" s="1041"/>
      <c r="H233" s="1041"/>
      <c r="I233" s="1041"/>
      <c r="J233" s="1041"/>
    </row>
    <row r="234" spans="4:10" x14ac:dyDescent="0.35">
      <c r="D234" s="1041"/>
      <c r="E234" s="1041"/>
      <c r="F234" s="1041"/>
      <c r="G234" s="1041"/>
      <c r="H234" s="1041"/>
      <c r="I234" s="1041"/>
      <c r="J234" s="1041"/>
    </row>
    <row r="235" spans="4:10" x14ac:dyDescent="0.35">
      <c r="D235" s="1041"/>
      <c r="E235" s="1041"/>
      <c r="F235" s="1041"/>
      <c r="G235" s="1041"/>
      <c r="H235" s="1041"/>
      <c r="I235" s="1041"/>
      <c r="J235" s="1041"/>
    </row>
    <row r="236" spans="4:10" x14ac:dyDescent="0.35">
      <c r="D236" s="1041"/>
      <c r="E236" s="1041"/>
      <c r="F236" s="1041"/>
      <c r="G236" s="1041"/>
      <c r="H236" s="1041"/>
      <c r="I236" s="1041"/>
      <c r="J236" s="1041"/>
    </row>
    <row r="237" spans="4:10" x14ac:dyDescent="0.35">
      <c r="D237" s="1041"/>
      <c r="E237" s="1041"/>
      <c r="F237" s="1041"/>
      <c r="G237" s="1041"/>
      <c r="H237" s="1041"/>
      <c r="I237" s="1041"/>
      <c r="J237" s="1041"/>
    </row>
    <row r="238" spans="4:10" x14ac:dyDescent="0.35">
      <c r="D238" s="1041"/>
      <c r="E238" s="1041"/>
      <c r="F238" s="1041"/>
      <c r="G238" s="1041"/>
      <c r="H238" s="1041"/>
      <c r="I238" s="1041"/>
      <c r="J238" s="1041"/>
    </row>
    <row r="239" spans="4:10" x14ac:dyDescent="0.35">
      <c r="D239" s="1041"/>
      <c r="E239" s="1041"/>
      <c r="F239" s="1041"/>
      <c r="G239" s="1041"/>
      <c r="H239" s="1041"/>
      <c r="I239" s="1041"/>
      <c r="J239" s="1041"/>
    </row>
    <row r="240" spans="4:10" x14ac:dyDescent="0.35">
      <c r="D240" s="1041"/>
      <c r="E240" s="1041"/>
      <c r="F240" s="1041"/>
      <c r="G240" s="1041"/>
      <c r="H240" s="1041"/>
      <c r="I240" s="1041"/>
      <c r="J240" s="1041"/>
    </row>
    <row r="241" spans="4:10" x14ac:dyDescent="0.35">
      <c r="D241" s="1041"/>
      <c r="E241" s="1041"/>
      <c r="F241" s="1041"/>
      <c r="G241" s="1041"/>
      <c r="H241" s="1041"/>
      <c r="I241" s="1041"/>
      <c r="J241" s="1041"/>
    </row>
    <row r="242" spans="4:10" x14ac:dyDescent="0.35">
      <c r="D242" s="1041"/>
      <c r="E242" s="1041"/>
      <c r="F242" s="1041"/>
      <c r="G242" s="1041"/>
      <c r="H242" s="1041"/>
      <c r="I242" s="1041"/>
      <c r="J242" s="1041"/>
    </row>
    <row r="243" spans="4:10" x14ac:dyDescent="0.35">
      <c r="D243" s="1041"/>
      <c r="E243" s="1041"/>
      <c r="F243" s="1041"/>
      <c r="G243" s="1041"/>
      <c r="H243" s="1041"/>
      <c r="I243" s="1041"/>
      <c r="J243" s="1041"/>
    </row>
    <row r="244" spans="4:10" x14ac:dyDescent="0.35">
      <c r="D244" s="1041"/>
      <c r="E244" s="1041"/>
      <c r="F244" s="1041"/>
      <c r="G244" s="1041"/>
      <c r="H244" s="1041"/>
      <c r="I244" s="1041"/>
      <c r="J244" s="1041"/>
    </row>
    <row r="245" spans="4:10" x14ac:dyDescent="0.35">
      <c r="D245" s="1041"/>
      <c r="E245" s="1041"/>
      <c r="F245" s="1041"/>
      <c r="G245" s="1041"/>
      <c r="H245" s="1041"/>
      <c r="I245" s="1041"/>
      <c r="J245" s="1041"/>
    </row>
    <row r="246" spans="4:10" x14ac:dyDescent="0.35">
      <c r="D246" s="1041"/>
      <c r="E246" s="1041"/>
      <c r="F246" s="1041"/>
      <c r="G246" s="1041"/>
      <c r="H246" s="1041"/>
      <c r="I246" s="1041"/>
      <c r="J246" s="1041"/>
    </row>
    <row r="247" spans="4:10" x14ac:dyDescent="0.35">
      <c r="D247" s="1041"/>
      <c r="E247" s="1041"/>
      <c r="F247" s="1041"/>
      <c r="G247" s="1041"/>
      <c r="H247" s="1041"/>
      <c r="I247" s="1041"/>
      <c r="J247" s="1041"/>
    </row>
    <row r="248" spans="4:10" x14ac:dyDescent="0.35">
      <c r="D248" s="1041"/>
      <c r="E248" s="1041"/>
      <c r="F248" s="1041"/>
      <c r="G248" s="1041"/>
      <c r="H248" s="1041"/>
      <c r="I248" s="1041"/>
      <c r="J248" s="1041"/>
    </row>
    <row r="249" spans="4:10" x14ac:dyDescent="0.35">
      <c r="D249" s="1041"/>
      <c r="E249" s="1041"/>
      <c r="F249" s="1041"/>
      <c r="G249" s="1041"/>
      <c r="H249" s="1041"/>
      <c r="I249" s="1041"/>
      <c r="J249" s="1041"/>
    </row>
    <row r="250" spans="4:10" x14ac:dyDescent="0.35">
      <c r="D250" s="1041"/>
      <c r="E250" s="1041"/>
      <c r="F250" s="1041"/>
      <c r="G250" s="1041"/>
      <c r="H250" s="1041"/>
      <c r="I250" s="1041"/>
      <c r="J250" s="1041"/>
    </row>
    <row r="251" spans="4:10" x14ac:dyDescent="0.35">
      <c r="D251" s="1041"/>
      <c r="E251" s="1041"/>
      <c r="F251" s="1041"/>
      <c r="G251" s="1041"/>
      <c r="H251" s="1041"/>
      <c r="I251" s="1041"/>
      <c r="J251" s="1041"/>
    </row>
    <row r="252" spans="4:10" x14ac:dyDescent="0.35">
      <c r="D252" s="1041"/>
      <c r="E252" s="1041"/>
      <c r="F252" s="1041"/>
      <c r="G252" s="1041"/>
      <c r="H252" s="1041"/>
      <c r="I252" s="1041"/>
      <c r="J252" s="1041"/>
    </row>
    <row r="253" spans="4:10" x14ac:dyDescent="0.35">
      <c r="D253" s="1041"/>
      <c r="E253" s="1041"/>
      <c r="F253" s="1041"/>
      <c r="G253" s="1041"/>
      <c r="H253" s="1041"/>
      <c r="I253" s="1041"/>
      <c r="J253" s="1041"/>
    </row>
    <row r="254" spans="4:10" x14ac:dyDescent="0.35">
      <c r="D254" s="1041"/>
      <c r="E254" s="1041"/>
      <c r="F254" s="1041"/>
      <c r="G254" s="1041"/>
      <c r="H254" s="1041"/>
      <c r="I254" s="1041"/>
      <c r="J254" s="1041"/>
    </row>
    <row r="255" spans="4:10" x14ac:dyDescent="0.35">
      <c r="D255" s="1041"/>
      <c r="E255" s="1041"/>
      <c r="F255" s="1041"/>
      <c r="G255" s="1041"/>
      <c r="H255" s="1041"/>
      <c r="I255" s="1041"/>
      <c r="J255" s="1041"/>
    </row>
    <row r="256" spans="4:10" x14ac:dyDescent="0.35">
      <c r="D256" s="1041"/>
      <c r="E256" s="1041"/>
      <c r="F256" s="1041"/>
      <c r="G256" s="1041"/>
      <c r="H256" s="1041"/>
      <c r="I256" s="1041"/>
      <c r="J256" s="1041"/>
    </row>
    <row r="257" spans="4:10" x14ac:dyDescent="0.35">
      <c r="D257" s="1041"/>
      <c r="E257" s="1041"/>
      <c r="F257" s="1041"/>
      <c r="G257" s="1041"/>
      <c r="H257" s="1041"/>
      <c r="I257" s="1041"/>
      <c r="J257" s="1041"/>
    </row>
    <row r="258" spans="4:10" x14ac:dyDescent="0.35">
      <c r="D258" s="1041"/>
      <c r="E258" s="1041"/>
      <c r="F258" s="1041"/>
      <c r="G258" s="1041"/>
      <c r="H258" s="1041"/>
      <c r="I258" s="1041"/>
      <c r="J258" s="1041"/>
    </row>
    <row r="259" spans="4:10" x14ac:dyDescent="0.35">
      <c r="D259" s="1041"/>
      <c r="E259" s="1041"/>
      <c r="F259" s="1041"/>
      <c r="G259" s="1041"/>
      <c r="H259" s="1041"/>
      <c r="I259" s="1041"/>
      <c r="J259" s="1041"/>
    </row>
    <row r="260" spans="4:10" x14ac:dyDescent="0.35">
      <c r="D260" s="1041"/>
      <c r="E260" s="1041"/>
      <c r="F260" s="1041"/>
      <c r="G260" s="1041"/>
      <c r="H260" s="1041"/>
      <c r="I260" s="1041"/>
      <c r="J260" s="1041"/>
    </row>
    <row r="261" spans="4:10" x14ac:dyDescent="0.35">
      <c r="D261" s="1041"/>
      <c r="E261" s="1041"/>
      <c r="F261" s="1041"/>
      <c r="G261" s="1041"/>
      <c r="H261" s="1041"/>
      <c r="I261" s="1041"/>
      <c r="J261" s="1041"/>
    </row>
    <row r="262" spans="4:10" x14ac:dyDescent="0.35">
      <c r="D262" s="1041"/>
      <c r="E262" s="1041"/>
      <c r="F262" s="1041"/>
      <c r="G262" s="1041"/>
      <c r="H262" s="1041"/>
      <c r="I262" s="1041"/>
      <c r="J262" s="1041"/>
    </row>
    <row r="263" spans="4:10" x14ac:dyDescent="0.35">
      <c r="D263" s="1041"/>
      <c r="E263" s="1041"/>
      <c r="F263" s="1041"/>
      <c r="G263" s="1041"/>
      <c r="H263" s="1041"/>
      <c r="I263" s="1041"/>
      <c r="J263" s="1041"/>
    </row>
    <row r="264" spans="4:10" x14ac:dyDescent="0.35">
      <c r="D264" s="1041"/>
      <c r="E264" s="1041"/>
      <c r="F264" s="1041"/>
      <c r="G264" s="1041"/>
      <c r="H264" s="1041"/>
      <c r="I264" s="1041"/>
      <c r="J264" s="1041"/>
    </row>
    <row r="265" spans="4:10" x14ac:dyDescent="0.35">
      <c r="D265" s="1041"/>
      <c r="E265" s="1041"/>
      <c r="F265" s="1041"/>
      <c r="G265" s="1041"/>
      <c r="H265" s="1041"/>
      <c r="I265" s="1041"/>
      <c r="J265" s="1041"/>
    </row>
    <row r="266" spans="4:10" x14ac:dyDescent="0.35">
      <c r="D266" s="1041"/>
      <c r="E266" s="1041"/>
      <c r="F266" s="1041"/>
      <c r="G266" s="1041"/>
      <c r="H266" s="1041"/>
      <c r="I266" s="1041"/>
      <c r="J266" s="1041"/>
    </row>
    <row r="267" spans="4:10" x14ac:dyDescent="0.35">
      <c r="D267" s="1041"/>
      <c r="E267" s="1041"/>
      <c r="F267" s="1041"/>
      <c r="G267" s="1041"/>
      <c r="H267" s="1041"/>
      <c r="I267" s="1041"/>
      <c r="J267" s="1041"/>
    </row>
    <row r="268" spans="4:10" x14ac:dyDescent="0.35">
      <c r="D268" s="1041"/>
      <c r="E268" s="1041"/>
      <c r="F268" s="1041"/>
      <c r="G268" s="1041"/>
      <c r="H268" s="1041"/>
      <c r="I268" s="1041"/>
      <c r="J268" s="1041"/>
    </row>
    <row r="269" spans="4:10" x14ac:dyDescent="0.35">
      <c r="D269" s="1041"/>
      <c r="E269" s="1041"/>
      <c r="F269" s="1041"/>
      <c r="G269" s="1041"/>
      <c r="H269" s="1041"/>
      <c r="I269" s="1041"/>
      <c r="J269" s="1041"/>
    </row>
    <row r="270" spans="4:10" x14ac:dyDescent="0.35">
      <c r="D270" s="1041"/>
      <c r="E270" s="1041"/>
      <c r="F270" s="1041"/>
      <c r="G270" s="1041"/>
      <c r="H270" s="1041"/>
      <c r="I270" s="1041"/>
      <c r="J270" s="1041"/>
    </row>
    <row r="271" spans="4:10" x14ac:dyDescent="0.35">
      <c r="D271" s="1041"/>
      <c r="E271" s="1041"/>
      <c r="F271" s="1041"/>
      <c r="G271" s="1041"/>
      <c r="H271" s="1041"/>
      <c r="I271" s="1041"/>
      <c r="J271" s="1041"/>
    </row>
    <row r="272" spans="4:10" x14ac:dyDescent="0.35">
      <c r="D272" s="1041"/>
      <c r="E272" s="1041"/>
      <c r="F272" s="1041"/>
      <c r="G272" s="1041"/>
      <c r="H272" s="1041"/>
      <c r="I272" s="1041"/>
      <c r="J272" s="1041"/>
    </row>
    <row r="273" spans="4:10" x14ac:dyDescent="0.35">
      <c r="D273" s="1041"/>
      <c r="E273" s="1041"/>
      <c r="F273" s="1041"/>
      <c r="G273" s="1041"/>
      <c r="H273" s="1041"/>
      <c r="I273" s="1041"/>
      <c r="J273" s="1041"/>
    </row>
    <row r="274" spans="4:10" x14ac:dyDescent="0.35">
      <c r="D274" s="1041"/>
      <c r="E274" s="1041"/>
      <c r="F274" s="1041"/>
      <c r="G274" s="1041"/>
      <c r="H274" s="1041"/>
      <c r="I274" s="1041"/>
      <c r="J274" s="1041"/>
    </row>
    <row r="275" spans="4:10" x14ac:dyDescent="0.35">
      <c r="D275" s="1041"/>
      <c r="E275" s="1041"/>
      <c r="F275" s="1041"/>
      <c r="G275" s="1041"/>
      <c r="H275" s="1041"/>
      <c r="I275" s="1041"/>
      <c r="J275" s="1041"/>
    </row>
    <row r="276" spans="4:10" x14ac:dyDescent="0.35">
      <c r="D276" s="1041"/>
      <c r="E276" s="1041"/>
      <c r="F276" s="1041"/>
      <c r="G276" s="1041"/>
      <c r="H276" s="1041"/>
      <c r="I276" s="1041"/>
      <c r="J276" s="1041"/>
    </row>
    <row r="277" spans="4:10" x14ac:dyDescent="0.35">
      <c r="D277" s="1041"/>
      <c r="E277" s="1041"/>
      <c r="F277" s="1041"/>
      <c r="G277" s="1041"/>
      <c r="H277" s="1041"/>
      <c r="I277" s="1041"/>
      <c r="J277" s="1041"/>
    </row>
    <row r="278" spans="4:10" x14ac:dyDescent="0.35">
      <c r="D278" s="1041"/>
      <c r="E278" s="1041"/>
      <c r="F278" s="1041"/>
      <c r="G278" s="1041"/>
      <c r="H278" s="1041"/>
      <c r="I278" s="1041"/>
      <c r="J278" s="1041"/>
    </row>
    <row r="279" spans="4:10" x14ac:dyDescent="0.35">
      <c r="D279" s="1041"/>
      <c r="E279" s="1041"/>
      <c r="F279" s="1041"/>
      <c r="G279" s="1041"/>
      <c r="H279" s="1041"/>
      <c r="I279" s="1041"/>
      <c r="J279" s="1041"/>
    </row>
    <row r="280" spans="4:10" x14ac:dyDescent="0.35">
      <c r="D280" s="1041"/>
      <c r="E280" s="1041"/>
      <c r="F280" s="1041"/>
      <c r="G280" s="1041"/>
      <c r="H280" s="1041"/>
      <c r="I280" s="1041"/>
      <c r="J280" s="1041"/>
    </row>
    <row r="281" spans="4:10" x14ac:dyDescent="0.35">
      <c r="D281" s="1041"/>
      <c r="E281" s="1041"/>
      <c r="F281" s="1041"/>
      <c r="G281" s="1041"/>
      <c r="H281" s="1041"/>
      <c r="I281" s="1041"/>
      <c r="J281" s="1041"/>
    </row>
    <row r="282" spans="4:10" x14ac:dyDescent="0.35">
      <c r="D282" s="1041"/>
      <c r="E282" s="1041"/>
      <c r="F282" s="1041"/>
      <c r="G282" s="1041"/>
      <c r="H282" s="1041"/>
      <c r="I282" s="1041"/>
      <c r="J282" s="1041"/>
    </row>
    <row r="283" spans="4:10" x14ac:dyDescent="0.35">
      <c r="D283" s="1041"/>
      <c r="E283" s="1041"/>
      <c r="F283" s="1041"/>
      <c r="G283" s="1041"/>
      <c r="H283" s="1041"/>
      <c r="I283" s="1041"/>
      <c r="J283" s="1041"/>
    </row>
    <row r="284" spans="4:10" x14ac:dyDescent="0.35">
      <c r="D284" s="1041"/>
      <c r="E284" s="1041"/>
      <c r="F284" s="1041"/>
      <c r="G284" s="1041"/>
      <c r="H284" s="1041"/>
      <c r="I284" s="1041"/>
      <c r="J284" s="1041"/>
    </row>
    <row r="285" spans="4:10" x14ac:dyDescent="0.35">
      <c r="D285" s="1041"/>
      <c r="E285" s="1041"/>
      <c r="F285" s="1041"/>
      <c r="G285" s="1041"/>
      <c r="H285" s="1041"/>
      <c r="I285" s="1041"/>
      <c r="J285" s="1041"/>
    </row>
    <row r="286" spans="4:10" x14ac:dyDescent="0.35">
      <c r="D286" s="1041"/>
      <c r="E286" s="1041"/>
      <c r="F286" s="1041"/>
      <c r="G286" s="1041"/>
      <c r="H286" s="1041"/>
      <c r="I286" s="1041"/>
      <c r="J286" s="1041"/>
    </row>
    <row r="287" spans="4:10" x14ac:dyDescent="0.35">
      <c r="D287" s="1041"/>
      <c r="E287" s="1041"/>
      <c r="F287" s="1041"/>
      <c r="G287" s="1041"/>
      <c r="H287" s="1041"/>
      <c r="I287" s="1041"/>
      <c r="J287" s="1041"/>
    </row>
    <row r="288" spans="4:10" x14ac:dyDescent="0.35">
      <c r="D288" s="1041"/>
      <c r="E288" s="1041"/>
      <c r="F288" s="1041"/>
      <c r="G288" s="1041"/>
      <c r="H288" s="1041"/>
      <c r="I288" s="1041"/>
      <c r="J288" s="1041"/>
    </row>
    <row r="289" spans="4:10" x14ac:dyDescent="0.35">
      <c r="D289" s="1041"/>
      <c r="E289" s="1041"/>
      <c r="F289" s="1041"/>
      <c r="G289" s="1041"/>
      <c r="H289" s="1041"/>
      <c r="I289" s="1041"/>
      <c r="J289" s="1041"/>
    </row>
    <row r="290" spans="4:10" x14ac:dyDescent="0.35">
      <c r="D290" s="1041"/>
      <c r="E290" s="1041"/>
      <c r="F290" s="1041"/>
      <c r="G290" s="1041"/>
      <c r="H290" s="1041"/>
      <c r="I290" s="1041"/>
      <c r="J290" s="1041"/>
    </row>
    <row r="291" spans="4:10" x14ac:dyDescent="0.35">
      <c r="D291" s="1041"/>
      <c r="E291" s="1041"/>
      <c r="F291" s="1041"/>
      <c r="G291" s="1041"/>
      <c r="H291" s="1041"/>
      <c r="I291" s="1041"/>
      <c r="J291" s="1041"/>
    </row>
    <row r="292" spans="4:10" x14ac:dyDescent="0.35">
      <c r="D292" s="1041"/>
      <c r="E292" s="1041"/>
      <c r="F292" s="1041"/>
      <c r="G292" s="1041"/>
      <c r="H292" s="1041"/>
      <c r="I292" s="1041"/>
      <c r="J292" s="1041"/>
    </row>
    <row r="293" spans="4:10" x14ac:dyDescent="0.35">
      <c r="D293" s="1041"/>
      <c r="E293" s="1041"/>
      <c r="F293" s="1041"/>
      <c r="G293" s="1041"/>
      <c r="H293" s="1041"/>
      <c r="I293" s="1041"/>
      <c r="J293" s="1041"/>
    </row>
    <row r="294" spans="4:10" x14ac:dyDescent="0.35">
      <c r="D294" s="1041"/>
      <c r="E294" s="1041"/>
      <c r="F294" s="1041"/>
      <c r="G294" s="1041"/>
      <c r="H294" s="1041"/>
      <c r="I294" s="1041"/>
      <c r="J294" s="1041"/>
    </row>
    <row r="295" spans="4:10" x14ac:dyDescent="0.35">
      <c r="D295" s="1041"/>
      <c r="E295" s="1041"/>
      <c r="F295" s="1041"/>
      <c r="G295" s="1041"/>
      <c r="H295" s="1041"/>
      <c r="I295" s="1041"/>
      <c r="J295" s="1041"/>
    </row>
    <row r="296" spans="4:10" x14ac:dyDescent="0.35">
      <c r="D296" s="1041"/>
      <c r="E296" s="1041"/>
      <c r="F296" s="1041"/>
      <c r="G296" s="1041"/>
      <c r="H296" s="1041"/>
      <c r="I296" s="1041"/>
      <c r="J296" s="1041"/>
    </row>
    <row r="297" spans="4:10" x14ac:dyDescent="0.35">
      <c r="D297" s="1041"/>
      <c r="E297" s="1041"/>
      <c r="F297" s="1041"/>
      <c r="G297" s="1041"/>
      <c r="H297" s="1041"/>
      <c r="I297" s="1041"/>
      <c r="J297" s="1041"/>
    </row>
    <row r="298" spans="4:10" x14ac:dyDescent="0.35">
      <c r="D298" s="1041"/>
      <c r="E298" s="1041"/>
      <c r="F298" s="1041"/>
      <c r="G298" s="1041"/>
      <c r="H298" s="1041"/>
      <c r="I298" s="1041"/>
      <c r="J298" s="1041"/>
    </row>
    <row r="299" spans="4:10" x14ac:dyDescent="0.35">
      <c r="D299" s="1041"/>
      <c r="E299" s="1041"/>
      <c r="F299" s="1041"/>
      <c r="G299" s="1041"/>
      <c r="H299" s="1041"/>
      <c r="I299" s="1041"/>
      <c r="J299" s="1041"/>
    </row>
    <row r="300" spans="4:10" x14ac:dyDescent="0.35">
      <c r="D300" s="1041"/>
      <c r="E300" s="1041"/>
      <c r="F300" s="1041"/>
      <c r="G300" s="1041"/>
      <c r="H300" s="1041"/>
      <c r="I300" s="1041"/>
      <c r="J300" s="1041"/>
    </row>
    <row r="301" spans="4:10" x14ac:dyDescent="0.35">
      <c r="D301" s="1041"/>
      <c r="E301" s="1041"/>
      <c r="F301" s="1041"/>
      <c r="G301" s="1041"/>
      <c r="H301" s="1041"/>
      <c r="I301" s="1041"/>
      <c r="J301" s="1041"/>
    </row>
    <row r="302" spans="4:10" x14ac:dyDescent="0.35">
      <c r="D302" s="1041"/>
      <c r="E302" s="1041"/>
      <c r="F302" s="1041"/>
      <c r="G302" s="1041"/>
      <c r="H302" s="1041"/>
      <c r="I302" s="1041"/>
      <c r="J302" s="1041"/>
    </row>
    <row r="303" spans="4:10" x14ac:dyDescent="0.35">
      <c r="D303" s="1041"/>
      <c r="E303" s="1041"/>
      <c r="F303" s="1041"/>
      <c r="G303" s="1041"/>
      <c r="H303" s="1041"/>
      <c r="I303" s="1041"/>
      <c r="J303" s="1041"/>
    </row>
    <row r="304" spans="4:10" x14ac:dyDescent="0.35">
      <c r="D304" s="1041"/>
      <c r="E304" s="1041"/>
      <c r="F304" s="1041"/>
      <c r="G304" s="1041"/>
      <c r="H304" s="1041"/>
      <c r="I304" s="1041"/>
      <c r="J304" s="1041"/>
    </row>
    <row r="305" spans="4:10" x14ac:dyDescent="0.35">
      <c r="D305" s="1041"/>
      <c r="E305" s="1041"/>
      <c r="F305" s="1041"/>
      <c r="G305" s="1041"/>
      <c r="H305" s="1041"/>
      <c r="I305" s="1041"/>
      <c r="J305" s="1041"/>
    </row>
    <row r="306" spans="4:10" x14ac:dyDescent="0.35">
      <c r="D306" s="1041"/>
      <c r="E306" s="1041"/>
      <c r="F306" s="1041"/>
      <c r="G306" s="1041"/>
      <c r="H306" s="1041"/>
      <c r="I306" s="1041"/>
      <c r="J306" s="1041"/>
    </row>
    <row r="307" spans="4:10" x14ac:dyDescent="0.35">
      <c r="D307" s="1041"/>
      <c r="E307" s="1041"/>
      <c r="F307" s="1041"/>
      <c r="G307" s="1041"/>
      <c r="H307" s="1041"/>
      <c r="I307" s="1041"/>
      <c r="J307" s="1041"/>
    </row>
    <row r="308" spans="4:10" x14ac:dyDescent="0.35">
      <c r="D308" s="1041"/>
      <c r="E308" s="1041"/>
      <c r="F308" s="1041"/>
      <c r="G308" s="1041"/>
      <c r="H308" s="1041"/>
      <c r="I308" s="1041"/>
      <c r="J308" s="1041"/>
    </row>
    <row r="309" spans="4:10" x14ac:dyDescent="0.35">
      <c r="D309" s="1041"/>
      <c r="E309" s="1041"/>
      <c r="F309" s="1041"/>
      <c r="G309" s="1041"/>
      <c r="H309" s="1041"/>
      <c r="I309" s="1041"/>
      <c r="J309" s="1041"/>
    </row>
    <row r="310" spans="4:10" x14ac:dyDescent="0.35">
      <c r="D310" s="1041"/>
      <c r="E310" s="1041"/>
      <c r="F310" s="1041"/>
      <c r="G310" s="1041"/>
      <c r="H310" s="1041"/>
      <c r="I310" s="1041"/>
      <c r="J310" s="1041"/>
    </row>
    <row r="311" spans="4:10" x14ac:dyDescent="0.35">
      <c r="D311" s="1041"/>
      <c r="E311" s="1041"/>
      <c r="F311" s="1041"/>
      <c r="G311" s="1041"/>
      <c r="H311" s="1041"/>
      <c r="I311" s="1041"/>
      <c r="J311" s="1041"/>
    </row>
    <row r="312" spans="4:10" x14ac:dyDescent="0.35">
      <c r="D312" s="1041"/>
      <c r="E312" s="1041"/>
      <c r="F312" s="1041"/>
      <c r="G312" s="1041"/>
      <c r="H312" s="1041"/>
      <c r="I312" s="1041"/>
      <c r="J312" s="1041"/>
    </row>
    <row r="313" spans="4:10" x14ac:dyDescent="0.35">
      <c r="D313" s="1041"/>
      <c r="E313" s="1041"/>
      <c r="F313" s="1041"/>
      <c r="G313" s="1041"/>
      <c r="H313" s="1041"/>
      <c r="I313" s="1041"/>
      <c r="J313" s="1041"/>
    </row>
    <row r="314" spans="4:10" x14ac:dyDescent="0.35">
      <c r="D314" s="1041"/>
      <c r="E314" s="1041"/>
      <c r="F314" s="1041"/>
      <c r="G314" s="1041"/>
      <c r="H314" s="1041"/>
      <c r="I314" s="1041"/>
      <c r="J314" s="1041"/>
    </row>
    <row r="315" spans="4:10" x14ac:dyDescent="0.35">
      <c r="D315" s="1041"/>
      <c r="E315" s="1041"/>
      <c r="F315" s="1041"/>
      <c r="G315" s="1041"/>
      <c r="H315" s="1041"/>
      <c r="I315" s="1041"/>
      <c r="J315" s="1041"/>
    </row>
    <row r="316" spans="4:10" x14ac:dyDescent="0.35">
      <c r="D316" s="1041"/>
      <c r="E316" s="1041"/>
      <c r="F316" s="1041"/>
      <c r="G316" s="1041"/>
      <c r="H316" s="1041"/>
      <c r="I316" s="1041"/>
      <c r="J316" s="1041"/>
    </row>
    <row r="317" spans="4:10" x14ac:dyDescent="0.35">
      <c r="D317" s="1041"/>
      <c r="E317" s="1041"/>
      <c r="F317" s="1041"/>
      <c r="G317" s="1041"/>
      <c r="H317" s="1041"/>
      <c r="I317" s="1041"/>
      <c r="J317" s="1041"/>
    </row>
    <row r="318" spans="4:10" x14ac:dyDescent="0.35">
      <c r="D318" s="1041"/>
      <c r="E318" s="1041"/>
      <c r="F318" s="1041"/>
      <c r="G318" s="1041"/>
      <c r="H318" s="1041"/>
      <c r="I318" s="1041"/>
      <c r="J318" s="1041"/>
    </row>
    <row r="319" spans="4:10" x14ac:dyDescent="0.35">
      <c r="D319" s="1041"/>
      <c r="E319" s="1041"/>
      <c r="F319" s="1041"/>
      <c r="G319" s="1041"/>
      <c r="H319" s="1041"/>
      <c r="I319" s="1041"/>
      <c r="J319" s="1041"/>
    </row>
    <row r="320" spans="4:10" x14ac:dyDescent="0.35">
      <c r="D320" s="1041"/>
      <c r="E320" s="1041"/>
      <c r="F320" s="1041"/>
      <c r="G320" s="1041"/>
      <c r="H320" s="1041"/>
      <c r="I320" s="1041"/>
      <c r="J320" s="1041"/>
    </row>
    <row r="321" spans="4:10" x14ac:dyDescent="0.35">
      <c r="D321" s="1041"/>
      <c r="E321" s="1041"/>
      <c r="F321" s="1041"/>
      <c r="G321" s="1041"/>
      <c r="H321" s="1041"/>
      <c r="I321" s="1041"/>
      <c r="J321" s="1041"/>
    </row>
    <row r="322" spans="4:10" x14ac:dyDescent="0.35">
      <c r="D322" s="1041"/>
      <c r="E322" s="1041"/>
      <c r="F322" s="1041"/>
      <c r="G322" s="1041"/>
      <c r="H322" s="1041"/>
      <c r="I322" s="1041"/>
      <c r="J322" s="1041"/>
    </row>
    <row r="323" spans="4:10" x14ac:dyDescent="0.35">
      <c r="D323" s="1041"/>
      <c r="E323" s="1041"/>
      <c r="F323" s="1041"/>
      <c r="G323" s="1041"/>
      <c r="H323" s="1041"/>
      <c r="I323" s="1041"/>
      <c r="J323" s="1041"/>
    </row>
    <row r="324" spans="4:10" x14ac:dyDescent="0.35">
      <c r="D324" s="1041"/>
      <c r="E324" s="1041"/>
      <c r="F324" s="1041"/>
      <c r="G324" s="1041"/>
      <c r="H324" s="1041"/>
      <c r="I324" s="1041"/>
      <c r="J324" s="1041"/>
    </row>
    <row r="325" spans="4:10" x14ac:dyDescent="0.35">
      <c r="D325" s="1041"/>
      <c r="E325" s="1041"/>
      <c r="F325" s="1041"/>
      <c r="G325" s="1041"/>
      <c r="H325" s="1041"/>
      <c r="I325" s="1041"/>
      <c r="J325" s="1041"/>
    </row>
    <row r="326" spans="4:10" x14ac:dyDescent="0.35">
      <c r="D326" s="1041"/>
      <c r="E326" s="1041"/>
      <c r="F326" s="1041"/>
      <c r="G326" s="1041"/>
      <c r="H326" s="1041"/>
      <c r="I326" s="1041"/>
      <c r="J326" s="1041"/>
    </row>
    <row r="327" spans="4:10" x14ac:dyDescent="0.35">
      <c r="D327" s="1041"/>
      <c r="E327" s="1041"/>
      <c r="F327" s="1041"/>
      <c r="G327" s="1041"/>
      <c r="H327" s="1041"/>
      <c r="I327" s="1041"/>
      <c r="J327" s="1041"/>
    </row>
    <row r="328" spans="4:10" x14ac:dyDescent="0.35">
      <c r="D328" s="1041"/>
      <c r="E328" s="1041"/>
      <c r="F328" s="1041"/>
      <c r="G328" s="1041"/>
      <c r="H328" s="1041"/>
      <c r="I328" s="1041"/>
      <c r="J328" s="1041"/>
    </row>
    <row r="329" spans="4:10" x14ac:dyDescent="0.35">
      <c r="D329" s="1041"/>
      <c r="E329" s="1041"/>
      <c r="F329" s="1041"/>
      <c r="G329" s="1041"/>
      <c r="H329" s="1041"/>
      <c r="I329" s="1041"/>
      <c r="J329" s="1041"/>
    </row>
    <row r="330" spans="4:10" x14ac:dyDescent="0.35">
      <c r="D330" s="1041"/>
      <c r="E330" s="1041"/>
      <c r="F330" s="1041"/>
      <c r="G330" s="1041"/>
      <c r="H330" s="1041"/>
      <c r="I330" s="1041"/>
      <c r="J330" s="1041"/>
    </row>
    <row r="331" spans="4:10" x14ac:dyDescent="0.35">
      <c r="D331" s="1041"/>
      <c r="E331" s="1041"/>
      <c r="F331" s="1041"/>
      <c r="G331" s="1041"/>
      <c r="H331" s="1041"/>
      <c r="I331" s="1041"/>
      <c r="J331" s="1041"/>
    </row>
    <row r="332" spans="4:10" x14ac:dyDescent="0.35">
      <c r="D332" s="1041"/>
      <c r="E332" s="1041"/>
      <c r="F332" s="1041"/>
      <c r="G332" s="1041"/>
      <c r="H332" s="1041"/>
      <c r="I332" s="1041"/>
      <c r="J332" s="1041"/>
    </row>
    <row r="333" spans="4:10" x14ac:dyDescent="0.35">
      <c r="D333" s="1041"/>
      <c r="E333" s="1041"/>
      <c r="F333" s="1041"/>
      <c r="G333" s="1041"/>
      <c r="H333" s="1041"/>
      <c r="I333" s="1041"/>
      <c r="J333" s="1041"/>
    </row>
    <row r="334" spans="4:10" x14ac:dyDescent="0.35">
      <c r="D334" s="1041"/>
      <c r="E334" s="1041"/>
      <c r="F334" s="1041"/>
      <c r="G334" s="1041"/>
      <c r="H334" s="1041"/>
      <c r="I334" s="1041"/>
      <c r="J334" s="1041"/>
    </row>
    <row r="335" spans="4:10" x14ac:dyDescent="0.35">
      <c r="D335" s="1041"/>
      <c r="E335" s="1041"/>
      <c r="F335" s="1041"/>
      <c r="G335" s="1041"/>
      <c r="H335" s="1041"/>
      <c r="I335" s="1041"/>
      <c r="J335" s="1041"/>
    </row>
    <row r="336" spans="4:10" x14ac:dyDescent="0.35">
      <c r="D336" s="1041"/>
      <c r="E336" s="1041"/>
      <c r="F336" s="1041"/>
      <c r="G336" s="1041"/>
      <c r="H336" s="1041"/>
      <c r="I336" s="1041"/>
      <c r="J336" s="1041"/>
    </row>
    <row r="337" spans="4:10" x14ac:dyDescent="0.35">
      <c r="D337" s="1041"/>
      <c r="E337" s="1041"/>
      <c r="F337" s="1041"/>
      <c r="G337" s="1041"/>
      <c r="H337" s="1041"/>
      <c r="I337" s="1041"/>
      <c r="J337" s="1041"/>
    </row>
    <row r="338" spans="4:10" x14ac:dyDescent="0.35">
      <c r="D338" s="1041"/>
      <c r="E338" s="1041"/>
      <c r="F338" s="1041"/>
      <c r="G338" s="1041"/>
      <c r="H338" s="1041"/>
      <c r="I338" s="1041"/>
      <c r="J338" s="1041"/>
    </row>
    <row r="339" spans="4:10" x14ac:dyDescent="0.35">
      <c r="D339" s="1041"/>
      <c r="E339" s="1041"/>
      <c r="F339" s="1041"/>
      <c r="G339" s="1041"/>
      <c r="H339" s="1041"/>
      <c r="I339" s="1041"/>
      <c r="J339" s="1041"/>
    </row>
    <row r="340" spans="4:10" x14ac:dyDescent="0.35">
      <c r="D340" s="1041"/>
      <c r="E340" s="1041"/>
      <c r="F340" s="1041"/>
      <c r="G340" s="1041"/>
      <c r="H340" s="1041"/>
      <c r="I340" s="1041"/>
      <c r="J340" s="1041"/>
    </row>
    <row r="341" spans="4:10" x14ac:dyDescent="0.35">
      <c r="D341" s="1041"/>
      <c r="E341" s="1041"/>
      <c r="F341" s="1041"/>
      <c r="G341" s="1041"/>
      <c r="H341" s="1041"/>
      <c r="I341" s="1041"/>
      <c r="J341" s="1041"/>
    </row>
    <row r="342" spans="4:10" x14ac:dyDescent="0.35">
      <c r="D342" s="1041"/>
      <c r="E342" s="1041"/>
      <c r="F342" s="1041"/>
      <c r="G342" s="1041"/>
      <c r="H342" s="1041"/>
      <c r="I342" s="1041"/>
      <c r="J342" s="1041"/>
    </row>
    <row r="343" spans="4:10" x14ac:dyDescent="0.35">
      <c r="D343" s="1041"/>
      <c r="E343" s="1041"/>
      <c r="F343" s="1041"/>
      <c r="G343" s="1041"/>
      <c r="H343" s="1041"/>
      <c r="I343" s="1041"/>
      <c r="J343" s="1041"/>
    </row>
    <row r="344" spans="4:10" x14ac:dyDescent="0.35">
      <c r="D344" s="1041"/>
      <c r="E344" s="1041"/>
      <c r="F344" s="1041"/>
      <c r="G344" s="1041"/>
      <c r="H344" s="1041"/>
      <c r="I344" s="1041"/>
      <c r="J344" s="1041"/>
    </row>
    <row r="345" spans="4:10" x14ac:dyDescent="0.35">
      <c r="D345" s="1041"/>
      <c r="E345" s="1041"/>
      <c r="F345" s="1041"/>
      <c r="G345" s="1041"/>
      <c r="H345" s="1041"/>
      <c r="I345" s="1041"/>
      <c r="J345" s="1041"/>
    </row>
    <row r="346" spans="4:10" x14ac:dyDescent="0.35">
      <c r="D346" s="1041"/>
      <c r="E346" s="1041"/>
      <c r="F346" s="1041"/>
      <c r="G346" s="1041"/>
      <c r="H346" s="1041"/>
      <c r="I346" s="1041"/>
      <c r="J346" s="1041"/>
    </row>
    <row r="347" spans="4:10" x14ac:dyDescent="0.35">
      <c r="D347" s="1041"/>
      <c r="E347" s="1041"/>
      <c r="F347" s="1041"/>
      <c r="G347" s="1041"/>
      <c r="H347" s="1041"/>
      <c r="I347" s="1041"/>
      <c r="J347" s="1041"/>
    </row>
    <row r="348" spans="4:10" x14ac:dyDescent="0.35">
      <c r="D348" s="1041"/>
      <c r="E348" s="1041"/>
      <c r="F348" s="1041"/>
      <c r="G348" s="1041"/>
      <c r="H348" s="1041"/>
      <c r="I348" s="1041"/>
      <c r="J348" s="1041"/>
    </row>
    <row r="349" spans="4:10" x14ac:dyDescent="0.35">
      <c r="D349" s="1041"/>
      <c r="E349" s="1041"/>
      <c r="F349" s="1041"/>
      <c r="G349" s="1041"/>
      <c r="H349" s="1041"/>
      <c r="I349" s="1041"/>
      <c r="J349" s="1041"/>
    </row>
    <row r="350" spans="4:10" x14ac:dyDescent="0.35">
      <c r="D350" s="1041"/>
      <c r="E350" s="1041"/>
      <c r="F350" s="1041"/>
      <c r="G350" s="1041"/>
      <c r="H350" s="1041"/>
      <c r="I350" s="1041"/>
      <c r="J350" s="1041"/>
    </row>
    <row r="351" spans="4:10" x14ac:dyDescent="0.35">
      <c r="D351" s="1041"/>
      <c r="E351" s="1041"/>
      <c r="F351" s="1041"/>
      <c r="G351" s="1041"/>
      <c r="H351" s="1041"/>
      <c r="I351" s="1041"/>
      <c r="J351" s="1041"/>
    </row>
    <row r="352" spans="4:10" x14ac:dyDescent="0.35">
      <c r="D352" s="1041"/>
      <c r="E352" s="1041"/>
      <c r="F352" s="1041"/>
      <c r="G352" s="1041"/>
      <c r="H352" s="1041"/>
      <c r="I352" s="1041"/>
      <c r="J352" s="1041"/>
    </row>
    <row r="353" spans="4:10" x14ac:dyDescent="0.35">
      <c r="D353" s="1041"/>
      <c r="E353" s="1041"/>
      <c r="F353" s="1041"/>
      <c r="G353" s="1041"/>
      <c r="H353" s="1041"/>
      <c r="I353" s="1041"/>
      <c r="J353" s="1041"/>
    </row>
  </sheetData>
  <phoneticPr fontId="51" type="noConversion"/>
  <pageMargins left="0.75" right="0.75" top="1" bottom="1" header="0.5" footer="0.5"/>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indexed="10"/>
  </sheetPr>
  <dimension ref="A1:K241"/>
  <sheetViews>
    <sheetView workbookViewId="0">
      <selection activeCell="B3" sqref="B3"/>
    </sheetView>
  </sheetViews>
  <sheetFormatPr defaultColWidth="9" defaultRowHeight="15" outlineLevelCol="1" x14ac:dyDescent="0.4"/>
  <cols>
    <col min="1" max="1" width="15.25" style="1035" customWidth="1"/>
    <col min="2" max="2" width="28.3125" style="1035" customWidth="1"/>
    <col min="3" max="4" width="15.75" style="1342" hidden="1" customWidth="1" outlineLevel="1"/>
    <col min="5" max="8" width="15.75" style="1342" customWidth="1"/>
    <col min="9" max="16384" width="9" style="1342"/>
  </cols>
  <sheetData>
    <row r="1" spans="1:10" x14ac:dyDescent="0.4">
      <c r="J1" s="1342">
        <v>1000</v>
      </c>
    </row>
    <row r="2" spans="1:10" s="1035" customFormat="1" ht="13.15" x14ac:dyDescent="0.35">
      <c r="A2" s="1296" t="s">
        <v>491</v>
      </c>
    </row>
    <row r="3" spans="1:10" s="1035" customFormat="1" ht="13.5" x14ac:dyDescent="0.4">
      <c r="A3" s="1307"/>
      <c r="B3" s="1308" t="s">
        <v>492</v>
      </c>
    </row>
    <row r="4" spans="1:10" s="1035" customFormat="1" ht="13.5" x14ac:dyDescent="0.4">
      <c r="A4" s="1296" t="s">
        <v>461</v>
      </c>
      <c r="B4" s="1296" t="s">
        <v>107</v>
      </c>
      <c r="C4" s="1297">
        <v>2004</v>
      </c>
      <c r="D4" s="1297"/>
      <c r="E4" s="1297">
        <v>2006</v>
      </c>
      <c r="F4" s="1297">
        <v>2007</v>
      </c>
      <c r="G4" s="1297">
        <v>2008</v>
      </c>
      <c r="H4" s="1297">
        <v>2009</v>
      </c>
    </row>
    <row r="5" spans="1:10" x14ac:dyDescent="0.4">
      <c r="A5" s="1308" t="s">
        <v>738</v>
      </c>
      <c r="B5" s="1307" t="s">
        <v>740</v>
      </c>
      <c r="C5" s="1041"/>
      <c r="D5" s="1304"/>
      <c r="E5" s="1304">
        <f>(10634356+84631)/1000</f>
        <v>10718.986999999999</v>
      </c>
      <c r="F5" s="1304">
        <v>9739.0720000000001</v>
      </c>
      <c r="G5" s="1304">
        <v>10481.86</v>
      </c>
      <c r="H5" s="1304"/>
      <c r="I5" s="1342" t="s">
        <v>194</v>
      </c>
    </row>
    <row r="6" spans="1:10" x14ac:dyDescent="0.4">
      <c r="A6" s="1035" t="s">
        <v>577</v>
      </c>
      <c r="B6" s="1035" t="s">
        <v>577</v>
      </c>
      <c r="C6" s="1041"/>
      <c r="D6" s="1043"/>
      <c r="E6" s="1043"/>
      <c r="F6" s="1043">
        <f>F5/E5-1</f>
        <v>-9.1418620061765044E-2</v>
      </c>
      <c r="G6" s="1043">
        <f>G5/F5-1</f>
        <v>7.6268868327495687E-2</v>
      </c>
      <c r="H6" s="1041"/>
      <c r="J6" s="1343"/>
    </row>
    <row r="7" spans="1:10" x14ac:dyDescent="0.4">
      <c r="A7" s="1344" t="s">
        <v>552</v>
      </c>
      <c r="B7" s="1344" t="s">
        <v>552</v>
      </c>
      <c r="C7" s="1044"/>
      <c r="D7" s="1044"/>
      <c r="E7" s="1044">
        <f>E5/E17</f>
        <v>0.9661492232309461</v>
      </c>
      <c r="F7" s="1044">
        <f>F5/F17</f>
        <v>0.95174282279420408</v>
      </c>
      <c r="G7" s="1044">
        <f>G5/G17</f>
        <v>0.95104571513341518</v>
      </c>
      <c r="H7" s="1044"/>
      <c r="J7" s="1345"/>
    </row>
    <row r="8" spans="1:10" s="1346" customFormat="1" ht="29.25" customHeight="1" x14ac:dyDescent="0.4">
      <c r="A8" s="1347" t="s">
        <v>741</v>
      </c>
      <c r="B8" s="1348" t="s">
        <v>742</v>
      </c>
      <c r="C8" s="1349"/>
      <c r="D8" s="1350"/>
      <c r="E8" s="1350">
        <f>(178693+51901)/1000</f>
        <v>230.59399999999999</v>
      </c>
      <c r="F8" s="1350">
        <v>302.42200000000003</v>
      </c>
      <c r="G8" s="1350">
        <v>376.209</v>
      </c>
      <c r="H8" s="1350"/>
      <c r="I8" s="1346" t="s">
        <v>197</v>
      </c>
    </row>
    <row r="9" spans="1:10" x14ac:dyDescent="0.4">
      <c r="A9" s="1035" t="s">
        <v>577</v>
      </c>
      <c r="B9" s="1035" t="s">
        <v>577</v>
      </c>
      <c r="C9" s="1044"/>
      <c r="D9" s="1044"/>
      <c r="E9" s="1043"/>
      <c r="F9" s="1043">
        <f>F8/E8-1</f>
        <v>0.31149119231202915</v>
      </c>
      <c r="G9" s="1043">
        <f>G8/F8-1</f>
        <v>0.24398687926142926</v>
      </c>
      <c r="H9" s="1044"/>
    </row>
    <row r="10" spans="1:10" x14ac:dyDescent="0.4">
      <c r="A10" s="1344" t="s">
        <v>552</v>
      </c>
      <c r="B10" s="1344" t="s">
        <v>552</v>
      </c>
      <c r="C10" s="1044"/>
      <c r="D10" s="1044"/>
      <c r="E10" s="1044">
        <f>E8/E17</f>
        <v>2.0784446700207473E-2</v>
      </c>
      <c r="F10" s="1044">
        <f>F8/F17</f>
        <v>2.9553941890466444E-2</v>
      </c>
      <c r="G10" s="1044">
        <f>G8/G17</f>
        <v>3.4134395750813978E-2</v>
      </c>
      <c r="H10" s="1044"/>
    </row>
    <row r="11" spans="1:10" x14ac:dyDescent="0.4">
      <c r="A11" s="1308" t="s">
        <v>739</v>
      </c>
      <c r="B11" s="1307" t="s">
        <v>743</v>
      </c>
      <c r="C11" s="1044"/>
      <c r="D11" s="1304"/>
      <c r="E11" s="1304">
        <v>0</v>
      </c>
      <c r="F11" s="1304">
        <v>64.561000000000007</v>
      </c>
      <c r="G11" s="1304">
        <v>63.253</v>
      </c>
      <c r="H11" s="1304"/>
      <c r="I11" s="1342" t="s">
        <v>195</v>
      </c>
    </row>
    <row r="12" spans="1:10" x14ac:dyDescent="0.4">
      <c r="A12" s="1035" t="s">
        <v>577</v>
      </c>
      <c r="B12" s="1035" t="s">
        <v>577</v>
      </c>
      <c r="C12" s="1044"/>
      <c r="D12" s="1044"/>
      <c r="E12" s="1043"/>
      <c r="F12" s="1043" t="e">
        <f>F11/E11-1</f>
        <v>#DIV/0!</v>
      </c>
      <c r="G12" s="1043">
        <f>G11/F11-1</f>
        <v>-2.0259909233128481E-2</v>
      </c>
      <c r="H12" s="1044"/>
    </row>
    <row r="13" spans="1:10" x14ac:dyDescent="0.4">
      <c r="A13" s="1344" t="s">
        <v>552</v>
      </c>
      <c r="B13" s="1344" t="s">
        <v>552</v>
      </c>
      <c r="C13" s="1044"/>
      <c r="D13" s="1044"/>
      <c r="E13" s="1044">
        <f>E11/E17</f>
        <v>0</v>
      </c>
      <c r="F13" s="1044">
        <f>F11/F17</f>
        <v>6.3091707692906071E-3</v>
      </c>
      <c r="G13" s="1044">
        <f>G11/G17</f>
        <v>5.7391049507753309E-3</v>
      </c>
      <c r="H13" s="1044"/>
    </row>
    <row r="14" spans="1:10" x14ac:dyDescent="0.4">
      <c r="A14" s="1308" t="s">
        <v>551</v>
      </c>
      <c r="B14" s="1307" t="s">
        <v>600</v>
      </c>
      <c r="C14" s="1044"/>
      <c r="D14" s="1304"/>
      <c r="E14" s="1304">
        <f>(110507+34458)/1000</f>
        <v>144.965</v>
      </c>
      <c r="F14" s="1304">
        <v>126.827</v>
      </c>
      <c r="G14" s="1304">
        <v>100.083</v>
      </c>
      <c r="H14" s="1304"/>
      <c r="I14" s="1342" t="s">
        <v>600</v>
      </c>
    </row>
    <row r="15" spans="1:10" x14ac:dyDescent="0.4">
      <c r="A15" s="1035" t="s">
        <v>577</v>
      </c>
      <c r="B15" s="1035" t="s">
        <v>577</v>
      </c>
      <c r="C15" s="1044"/>
      <c r="D15" s="1044"/>
      <c r="E15" s="1043"/>
      <c r="F15" s="1043">
        <f>F14/E14-1</f>
        <v>-0.12511985651709034</v>
      </c>
      <c r="G15" s="1043">
        <f>G14/F14-1</f>
        <v>-0.21086992517366177</v>
      </c>
      <c r="H15" s="1044"/>
    </row>
    <row r="16" spans="1:10" x14ac:dyDescent="0.4">
      <c r="A16" s="1344" t="s">
        <v>552</v>
      </c>
      <c r="B16" s="1344" t="s">
        <v>552</v>
      </c>
      <c r="C16" s="1044"/>
      <c r="D16" s="1044"/>
      <c r="E16" s="1044">
        <f>E14/E17</f>
        <v>1.3066330068846442E-2</v>
      </c>
      <c r="F16" s="1044">
        <f>F14/F17</f>
        <v>1.2394064546038936E-2</v>
      </c>
      <c r="G16" s="1044">
        <f>G14/G17</f>
        <v>9.0807841649952949E-3</v>
      </c>
      <c r="H16" s="1044"/>
    </row>
    <row r="17" spans="1:11" x14ac:dyDescent="0.4">
      <c r="A17" s="1308" t="s">
        <v>524</v>
      </c>
      <c r="B17" s="1307" t="s">
        <v>744</v>
      </c>
      <c r="C17" s="1304"/>
      <c r="D17" s="1304"/>
      <c r="E17" s="1304">
        <f>E5+E8+E11+E14</f>
        <v>11094.545999999998</v>
      </c>
      <c r="F17" s="1304">
        <f>F5+F8+F11+F14</f>
        <v>10232.882</v>
      </c>
      <c r="G17" s="1304">
        <f>G5+G8+G11+G14</f>
        <v>11021.405000000002</v>
      </c>
      <c r="H17" s="1304"/>
      <c r="J17" s="1342">
        <v>10294</v>
      </c>
      <c r="K17" s="1351">
        <f>E17-J17</f>
        <v>800.54599999999846</v>
      </c>
    </row>
    <row r="18" spans="1:11" x14ac:dyDescent="0.4">
      <c r="B18" s="1307"/>
      <c r="C18" s="1041"/>
      <c r="D18" s="1043"/>
      <c r="E18" s="1043"/>
      <c r="F18" s="1043"/>
      <c r="G18" s="1041"/>
      <c r="H18" s="1041"/>
    </row>
    <row r="19" spans="1:11" s="1035" customFormat="1" ht="13.5" x14ac:dyDescent="0.4">
      <c r="A19" s="1307"/>
      <c r="B19" s="1308" t="s">
        <v>134</v>
      </c>
    </row>
    <row r="20" spans="1:11" s="1035" customFormat="1" ht="13.5" x14ac:dyDescent="0.4">
      <c r="A20" s="1296" t="s">
        <v>461</v>
      </c>
      <c r="B20" s="1296" t="s">
        <v>107</v>
      </c>
      <c r="C20" s="1297">
        <v>2004</v>
      </c>
      <c r="D20" s="1297"/>
      <c r="E20" s="1297">
        <v>2006</v>
      </c>
      <c r="F20" s="1297">
        <v>2007</v>
      </c>
      <c r="G20" s="1297">
        <v>2008</v>
      </c>
      <c r="H20" s="1297">
        <v>2009</v>
      </c>
    </row>
    <row r="21" spans="1:11" x14ac:dyDescent="0.4">
      <c r="A21" s="1308" t="s">
        <v>738</v>
      </c>
      <c r="B21" s="1307" t="s">
        <v>740</v>
      </c>
      <c r="C21" s="1041"/>
      <c r="D21" s="1304"/>
      <c r="E21" s="1304"/>
      <c r="F21" s="1304"/>
      <c r="G21" s="1304" t="e">
        <f>+$G$37*G24</f>
        <v>#REF!</v>
      </c>
      <c r="H21" s="1304"/>
    </row>
    <row r="22" spans="1:11" x14ac:dyDescent="0.4">
      <c r="A22" s="1035" t="s">
        <v>577</v>
      </c>
      <c r="B22" s="1035" t="s">
        <v>577</v>
      </c>
      <c r="C22" s="1041"/>
      <c r="D22" s="1043"/>
      <c r="E22" s="1043"/>
      <c r="F22" s="1043"/>
      <c r="G22" s="1043" t="e">
        <f>G21/F21-1</f>
        <v>#REF!</v>
      </c>
      <c r="H22" s="1041"/>
      <c r="J22" s="1343"/>
    </row>
    <row r="23" spans="1:11" x14ac:dyDescent="0.4">
      <c r="A23" s="1344" t="s">
        <v>136</v>
      </c>
      <c r="B23" s="1035" t="s">
        <v>135</v>
      </c>
      <c r="C23" s="1041"/>
      <c r="D23" s="1043"/>
      <c r="E23" s="1043"/>
      <c r="F23" s="1043"/>
      <c r="G23" s="1043" t="e">
        <f>G21/G5</f>
        <v>#REF!</v>
      </c>
      <c r="H23" s="1041"/>
      <c r="J23" s="1343"/>
    </row>
    <row r="24" spans="1:11" x14ac:dyDescent="0.4">
      <c r="A24" s="1344" t="s">
        <v>552</v>
      </c>
      <c r="B24" s="1344" t="s">
        <v>552</v>
      </c>
      <c r="C24" s="1044"/>
      <c r="D24" s="1044"/>
      <c r="E24" s="1044"/>
      <c r="F24" s="1044"/>
      <c r="G24" s="1044">
        <v>0.73099999999999998</v>
      </c>
      <c r="H24" s="1044"/>
      <c r="J24" s="1345"/>
    </row>
    <row r="25" spans="1:11" s="1346" customFormat="1" ht="29.25" customHeight="1" x14ac:dyDescent="0.4">
      <c r="A25" s="1347" t="s">
        <v>741</v>
      </c>
      <c r="B25" s="1348" t="s">
        <v>196</v>
      </c>
      <c r="C25" s="1349"/>
      <c r="D25" s="1350"/>
      <c r="E25" s="1350"/>
      <c r="F25" s="1350">
        <v>118</v>
      </c>
      <c r="G25" s="1350" t="e">
        <f>+$G$37*G28</f>
        <v>#REF!</v>
      </c>
      <c r="H25" s="1350"/>
    </row>
    <row r="26" spans="1:11" x14ac:dyDescent="0.4">
      <c r="A26" s="1035" t="s">
        <v>577</v>
      </c>
      <c r="B26" s="1035" t="s">
        <v>577</v>
      </c>
      <c r="C26" s="1044"/>
      <c r="D26" s="1044"/>
      <c r="E26" s="1043"/>
      <c r="F26" s="1043"/>
      <c r="G26" s="1043" t="e">
        <f>G25/F25-1</f>
        <v>#REF!</v>
      </c>
      <c r="H26" s="1044"/>
    </row>
    <row r="27" spans="1:11" x14ac:dyDescent="0.4">
      <c r="A27" s="1344" t="s">
        <v>136</v>
      </c>
      <c r="B27" s="1035" t="s">
        <v>135</v>
      </c>
      <c r="C27" s="1041"/>
      <c r="D27" s="1043"/>
      <c r="E27" s="1043"/>
      <c r="F27" s="1043">
        <f>+F25/F8</f>
        <v>0.39018325386380615</v>
      </c>
      <c r="G27" s="1043" t="e">
        <f>G25/G8</f>
        <v>#REF!</v>
      </c>
      <c r="H27" s="1041"/>
      <c r="J27" s="1343"/>
    </row>
    <row r="28" spans="1:11" x14ac:dyDescent="0.4">
      <c r="A28" s="1344" t="s">
        <v>552</v>
      </c>
      <c r="B28" s="1344" t="s">
        <v>552</v>
      </c>
      <c r="C28" s="1044"/>
      <c r="D28" s="1044"/>
      <c r="E28" s="1044"/>
      <c r="F28" s="1044"/>
      <c r="G28" s="1044">
        <v>0.155</v>
      </c>
      <c r="H28" s="1044"/>
    </row>
    <row r="29" spans="1:11" x14ac:dyDescent="0.4">
      <c r="A29" s="1308" t="s">
        <v>739</v>
      </c>
      <c r="B29" s="1307" t="s">
        <v>743</v>
      </c>
      <c r="C29" s="1044"/>
      <c r="D29" s="1304"/>
      <c r="E29" s="1304"/>
      <c r="F29" s="1304"/>
      <c r="G29" s="1304" t="e">
        <f>+$G$37*G32</f>
        <v>#REF!</v>
      </c>
      <c r="H29" s="1304"/>
    </row>
    <row r="30" spans="1:11" x14ac:dyDescent="0.4">
      <c r="A30" s="1035" t="s">
        <v>577</v>
      </c>
      <c r="B30" s="1035" t="s">
        <v>577</v>
      </c>
      <c r="C30" s="1044"/>
      <c r="D30" s="1044"/>
      <c r="E30" s="1043"/>
      <c r="F30" s="1043"/>
      <c r="G30" s="1043" t="e">
        <f>G29/F29-1</f>
        <v>#REF!</v>
      </c>
      <c r="H30" s="1044"/>
    </row>
    <row r="31" spans="1:11" x14ac:dyDescent="0.4">
      <c r="A31" s="1344" t="s">
        <v>136</v>
      </c>
      <c r="B31" s="1035" t="s">
        <v>135</v>
      </c>
      <c r="C31" s="1041"/>
      <c r="D31" s="1043"/>
      <c r="E31" s="1043"/>
      <c r="F31" s="1043"/>
      <c r="G31" s="1043" t="e">
        <f>G29/G11</f>
        <v>#REF!</v>
      </c>
      <c r="H31" s="1041"/>
      <c r="J31" s="1343"/>
    </row>
    <row r="32" spans="1:11" x14ac:dyDescent="0.4">
      <c r="A32" s="1344" t="s">
        <v>552</v>
      </c>
      <c r="B32" s="1344" t="s">
        <v>552</v>
      </c>
      <c r="C32" s="1044"/>
      <c r="D32" s="1044"/>
      <c r="E32" s="1044"/>
      <c r="F32" s="1044"/>
      <c r="G32" s="1044">
        <v>6.9555186811422559E-2</v>
      </c>
      <c r="H32" s="1044"/>
    </row>
    <row r="33" spans="1:10" x14ac:dyDescent="0.4">
      <c r="A33" s="1308" t="s">
        <v>551</v>
      </c>
      <c r="B33" s="1307" t="s">
        <v>600</v>
      </c>
      <c r="C33" s="1044"/>
      <c r="D33" s="1304"/>
      <c r="E33" s="1304"/>
      <c r="F33" s="1304"/>
      <c r="G33" s="1304" t="e">
        <f>+$G$37*G36</f>
        <v>#REF!</v>
      </c>
      <c r="H33" s="1304"/>
    </row>
    <row r="34" spans="1:10" x14ac:dyDescent="0.4">
      <c r="A34" s="1035" t="s">
        <v>577</v>
      </c>
      <c r="B34" s="1035" t="s">
        <v>577</v>
      </c>
      <c r="C34" s="1044"/>
      <c r="D34" s="1044"/>
      <c r="E34" s="1043"/>
      <c r="F34" s="1043"/>
      <c r="G34" s="1043" t="e">
        <f>G33/F33-1</f>
        <v>#REF!</v>
      </c>
      <c r="H34" s="1044"/>
    </row>
    <row r="35" spans="1:10" x14ac:dyDescent="0.4">
      <c r="A35" s="1344" t="s">
        <v>136</v>
      </c>
      <c r="B35" s="1035" t="s">
        <v>135</v>
      </c>
      <c r="C35" s="1041"/>
      <c r="D35" s="1043"/>
      <c r="E35" s="1043"/>
      <c r="F35" s="1043"/>
      <c r="G35" s="1043" t="e">
        <f>G33/G14</f>
        <v>#REF!</v>
      </c>
      <c r="H35" s="1041"/>
      <c r="J35" s="1343"/>
    </row>
    <row r="36" spans="1:10" x14ac:dyDescent="0.4">
      <c r="A36" s="1344" t="s">
        <v>552</v>
      </c>
      <c r="B36" s="1344" t="s">
        <v>552</v>
      </c>
      <c r="C36" s="1044"/>
      <c r="D36" s="1044"/>
      <c r="E36" s="1044"/>
      <c r="F36" s="1044"/>
      <c r="G36" s="1044">
        <v>4.3999999999999997E-2</v>
      </c>
      <c r="H36" s="1044"/>
    </row>
    <row r="37" spans="1:10" x14ac:dyDescent="0.4">
      <c r="A37" s="1308" t="s">
        <v>524</v>
      </c>
      <c r="B37" s="1307" t="s">
        <v>744</v>
      </c>
      <c r="C37" s="1304"/>
      <c r="D37" s="1304"/>
      <c r="E37" s="1304"/>
      <c r="F37" s="1304"/>
      <c r="G37" s="1304" t="e">
        <f>+#REF!</f>
        <v>#REF!</v>
      </c>
      <c r="H37" s="1304"/>
    </row>
    <row r="38" spans="1:10" x14ac:dyDescent="0.4">
      <c r="C38" s="1041"/>
      <c r="D38" s="1041"/>
      <c r="E38" s="1041"/>
      <c r="F38" s="1041"/>
      <c r="G38" s="1041"/>
      <c r="H38" s="1041"/>
    </row>
    <row r="39" spans="1:10" x14ac:dyDescent="0.4">
      <c r="A39" s="1307"/>
      <c r="B39" s="1308" t="s">
        <v>745</v>
      </c>
      <c r="C39" s="1035"/>
      <c r="D39" s="1035"/>
      <c r="E39" s="1035"/>
      <c r="F39" s="1035"/>
      <c r="G39" s="1035"/>
      <c r="H39" s="1035"/>
    </row>
    <row r="40" spans="1:10" x14ac:dyDescent="0.4">
      <c r="A40" s="1296" t="s">
        <v>461</v>
      </c>
      <c r="B40" s="1296" t="s">
        <v>107</v>
      </c>
      <c r="C40" s="1297">
        <v>2004</v>
      </c>
      <c r="D40" s="1297"/>
      <c r="E40" s="1297">
        <v>2006</v>
      </c>
      <c r="F40" s="1297">
        <v>2007</v>
      </c>
      <c r="G40" s="1297">
        <v>2008</v>
      </c>
      <c r="H40" s="1297">
        <v>2009</v>
      </c>
    </row>
    <row r="41" spans="1:10" x14ac:dyDescent="0.4">
      <c r="A41" s="1308" t="s">
        <v>738</v>
      </c>
      <c r="B41" s="1307" t="s">
        <v>740</v>
      </c>
      <c r="C41" s="1041"/>
      <c r="D41" s="1304"/>
      <c r="E41" s="1304">
        <v>5441.2110000000002</v>
      </c>
      <c r="F41" s="1304">
        <v>5658.7169999999996</v>
      </c>
      <c r="G41" s="1304">
        <v>6221.8530000000001</v>
      </c>
      <c r="H41" s="1304"/>
    </row>
    <row r="42" spans="1:10" x14ac:dyDescent="0.4">
      <c r="A42" s="1035" t="s">
        <v>577</v>
      </c>
      <c r="B42" s="1035" t="s">
        <v>577</v>
      </c>
      <c r="C42" s="1041"/>
      <c r="D42" s="1043"/>
      <c r="E42" s="1043"/>
      <c r="F42" s="1043">
        <f>F41/E41-1</f>
        <v>3.9973822003961823E-2</v>
      </c>
      <c r="G42" s="1043">
        <f>G41/F41-1</f>
        <v>9.9516551189960722E-2</v>
      </c>
      <c r="H42" s="1041"/>
    </row>
    <row r="43" spans="1:10" x14ac:dyDescent="0.4">
      <c r="A43" s="1344" t="s">
        <v>552</v>
      </c>
      <c r="B43" s="1344" t="s">
        <v>552</v>
      </c>
      <c r="C43" s="1044"/>
      <c r="D43" s="1044"/>
      <c r="E43" s="1044">
        <f>E41/E53</f>
        <v>0.77041110266459023</v>
      </c>
      <c r="F43" s="1044">
        <f>F41/F53</f>
        <v>0.72768777636865256</v>
      </c>
      <c r="G43" s="1044">
        <f>G41/G53</f>
        <v>0.72297679656774294</v>
      </c>
      <c r="H43" s="1044"/>
    </row>
    <row r="44" spans="1:10" ht="26.25" x14ac:dyDescent="0.4">
      <c r="A44" s="1347" t="s">
        <v>741</v>
      </c>
      <c r="B44" s="1348" t="s">
        <v>742</v>
      </c>
      <c r="C44" s="1349"/>
      <c r="D44" s="1350"/>
      <c r="E44" s="1350">
        <v>933.57399999999996</v>
      </c>
      <c r="F44" s="1350">
        <v>1173.5550000000001</v>
      </c>
      <c r="G44" s="1350">
        <v>1380.943</v>
      </c>
      <c r="H44" s="1350"/>
    </row>
    <row r="45" spans="1:10" x14ac:dyDescent="0.4">
      <c r="A45" s="1035" t="s">
        <v>577</v>
      </c>
      <c r="B45" s="1035" t="s">
        <v>577</v>
      </c>
      <c r="C45" s="1044"/>
      <c r="D45" s="1044"/>
      <c r="E45" s="1043"/>
      <c r="F45" s="1043">
        <f>F44/E44-1</f>
        <v>0.25705621621853236</v>
      </c>
      <c r="G45" s="1043">
        <f>G44/F44-1</f>
        <v>0.17671775076583529</v>
      </c>
      <c r="H45" s="1044"/>
    </row>
    <row r="46" spans="1:10" x14ac:dyDescent="0.4">
      <c r="A46" s="1344" t="s">
        <v>552</v>
      </c>
      <c r="B46" s="1344" t="s">
        <v>552</v>
      </c>
      <c r="C46" s="1044"/>
      <c r="D46" s="1044"/>
      <c r="E46" s="1044">
        <f>E44/E53</f>
        <v>0.13218303329148459</v>
      </c>
      <c r="F46" s="1044">
        <f>F44/F53</f>
        <v>0.15091435539121573</v>
      </c>
      <c r="G46" s="1044">
        <f>G44/G53</f>
        <v>0.16046501683383529</v>
      </c>
      <c r="H46" s="1044"/>
    </row>
    <row r="47" spans="1:10" x14ac:dyDescent="0.4">
      <c r="A47" s="1308" t="s">
        <v>739</v>
      </c>
      <c r="B47" s="1307" t="s">
        <v>743</v>
      </c>
      <c r="C47" s="1044"/>
      <c r="D47" s="1304"/>
      <c r="E47" s="1304">
        <v>0</v>
      </c>
      <c r="F47" s="1304">
        <v>498.495</v>
      </c>
      <c r="G47" s="1304">
        <v>498.74</v>
      </c>
      <c r="H47" s="1304"/>
    </row>
    <row r="48" spans="1:10" x14ac:dyDescent="0.4">
      <c r="A48" s="1035" t="s">
        <v>577</v>
      </c>
      <c r="B48" s="1035" t="s">
        <v>577</v>
      </c>
      <c r="C48" s="1044"/>
      <c r="D48" s="1044"/>
      <c r="E48" s="1043"/>
      <c r="F48" s="1043" t="e">
        <f>F47/E47-1</f>
        <v>#DIV/0!</v>
      </c>
      <c r="G48" s="1043">
        <f>G47/F47-1</f>
        <v>4.9147935285209776E-4</v>
      </c>
      <c r="H48" s="1044"/>
    </row>
    <row r="49" spans="1:8" x14ac:dyDescent="0.4">
      <c r="A49" s="1344" t="s">
        <v>552</v>
      </c>
      <c r="B49" s="1344" t="s">
        <v>552</v>
      </c>
      <c r="C49" s="1044"/>
      <c r="D49" s="1044"/>
      <c r="E49" s="1044">
        <f>E47/E53</f>
        <v>0</v>
      </c>
      <c r="F49" s="1044">
        <f>F47/F53</f>
        <v>6.4104410607721055E-2</v>
      </c>
      <c r="G49" s="1044">
        <f>G47/G53</f>
        <v>5.7953385835408856E-2</v>
      </c>
      <c r="H49" s="1044"/>
    </row>
    <row r="50" spans="1:8" x14ac:dyDescent="0.4">
      <c r="A50" s="1308" t="s">
        <v>551</v>
      </c>
      <c r="B50" s="1307" t="s">
        <v>600</v>
      </c>
      <c r="C50" s="1044"/>
      <c r="D50" s="1304"/>
      <c r="E50" s="1304">
        <v>687.952</v>
      </c>
      <c r="F50" s="1304">
        <v>445.53100000000001</v>
      </c>
      <c r="G50" s="1304">
        <v>504.346</v>
      </c>
      <c r="H50" s="1304"/>
    </row>
    <row r="51" spans="1:8" x14ac:dyDescent="0.4">
      <c r="A51" s="1035" t="s">
        <v>577</v>
      </c>
      <c r="B51" s="1035" t="s">
        <v>577</v>
      </c>
      <c r="C51" s="1044"/>
      <c r="D51" s="1044"/>
      <c r="E51" s="1043"/>
      <c r="F51" s="1043">
        <f>F50/E50-1</f>
        <v>-0.35238068935041977</v>
      </c>
      <c r="G51" s="1043">
        <f>G50/F50-1</f>
        <v>0.13201101606846666</v>
      </c>
      <c r="H51" s="1044"/>
    </row>
    <row r="52" spans="1:8" x14ac:dyDescent="0.4">
      <c r="A52" s="1344" t="s">
        <v>552</v>
      </c>
      <c r="B52" s="1344" t="s">
        <v>552</v>
      </c>
      <c r="C52" s="1044"/>
      <c r="D52" s="1044"/>
      <c r="E52" s="1044">
        <f>E50/E53</f>
        <v>9.7405864043925178E-2</v>
      </c>
      <c r="F52" s="1044">
        <f>F50/F53</f>
        <v>5.7293457632410692E-2</v>
      </c>
      <c r="G52" s="1044">
        <f>G50/G53</f>
        <v>5.8604800763013019E-2</v>
      </c>
      <c r="H52" s="1044"/>
    </row>
    <row r="53" spans="1:8" x14ac:dyDescent="0.4">
      <c r="A53" s="1308" t="s">
        <v>524</v>
      </c>
      <c r="B53" s="1307" t="s">
        <v>744</v>
      </c>
      <c r="C53" s="1304"/>
      <c r="D53" s="1304"/>
      <c r="E53" s="1304">
        <f>E41+E44+E47+E50</f>
        <v>7062.7370000000001</v>
      </c>
      <c r="F53" s="1304">
        <f>F41+F44+F47+F50</f>
        <v>7776.2979999999998</v>
      </c>
      <c r="G53" s="1304">
        <f>G41+G44+G47+G50</f>
        <v>8605.8819999999996</v>
      </c>
      <c r="H53" s="1304"/>
    </row>
    <row r="54" spans="1:8" x14ac:dyDescent="0.4">
      <c r="A54" s="1308"/>
      <c r="B54" s="1307"/>
      <c r="C54" s="1304"/>
      <c r="D54" s="1304"/>
      <c r="E54" s="1304"/>
      <c r="F54" s="1304"/>
      <c r="G54" s="1304"/>
      <c r="H54" s="1304"/>
    </row>
    <row r="55" spans="1:8" x14ac:dyDescent="0.4">
      <c r="A55" s="1308"/>
      <c r="B55" s="1307"/>
      <c r="C55" s="1304"/>
      <c r="D55" s="1304"/>
      <c r="E55" s="1304"/>
      <c r="F55" s="1304"/>
      <c r="G55" s="1304"/>
      <c r="H55" s="1304"/>
    </row>
    <row r="56" spans="1:8" x14ac:dyDescent="0.4">
      <c r="A56" s="1308"/>
      <c r="B56" s="1307"/>
      <c r="C56" s="1304"/>
      <c r="D56" s="1304"/>
      <c r="E56" s="1304"/>
      <c r="F56" s="1304"/>
      <c r="G56" s="1304"/>
      <c r="H56" s="1304"/>
    </row>
    <row r="57" spans="1:8" x14ac:dyDescent="0.4">
      <c r="A57" s="1308"/>
      <c r="B57" s="1307"/>
      <c r="C57" s="1304"/>
      <c r="D57" s="1304"/>
      <c r="E57" s="1304"/>
      <c r="F57" s="1304"/>
      <c r="G57" s="1304"/>
      <c r="H57" s="1304"/>
    </row>
    <row r="58" spans="1:8" x14ac:dyDescent="0.4">
      <c r="A58" s="1308"/>
      <c r="B58" s="1308" t="s">
        <v>133</v>
      </c>
      <c r="C58" s="1304"/>
      <c r="D58" s="1304"/>
      <c r="E58" s="1304"/>
      <c r="F58" s="1304"/>
      <c r="G58" s="1304"/>
      <c r="H58" s="1304"/>
    </row>
    <row r="59" spans="1:8" x14ac:dyDescent="0.4">
      <c r="B59" s="1296" t="s">
        <v>107</v>
      </c>
      <c r="C59" s="1297">
        <v>2004</v>
      </c>
      <c r="D59" s="1297"/>
      <c r="E59" s="1297">
        <v>2006</v>
      </c>
      <c r="F59" s="1297">
        <v>2007</v>
      </c>
      <c r="G59" s="1297">
        <v>2008</v>
      </c>
      <c r="H59" s="1297">
        <v>2009</v>
      </c>
    </row>
    <row r="60" spans="1:8" x14ac:dyDescent="0.4">
      <c r="A60" s="1308" t="s">
        <v>738</v>
      </c>
      <c r="B60" s="1307" t="s">
        <v>740</v>
      </c>
      <c r="C60" s="1041"/>
      <c r="D60" s="1304"/>
      <c r="E60" s="1304">
        <v>75.617000000000004</v>
      </c>
      <c r="F60" s="1304">
        <v>36.25</v>
      </c>
      <c r="G60" s="1304">
        <v>55.79</v>
      </c>
      <c r="H60" s="1304"/>
    </row>
    <row r="61" spans="1:8" x14ac:dyDescent="0.4">
      <c r="A61" s="1035" t="s">
        <v>577</v>
      </c>
      <c r="B61" s="1035" t="s">
        <v>577</v>
      </c>
      <c r="C61" s="1041"/>
      <c r="D61" s="1043"/>
      <c r="E61" s="1043"/>
      <c r="F61" s="1043">
        <f>F60/E60-1</f>
        <v>-0.52061044474126184</v>
      </c>
      <c r="G61" s="1043">
        <f>G60/F60-1</f>
        <v>0.53903448275862065</v>
      </c>
      <c r="H61" s="1041"/>
    </row>
    <row r="62" spans="1:8" x14ac:dyDescent="0.4">
      <c r="A62" s="1344" t="s">
        <v>552</v>
      </c>
      <c r="B62" s="1344" t="s">
        <v>552</v>
      </c>
      <c r="C62" s="1044"/>
      <c r="D62" s="1044"/>
      <c r="E62" s="1044">
        <f>E60/E72</f>
        <v>0.48125990466067992</v>
      </c>
      <c r="F62" s="1044">
        <f>F60/F72</f>
        <v>0.29096834264432031</v>
      </c>
      <c r="G62" s="1044">
        <f>G60/G72</f>
        <v>0.23984970163883684</v>
      </c>
      <c r="H62" s="1044"/>
    </row>
    <row r="63" spans="1:8" ht="26.25" x14ac:dyDescent="0.4">
      <c r="A63" s="1347" t="s">
        <v>741</v>
      </c>
      <c r="B63" s="1348" t="s">
        <v>742</v>
      </c>
      <c r="C63" s="1349"/>
      <c r="D63" s="1350"/>
      <c r="E63" s="1350">
        <v>73.099999999999994</v>
      </c>
      <c r="F63" s="1350">
        <v>64.292000000000002</v>
      </c>
      <c r="G63" s="1350">
        <v>149.41800000000001</v>
      </c>
      <c r="H63" s="1304"/>
    </row>
    <row r="64" spans="1:8" x14ac:dyDescent="0.4">
      <c r="A64" s="1035" t="s">
        <v>577</v>
      </c>
      <c r="B64" s="1035" t="s">
        <v>577</v>
      </c>
      <c r="C64" s="1044"/>
      <c r="D64" s="1044"/>
      <c r="E64" s="1043"/>
      <c r="F64" s="1043">
        <f>F63/E63-1</f>
        <v>-0.12049247606019142</v>
      </c>
      <c r="G64" s="1043">
        <f>G63/F63-1</f>
        <v>1.3240527592857587</v>
      </c>
      <c r="H64" s="1044"/>
    </row>
    <row r="65" spans="1:8" x14ac:dyDescent="0.4">
      <c r="A65" s="1344" t="s">
        <v>552</v>
      </c>
      <c r="B65" s="1344" t="s">
        <v>552</v>
      </c>
      <c r="C65" s="1044"/>
      <c r="D65" s="1044"/>
      <c r="E65" s="1044">
        <f>E63/E72</f>
        <v>0.46524060767678826</v>
      </c>
      <c r="F65" s="1044">
        <f>F63/F72</f>
        <v>0.51605342580106595</v>
      </c>
      <c r="G65" s="1044">
        <f>G63/G72</f>
        <v>0.64237072449313004</v>
      </c>
      <c r="H65" s="1044"/>
    </row>
    <row r="66" spans="1:8" x14ac:dyDescent="0.4">
      <c r="A66" s="1308" t="s">
        <v>739</v>
      </c>
      <c r="B66" s="1307" t="s">
        <v>743</v>
      </c>
      <c r="C66" s="1044"/>
      <c r="D66" s="1304"/>
      <c r="E66" s="1304">
        <v>0</v>
      </c>
      <c r="F66" s="1304">
        <v>0</v>
      </c>
      <c r="G66" s="1304">
        <v>0</v>
      </c>
      <c r="H66" s="1304"/>
    </row>
    <row r="67" spans="1:8" x14ac:dyDescent="0.4">
      <c r="A67" s="1035" t="s">
        <v>577</v>
      </c>
      <c r="B67" s="1035" t="s">
        <v>577</v>
      </c>
      <c r="C67" s="1044"/>
      <c r="D67" s="1044"/>
      <c r="E67" s="1043"/>
      <c r="F67" s="1043" t="e">
        <f>F66/E66-1</f>
        <v>#DIV/0!</v>
      </c>
      <c r="G67" s="1043" t="e">
        <f>G66/F66-1</f>
        <v>#DIV/0!</v>
      </c>
      <c r="H67" s="1041"/>
    </row>
    <row r="68" spans="1:8" x14ac:dyDescent="0.4">
      <c r="A68" s="1344" t="s">
        <v>552</v>
      </c>
      <c r="B68" s="1344" t="s">
        <v>552</v>
      </c>
      <c r="C68" s="1044"/>
      <c r="D68" s="1044"/>
      <c r="E68" s="1044">
        <f>E66/E72</f>
        <v>0</v>
      </c>
      <c r="F68" s="1044">
        <f>F66/F72</f>
        <v>0</v>
      </c>
      <c r="G68" s="1044">
        <f>G66/G72</f>
        <v>0</v>
      </c>
      <c r="H68" s="1041"/>
    </row>
    <row r="69" spans="1:8" x14ac:dyDescent="0.4">
      <c r="A69" s="1308" t="s">
        <v>551</v>
      </c>
      <c r="B69" s="1307" t="s">
        <v>600</v>
      </c>
      <c r="C69" s="1044"/>
      <c r="D69" s="1304"/>
      <c r="E69" s="1304">
        <v>8.4060000000000006</v>
      </c>
      <c r="F69" s="1304">
        <v>24.042000000000002</v>
      </c>
      <c r="G69" s="1304">
        <v>27.396000000000001</v>
      </c>
      <c r="H69" s="1041"/>
    </row>
    <row r="70" spans="1:8" x14ac:dyDescent="0.4">
      <c r="A70" s="1035" t="s">
        <v>577</v>
      </c>
      <c r="B70" s="1035" t="s">
        <v>577</v>
      </c>
      <c r="C70" s="1044"/>
      <c r="D70" s="1044"/>
      <c r="E70" s="1043"/>
      <c r="F70" s="1043">
        <f>F69/E69-1</f>
        <v>1.8600999286224127</v>
      </c>
      <c r="G70" s="1043">
        <f>G69/F69-1</f>
        <v>0.13950586473671067</v>
      </c>
      <c r="H70" s="1041"/>
    </row>
    <row r="71" spans="1:8" x14ac:dyDescent="0.4">
      <c r="A71" s="1344" t="s">
        <v>552</v>
      </c>
      <c r="B71" s="1344" t="s">
        <v>552</v>
      </c>
      <c r="C71" s="1044"/>
      <c r="D71" s="1044"/>
      <c r="E71" s="1044">
        <f>E69/E72</f>
        <v>5.349948766253191E-2</v>
      </c>
      <c r="F71" s="1044">
        <f>F69/F72</f>
        <v>0.19297823155461377</v>
      </c>
      <c r="G71" s="1044">
        <f>G69/G72</f>
        <v>0.11777957386803324</v>
      </c>
      <c r="H71" s="1041"/>
    </row>
    <row r="72" spans="1:8" x14ac:dyDescent="0.4">
      <c r="A72" s="1308" t="s">
        <v>524</v>
      </c>
      <c r="B72" s="1307" t="s">
        <v>744</v>
      </c>
      <c r="C72" s="1304"/>
      <c r="D72" s="1304"/>
      <c r="E72" s="1304">
        <f>E60+E63+E66+E69</f>
        <v>157.12299999999999</v>
      </c>
      <c r="F72" s="1304">
        <f>F60+F63+F66+F69</f>
        <v>124.584</v>
      </c>
      <c r="G72" s="1304">
        <f>G60+G63+G66+G69</f>
        <v>232.60399999999998</v>
      </c>
      <c r="H72" s="1041"/>
    </row>
    <row r="73" spans="1:8" x14ac:dyDescent="0.4">
      <c r="C73" s="1041"/>
      <c r="D73" s="1041"/>
      <c r="E73" s="1041"/>
      <c r="F73" s="1041"/>
      <c r="G73" s="1041"/>
      <c r="H73" s="1041"/>
    </row>
    <row r="74" spans="1:8" x14ac:dyDescent="0.4">
      <c r="C74" s="1041"/>
      <c r="D74" s="1041"/>
      <c r="E74" s="1041"/>
      <c r="F74" s="1041"/>
      <c r="G74" s="1041"/>
      <c r="H74" s="1041"/>
    </row>
    <row r="75" spans="1:8" x14ac:dyDescent="0.4">
      <c r="C75" s="1041"/>
      <c r="D75" s="1041"/>
      <c r="E75" s="1041"/>
      <c r="F75" s="1041"/>
      <c r="G75" s="1041"/>
      <c r="H75" s="1041"/>
    </row>
    <row r="76" spans="1:8" x14ac:dyDescent="0.4">
      <c r="C76" s="1041"/>
      <c r="D76" s="1041"/>
      <c r="E76" s="1041"/>
      <c r="F76" s="1041"/>
      <c r="G76" s="1041"/>
      <c r="H76" s="1041"/>
    </row>
    <row r="77" spans="1:8" x14ac:dyDescent="0.4">
      <c r="C77" s="1041"/>
      <c r="D77" s="1041"/>
      <c r="E77" s="1041"/>
      <c r="F77" s="1041"/>
      <c r="G77" s="1041"/>
      <c r="H77" s="1041"/>
    </row>
    <row r="78" spans="1:8" x14ac:dyDescent="0.4">
      <c r="C78" s="1041"/>
      <c r="D78" s="1041"/>
      <c r="E78" s="1041"/>
      <c r="F78" s="1041"/>
      <c r="G78" s="1041"/>
      <c r="H78" s="1041"/>
    </row>
    <row r="79" spans="1:8" x14ac:dyDescent="0.4">
      <c r="C79" s="1041"/>
      <c r="D79" s="1041"/>
      <c r="E79" s="1041"/>
      <c r="F79" s="1041"/>
      <c r="G79" s="1041"/>
      <c r="H79" s="1041"/>
    </row>
    <row r="80" spans="1:8" x14ac:dyDescent="0.4">
      <c r="C80" s="1041"/>
      <c r="D80" s="1041"/>
      <c r="E80" s="1041"/>
      <c r="F80" s="1041"/>
      <c r="G80" s="1041"/>
      <c r="H80" s="1041"/>
    </row>
    <row r="81" spans="3:8" x14ac:dyDescent="0.4">
      <c r="C81" s="1041"/>
      <c r="D81" s="1041"/>
      <c r="E81" s="1041"/>
      <c r="F81" s="1041"/>
      <c r="G81" s="1041"/>
      <c r="H81" s="1041"/>
    </row>
    <row r="82" spans="3:8" x14ac:dyDescent="0.4">
      <c r="C82" s="1041"/>
      <c r="D82" s="1041"/>
      <c r="E82" s="1041"/>
      <c r="F82" s="1041"/>
      <c r="G82" s="1041"/>
      <c r="H82" s="1041"/>
    </row>
    <row r="83" spans="3:8" x14ac:dyDescent="0.4">
      <c r="C83" s="1041"/>
      <c r="D83" s="1041"/>
      <c r="E83" s="1041"/>
      <c r="F83" s="1041"/>
      <c r="G83" s="1041"/>
      <c r="H83" s="1041"/>
    </row>
    <row r="84" spans="3:8" x14ac:dyDescent="0.4">
      <c r="C84" s="1041"/>
      <c r="D84" s="1041"/>
      <c r="E84" s="1041"/>
      <c r="F84" s="1041"/>
      <c r="G84" s="1041"/>
      <c r="H84" s="1041"/>
    </row>
    <row r="85" spans="3:8" x14ac:dyDescent="0.4">
      <c r="C85" s="1041"/>
      <c r="D85" s="1041"/>
      <c r="E85" s="1041"/>
      <c r="F85" s="1041"/>
      <c r="G85" s="1041"/>
      <c r="H85" s="1041"/>
    </row>
    <row r="86" spans="3:8" x14ac:dyDescent="0.4">
      <c r="C86" s="1041"/>
      <c r="D86" s="1041"/>
      <c r="E86" s="1041"/>
      <c r="F86" s="1041"/>
      <c r="G86" s="1041"/>
      <c r="H86" s="1041"/>
    </row>
    <row r="87" spans="3:8" x14ac:dyDescent="0.4">
      <c r="C87" s="1041"/>
      <c r="D87" s="1041"/>
      <c r="E87" s="1041"/>
      <c r="F87" s="1041"/>
      <c r="G87" s="1041"/>
      <c r="H87" s="1041"/>
    </row>
    <row r="88" spans="3:8" x14ac:dyDescent="0.4">
      <c r="C88" s="1041"/>
      <c r="D88" s="1041"/>
      <c r="E88" s="1041"/>
      <c r="F88" s="1041"/>
      <c r="G88" s="1041"/>
      <c r="H88" s="1041"/>
    </row>
    <row r="89" spans="3:8" x14ac:dyDescent="0.4">
      <c r="C89" s="1041"/>
      <c r="D89" s="1041"/>
      <c r="E89" s="1041"/>
      <c r="F89" s="1041"/>
      <c r="G89" s="1041"/>
      <c r="H89" s="1041"/>
    </row>
    <row r="90" spans="3:8" x14ac:dyDescent="0.4">
      <c r="C90" s="1041"/>
      <c r="D90" s="1041"/>
      <c r="E90" s="1041"/>
      <c r="F90" s="1041"/>
      <c r="G90" s="1041"/>
      <c r="H90" s="1041"/>
    </row>
    <row r="91" spans="3:8" x14ac:dyDescent="0.4">
      <c r="C91" s="1041"/>
      <c r="D91" s="1041"/>
      <c r="E91" s="1041"/>
      <c r="F91" s="1041"/>
      <c r="G91" s="1041"/>
      <c r="H91" s="1041"/>
    </row>
    <row r="92" spans="3:8" x14ac:dyDescent="0.4">
      <c r="C92" s="1041"/>
      <c r="D92" s="1041"/>
      <c r="E92" s="1041"/>
      <c r="F92" s="1041"/>
      <c r="G92" s="1041"/>
      <c r="H92" s="1041"/>
    </row>
    <row r="93" spans="3:8" x14ac:dyDescent="0.4">
      <c r="C93" s="1041"/>
      <c r="D93" s="1041"/>
      <c r="E93" s="1041"/>
      <c r="F93" s="1041"/>
      <c r="G93" s="1041"/>
      <c r="H93" s="1041"/>
    </row>
    <row r="94" spans="3:8" x14ac:dyDescent="0.4">
      <c r="C94" s="1041"/>
      <c r="D94" s="1041"/>
      <c r="E94" s="1041"/>
      <c r="F94" s="1041"/>
      <c r="G94" s="1041"/>
      <c r="H94" s="1041"/>
    </row>
    <row r="95" spans="3:8" x14ac:dyDescent="0.4">
      <c r="C95" s="1041"/>
      <c r="D95" s="1041"/>
      <c r="E95" s="1041"/>
      <c r="F95" s="1041"/>
      <c r="G95" s="1041"/>
      <c r="H95" s="1041"/>
    </row>
    <row r="96" spans="3:8" x14ac:dyDescent="0.4">
      <c r="C96" s="1041"/>
      <c r="D96" s="1041"/>
      <c r="E96" s="1041"/>
      <c r="F96" s="1041"/>
      <c r="G96" s="1041"/>
      <c r="H96" s="1041"/>
    </row>
    <row r="97" spans="3:8" x14ac:dyDescent="0.4">
      <c r="C97" s="1041"/>
      <c r="D97" s="1041"/>
      <c r="E97" s="1041"/>
      <c r="F97" s="1041"/>
      <c r="G97" s="1041"/>
      <c r="H97" s="1041"/>
    </row>
    <row r="98" spans="3:8" x14ac:dyDescent="0.4">
      <c r="C98" s="1041"/>
      <c r="D98" s="1041"/>
      <c r="E98" s="1041"/>
      <c r="F98" s="1041"/>
      <c r="G98" s="1041"/>
      <c r="H98" s="1041"/>
    </row>
    <row r="99" spans="3:8" x14ac:dyDescent="0.4">
      <c r="C99" s="1041"/>
      <c r="D99" s="1041"/>
      <c r="E99" s="1041"/>
      <c r="F99" s="1041"/>
      <c r="G99" s="1041"/>
      <c r="H99" s="1041"/>
    </row>
    <row r="100" spans="3:8" x14ac:dyDescent="0.4">
      <c r="C100" s="1041"/>
      <c r="D100" s="1041"/>
      <c r="E100" s="1041"/>
      <c r="F100" s="1041"/>
      <c r="G100" s="1041"/>
      <c r="H100" s="1041"/>
    </row>
    <row r="101" spans="3:8" x14ac:dyDescent="0.4">
      <c r="C101" s="1041"/>
      <c r="D101" s="1041"/>
      <c r="E101" s="1041"/>
      <c r="F101" s="1041"/>
      <c r="G101" s="1041"/>
      <c r="H101" s="1041"/>
    </row>
    <row r="102" spans="3:8" x14ac:dyDescent="0.4">
      <c r="C102" s="1041"/>
      <c r="D102" s="1041"/>
      <c r="E102" s="1041"/>
      <c r="F102" s="1041"/>
      <c r="G102" s="1041"/>
      <c r="H102" s="1041"/>
    </row>
    <row r="103" spans="3:8" x14ac:dyDescent="0.4">
      <c r="C103" s="1041"/>
      <c r="D103" s="1041"/>
      <c r="E103" s="1041"/>
      <c r="F103" s="1041"/>
      <c r="G103" s="1041"/>
      <c r="H103" s="1041"/>
    </row>
    <row r="104" spans="3:8" x14ac:dyDescent="0.4">
      <c r="C104" s="1041"/>
      <c r="D104" s="1041"/>
      <c r="E104" s="1041"/>
      <c r="F104" s="1041"/>
      <c r="G104" s="1041"/>
      <c r="H104" s="1041"/>
    </row>
    <row r="105" spans="3:8" x14ac:dyDescent="0.4">
      <c r="C105" s="1041"/>
      <c r="D105" s="1041"/>
      <c r="E105" s="1041"/>
      <c r="F105" s="1041"/>
      <c r="G105" s="1041"/>
      <c r="H105" s="1041"/>
    </row>
    <row r="106" spans="3:8" x14ac:dyDescent="0.4">
      <c r="C106" s="1041"/>
      <c r="D106" s="1041"/>
      <c r="E106" s="1041"/>
      <c r="F106" s="1041"/>
      <c r="G106" s="1041"/>
      <c r="H106" s="1041"/>
    </row>
    <row r="107" spans="3:8" x14ac:dyDescent="0.4">
      <c r="C107" s="1041"/>
      <c r="D107" s="1041"/>
      <c r="E107" s="1041"/>
      <c r="F107" s="1041"/>
      <c r="G107" s="1041"/>
      <c r="H107" s="1041"/>
    </row>
    <row r="108" spans="3:8" x14ac:dyDescent="0.4">
      <c r="C108" s="1041"/>
      <c r="D108" s="1041"/>
      <c r="E108" s="1041"/>
      <c r="F108" s="1041"/>
      <c r="G108" s="1041"/>
      <c r="H108" s="1041"/>
    </row>
    <row r="109" spans="3:8" x14ac:dyDescent="0.4">
      <c r="C109" s="1041"/>
      <c r="D109" s="1041"/>
      <c r="E109" s="1041"/>
      <c r="F109" s="1041"/>
      <c r="G109" s="1041"/>
      <c r="H109" s="1041"/>
    </row>
    <row r="110" spans="3:8" x14ac:dyDescent="0.4">
      <c r="C110" s="1041"/>
      <c r="D110" s="1041"/>
      <c r="E110" s="1041"/>
      <c r="F110" s="1041"/>
      <c r="G110" s="1041"/>
      <c r="H110" s="1041"/>
    </row>
    <row r="111" spans="3:8" x14ac:dyDescent="0.4">
      <c r="C111" s="1041"/>
      <c r="D111" s="1041"/>
      <c r="E111" s="1041"/>
      <c r="F111" s="1041"/>
      <c r="G111" s="1041"/>
      <c r="H111" s="1041"/>
    </row>
    <row r="112" spans="3:8" x14ac:dyDescent="0.4">
      <c r="C112" s="1041"/>
      <c r="D112" s="1041"/>
      <c r="E112" s="1041"/>
      <c r="F112" s="1041"/>
      <c r="G112" s="1041"/>
      <c r="H112" s="1041"/>
    </row>
    <row r="113" spans="3:8" x14ac:dyDescent="0.4">
      <c r="C113" s="1041"/>
      <c r="D113" s="1041"/>
      <c r="E113" s="1041"/>
      <c r="F113" s="1041"/>
      <c r="G113" s="1041"/>
      <c r="H113" s="1041"/>
    </row>
    <row r="114" spans="3:8" x14ac:dyDescent="0.4">
      <c r="C114" s="1041"/>
      <c r="D114" s="1041"/>
      <c r="E114" s="1041"/>
      <c r="F114" s="1041"/>
      <c r="G114" s="1041"/>
      <c r="H114" s="1041"/>
    </row>
    <row r="115" spans="3:8" x14ac:dyDescent="0.4">
      <c r="C115" s="1041"/>
      <c r="D115" s="1041"/>
      <c r="E115" s="1041"/>
      <c r="F115" s="1041"/>
      <c r="G115" s="1041"/>
      <c r="H115" s="1041"/>
    </row>
    <row r="116" spans="3:8" x14ac:dyDescent="0.4">
      <c r="C116" s="1041"/>
      <c r="D116" s="1041"/>
      <c r="E116" s="1041"/>
      <c r="F116" s="1041"/>
      <c r="G116" s="1041"/>
      <c r="H116" s="1041"/>
    </row>
    <row r="117" spans="3:8" x14ac:dyDescent="0.4">
      <c r="C117" s="1041"/>
      <c r="D117" s="1041"/>
      <c r="E117" s="1041"/>
      <c r="F117" s="1041"/>
      <c r="G117" s="1041"/>
      <c r="H117" s="1041"/>
    </row>
    <row r="118" spans="3:8" x14ac:dyDescent="0.4">
      <c r="C118" s="1041"/>
      <c r="D118" s="1041"/>
      <c r="E118" s="1041"/>
      <c r="F118" s="1041"/>
      <c r="G118" s="1041"/>
      <c r="H118" s="1041"/>
    </row>
    <row r="119" spans="3:8" x14ac:dyDescent="0.4">
      <c r="C119" s="1041"/>
      <c r="D119" s="1041"/>
      <c r="E119" s="1041"/>
      <c r="F119" s="1041"/>
      <c r="G119" s="1041"/>
      <c r="H119" s="1041"/>
    </row>
    <row r="120" spans="3:8" x14ac:dyDescent="0.4">
      <c r="C120" s="1041"/>
      <c r="D120" s="1041"/>
      <c r="E120" s="1041"/>
      <c r="F120" s="1041"/>
      <c r="G120" s="1041"/>
      <c r="H120" s="1041"/>
    </row>
    <row r="121" spans="3:8" x14ac:dyDescent="0.4">
      <c r="C121" s="1041"/>
      <c r="D121" s="1041"/>
      <c r="E121" s="1041"/>
      <c r="F121" s="1041"/>
      <c r="G121" s="1041"/>
      <c r="H121" s="1041"/>
    </row>
    <row r="122" spans="3:8" x14ac:dyDescent="0.4">
      <c r="C122" s="1041"/>
      <c r="D122" s="1041"/>
      <c r="E122" s="1041"/>
      <c r="F122" s="1041"/>
      <c r="G122" s="1041"/>
      <c r="H122" s="1041"/>
    </row>
    <row r="123" spans="3:8" x14ac:dyDescent="0.4">
      <c r="C123" s="1041"/>
      <c r="D123" s="1041"/>
      <c r="E123" s="1041"/>
      <c r="F123" s="1041"/>
      <c r="G123" s="1041"/>
      <c r="H123" s="1041"/>
    </row>
    <row r="124" spans="3:8" x14ac:dyDescent="0.4">
      <c r="C124" s="1041"/>
      <c r="D124" s="1041"/>
      <c r="E124" s="1041"/>
      <c r="F124" s="1041"/>
      <c r="G124" s="1041"/>
      <c r="H124" s="1041"/>
    </row>
    <row r="125" spans="3:8" x14ac:dyDescent="0.4">
      <c r="C125" s="1041"/>
      <c r="D125" s="1041"/>
      <c r="E125" s="1041"/>
      <c r="F125" s="1041"/>
      <c r="G125" s="1041"/>
      <c r="H125" s="1041"/>
    </row>
    <row r="126" spans="3:8" x14ac:dyDescent="0.4">
      <c r="C126" s="1041"/>
      <c r="D126" s="1041"/>
      <c r="E126" s="1041"/>
      <c r="F126" s="1041"/>
      <c r="G126" s="1041"/>
      <c r="H126" s="1041"/>
    </row>
    <row r="127" spans="3:8" x14ac:dyDescent="0.4">
      <c r="C127" s="1041"/>
      <c r="D127" s="1041"/>
      <c r="E127" s="1041"/>
      <c r="F127" s="1041"/>
      <c r="G127" s="1041"/>
      <c r="H127" s="1041"/>
    </row>
    <row r="128" spans="3:8" x14ac:dyDescent="0.4">
      <c r="C128" s="1041"/>
      <c r="D128" s="1041"/>
      <c r="E128" s="1041"/>
      <c r="F128" s="1041"/>
      <c r="G128" s="1041"/>
      <c r="H128" s="1041"/>
    </row>
    <row r="129" spans="3:8" x14ac:dyDescent="0.4">
      <c r="C129" s="1041"/>
      <c r="D129" s="1041"/>
      <c r="E129" s="1041"/>
      <c r="F129" s="1041"/>
      <c r="G129" s="1041"/>
      <c r="H129" s="1041"/>
    </row>
    <row r="130" spans="3:8" x14ac:dyDescent="0.4">
      <c r="C130" s="1041"/>
      <c r="D130" s="1041"/>
      <c r="E130" s="1041"/>
      <c r="F130" s="1041"/>
      <c r="G130" s="1041"/>
      <c r="H130" s="1041"/>
    </row>
    <row r="131" spans="3:8" x14ac:dyDescent="0.4">
      <c r="C131" s="1041"/>
      <c r="D131" s="1041"/>
      <c r="E131" s="1041"/>
      <c r="F131" s="1041"/>
      <c r="G131" s="1041"/>
      <c r="H131" s="1041"/>
    </row>
    <row r="132" spans="3:8" x14ac:dyDescent="0.4">
      <c r="C132" s="1041"/>
      <c r="D132" s="1041"/>
      <c r="E132" s="1041"/>
      <c r="F132" s="1041"/>
      <c r="G132" s="1041"/>
      <c r="H132" s="1041"/>
    </row>
    <row r="133" spans="3:8" x14ac:dyDescent="0.4">
      <c r="C133" s="1041"/>
      <c r="D133" s="1041"/>
      <c r="E133" s="1041"/>
      <c r="F133" s="1041"/>
      <c r="G133" s="1041"/>
      <c r="H133" s="1041"/>
    </row>
    <row r="134" spans="3:8" x14ac:dyDescent="0.4">
      <c r="C134" s="1041"/>
      <c r="D134" s="1041"/>
      <c r="E134" s="1041"/>
      <c r="F134" s="1041"/>
      <c r="G134" s="1041"/>
      <c r="H134" s="1041"/>
    </row>
    <row r="135" spans="3:8" x14ac:dyDescent="0.4">
      <c r="C135" s="1041"/>
      <c r="D135" s="1041"/>
      <c r="E135" s="1041"/>
      <c r="F135" s="1041"/>
      <c r="G135" s="1041"/>
      <c r="H135" s="1041"/>
    </row>
    <row r="136" spans="3:8" x14ac:dyDescent="0.4">
      <c r="C136" s="1041"/>
      <c r="D136" s="1041"/>
      <c r="E136" s="1041"/>
      <c r="F136" s="1041"/>
      <c r="G136" s="1041"/>
      <c r="H136" s="1041"/>
    </row>
    <row r="137" spans="3:8" x14ac:dyDescent="0.4">
      <c r="C137" s="1041"/>
      <c r="D137" s="1041"/>
      <c r="E137" s="1041"/>
      <c r="F137" s="1041"/>
      <c r="G137" s="1041"/>
      <c r="H137" s="1041"/>
    </row>
    <row r="138" spans="3:8" x14ac:dyDescent="0.4">
      <c r="C138" s="1041"/>
      <c r="D138" s="1041"/>
      <c r="E138" s="1041"/>
      <c r="F138" s="1041"/>
      <c r="G138" s="1041"/>
      <c r="H138" s="1041"/>
    </row>
    <row r="139" spans="3:8" x14ac:dyDescent="0.4">
      <c r="C139" s="1041"/>
      <c r="D139" s="1041"/>
      <c r="E139" s="1041"/>
      <c r="F139" s="1041"/>
      <c r="G139" s="1041"/>
      <c r="H139" s="1041"/>
    </row>
    <row r="140" spans="3:8" x14ac:dyDescent="0.4">
      <c r="C140" s="1041"/>
      <c r="D140" s="1041"/>
      <c r="E140" s="1041"/>
      <c r="F140" s="1041"/>
      <c r="G140" s="1041"/>
      <c r="H140" s="1041"/>
    </row>
    <row r="141" spans="3:8" x14ac:dyDescent="0.4">
      <c r="C141" s="1041"/>
      <c r="D141" s="1041"/>
      <c r="E141" s="1041"/>
      <c r="F141" s="1041"/>
      <c r="G141" s="1041"/>
      <c r="H141" s="1041"/>
    </row>
    <row r="142" spans="3:8" x14ac:dyDescent="0.4">
      <c r="C142" s="1041"/>
      <c r="D142" s="1041"/>
      <c r="E142" s="1041"/>
      <c r="F142" s="1041"/>
      <c r="G142" s="1041"/>
      <c r="H142" s="1041"/>
    </row>
    <row r="143" spans="3:8" x14ac:dyDescent="0.4">
      <c r="C143" s="1041"/>
      <c r="D143" s="1041"/>
      <c r="E143" s="1041"/>
      <c r="F143" s="1041"/>
      <c r="G143" s="1041"/>
      <c r="H143" s="1041"/>
    </row>
    <row r="144" spans="3:8" x14ac:dyDescent="0.4">
      <c r="C144" s="1041"/>
      <c r="D144" s="1041"/>
      <c r="E144" s="1041"/>
      <c r="F144" s="1041"/>
      <c r="G144" s="1041"/>
      <c r="H144" s="1041"/>
    </row>
    <row r="145" spans="3:8" x14ac:dyDescent="0.4">
      <c r="C145" s="1041"/>
      <c r="D145" s="1041"/>
      <c r="E145" s="1041"/>
      <c r="F145" s="1041"/>
      <c r="G145" s="1041"/>
      <c r="H145" s="1041"/>
    </row>
    <row r="146" spans="3:8" x14ac:dyDescent="0.4">
      <c r="C146" s="1041"/>
      <c r="D146" s="1041"/>
      <c r="E146" s="1041"/>
      <c r="F146" s="1041"/>
      <c r="G146" s="1041"/>
      <c r="H146" s="1041"/>
    </row>
    <row r="147" spans="3:8" x14ac:dyDescent="0.4">
      <c r="C147" s="1041"/>
      <c r="D147" s="1041"/>
      <c r="E147" s="1041"/>
      <c r="F147" s="1041"/>
      <c r="G147" s="1041"/>
      <c r="H147" s="1041"/>
    </row>
    <row r="148" spans="3:8" x14ac:dyDescent="0.4">
      <c r="C148" s="1041"/>
      <c r="D148" s="1041"/>
      <c r="E148" s="1041"/>
      <c r="F148" s="1041"/>
      <c r="G148" s="1041"/>
      <c r="H148" s="1041"/>
    </row>
    <row r="149" spans="3:8" x14ac:dyDescent="0.4">
      <c r="C149" s="1041"/>
      <c r="D149" s="1041"/>
      <c r="E149" s="1041"/>
      <c r="F149" s="1041"/>
      <c r="G149" s="1041"/>
      <c r="H149" s="1041"/>
    </row>
    <row r="150" spans="3:8" x14ac:dyDescent="0.4">
      <c r="C150" s="1041"/>
      <c r="D150" s="1041"/>
      <c r="E150" s="1041"/>
      <c r="F150" s="1041"/>
      <c r="G150" s="1041"/>
      <c r="H150" s="1041"/>
    </row>
    <row r="151" spans="3:8" x14ac:dyDescent="0.4">
      <c r="C151" s="1041"/>
      <c r="D151" s="1041"/>
      <c r="E151" s="1041"/>
      <c r="F151" s="1041"/>
      <c r="G151" s="1041"/>
      <c r="H151" s="1041"/>
    </row>
    <row r="152" spans="3:8" x14ac:dyDescent="0.4">
      <c r="C152" s="1041"/>
      <c r="D152" s="1041"/>
      <c r="E152" s="1041"/>
      <c r="F152" s="1041"/>
      <c r="G152" s="1041"/>
      <c r="H152" s="1041"/>
    </row>
    <row r="153" spans="3:8" x14ac:dyDescent="0.4">
      <c r="C153" s="1041"/>
      <c r="D153" s="1041"/>
      <c r="E153" s="1041"/>
      <c r="F153" s="1041"/>
      <c r="G153" s="1041"/>
      <c r="H153" s="1041"/>
    </row>
    <row r="154" spans="3:8" x14ac:dyDescent="0.4">
      <c r="C154" s="1041"/>
      <c r="D154" s="1041"/>
      <c r="E154" s="1041"/>
      <c r="F154" s="1041"/>
      <c r="G154" s="1041"/>
      <c r="H154" s="1041"/>
    </row>
    <row r="155" spans="3:8" x14ac:dyDescent="0.4">
      <c r="C155" s="1041"/>
      <c r="D155" s="1041"/>
      <c r="E155" s="1041"/>
      <c r="F155" s="1041"/>
      <c r="G155" s="1041"/>
      <c r="H155" s="1041"/>
    </row>
    <row r="156" spans="3:8" x14ac:dyDescent="0.4">
      <c r="C156" s="1041"/>
      <c r="D156" s="1041"/>
      <c r="E156" s="1041"/>
      <c r="F156" s="1041"/>
      <c r="G156" s="1041"/>
      <c r="H156" s="1041"/>
    </row>
    <row r="157" spans="3:8" x14ac:dyDescent="0.4">
      <c r="C157" s="1041"/>
      <c r="D157" s="1041"/>
      <c r="E157" s="1041"/>
      <c r="F157" s="1041"/>
      <c r="G157" s="1041"/>
      <c r="H157" s="1041"/>
    </row>
    <row r="158" spans="3:8" x14ac:dyDescent="0.4">
      <c r="C158" s="1041"/>
      <c r="D158" s="1041"/>
      <c r="E158" s="1041"/>
      <c r="F158" s="1041"/>
      <c r="G158" s="1041"/>
      <c r="H158" s="1041"/>
    </row>
    <row r="159" spans="3:8" x14ac:dyDescent="0.4">
      <c r="C159" s="1041"/>
      <c r="D159" s="1041"/>
      <c r="E159" s="1041"/>
      <c r="F159" s="1041"/>
      <c r="G159" s="1041"/>
      <c r="H159" s="1041"/>
    </row>
    <row r="160" spans="3:8" x14ac:dyDescent="0.4">
      <c r="C160" s="1041"/>
      <c r="D160" s="1041"/>
      <c r="E160" s="1041"/>
      <c r="F160" s="1041"/>
      <c r="G160" s="1041"/>
      <c r="H160" s="1041"/>
    </row>
    <row r="161" spans="3:8" x14ac:dyDescent="0.4">
      <c r="C161" s="1041"/>
      <c r="D161" s="1041"/>
      <c r="E161" s="1041"/>
      <c r="F161" s="1041"/>
      <c r="G161" s="1041"/>
      <c r="H161" s="1041"/>
    </row>
    <row r="162" spans="3:8" x14ac:dyDescent="0.4">
      <c r="C162" s="1041"/>
      <c r="D162" s="1041"/>
      <c r="E162" s="1041"/>
      <c r="F162" s="1041"/>
      <c r="G162" s="1041"/>
      <c r="H162" s="1041"/>
    </row>
    <row r="163" spans="3:8" x14ac:dyDescent="0.4">
      <c r="C163" s="1041"/>
      <c r="D163" s="1041"/>
      <c r="E163" s="1041"/>
      <c r="F163" s="1041"/>
      <c r="G163" s="1041"/>
      <c r="H163" s="1041"/>
    </row>
    <row r="164" spans="3:8" x14ac:dyDescent="0.4">
      <c r="C164" s="1041"/>
      <c r="D164" s="1041"/>
      <c r="E164" s="1041"/>
      <c r="F164" s="1041"/>
      <c r="G164" s="1041"/>
      <c r="H164" s="1041"/>
    </row>
    <row r="165" spans="3:8" x14ac:dyDescent="0.4">
      <c r="C165" s="1041"/>
      <c r="D165" s="1041"/>
      <c r="E165" s="1041"/>
      <c r="F165" s="1041"/>
      <c r="G165" s="1041"/>
      <c r="H165" s="1041"/>
    </row>
    <row r="166" spans="3:8" x14ac:dyDescent="0.4">
      <c r="C166" s="1041"/>
      <c r="D166" s="1041"/>
      <c r="E166" s="1041"/>
      <c r="F166" s="1041"/>
      <c r="G166" s="1041"/>
      <c r="H166" s="1041"/>
    </row>
    <row r="167" spans="3:8" x14ac:dyDescent="0.4">
      <c r="C167" s="1041"/>
      <c r="D167" s="1041"/>
      <c r="E167" s="1041"/>
      <c r="F167" s="1041"/>
      <c r="G167" s="1041"/>
      <c r="H167" s="1041"/>
    </row>
    <row r="168" spans="3:8" x14ac:dyDescent="0.4">
      <c r="C168" s="1041"/>
      <c r="D168" s="1041"/>
      <c r="E168" s="1041"/>
      <c r="F168" s="1041"/>
      <c r="G168" s="1041"/>
      <c r="H168" s="1041"/>
    </row>
    <row r="169" spans="3:8" x14ac:dyDescent="0.4">
      <c r="C169" s="1041"/>
      <c r="D169" s="1041"/>
      <c r="E169" s="1041"/>
      <c r="F169" s="1041"/>
      <c r="G169" s="1041"/>
      <c r="H169" s="1041"/>
    </row>
    <row r="170" spans="3:8" x14ac:dyDescent="0.4">
      <c r="C170" s="1041"/>
      <c r="D170" s="1041"/>
      <c r="E170" s="1041"/>
      <c r="F170" s="1041"/>
      <c r="G170" s="1041"/>
      <c r="H170" s="1041"/>
    </row>
    <row r="171" spans="3:8" x14ac:dyDescent="0.4">
      <c r="C171" s="1041"/>
      <c r="D171" s="1041"/>
      <c r="E171" s="1041"/>
      <c r="F171" s="1041"/>
      <c r="G171" s="1041"/>
      <c r="H171" s="1041"/>
    </row>
    <row r="172" spans="3:8" x14ac:dyDescent="0.4">
      <c r="C172" s="1041"/>
      <c r="D172" s="1041"/>
      <c r="E172" s="1041"/>
      <c r="F172" s="1041"/>
      <c r="G172" s="1041"/>
      <c r="H172" s="1041"/>
    </row>
    <row r="173" spans="3:8" x14ac:dyDescent="0.4">
      <c r="C173" s="1041"/>
      <c r="D173" s="1041"/>
      <c r="E173" s="1041"/>
      <c r="F173" s="1041"/>
      <c r="G173" s="1041"/>
      <c r="H173" s="1041"/>
    </row>
    <row r="174" spans="3:8" x14ac:dyDescent="0.4">
      <c r="C174" s="1041"/>
      <c r="D174" s="1041"/>
      <c r="E174" s="1041"/>
      <c r="F174" s="1041"/>
      <c r="G174" s="1041"/>
      <c r="H174" s="1041"/>
    </row>
    <row r="175" spans="3:8" x14ac:dyDescent="0.4">
      <c r="C175" s="1041"/>
      <c r="D175" s="1041"/>
      <c r="E175" s="1041"/>
      <c r="F175" s="1041"/>
      <c r="G175" s="1041"/>
      <c r="H175" s="1041"/>
    </row>
    <row r="176" spans="3:8" x14ac:dyDescent="0.4">
      <c r="C176" s="1041"/>
      <c r="D176" s="1041"/>
      <c r="E176" s="1041"/>
      <c r="F176" s="1041"/>
      <c r="G176" s="1041"/>
      <c r="H176" s="1041"/>
    </row>
    <row r="177" spans="3:8" x14ac:dyDescent="0.4">
      <c r="C177" s="1041"/>
      <c r="D177" s="1041"/>
      <c r="E177" s="1041"/>
      <c r="F177" s="1041"/>
      <c r="G177" s="1041"/>
      <c r="H177" s="1041"/>
    </row>
    <row r="178" spans="3:8" x14ac:dyDescent="0.4">
      <c r="C178" s="1041"/>
      <c r="D178" s="1041"/>
      <c r="E178" s="1041"/>
      <c r="F178" s="1041"/>
      <c r="G178" s="1041"/>
      <c r="H178" s="1041"/>
    </row>
    <row r="179" spans="3:8" x14ac:dyDescent="0.4">
      <c r="C179" s="1041"/>
      <c r="D179" s="1041"/>
      <c r="E179" s="1041"/>
      <c r="F179" s="1041"/>
      <c r="G179" s="1041"/>
      <c r="H179" s="1041"/>
    </row>
    <row r="180" spans="3:8" x14ac:dyDescent="0.4">
      <c r="C180" s="1041"/>
      <c r="D180" s="1041"/>
      <c r="E180" s="1041"/>
      <c r="F180" s="1041"/>
      <c r="G180" s="1041"/>
      <c r="H180" s="1041"/>
    </row>
    <row r="181" spans="3:8" x14ac:dyDescent="0.4">
      <c r="C181" s="1041"/>
      <c r="D181" s="1041"/>
      <c r="E181" s="1041"/>
      <c r="F181" s="1041"/>
      <c r="G181" s="1041"/>
      <c r="H181" s="1041"/>
    </row>
    <row r="182" spans="3:8" x14ac:dyDescent="0.4">
      <c r="C182" s="1041"/>
      <c r="D182" s="1041"/>
      <c r="E182" s="1041"/>
      <c r="F182" s="1041"/>
      <c r="G182" s="1041"/>
      <c r="H182" s="1041"/>
    </row>
    <row r="183" spans="3:8" x14ac:dyDescent="0.4">
      <c r="C183" s="1041"/>
      <c r="D183" s="1041"/>
      <c r="E183" s="1041"/>
      <c r="F183" s="1041"/>
      <c r="G183" s="1041"/>
      <c r="H183" s="1041"/>
    </row>
    <row r="184" spans="3:8" x14ac:dyDescent="0.4">
      <c r="C184" s="1041"/>
      <c r="D184" s="1041"/>
      <c r="E184" s="1041"/>
      <c r="F184" s="1041"/>
      <c r="G184" s="1041"/>
      <c r="H184" s="1041"/>
    </row>
    <row r="185" spans="3:8" x14ac:dyDescent="0.4">
      <c r="C185" s="1041"/>
      <c r="D185" s="1041"/>
      <c r="E185" s="1041"/>
      <c r="F185" s="1041"/>
      <c r="G185" s="1041"/>
      <c r="H185" s="1041"/>
    </row>
    <row r="186" spans="3:8" x14ac:dyDescent="0.4">
      <c r="C186" s="1041"/>
      <c r="D186" s="1041"/>
      <c r="E186" s="1041"/>
      <c r="F186" s="1041"/>
      <c r="G186" s="1041"/>
      <c r="H186" s="1041"/>
    </row>
    <row r="187" spans="3:8" x14ac:dyDescent="0.4">
      <c r="C187" s="1041"/>
      <c r="D187" s="1041"/>
      <c r="E187" s="1041"/>
      <c r="F187" s="1041"/>
      <c r="G187" s="1041"/>
      <c r="H187" s="1041"/>
    </row>
    <row r="188" spans="3:8" x14ac:dyDescent="0.4">
      <c r="C188" s="1041"/>
      <c r="D188" s="1041"/>
      <c r="E188" s="1041"/>
      <c r="F188" s="1041"/>
      <c r="G188" s="1041"/>
      <c r="H188" s="1041"/>
    </row>
    <row r="189" spans="3:8" x14ac:dyDescent="0.4">
      <c r="C189" s="1041"/>
      <c r="D189" s="1041"/>
      <c r="E189" s="1041"/>
      <c r="F189" s="1041"/>
      <c r="G189" s="1041"/>
      <c r="H189" s="1041"/>
    </row>
    <row r="190" spans="3:8" x14ac:dyDescent="0.4">
      <c r="C190" s="1041"/>
      <c r="D190" s="1041"/>
      <c r="E190" s="1041"/>
      <c r="F190" s="1041"/>
      <c r="G190" s="1041"/>
      <c r="H190" s="1041"/>
    </row>
    <row r="191" spans="3:8" x14ac:dyDescent="0.4">
      <c r="C191" s="1041"/>
      <c r="D191" s="1041"/>
      <c r="E191" s="1041"/>
      <c r="F191" s="1041"/>
      <c r="G191" s="1041"/>
      <c r="H191" s="1041"/>
    </row>
    <row r="192" spans="3:8" x14ac:dyDescent="0.4">
      <c r="C192" s="1041"/>
      <c r="D192" s="1041"/>
      <c r="E192" s="1041"/>
      <c r="F192" s="1041"/>
      <c r="G192" s="1041"/>
      <c r="H192" s="1041"/>
    </row>
    <row r="193" spans="3:8" x14ac:dyDescent="0.4">
      <c r="C193" s="1041"/>
      <c r="D193" s="1041"/>
      <c r="E193" s="1041"/>
      <c r="F193" s="1041"/>
      <c r="G193" s="1041"/>
      <c r="H193" s="1041"/>
    </row>
    <row r="194" spans="3:8" x14ac:dyDescent="0.4">
      <c r="C194" s="1041"/>
      <c r="D194" s="1041"/>
      <c r="E194" s="1041"/>
      <c r="F194" s="1041"/>
      <c r="G194" s="1041"/>
      <c r="H194" s="1041"/>
    </row>
    <row r="195" spans="3:8" x14ac:dyDescent="0.4">
      <c r="C195" s="1041"/>
      <c r="D195" s="1041"/>
      <c r="E195" s="1041"/>
      <c r="F195" s="1041"/>
      <c r="G195" s="1041"/>
      <c r="H195" s="1041"/>
    </row>
    <row r="196" spans="3:8" x14ac:dyDescent="0.4">
      <c r="C196" s="1041"/>
      <c r="D196" s="1041"/>
      <c r="E196" s="1041"/>
      <c r="F196" s="1041"/>
      <c r="G196" s="1041"/>
      <c r="H196" s="1041"/>
    </row>
    <row r="197" spans="3:8" x14ac:dyDescent="0.4">
      <c r="C197" s="1041"/>
      <c r="D197" s="1041"/>
      <c r="E197" s="1041"/>
      <c r="F197" s="1041"/>
      <c r="G197" s="1041"/>
      <c r="H197" s="1041"/>
    </row>
    <row r="198" spans="3:8" x14ac:dyDescent="0.4">
      <c r="C198" s="1041"/>
      <c r="D198" s="1041"/>
      <c r="E198" s="1041"/>
      <c r="F198" s="1041"/>
      <c r="G198" s="1041"/>
      <c r="H198" s="1041"/>
    </row>
    <row r="199" spans="3:8" x14ac:dyDescent="0.4">
      <c r="C199" s="1041"/>
      <c r="D199" s="1041"/>
      <c r="E199" s="1041"/>
      <c r="F199" s="1041"/>
      <c r="G199" s="1041"/>
      <c r="H199" s="1041"/>
    </row>
    <row r="200" spans="3:8" x14ac:dyDescent="0.4">
      <c r="C200" s="1041"/>
      <c r="D200" s="1041"/>
      <c r="E200" s="1041"/>
      <c r="F200" s="1041"/>
      <c r="G200" s="1041"/>
      <c r="H200" s="1041"/>
    </row>
    <row r="201" spans="3:8" x14ac:dyDescent="0.4">
      <c r="C201" s="1041"/>
      <c r="D201" s="1041"/>
      <c r="E201" s="1041"/>
      <c r="F201" s="1041"/>
      <c r="G201" s="1041"/>
      <c r="H201" s="1041"/>
    </row>
    <row r="202" spans="3:8" x14ac:dyDescent="0.4">
      <c r="C202" s="1041"/>
      <c r="D202" s="1041"/>
      <c r="E202" s="1041"/>
      <c r="F202" s="1041"/>
      <c r="G202" s="1041"/>
      <c r="H202" s="1041"/>
    </row>
    <row r="203" spans="3:8" x14ac:dyDescent="0.4">
      <c r="C203" s="1041"/>
      <c r="D203" s="1041"/>
      <c r="E203" s="1041"/>
      <c r="F203" s="1041"/>
      <c r="G203" s="1041"/>
      <c r="H203" s="1041"/>
    </row>
    <row r="204" spans="3:8" x14ac:dyDescent="0.4">
      <c r="C204" s="1041"/>
      <c r="D204" s="1041"/>
      <c r="E204" s="1041"/>
      <c r="F204" s="1041"/>
      <c r="G204" s="1041"/>
      <c r="H204" s="1041"/>
    </row>
    <row r="205" spans="3:8" x14ac:dyDescent="0.4">
      <c r="C205" s="1041"/>
      <c r="D205" s="1041"/>
      <c r="E205" s="1041"/>
      <c r="F205" s="1041"/>
      <c r="G205" s="1041"/>
      <c r="H205" s="1041"/>
    </row>
    <row r="206" spans="3:8" x14ac:dyDescent="0.4">
      <c r="C206" s="1041"/>
      <c r="D206" s="1041"/>
      <c r="E206" s="1041"/>
      <c r="F206" s="1041"/>
      <c r="G206" s="1041"/>
      <c r="H206" s="1041"/>
    </row>
    <row r="207" spans="3:8" x14ac:dyDescent="0.4">
      <c r="C207" s="1041"/>
      <c r="D207" s="1041"/>
      <c r="E207" s="1041"/>
      <c r="F207" s="1041"/>
      <c r="G207" s="1041"/>
      <c r="H207" s="1041"/>
    </row>
    <row r="208" spans="3:8" x14ac:dyDescent="0.4">
      <c r="C208" s="1041"/>
      <c r="D208" s="1041"/>
      <c r="E208" s="1041"/>
      <c r="F208" s="1041"/>
      <c r="G208" s="1041"/>
      <c r="H208" s="1041"/>
    </row>
    <row r="209" spans="3:8" x14ac:dyDescent="0.4">
      <c r="C209" s="1041"/>
      <c r="D209" s="1041"/>
      <c r="E209" s="1041"/>
      <c r="F209" s="1041"/>
      <c r="G209" s="1041"/>
      <c r="H209" s="1041"/>
    </row>
    <row r="210" spans="3:8" x14ac:dyDescent="0.4">
      <c r="C210" s="1041"/>
      <c r="D210" s="1041"/>
      <c r="E210" s="1041"/>
      <c r="F210" s="1041"/>
      <c r="G210" s="1041"/>
      <c r="H210" s="1041"/>
    </row>
    <row r="211" spans="3:8" x14ac:dyDescent="0.4">
      <c r="C211" s="1041"/>
      <c r="D211" s="1041"/>
      <c r="E211" s="1041"/>
      <c r="F211" s="1041"/>
      <c r="G211" s="1041"/>
      <c r="H211" s="1041"/>
    </row>
    <row r="212" spans="3:8" x14ac:dyDescent="0.4">
      <c r="C212" s="1041"/>
      <c r="D212" s="1041"/>
      <c r="E212" s="1041"/>
      <c r="F212" s="1041"/>
      <c r="G212" s="1041"/>
      <c r="H212" s="1041"/>
    </row>
    <row r="213" spans="3:8" x14ac:dyDescent="0.4">
      <c r="C213" s="1041"/>
      <c r="D213" s="1041"/>
      <c r="E213" s="1041"/>
      <c r="F213" s="1041"/>
      <c r="G213" s="1041"/>
      <c r="H213" s="1041"/>
    </row>
    <row r="214" spans="3:8" x14ac:dyDescent="0.4">
      <c r="C214" s="1041"/>
      <c r="D214" s="1041"/>
      <c r="E214" s="1041"/>
      <c r="F214" s="1041"/>
      <c r="G214" s="1041"/>
      <c r="H214" s="1041"/>
    </row>
    <row r="215" spans="3:8" x14ac:dyDescent="0.4">
      <c r="C215" s="1041"/>
      <c r="D215" s="1041"/>
      <c r="E215" s="1041"/>
      <c r="F215" s="1041"/>
      <c r="G215" s="1041"/>
      <c r="H215" s="1041"/>
    </row>
    <row r="216" spans="3:8" x14ac:dyDescent="0.4">
      <c r="C216" s="1041"/>
      <c r="D216" s="1041"/>
      <c r="E216" s="1041"/>
      <c r="F216" s="1041"/>
      <c r="G216" s="1041"/>
      <c r="H216" s="1041"/>
    </row>
    <row r="217" spans="3:8" x14ac:dyDescent="0.4">
      <c r="C217" s="1041"/>
      <c r="D217" s="1041"/>
      <c r="E217" s="1041"/>
      <c r="F217" s="1041"/>
      <c r="G217" s="1041"/>
      <c r="H217" s="1041"/>
    </row>
    <row r="218" spans="3:8" x14ac:dyDescent="0.4">
      <c r="C218" s="1041"/>
      <c r="D218" s="1041"/>
      <c r="E218" s="1041"/>
      <c r="F218" s="1041"/>
      <c r="G218" s="1041"/>
      <c r="H218" s="1041"/>
    </row>
    <row r="219" spans="3:8" x14ac:dyDescent="0.4">
      <c r="C219" s="1041"/>
      <c r="D219" s="1041"/>
      <c r="E219" s="1041"/>
      <c r="F219" s="1041"/>
      <c r="G219" s="1041"/>
      <c r="H219" s="1041"/>
    </row>
    <row r="220" spans="3:8" x14ac:dyDescent="0.4">
      <c r="C220" s="1041"/>
      <c r="D220" s="1041"/>
      <c r="E220" s="1041"/>
      <c r="F220" s="1041"/>
      <c r="G220" s="1041"/>
      <c r="H220" s="1041"/>
    </row>
    <row r="221" spans="3:8" x14ac:dyDescent="0.4">
      <c r="C221" s="1041"/>
      <c r="D221" s="1041"/>
      <c r="E221" s="1041"/>
      <c r="F221" s="1041"/>
      <c r="G221" s="1041"/>
      <c r="H221" s="1041"/>
    </row>
    <row r="222" spans="3:8" x14ac:dyDescent="0.4">
      <c r="C222" s="1041"/>
      <c r="D222" s="1041"/>
      <c r="E222" s="1041"/>
      <c r="F222" s="1041"/>
      <c r="G222" s="1041"/>
      <c r="H222" s="1041"/>
    </row>
    <row r="223" spans="3:8" x14ac:dyDescent="0.4">
      <c r="C223" s="1041"/>
      <c r="D223" s="1041"/>
      <c r="E223" s="1041"/>
      <c r="F223" s="1041"/>
      <c r="G223" s="1041"/>
      <c r="H223" s="1041"/>
    </row>
    <row r="224" spans="3:8" x14ac:dyDescent="0.4">
      <c r="C224" s="1041"/>
      <c r="D224" s="1041"/>
      <c r="E224" s="1041"/>
      <c r="F224" s="1041"/>
      <c r="G224" s="1041"/>
      <c r="H224" s="1041"/>
    </row>
    <row r="225" spans="3:8" x14ac:dyDescent="0.4">
      <c r="C225" s="1041"/>
      <c r="D225" s="1041"/>
      <c r="E225" s="1041"/>
      <c r="F225" s="1041"/>
      <c r="G225" s="1041"/>
      <c r="H225" s="1041"/>
    </row>
    <row r="226" spans="3:8" x14ac:dyDescent="0.4">
      <c r="C226" s="1041"/>
      <c r="D226" s="1041"/>
      <c r="E226" s="1041"/>
      <c r="F226" s="1041"/>
      <c r="G226" s="1041"/>
      <c r="H226" s="1041"/>
    </row>
    <row r="227" spans="3:8" x14ac:dyDescent="0.4">
      <c r="C227" s="1041"/>
      <c r="D227" s="1041"/>
      <c r="E227" s="1041"/>
      <c r="F227" s="1041"/>
      <c r="G227" s="1041"/>
      <c r="H227" s="1041"/>
    </row>
    <row r="228" spans="3:8" x14ac:dyDescent="0.4">
      <c r="C228" s="1041"/>
      <c r="D228" s="1041"/>
      <c r="E228" s="1041"/>
      <c r="F228" s="1041"/>
      <c r="G228" s="1041"/>
      <c r="H228" s="1041"/>
    </row>
    <row r="229" spans="3:8" x14ac:dyDescent="0.4">
      <c r="C229" s="1041"/>
      <c r="D229" s="1041"/>
      <c r="E229" s="1041"/>
      <c r="F229" s="1041"/>
      <c r="G229" s="1041"/>
      <c r="H229" s="1041"/>
    </row>
    <row r="230" spans="3:8" x14ac:dyDescent="0.4">
      <c r="C230" s="1041"/>
      <c r="D230" s="1041"/>
      <c r="E230" s="1041"/>
      <c r="F230" s="1041"/>
      <c r="G230" s="1041"/>
      <c r="H230" s="1041"/>
    </row>
    <row r="231" spans="3:8" x14ac:dyDescent="0.4">
      <c r="C231" s="1041"/>
      <c r="D231" s="1041"/>
      <c r="E231" s="1041"/>
      <c r="F231" s="1041"/>
      <c r="G231" s="1041"/>
      <c r="H231" s="1041"/>
    </row>
    <row r="232" spans="3:8" x14ac:dyDescent="0.4">
      <c r="C232" s="1041"/>
      <c r="D232" s="1041"/>
      <c r="E232" s="1041"/>
      <c r="F232" s="1041"/>
      <c r="G232" s="1041"/>
      <c r="H232" s="1041"/>
    </row>
    <row r="233" spans="3:8" x14ac:dyDescent="0.4">
      <c r="C233" s="1041"/>
      <c r="D233" s="1041"/>
      <c r="E233" s="1041"/>
      <c r="F233" s="1041"/>
      <c r="G233" s="1041"/>
      <c r="H233" s="1041"/>
    </row>
    <row r="234" spans="3:8" x14ac:dyDescent="0.4">
      <c r="C234" s="1041"/>
      <c r="D234" s="1041"/>
      <c r="E234" s="1041"/>
      <c r="F234" s="1041"/>
      <c r="G234" s="1041"/>
      <c r="H234" s="1041"/>
    </row>
    <row r="235" spans="3:8" x14ac:dyDescent="0.4">
      <c r="C235" s="1041"/>
      <c r="D235" s="1041"/>
      <c r="E235" s="1041"/>
      <c r="F235" s="1041"/>
      <c r="G235" s="1041"/>
      <c r="H235" s="1041"/>
    </row>
    <row r="236" spans="3:8" x14ac:dyDescent="0.4">
      <c r="C236" s="1041"/>
      <c r="D236" s="1041"/>
      <c r="E236" s="1041"/>
      <c r="F236" s="1041"/>
      <c r="G236" s="1041"/>
      <c r="H236" s="1041"/>
    </row>
    <row r="237" spans="3:8" x14ac:dyDescent="0.4">
      <c r="C237" s="1041"/>
      <c r="D237" s="1041"/>
      <c r="E237" s="1041"/>
      <c r="F237" s="1041"/>
      <c r="G237" s="1041"/>
      <c r="H237" s="1041"/>
    </row>
    <row r="238" spans="3:8" x14ac:dyDescent="0.4">
      <c r="C238" s="1041"/>
      <c r="D238" s="1041"/>
      <c r="E238" s="1041"/>
      <c r="F238" s="1041"/>
      <c r="G238" s="1041"/>
      <c r="H238" s="1041"/>
    </row>
    <row r="239" spans="3:8" x14ac:dyDescent="0.4">
      <c r="C239" s="1041"/>
      <c r="D239" s="1041"/>
      <c r="E239" s="1041"/>
      <c r="F239" s="1041"/>
      <c r="G239" s="1041"/>
      <c r="H239" s="1041"/>
    </row>
    <row r="240" spans="3:8" x14ac:dyDescent="0.4">
      <c r="C240" s="1041"/>
      <c r="D240" s="1041"/>
      <c r="E240" s="1041"/>
      <c r="F240" s="1041"/>
      <c r="G240" s="1041"/>
      <c r="H240" s="1041"/>
    </row>
    <row r="241" spans="3:8" x14ac:dyDescent="0.4">
      <c r="C241" s="1041"/>
      <c r="D241" s="1041"/>
      <c r="E241" s="1041"/>
      <c r="F241" s="1041"/>
      <c r="G241" s="1041"/>
      <c r="H241" s="1041"/>
    </row>
  </sheetData>
  <phoneticPr fontId="51" type="noConversion"/>
  <pageMargins left="0.75" right="0.75" top="1" bottom="1" header="0.5" footer="0.5"/>
  <headerFooter alignWithMargins="0"/>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indexed="10"/>
  </sheetPr>
  <dimension ref="A1:I125"/>
  <sheetViews>
    <sheetView workbookViewId="0">
      <selection activeCell="B3" sqref="B3"/>
    </sheetView>
  </sheetViews>
  <sheetFormatPr defaultColWidth="10" defaultRowHeight="15.75" outlineLevelRow="2" x14ac:dyDescent="0.35"/>
  <cols>
    <col min="1" max="1" width="12.75" customWidth="1"/>
    <col min="2" max="2" width="31.75" style="1296" customWidth="1"/>
    <col min="3" max="3" width="12.25" style="1035" bestFit="1" customWidth="1"/>
    <col min="4" max="4" width="17.75" style="1035" bestFit="1" customWidth="1"/>
    <col min="5" max="5" width="12.25" style="1035" bestFit="1" customWidth="1"/>
    <col min="6" max="6" width="16.25" style="1035" bestFit="1" customWidth="1"/>
    <col min="7" max="9" width="12.25" style="1035" bestFit="1" customWidth="1"/>
  </cols>
  <sheetData>
    <row r="1" spans="1:9" x14ac:dyDescent="0.35">
      <c r="A1" s="1352" t="s">
        <v>110</v>
      </c>
    </row>
    <row r="2" spans="1:9" x14ac:dyDescent="0.4">
      <c r="B2" s="1353" t="s">
        <v>260</v>
      </c>
      <c r="C2" s="1354"/>
      <c r="D2" s="1354"/>
      <c r="E2" s="1354"/>
      <c r="F2" s="1354"/>
      <c r="G2" s="1354"/>
      <c r="H2" s="1354"/>
    </row>
    <row r="3" spans="1:9" x14ac:dyDescent="0.35">
      <c r="B3" s="1355" t="s">
        <v>59</v>
      </c>
      <c r="C3" s="1051"/>
      <c r="D3" s="1051"/>
      <c r="E3" s="1051"/>
      <c r="F3" s="1051"/>
      <c r="G3" s="1051"/>
      <c r="H3" s="1051"/>
    </row>
    <row r="4" spans="1:9" x14ac:dyDescent="0.35">
      <c r="B4" s="1355" t="s">
        <v>60</v>
      </c>
      <c r="C4" s="1051"/>
      <c r="D4" s="1051"/>
      <c r="E4" s="1051"/>
      <c r="F4" s="1051"/>
      <c r="G4" s="1051"/>
      <c r="H4" s="1051"/>
    </row>
    <row r="5" spans="1:9" x14ac:dyDescent="0.35">
      <c r="B5" s="1355" t="s">
        <v>61</v>
      </c>
      <c r="C5" s="1051"/>
      <c r="D5" s="1051"/>
      <c r="E5" s="1051"/>
      <c r="F5" s="1051"/>
      <c r="G5" s="1051"/>
      <c r="H5" s="1051"/>
    </row>
    <row r="6" spans="1:9" s="1035" customFormat="1" ht="26.25" x14ac:dyDescent="0.4">
      <c r="B6" s="1356"/>
      <c r="C6" s="1357" t="s">
        <v>168</v>
      </c>
      <c r="D6" s="1357" t="s">
        <v>169</v>
      </c>
      <c r="E6" s="1357" t="s">
        <v>170</v>
      </c>
      <c r="F6" s="1357" t="s">
        <v>171</v>
      </c>
      <c r="G6" s="1357" t="s">
        <v>172</v>
      </c>
      <c r="H6" s="1357" t="s">
        <v>173</v>
      </c>
      <c r="I6" s="1358" t="s">
        <v>512</v>
      </c>
    </row>
    <row r="7" spans="1:9" x14ac:dyDescent="0.3">
      <c r="C7" s="1359" t="s">
        <v>252</v>
      </c>
      <c r="D7" s="1359" t="s">
        <v>252</v>
      </c>
      <c r="E7" s="1359" t="s">
        <v>252</v>
      </c>
      <c r="F7" s="1359"/>
      <c r="G7" s="1359" t="s">
        <v>252</v>
      </c>
      <c r="H7" s="1359" t="s">
        <v>252</v>
      </c>
      <c r="I7" s="1359" t="s">
        <v>252</v>
      </c>
    </row>
    <row r="8" spans="1:9" outlineLevel="1" x14ac:dyDescent="0.35">
      <c r="C8" s="1360"/>
      <c r="D8" s="1360"/>
      <c r="E8" s="1360"/>
      <c r="F8" s="1360"/>
      <c r="G8" s="1360"/>
      <c r="H8" s="1360"/>
      <c r="I8" s="1360"/>
    </row>
    <row r="9" spans="1:9" outlineLevel="1" x14ac:dyDescent="0.4">
      <c r="B9" s="1361" t="s">
        <v>254</v>
      </c>
      <c r="C9" s="1362"/>
      <c r="D9" s="1362"/>
      <c r="E9" s="1362"/>
      <c r="F9" s="1362"/>
      <c r="G9" s="1362"/>
      <c r="H9" s="1362"/>
      <c r="I9" s="1362"/>
    </row>
    <row r="10" spans="1:9" outlineLevel="1" x14ac:dyDescent="0.4">
      <c r="B10" s="1363" t="s">
        <v>514</v>
      </c>
      <c r="C10" s="1360">
        <v>201.155</v>
      </c>
      <c r="D10" s="1360">
        <v>540.15800000000002</v>
      </c>
      <c r="E10" s="1360">
        <v>455.24299999999999</v>
      </c>
      <c r="F10" s="1360">
        <v>55.502000000000002</v>
      </c>
      <c r="G10" s="1360">
        <v>38.225000000000001</v>
      </c>
      <c r="H10" s="1360">
        <v>53.311999999999998</v>
      </c>
      <c r="I10" s="1364">
        <f>SUM(C10:H10)</f>
        <v>1343.5949999999998</v>
      </c>
    </row>
    <row r="11" spans="1:9" outlineLevel="1" x14ac:dyDescent="0.4">
      <c r="B11" s="1035" t="s">
        <v>513</v>
      </c>
      <c r="C11" s="1360">
        <v>9.4190000000000005</v>
      </c>
      <c r="D11" s="1360">
        <v>4.8860000000000001</v>
      </c>
      <c r="E11" s="1360">
        <v>38.904000000000003</v>
      </c>
      <c r="F11" s="1360">
        <v>30.49</v>
      </c>
      <c r="G11" s="1360">
        <v>10.656000000000001</v>
      </c>
      <c r="H11" s="1360">
        <v>62.768000000000001</v>
      </c>
      <c r="I11" s="1364">
        <f t="shared" ref="I11:I16" si="0">SUM(C11:H11)</f>
        <v>157.12299999999999</v>
      </c>
    </row>
    <row r="12" spans="1:9" outlineLevel="1" x14ac:dyDescent="0.4">
      <c r="B12" s="1365" t="s">
        <v>174</v>
      </c>
      <c r="C12" s="1360">
        <v>8.1159999999999997</v>
      </c>
      <c r="D12" s="1360">
        <v>27.526</v>
      </c>
      <c r="E12" s="1360">
        <v>0.71099999999999997</v>
      </c>
      <c r="F12" s="1360">
        <v>0.747</v>
      </c>
      <c r="G12" s="1360">
        <v>0.66700000000000004</v>
      </c>
      <c r="H12" s="1360">
        <v>1.496</v>
      </c>
      <c r="I12" s="1364">
        <f t="shared" si="0"/>
        <v>39.262999999999998</v>
      </c>
    </row>
    <row r="13" spans="1:9" outlineLevel="1" x14ac:dyDescent="0.4">
      <c r="B13" s="1035" t="s">
        <v>175</v>
      </c>
      <c r="C13" s="1360">
        <v>2.1379999999999999</v>
      </c>
      <c r="D13" s="1360">
        <v>50.573999999999998</v>
      </c>
      <c r="E13" s="1360">
        <v>2</v>
      </c>
      <c r="F13" s="1360">
        <v>3.7189999999999999</v>
      </c>
      <c r="G13" s="1360">
        <v>0</v>
      </c>
      <c r="H13" s="1360">
        <v>-56.433</v>
      </c>
      <c r="I13" s="1364">
        <f t="shared" si="0"/>
        <v>1.9979999999999976</v>
      </c>
    </row>
    <row r="14" spans="1:9" outlineLevel="1" x14ac:dyDescent="0.4">
      <c r="B14" s="1035" t="s">
        <v>515</v>
      </c>
      <c r="C14" s="1360">
        <v>-0.39700000000000002</v>
      </c>
      <c r="D14" s="1360">
        <v>-1.7350000000000001</v>
      </c>
      <c r="E14" s="1360">
        <f>-16.632-1.998</f>
        <v>-18.630000000000003</v>
      </c>
      <c r="F14" s="1360">
        <v>-4.3230000000000004</v>
      </c>
      <c r="G14" s="1360">
        <v>-9.3140000000000001</v>
      </c>
      <c r="H14" s="1360">
        <v>0</v>
      </c>
      <c r="I14" s="1364">
        <f t="shared" si="0"/>
        <v>-34.399000000000001</v>
      </c>
    </row>
    <row r="15" spans="1:9" outlineLevel="1" x14ac:dyDescent="0.4">
      <c r="B15" s="1035" t="s">
        <v>516</v>
      </c>
      <c r="C15" s="1360"/>
      <c r="D15" s="1360"/>
      <c r="E15" s="1360"/>
      <c r="F15" s="1360"/>
      <c r="G15" s="1360"/>
      <c r="H15" s="1360"/>
      <c r="I15" s="1364">
        <f t="shared" si="0"/>
        <v>0</v>
      </c>
    </row>
    <row r="16" spans="1:9" outlineLevel="1" x14ac:dyDescent="0.4">
      <c r="B16" s="1307" t="s">
        <v>517</v>
      </c>
      <c r="C16" s="1364">
        <f t="shared" ref="C16:H16" si="1">SUM(C10:C15)</f>
        <v>220.43100000000001</v>
      </c>
      <c r="D16" s="1364">
        <f t="shared" si="1"/>
        <v>621.40899999999988</v>
      </c>
      <c r="E16" s="1364">
        <f t="shared" si="1"/>
        <v>478.22800000000001</v>
      </c>
      <c r="F16" s="1364">
        <f t="shared" si="1"/>
        <v>86.134999999999991</v>
      </c>
      <c r="G16" s="1364">
        <f t="shared" si="1"/>
        <v>40.234000000000002</v>
      </c>
      <c r="H16" s="1364">
        <f t="shared" si="1"/>
        <v>61.142999999999994</v>
      </c>
      <c r="I16" s="1360">
        <f t="shared" si="0"/>
        <v>1507.58</v>
      </c>
    </row>
    <row r="17" spans="2:9" outlineLevel="1" x14ac:dyDescent="0.4">
      <c r="B17" s="1035"/>
      <c r="C17" s="1364"/>
      <c r="D17" s="1364"/>
      <c r="E17" s="1364"/>
      <c r="F17" s="1364"/>
      <c r="G17" s="1364"/>
      <c r="H17" s="1364"/>
      <c r="I17" s="1364"/>
    </row>
    <row r="18" spans="2:9" x14ac:dyDescent="0.4">
      <c r="B18" s="1361" t="s">
        <v>256</v>
      </c>
      <c r="C18" s="1362"/>
      <c r="D18" s="1362"/>
      <c r="E18" s="1362"/>
      <c r="F18" s="1362"/>
      <c r="G18" s="1362"/>
      <c r="H18" s="1362"/>
      <c r="I18" s="1362"/>
    </row>
    <row r="19" spans="2:9" x14ac:dyDescent="0.4">
      <c r="B19" s="1366" t="s">
        <v>253</v>
      </c>
      <c r="C19" s="1364">
        <f t="shared" ref="C19:H19" si="2">C16</f>
        <v>220.43100000000001</v>
      </c>
      <c r="D19" s="1364">
        <f t="shared" si="2"/>
        <v>621.40899999999988</v>
      </c>
      <c r="E19" s="1364">
        <f t="shared" si="2"/>
        <v>478.22800000000001</v>
      </c>
      <c r="F19" s="1364">
        <f t="shared" si="2"/>
        <v>86.134999999999991</v>
      </c>
      <c r="G19" s="1364">
        <f t="shared" si="2"/>
        <v>40.234000000000002</v>
      </c>
      <c r="H19" s="1364">
        <f t="shared" si="2"/>
        <v>61.142999999999994</v>
      </c>
      <c r="I19" s="1364">
        <f>SUM(C19:H19)</f>
        <v>1507.58</v>
      </c>
    </row>
    <row r="20" spans="2:9" x14ac:dyDescent="0.4">
      <c r="B20" s="1035" t="s">
        <v>513</v>
      </c>
      <c r="C20" s="1360">
        <v>0.50900000000000001</v>
      </c>
      <c r="D20" s="1360">
        <v>0</v>
      </c>
      <c r="E20" s="1360">
        <v>43.325000000000003</v>
      </c>
      <c r="F20" s="1360">
        <v>6.8689999999999998</v>
      </c>
      <c r="G20" s="1360">
        <v>5.274</v>
      </c>
      <c r="H20" s="1360">
        <v>68.606999999999999</v>
      </c>
      <c r="I20" s="1364">
        <f t="shared" ref="I20:I25" si="3">SUM(C20:H20)</f>
        <v>124.584</v>
      </c>
    </row>
    <row r="21" spans="2:9" x14ac:dyDescent="0.4">
      <c r="B21" s="1365" t="s">
        <v>174</v>
      </c>
      <c r="C21" s="1360">
        <v>14.731</v>
      </c>
      <c r="D21" s="1360">
        <v>43.081000000000003</v>
      </c>
      <c r="E21" s="1360">
        <v>1.419</v>
      </c>
      <c r="F21" s="1360">
        <v>1.925</v>
      </c>
      <c r="G21" s="1360">
        <v>1.1459999999999999</v>
      </c>
      <c r="H21" s="1360">
        <v>4.726</v>
      </c>
      <c r="I21" s="1364">
        <f t="shared" si="3"/>
        <v>67.028000000000006</v>
      </c>
    </row>
    <row r="22" spans="2:9" x14ac:dyDescent="0.4">
      <c r="B22" s="1035" t="s">
        <v>175</v>
      </c>
      <c r="C22" s="1360">
        <v>9.5239999999999991</v>
      </c>
      <c r="D22" s="1360">
        <v>39.948</v>
      </c>
      <c r="E22" s="1360">
        <v>1.7210000000000001</v>
      </c>
      <c r="F22" s="1360">
        <v>0</v>
      </c>
      <c r="G22" s="1360">
        <v>0</v>
      </c>
      <c r="H22" s="1360">
        <v>-51.192999999999998</v>
      </c>
      <c r="I22" s="1364">
        <f t="shared" si="3"/>
        <v>0</v>
      </c>
    </row>
    <row r="23" spans="2:9" x14ac:dyDescent="0.4">
      <c r="B23" s="1035" t="s">
        <v>515</v>
      </c>
      <c r="C23" s="1360">
        <v>-4.359</v>
      </c>
      <c r="D23" s="1360">
        <v>-15.563000000000001</v>
      </c>
      <c r="E23" s="1360">
        <v>-36.750999999999998</v>
      </c>
      <c r="F23" s="1360">
        <v>-18.465</v>
      </c>
      <c r="G23" s="1360">
        <v>-4.2960000000000003</v>
      </c>
      <c r="H23" s="1360">
        <v>0</v>
      </c>
      <c r="I23" s="1364">
        <f t="shared" si="3"/>
        <v>-79.434000000000012</v>
      </c>
    </row>
    <row r="24" spans="2:9" x14ac:dyDescent="0.4">
      <c r="B24" s="1035" t="s">
        <v>516</v>
      </c>
      <c r="C24" s="1360"/>
      <c r="D24" s="1360"/>
      <c r="E24" s="1360"/>
      <c r="F24" s="1360"/>
      <c r="G24" s="1360"/>
      <c r="H24" s="1360"/>
      <c r="I24" s="1364">
        <f t="shared" si="3"/>
        <v>0</v>
      </c>
    </row>
    <row r="25" spans="2:9" ht="6" customHeight="1" x14ac:dyDescent="0.4">
      <c r="B25" s="1365"/>
      <c r="C25" s="1360"/>
      <c r="D25" s="1360"/>
      <c r="E25" s="1360"/>
      <c r="F25" s="1360"/>
      <c r="G25" s="1360"/>
      <c r="H25" s="1360"/>
      <c r="I25" s="1364">
        <f t="shared" si="3"/>
        <v>0</v>
      </c>
    </row>
    <row r="26" spans="2:9" x14ac:dyDescent="0.4">
      <c r="B26" s="1308" t="s">
        <v>255</v>
      </c>
      <c r="C26" s="1364">
        <f t="shared" ref="C26:H26" si="4">SUM(C19:C25)</f>
        <v>240.83599999999998</v>
      </c>
      <c r="D26" s="1364">
        <f t="shared" si="4"/>
        <v>688.87499999999989</v>
      </c>
      <c r="E26" s="1364">
        <f t="shared" si="4"/>
        <v>487.94200000000001</v>
      </c>
      <c r="F26" s="1364">
        <f t="shared" si="4"/>
        <v>76.463999999999984</v>
      </c>
      <c r="G26" s="1364">
        <f t="shared" si="4"/>
        <v>42.358000000000004</v>
      </c>
      <c r="H26" s="1364">
        <f t="shared" si="4"/>
        <v>83.283000000000001</v>
      </c>
      <c r="I26" s="1364">
        <f>SUM(C26:H26)</f>
        <v>1619.7579999999996</v>
      </c>
    </row>
    <row r="27" spans="2:9" collapsed="1" x14ac:dyDescent="0.4">
      <c r="B27" s="1361" t="s">
        <v>182</v>
      </c>
      <c r="C27" s="1362"/>
      <c r="D27" s="1362"/>
      <c r="E27" s="1362"/>
      <c r="F27" s="1362"/>
      <c r="G27" s="1362"/>
      <c r="H27" s="1362"/>
      <c r="I27" s="1362"/>
    </row>
    <row r="28" spans="2:9" x14ac:dyDescent="0.4">
      <c r="B28" s="1366" t="s">
        <v>253</v>
      </c>
      <c r="C28" s="1364">
        <f t="shared" ref="C28:I28" si="5">C26</f>
        <v>240.83599999999998</v>
      </c>
      <c r="D28" s="1364">
        <f t="shared" si="5"/>
        <v>688.87499999999989</v>
      </c>
      <c r="E28" s="1364">
        <f t="shared" si="5"/>
        <v>487.94200000000001</v>
      </c>
      <c r="F28" s="1364">
        <f t="shared" si="5"/>
        <v>76.463999999999984</v>
      </c>
      <c r="G28" s="1364">
        <f t="shared" si="5"/>
        <v>42.358000000000004</v>
      </c>
      <c r="H28" s="1364">
        <f t="shared" si="5"/>
        <v>83.283000000000001</v>
      </c>
      <c r="I28" s="1364">
        <f t="shared" si="5"/>
        <v>1619.7579999999996</v>
      </c>
    </row>
    <row r="29" spans="2:9" x14ac:dyDescent="0.4">
      <c r="B29" s="1035" t="s">
        <v>513</v>
      </c>
      <c r="C29" s="1360">
        <v>5.0720000000000001</v>
      </c>
      <c r="D29" s="1360">
        <v>19.88</v>
      </c>
      <c r="E29" s="1360">
        <v>50.841000000000001</v>
      </c>
      <c r="F29" s="1360">
        <v>7.93</v>
      </c>
      <c r="G29" s="1360">
        <v>11.618</v>
      </c>
      <c r="H29" s="1360">
        <v>119.98399999999999</v>
      </c>
      <c r="I29" s="1364">
        <f t="shared" ref="I29:I37" si="6">SUM(C29:H29)</f>
        <v>215.32499999999999</v>
      </c>
    </row>
    <row r="30" spans="2:9" x14ac:dyDescent="0.4">
      <c r="B30" s="1365" t="s">
        <v>174</v>
      </c>
      <c r="C30" s="1360">
        <v>14.558999999999999</v>
      </c>
      <c r="D30" s="1360">
        <v>43.42</v>
      </c>
      <c r="E30" s="1360">
        <v>1.387</v>
      </c>
      <c r="F30" s="1360">
        <v>1.2290000000000001</v>
      </c>
      <c r="G30" s="1360">
        <v>1.1990000000000001</v>
      </c>
      <c r="H30" s="1360">
        <v>5.44</v>
      </c>
      <c r="I30" s="1364">
        <f t="shared" si="6"/>
        <v>67.233999999999995</v>
      </c>
    </row>
    <row r="31" spans="2:9" x14ac:dyDescent="0.4">
      <c r="B31" s="1035" t="s">
        <v>175</v>
      </c>
      <c r="C31" s="1360">
        <v>0.89100000000000001</v>
      </c>
      <c r="D31" s="1360">
        <v>72.930999999999997</v>
      </c>
      <c r="E31" s="1360">
        <v>0.83599999999999997</v>
      </c>
      <c r="F31" s="1360">
        <v>0.31</v>
      </c>
      <c r="G31" s="1360">
        <v>0</v>
      </c>
      <c r="H31" s="1360">
        <v>-74.968000000000004</v>
      </c>
      <c r="I31" s="1364">
        <f t="shared" si="6"/>
        <v>0</v>
      </c>
    </row>
    <row r="32" spans="2:9" x14ac:dyDescent="0.4">
      <c r="B32" s="1035" t="s">
        <v>515</v>
      </c>
      <c r="C32" s="1360">
        <v>-1.7410000000000001</v>
      </c>
      <c r="D32" s="1360">
        <v>-0.42299999999999999</v>
      </c>
      <c r="E32" s="1360">
        <v>-20.959</v>
      </c>
      <c r="F32" s="1360">
        <v>-4.9560000000000004</v>
      </c>
      <c r="G32" s="1360">
        <v>-5.8339999999999996</v>
      </c>
      <c r="H32" s="1360">
        <v>0</v>
      </c>
      <c r="I32" s="1364">
        <f t="shared" si="6"/>
        <v>-33.912999999999997</v>
      </c>
    </row>
    <row r="33" spans="2:9" x14ac:dyDescent="0.4">
      <c r="B33" s="1035" t="s">
        <v>516</v>
      </c>
      <c r="C33" s="1360"/>
      <c r="D33" s="1360"/>
      <c r="E33" s="1360"/>
      <c r="F33" s="1360"/>
      <c r="G33" s="1360"/>
      <c r="H33" s="1360"/>
      <c r="I33" s="1364">
        <f t="shared" si="6"/>
        <v>0</v>
      </c>
    </row>
    <row r="34" spans="2:9" hidden="1" outlineLevel="1" x14ac:dyDescent="0.4">
      <c r="B34" s="1365"/>
      <c r="C34" s="1360"/>
      <c r="D34" s="1360"/>
      <c r="E34" s="1360"/>
      <c r="F34" s="1360"/>
      <c r="G34" s="1360"/>
      <c r="H34" s="1360"/>
      <c r="I34" s="1364">
        <f t="shared" si="6"/>
        <v>0</v>
      </c>
    </row>
    <row r="35" spans="2:9" hidden="1" outlineLevel="1" x14ac:dyDescent="0.4">
      <c r="B35" s="1365"/>
      <c r="C35" s="1360"/>
      <c r="D35" s="1360"/>
      <c r="E35" s="1360"/>
      <c r="F35" s="1360"/>
      <c r="G35" s="1360"/>
      <c r="H35" s="1360"/>
      <c r="I35" s="1364">
        <f t="shared" si="6"/>
        <v>0</v>
      </c>
    </row>
    <row r="36" spans="2:9" hidden="1" outlineLevel="1" x14ac:dyDescent="0.4">
      <c r="B36" s="1365"/>
      <c r="C36" s="1360"/>
      <c r="D36" s="1360"/>
      <c r="E36" s="1360"/>
      <c r="F36" s="1360"/>
      <c r="G36" s="1360"/>
      <c r="H36" s="1360"/>
      <c r="I36" s="1364">
        <f t="shared" si="6"/>
        <v>0</v>
      </c>
    </row>
    <row r="37" spans="2:9" collapsed="1" x14ac:dyDescent="0.4">
      <c r="B37" s="1308" t="s">
        <v>255</v>
      </c>
      <c r="C37" s="1364">
        <f t="shared" ref="C37:H37" si="7">SUM(C28:C36)</f>
        <v>259.61700000000002</v>
      </c>
      <c r="D37" s="1364">
        <f t="shared" si="7"/>
        <v>824.68299999999988</v>
      </c>
      <c r="E37" s="1364">
        <f t="shared" si="7"/>
        <v>520.04700000000003</v>
      </c>
      <c r="F37" s="1364">
        <f t="shared" si="7"/>
        <v>80.976999999999975</v>
      </c>
      <c r="G37" s="1364">
        <f t="shared" si="7"/>
        <v>49.341000000000008</v>
      </c>
      <c r="H37" s="1364">
        <f t="shared" si="7"/>
        <v>133.73899999999998</v>
      </c>
      <c r="I37" s="1367">
        <f t="shared" si="6"/>
        <v>1868.404</v>
      </c>
    </row>
    <row r="39" spans="2:9" x14ac:dyDescent="0.35">
      <c r="C39" s="1041"/>
      <c r="F39" s="1035">
        <v>-1</v>
      </c>
    </row>
    <row r="40" spans="2:9" x14ac:dyDescent="0.35">
      <c r="B40" s="1368" t="s">
        <v>257</v>
      </c>
      <c r="C40" s="1041"/>
    </row>
    <row r="41" spans="2:9" outlineLevel="1" x14ac:dyDescent="0.4">
      <c r="B41" s="1308"/>
      <c r="C41" s="1364"/>
      <c r="D41" s="1364"/>
      <c r="E41" s="1364"/>
      <c r="F41" s="1364"/>
      <c r="G41" s="1364"/>
      <c r="H41" s="1364"/>
      <c r="I41" s="1364"/>
    </row>
    <row r="42" spans="2:9" outlineLevel="1" x14ac:dyDescent="0.4">
      <c r="B42" s="1361" t="s">
        <v>258</v>
      </c>
      <c r="C42" s="1362"/>
      <c r="D42" s="1362"/>
      <c r="E42" s="1362"/>
      <c r="F42" s="1362"/>
      <c r="G42" s="1362"/>
      <c r="H42" s="1362"/>
      <c r="I42" s="1362"/>
    </row>
    <row r="43" spans="2:9" outlineLevel="1" x14ac:dyDescent="0.4">
      <c r="B43" s="1035" t="s">
        <v>176</v>
      </c>
      <c r="C43" s="1360">
        <v>16.236000000000001</v>
      </c>
      <c r="D43" s="1360">
        <v>52.493000000000002</v>
      </c>
      <c r="E43" s="1360">
        <v>415.709</v>
      </c>
      <c r="F43" s="1360">
        <v>33.255000000000003</v>
      </c>
      <c r="G43" s="1360">
        <v>20.099</v>
      </c>
      <c r="H43" s="1360">
        <v>0</v>
      </c>
      <c r="I43" s="1364">
        <f>SUM(C43:H43)</f>
        <v>537.79200000000003</v>
      </c>
    </row>
    <row r="44" spans="2:9" outlineLevel="1" x14ac:dyDescent="0.4">
      <c r="B44" s="1035" t="s">
        <v>177</v>
      </c>
      <c r="C44" s="1360">
        <v>0.91500000000000004</v>
      </c>
      <c r="D44" s="1360">
        <v>3.4740000000000002</v>
      </c>
      <c r="E44" s="1360">
        <v>0.311</v>
      </c>
      <c r="F44" s="1360">
        <v>0.17599999999999999</v>
      </c>
      <c r="G44" s="1360">
        <v>0.246</v>
      </c>
      <c r="H44" s="1360">
        <v>0</v>
      </c>
      <c r="I44" s="1364"/>
    </row>
    <row r="45" spans="2:9" outlineLevel="1" x14ac:dyDescent="0.4">
      <c r="B45" s="1035" t="s">
        <v>178</v>
      </c>
      <c r="C45" s="1360">
        <v>9.5630000000000006</v>
      </c>
      <c r="D45" s="1360">
        <v>35.097000000000001</v>
      </c>
      <c r="E45" s="1360">
        <v>23.49</v>
      </c>
      <c r="F45" s="1360">
        <v>17.734000000000002</v>
      </c>
      <c r="G45" s="1360">
        <v>5.7439999999999998</v>
      </c>
      <c r="H45" s="1360">
        <v>0</v>
      </c>
      <c r="I45" s="1364">
        <f>SUM(C45:H45)</f>
        <v>91.628000000000014</v>
      </c>
    </row>
    <row r="46" spans="2:9" outlineLevel="1" x14ac:dyDescent="0.4">
      <c r="B46" s="1035" t="s">
        <v>179</v>
      </c>
      <c r="C46" s="1360">
        <v>-0.21099999999999999</v>
      </c>
      <c r="D46" s="1360">
        <v>-0.995</v>
      </c>
      <c r="E46" s="1360">
        <v>-14.304</v>
      </c>
      <c r="F46" s="1360">
        <v>-3.9329999999999998</v>
      </c>
      <c r="G46" s="1360">
        <v>-5.6660000000000004</v>
      </c>
      <c r="H46" s="1360">
        <v>0</v>
      </c>
      <c r="I46" s="1364">
        <f>SUM(C46:H46)</f>
        <v>-25.108999999999998</v>
      </c>
    </row>
    <row r="47" spans="2:9" outlineLevel="1" x14ac:dyDescent="0.4">
      <c r="B47" s="1307" t="s">
        <v>180</v>
      </c>
      <c r="C47" s="1364">
        <f t="shared" ref="C47:H47" si="8">SUM(C43:C46)</f>
        <v>26.503</v>
      </c>
      <c r="D47" s="1364">
        <f t="shared" si="8"/>
        <v>90.068999999999988</v>
      </c>
      <c r="E47" s="1364">
        <f t="shared" si="8"/>
        <v>425.20600000000002</v>
      </c>
      <c r="F47" s="1364">
        <f t="shared" si="8"/>
        <v>47.232000000000006</v>
      </c>
      <c r="G47" s="1364">
        <f t="shared" si="8"/>
        <v>20.422999999999998</v>
      </c>
      <c r="H47" s="1364">
        <f t="shared" si="8"/>
        <v>0</v>
      </c>
      <c r="I47" s="1364">
        <f>SUM(C47:H47)</f>
        <v>609.43299999999999</v>
      </c>
    </row>
    <row r="48" spans="2:9" outlineLevel="1" x14ac:dyDescent="0.35">
      <c r="B48" s="1035"/>
      <c r="C48" s="1360"/>
      <c r="D48" s="1360"/>
      <c r="E48" s="1360"/>
      <c r="F48" s="1360"/>
      <c r="G48" s="1360"/>
      <c r="H48" s="1360"/>
      <c r="I48" s="1360"/>
    </row>
    <row r="49" spans="1:9" x14ac:dyDescent="0.4">
      <c r="B49" s="1361" t="s">
        <v>259</v>
      </c>
      <c r="C49" s="1362"/>
      <c r="D49" s="1362"/>
      <c r="E49" s="1362"/>
      <c r="F49" s="1362"/>
      <c r="G49" s="1362"/>
      <c r="H49" s="1362"/>
      <c r="I49" s="1362"/>
    </row>
    <row r="50" spans="1:9" x14ac:dyDescent="0.4">
      <c r="B50" s="1035" t="s">
        <v>176</v>
      </c>
      <c r="C50" s="1360">
        <f t="shared" ref="C50:H50" si="9">C47</f>
        <v>26.503</v>
      </c>
      <c r="D50" s="1360">
        <f t="shared" si="9"/>
        <v>90.068999999999988</v>
      </c>
      <c r="E50" s="1360">
        <f t="shared" si="9"/>
        <v>425.20600000000002</v>
      </c>
      <c r="F50" s="1360">
        <f t="shared" si="9"/>
        <v>47.232000000000006</v>
      </c>
      <c r="G50" s="1360">
        <f t="shared" si="9"/>
        <v>20.422999999999998</v>
      </c>
      <c r="H50" s="1360">
        <f t="shared" si="9"/>
        <v>0</v>
      </c>
      <c r="I50" s="1364">
        <f>SUM(C50:H50)</f>
        <v>609.43299999999999</v>
      </c>
    </row>
    <row r="51" spans="1:9" x14ac:dyDescent="0.4">
      <c r="B51" s="1035" t="s">
        <v>177</v>
      </c>
      <c r="C51" s="1360">
        <v>1.9450000000000001</v>
      </c>
      <c r="D51" s="1360">
        <v>7.1219999999999999</v>
      </c>
      <c r="E51" s="1360">
        <v>0.65900000000000003</v>
      </c>
      <c r="F51" s="1360">
        <v>0.622</v>
      </c>
      <c r="G51" s="1360">
        <v>0.503</v>
      </c>
      <c r="H51" s="1360">
        <v>0</v>
      </c>
      <c r="I51" s="1364">
        <f>SUM(C51:H51)</f>
        <v>10.851000000000001</v>
      </c>
    </row>
    <row r="52" spans="1:9" x14ac:dyDescent="0.4">
      <c r="B52" s="1035" t="s">
        <v>178</v>
      </c>
      <c r="C52" s="1360">
        <v>9.74</v>
      </c>
      <c r="D52" s="1360">
        <v>29.779</v>
      </c>
      <c r="E52" s="1360">
        <v>23.634</v>
      </c>
      <c r="F52" s="1360">
        <v>18.594000000000001</v>
      </c>
      <c r="G52" s="1360">
        <v>6.06</v>
      </c>
      <c r="H52" s="1360">
        <v>0</v>
      </c>
      <c r="I52" s="1364">
        <f>SUM(C52:H52)</f>
        <v>87.807000000000002</v>
      </c>
    </row>
    <row r="53" spans="1:9" outlineLevel="1" x14ac:dyDescent="0.4">
      <c r="B53" s="1035" t="s">
        <v>179</v>
      </c>
      <c r="C53" s="1360">
        <v>-1.484</v>
      </c>
      <c r="D53" s="1360">
        <v>-1.786</v>
      </c>
      <c r="E53" s="1360">
        <v>-36.423000000000002</v>
      </c>
      <c r="F53" s="1360">
        <v>-17.033000000000001</v>
      </c>
      <c r="G53" s="1360">
        <v>-3.56</v>
      </c>
      <c r="H53" s="1360">
        <v>0</v>
      </c>
      <c r="I53" s="1364">
        <f>SUM(C53:H53)</f>
        <v>-60.286000000000008</v>
      </c>
    </row>
    <row r="54" spans="1:9" outlineLevel="1" x14ac:dyDescent="0.4">
      <c r="B54" s="1307" t="s">
        <v>180</v>
      </c>
      <c r="C54" s="1364">
        <f t="shared" ref="C54:H54" si="10">SUM(C50:C53)</f>
        <v>36.704000000000001</v>
      </c>
      <c r="D54" s="1364">
        <f t="shared" si="10"/>
        <v>125.18399999999998</v>
      </c>
      <c r="E54" s="1364">
        <f t="shared" si="10"/>
        <v>413.07600000000002</v>
      </c>
      <c r="F54" s="1364">
        <f t="shared" si="10"/>
        <v>49.415000000000006</v>
      </c>
      <c r="G54" s="1364">
        <f t="shared" si="10"/>
        <v>23.425999999999998</v>
      </c>
      <c r="H54" s="1364">
        <f t="shared" si="10"/>
        <v>0</v>
      </c>
      <c r="I54" s="1364">
        <f>SUM(C54:H54)</f>
        <v>647.80499999999995</v>
      </c>
    </row>
    <row r="55" spans="1:9" x14ac:dyDescent="0.4">
      <c r="B55" s="1361" t="s">
        <v>183</v>
      </c>
      <c r="C55" s="1362"/>
      <c r="D55" s="1362"/>
      <c r="E55" s="1362"/>
      <c r="F55" s="1362"/>
      <c r="G55" s="1362"/>
      <c r="H55" s="1362"/>
      <c r="I55" s="1362"/>
    </row>
    <row r="56" spans="1:9" x14ac:dyDescent="0.4">
      <c r="B56" s="1035" t="s">
        <v>176</v>
      </c>
      <c r="C56" s="1360">
        <f t="shared" ref="C56:H56" si="11">C54</f>
        <v>36.704000000000001</v>
      </c>
      <c r="D56" s="1360">
        <f t="shared" si="11"/>
        <v>125.18399999999998</v>
      </c>
      <c r="E56" s="1360">
        <f t="shared" si="11"/>
        <v>413.07600000000002</v>
      </c>
      <c r="F56" s="1360">
        <f t="shared" si="11"/>
        <v>49.415000000000006</v>
      </c>
      <c r="G56" s="1360">
        <f t="shared" si="11"/>
        <v>23.425999999999998</v>
      </c>
      <c r="H56" s="1360">
        <f t="shared" si="11"/>
        <v>0</v>
      </c>
      <c r="I56" s="1364">
        <f>SUM(C56:H56)</f>
        <v>647.80499999999995</v>
      </c>
    </row>
    <row r="57" spans="1:9" x14ac:dyDescent="0.4">
      <c r="B57" s="1035" t="s">
        <v>177</v>
      </c>
      <c r="C57" s="1360">
        <v>2.2970000000000002</v>
      </c>
      <c r="D57" s="1360">
        <v>8.266</v>
      </c>
      <c r="E57" s="1360">
        <v>0.69199999999999995</v>
      </c>
      <c r="F57" s="1360">
        <v>0.35799999999999998</v>
      </c>
      <c r="G57" s="1360">
        <v>0.66300000000000003</v>
      </c>
      <c r="H57" s="1360"/>
      <c r="I57" s="1364">
        <f>SUM(C57:H57)</f>
        <v>12.276000000000002</v>
      </c>
    </row>
    <row r="58" spans="1:9" x14ac:dyDescent="0.4">
      <c r="B58" s="1035" t="s">
        <v>178</v>
      </c>
      <c r="C58" s="1360">
        <v>10.629</v>
      </c>
      <c r="D58" s="1360">
        <v>58.165999999999997</v>
      </c>
      <c r="E58" s="1360">
        <v>40.997999999999998</v>
      </c>
      <c r="F58" s="1360">
        <v>12.542</v>
      </c>
      <c r="G58" s="1360">
        <v>9.1039999999999992</v>
      </c>
      <c r="H58" s="1360"/>
      <c r="I58" s="1364">
        <f>SUM(C58:H58)</f>
        <v>131.43900000000002</v>
      </c>
    </row>
    <row r="59" spans="1:9" outlineLevel="1" x14ac:dyDescent="0.4">
      <c r="B59" s="1035" t="s">
        <v>179</v>
      </c>
      <c r="C59" s="1360">
        <v>-0.77100000000000002</v>
      </c>
      <c r="D59" s="1360">
        <v>-0.40200000000000002</v>
      </c>
      <c r="E59" s="1360">
        <v>-19.981000000000002</v>
      </c>
      <c r="F59" s="1360">
        <v>-4.7009999999999996</v>
      </c>
      <c r="G59" s="1360">
        <v>-4.5359999999999996</v>
      </c>
      <c r="H59" s="1360"/>
      <c r="I59" s="1364">
        <f>SUM(C59:H59)</f>
        <v>-30.391000000000005</v>
      </c>
    </row>
    <row r="60" spans="1:9" outlineLevel="1" x14ac:dyDescent="0.4">
      <c r="B60" s="1307" t="s">
        <v>180</v>
      </c>
      <c r="C60" s="1364">
        <f t="shared" ref="C60:H60" si="12">SUM(C56:C59)</f>
        <v>48.858999999999995</v>
      </c>
      <c r="D60" s="1364">
        <f t="shared" si="12"/>
        <v>191.214</v>
      </c>
      <c r="E60" s="1364">
        <f t="shared" si="12"/>
        <v>434.78500000000003</v>
      </c>
      <c r="F60" s="1364">
        <f t="shared" si="12"/>
        <v>57.614000000000004</v>
      </c>
      <c r="G60" s="1364">
        <f t="shared" si="12"/>
        <v>28.656999999999996</v>
      </c>
      <c r="H60" s="1364">
        <f t="shared" si="12"/>
        <v>0</v>
      </c>
      <c r="I60" s="1364">
        <f>SUM(C60:H60)</f>
        <v>761.12900000000002</v>
      </c>
    </row>
    <row r="61" spans="1:9" x14ac:dyDescent="0.4">
      <c r="C61" s="1364"/>
      <c r="D61" s="1364"/>
      <c r="E61" s="1364"/>
      <c r="F61" s="1364"/>
      <c r="G61" s="1364"/>
      <c r="H61" s="1364"/>
      <c r="I61" s="1364"/>
    </row>
    <row r="62" spans="1:9" x14ac:dyDescent="0.4">
      <c r="B62" s="1363"/>
      <c r="C62" s="1360"/>
      <c r="D62" s="1360"/>
      <c r="E62" s="1360"/>
      <c r="F62" s="1360"/>
      <c r="G62" s="1360"/>
      <c r="H62" s="1360"/>
      <c r="I62" s="1360"/>
    </row>
    <row r="63" spans="1:9" x14ac:dyDescent="0.35">
      <c r="A63" s="1352" t="s">
        <v>261</v>
      </c>
      <c r="C63" s="1360"/>
      <c r="D63" s="1360"/>
      <c r="E63" s="1360"/>
      <c r="F63" s="1360"/>
    </row>
    <row r="64" spans="1:9" x14ac:dyDescent="0.35">
      <c r="C64" s="1354"/>
      <c r="D64" s="1354"/>
      <c r="E64" s="1354"/>
      <c r="F64" s="1354"/>
      <c r="G64" s="1354"/>
      <c r="H64"/>
    </row>
    <row r="65" spans="2:9" hidden="1" outlineLevel="1" x14ac:dyDescent="0.35">
      <c r="B65" s="1353"/>
      <c r="C65" s="1359"/>
      <c r="D65" s="1359"/>
      <c r="E65" s="1359"/>
      <c r="F65" s="1359"/>
      <c r="G65" s="1359"/>
      <c r="I65"/>
    </row>
    <row r="66" spans="2:9" hidden="1" outlineLevel="1" x14ac:dyDescent="0.35">
      <c r="B66" s="1355"/>
      <c r="C66" s="1308"/>
      <c r="D66" s="1308"/>
      <c r="E66" s="1308"/>
      <c r="F66" s="1308"/>
      <c r="G66" s="1308"/>
      <c r="I66"/>
    </row>
    <row r="67" spans="2:9" hidden="1" outlineLevel="1" x14ac:dyDescent="0.35">
      <c r="B67" s="1355"/>
      <c r="C67" s="1308"/>
      <c r="D67" s="1308"/>
      <c r="E67" s="1308"/>
      <c r="F67" s="1308"/>
      <c r="G67" s="1308"/>
      <c r="I67"/>
    </row>
    <row r="68" spans="2:9" hidden="1" outlineLevel="1" x14ac:dyDescent="0.35">
      <c r="B68" s="1355"/>
      <c r="C68" s="1041"/>
      <c r="D68" s="1041"/>
      <c r="E68" s="1041"/>
      <c r="F68" s="1041"/>
      <c r="G68" s="1041"/>
      <c r="I68"/>
    </row>
    <row r="69" spans="2:9" hidden="1" outlineLevel="1" x14ac:dyDescent="0.4">
      <c r="B69" s="1368"/>
      <c r="C69" s="1369"/>
      <c r="D69" s="1370"/>
      <c r="E69" s="1370"/>
      <c r="F69" s="1369"/>
      <c r="G69" s="1369"/>
    </row>
    <row r="70" spans="2:9" hidden="1" outlineLevel="1" x14ac:dyDescent="0.35">
      <c r="C70" s="1359"/>
      <c r="D70" s="1359"/>
      <c r="E70" s="1359"/>
      <c r="F70" s="1359"/>
      <c r="G70" s="1359"/>
      <c r="I70"/>
    </row>
    <row r="71" spans="2:9" hidden="1" outlineLevel="2" x14ac:dyDescent="0.35">
      <c r="B71" s="1361"/>
      <c r="C71" s="1362"/>
      <c r="D71" s="1362"/>
      <c r="E71" s="1362"/>
      <c r="F71" s="1362"/>
      <c r="G71" s="1362"/>
      <c r="H71"/>
    </row>
    <row r="72" spans="2:9" hidden="1" outlineLevel="2" x14ac:dyDescent="0.4">
      <c r="B72" s="1366"/>
      <c r="C72" s="1364"/>
      <c r="D72" s="1364"/>
      <c r="E72" s="1364"/>
      <c r="F72" s="1364"/>
      <c r="G72" s="1364"/>
      <c r="H72"/>
    </row>
    <row r="73" spans="2:9" hidden="1" outlineLevel="2" x14ac:dyDescent="0.4">
      <c r="C73" s="1360"/>
      <c r="D73" s="1360"/>
      <c r="E73" s="1360"/>
      <c r="F73" s="1360"/>
      <c r="G73" s="1364"/>
      <c r="H73"/>
    </row>
    <row r="74" spans="2:9" hidden="1" outlineLevel="2" x14ac:dyDescent="0.4">
      <c r="C74" s="1360"/>
      <c r="D74" s="1360"/>
      <c r="E74" s="1360"/>
      <c r="F74" s="1360"/>
      <c r="G74" s="1364"/>
      <c r="H74"/>
    </row>
    <row r="75" spans="2:9" hidden="1" outlineLevel="2" x14ac:dyDescent="0.4">
      <c r="B75" s="1308"/>
      <c r="C75" s="1364"/>
      <c r="D75" s="1364"/>
      <c r="E75" s="1364"/>
      <c r="F75" s="1364"/>
      <c r="G75" s="1364"/>
    </row>
    <row r="76" spans="2:9" hidden="1" outlineLevel="2" x14ac:dyDescent="0.4">
      <c r="B76" s="1308"/>
      <c r="C76" s="1364"/>
      <c r="D76" s="1364"/>
      <c r="E76" s="1364"/>
      <c r="F76" s="1364"/>
      <c r="G76" s="1364"/>
    </row>
    <row r="77" spans="2:9" hidden="1" outlineLevel="1" x14ac:dyDescent="0.35">
      <c r="B77" s="1361"/>
      <c r="C77" s="1362"/>
      <c r="D77" s="1362"/>
      <c r="E77" s="1362"/>
      <c r="F77" s="1362"/>
      <c r="G77" s="1362"/>
    </row>
    <row r="78" spans="2:9" hidden="1" outlineLevel="1" x14ac:dyDescent="0.4">
      <c r="B78" s="1366"/>
      <c r="C78" s="1364"/>
      <c r="D78" s="1364"/>
      <c r="E78" s="1364"/>
      <c r="F78" s="1364"/>
      <c r="G78" s="1364"/>
    </row>
    <row r="79" spans="2:9" hidden="1" outlineLevel="1" x14ac:dyDescent="0.4">
      <c r="C79" s="1360"/>
      <c r="D79" s="1360"/>
      <c r="E79" s="1360"/>
      <c r="F79" s="1360"/>
      <c r="G79" s="1364"/>
    </row>
    <row r="80" spans="2:9" hidden="1" outlineLevel="1" x14ac:dyDescent="0.4">
      <c r="C80" s="1360"/>
      <c r="D80" s="1360"/>
      <c r="E80" s="1360"/>
      <c r="F80" s="1360"/>
      <c r="G80" s="1364"/>
    </row>
    <row r="81" spans="2:9" hidden="1" outlineLevel="1" x14ac:dyDescent="0.4">
      <c r="B81" s="1308"/>
      <c r="C81" s="1364"/>
      <c r="D81" s="1364"/>
      <c r="E81" s="1364"/>
      <c r="F81" s="1364"/>
      <c r="G81" s="1364"/>
    </row>
    <row r="82" spans="2:9" hidden="1" outlineLevel="1" collapsed="1" x14ac:dyDescent="0.35">
      <c r="B82" s="1361"/>
      <c r="C82" s="1362"/>
      <c r="D82" s="1362"/>
      <c r="E82" s="1362"/>
      <c r="F82" s="1362"/>
      <c r="G82" s="1362"/>
    </row>
    <row r="83" spans="2:9" hidden="1" outlineLevel="1" x14ac:dyDescent="0.4">
      <c r="B83" s="1366"/>
      <c r="C83" s="1364"/>
      <c r="D83" s="1364"/>
      <c r="E83" s="1364"/>
      <c r="F83" s="1364"/>
      <c r="G83" s="1364"/>
    </row>
    <row r="84" spans="2:9" hidden="1" outlineLevel="1" x14ac:dyDescent="0.4">
      <c r="C84" s="1360"/>
      <c r="D84" s="1360"/>
      <c r="E84" s="1360"/>
      <c r="F84" s="1360"/>
      <c r="G84" s="1364"/>
    </row>
    <row r="85" spans="2:9" hidden="1" outlineLevel="1" x14ac:dyDescent="0.4">
      <c r="C85" s="1360"/>
      <c r="D85" s="1360"/>
      <c r="E85" s="1360"/>
      <c r="F85" s="1360"/>
      <c r="G85" s="1364"/>
    </row>
    <row r="86" spans="2:9" hidden="1" outlineLevel="1" x14ac:dyDescent="0.4">
      <c r="C86" s="1360"/>
      <c r="D86" s="1360"/>
      <c r="E86" s="1360"/>
      <c r="F86" s="1360"/>
      <c r="G86" s="1364"/>
    </row>
    <row r="87" spans="2:9" hidden="1" outlineLevel="1" x14ac:dyDescent="0.4">
      <c r="B87" s="1308"/>
      <c r="C87" s="1364"/>
      <c r="D87" s="1364"/>
      <c r="E87" s="1364"/>
      <c r="F87" s="1364"/>
      <c r="G87" s="1364"/>
    </row>
    <row r="88" spans="2:9" hidden="1" outlineLevel="1" x14ac:dyDescent="0.4">
      <c r="B88" s="1308"/>
      <c r="C88" s="1364"/>
      <c r="D88" s="1364"/>
      <c r="E88" s="1364"/>
      <c r="F88" s="1364"/>
      <c r="G88" s="1364"/>
    </row>
    <row r="89" spans="2:9" hidden="1" outlineLevel="1" x14ac:dyDescent="0.4">
      <c r="B89" s="1308"/>
      <c r="C89" s="1364"/>
      <c r="D89" s="1364"/>
      <c r="E89" s="1364"/>
      <c r="F89" s="1364"/>
      <c r="G89" s="1364"/>
    </row>
    <row r="90" spans="2:9" hidden="1" outlineLevel="1" x14ac:dyDescent="0.4">
      <c r="B90" s="1368"/>
      <c r="C90" s="1364"/>
      <c r="D90" s="1364"/>
      <c r="E90" s="1364"/>
      <c r="F90" s="1364"/>
      <c r="G90" s="1364"/>
    </row>
    <row r="91" spans="2:9" hidden="1" outlineLevel="2" x14ac:dyDescent="0.35">
      <c r="B91" s="1361"/>
      <c r="C91" s="1362"/>
      <c r="D91" s="1362"/>
      <c r="E91" s="1362"/>
      <c r="F91" s="1362"/>
      <c r="G91" s="1362"/>
      <c r="I91"/>
    </row>
    <row r="92" spans="2:9" hidden="1" outlineLevel="2" x14ac:dyDescent="0.4">
      <c r="C92" s="1364"/>
      <c r="D92" s="1364"/>
      <c r="E92" s="1364"/>
      <c r="F92" s="1364"/>
      <c r="G92" s="1364"/>
      <c r="I92"/>
    </row>
    <row r="93" spans="2:9" hidden="1" outlineLevel="2" x14ac:dyDescent="0.4">
      <c r="C93" s="1360"/>
      <c r="D93" s="1360"/>
      <c r="E93" s="1360"/>
      <c r="F93" s="1360"/>
      <c r="G93" s="1364"/>
      <c r="I93"/>
    </row>
    <row r="94" spans="2:9" hidden="1" outlineLevel="2" x14ac:dyDescent="0.4">
      <c r="B94" s="1308"/>
      <c r="C94" s="1364"/>
      <c r="D94" s="1364"/>
      <c r="E94" s="1364"/>
      <c r="F94" s="1364"/>
      <c r="G94" s="1364"/>
      <c r="I94"/>
    </row>
    <row r="95" spans="2:9" hidden="1" outlineLevel="2" x14ac:dyDescent="0.4">
      <c r="B95" s="1308"/>
      <c r="C95" s="1364"/>
      <c r="D95" s="1364"/>
      <c r="E95" s="1364"/>
      <c r="F95" s="1364"/>
      <c r="I95"/>
    </row>
    <row r="96" spans="2:9" hidden="1" outlineLevel="2" x14ac:dyDescent="0.35">
      <c r="B96" s="1361"/>
      <c r="C96" s="1362"/>
      <c r="D96" s="1362"/>
      <c r="E96" s="1362"/>
      <c r="F96" s="1362"/>
      <c r="G96" s="1362"/>
      <c r="I96"/>
    </row>
    <row r="97" spans="2:9" hidden="1" outlineLevel="2" x14ac:dyDescent="0.4">
      <c r="C97" s="1360"/>
      <c r="D97" s="1360"/>
      <c r="E97" s="1360"/>
      <c r="F97" s="1360"/>
      <c r="G97" s="1364"/>
      <c r="I97"/>
    </row>
    <row r="98" spans="2:9" hidden="1" outlineLevel="2" x14ac:dyDescent="0.4">
      <c r="C98" s="1360"/>
      <c r="D98" s="1360"/>
      <c r="E98" s="1360"/>
      <c r="F98" s="1360"/>
      <c r="G98" s="1364"/>
      <c r="I98"/>
    </row>
    <row r="99" spans="2:9" hidden="1" outlineLevel="2" x14ac:dyDescent="0.4">
      <c r="B99" s="1308"/>
      <c r="C99" s="1364"/>
      <c r="D99" s="1364"/>
      <c r="E99" s="1364"/>
      <c r="F99" s="1364"/>
      <c r="G99" s="1364"/>
      <c r="I99"/>
    </row>
    <row r="100" spans="2:9" hidden="1" outlineLevel="1" x14ac:dyDescent="0.4">
      <c r="B100" s="1308"/>
      <c r="C100" s="1364"/>
      <c r="D100" s="1364"/>
      <c r="E100" s="1364"/>
      <c r="F100" s="1364"/>
      <c r="I100"/>
    </row>
    <row r="101" spans="2:9" hidden="1" outlineLevel="1" x14ac:dyDescent="0.35">
      <c r="B101" s="1361"/>
      <c r="C101" s="1362"/>
      <c r="D101" s="1362"/>
      <c r="E101" s="1362"/>
      <c r="F101" s="1362"/>
      <c r="G101" s="1362"/>
      <c r="I101"/>
    </row>
    <row r="102" spans="2:9" hidden="1" outlineLevel="1" x14ac:dyDescent="0.4">
      <c r="C102" s="1360"/>
      <c r="D102" s="1360"/>
      <c r="E102" s="1360"/>
      <c r="F102" s="1360"/>
      <c r="G102" s="1364"/>
      <c r="I102"/>
    </row>
    <row r="103" spans="2:9" hidden="1" outlineLevel="1" x14ac:dyDescent="0.4">
      <c r="C103" s="1360"/>
      <c r="D103" s="1360"/>
      <c r="E103" s="1360"/>
      <c r="F103" s="1360"/>
      <c r="G103" s="1364"/>
      <c r="I103"/>
    </row>
    <row r="104" spans="2:9" hidden="1" outlineLevel="1" x14ac:dyDescent="0.4">
      <c r="B104" s="1308"/>
      <c r="C104" s="1364"/>
      <c r="D104" s="1364"/>
      <c r="E104" s="1364"/>
      <c r="F104" s="1364"/>
      <c r="G104" s="1364"/>
      <c r="I104"/>
    </row>
    <row r="105" spans="2:9" hidden="1" outlineLevel="1" x14ac:dyDescent="0.35">
      <c r="B105" s="1361"/>
      <c r="C105" s="1362"/>
      <c r="D105" s="1362"/>
      <c r="E105" s="1362"/>
      <c r="F105" s="1362"/>
      <c r="G105" s="1362"/>
      <c r="I105"/>
    </row>
    <row r="106" spans="2:9" hidden="1" outlineLevel="1" x14ac:dyDescent="0.4">
      <c r="C106" s="1360"/>
      <c r="D106" s="1360"/>
      <c r="E106" s="1360"/>
      <c r="F106" s="1360"/>
      <c r="G106" s="1364"/>
      <c r="I106"/>
    </row>
    <row r="107" spans="2:9" hidden="1" outlineLevel="1" x14ac:dyDescent="0.4">
      <c r="C107" s="1360"/>
      <c r="D107" s="1360"/>
      <c r="E107" s="1360"/>
      <c r="F107" s="1360"/>
      <c r="G107" s="1364"/>
      <c r="I107"/>
    </row>
    <row r="108" spans="2:9" hidden="1" outlineLevel="1" x14ac:dyDescent="0.4">
      <c r="B108" s="1308"/>
      <c r="C108" s="1364"/>
      <c r="D108" s="1364"/>
      <c r="E108" s="1364"/>
      <c r="F108" s="1364"/>
      <c r="G108" s="1364"/>
      <c r="I108"/>
    </row>
    <row r="109" spans="2:9" hidden="1" outlineLevel="1" x14ac:dyDescent="0.4">
      <c r="B109" s="1308"/>
      <c r="C109" s="1364"/>
      <c r="D109" s="1364"/>
      <c r="E109" s="1364"/>
      <c r="F109" s="1364"/>
      <c r="G109" s="1364"/>
      <c r="H109" s="1364"/>
      <c r="I109"/>
    </row>
    <row r="110" spans="2:9" hidden="1" outlineLevel="1" x14ac:dyDescent="0.35">
      <c r="C110" s="1360"/>
      <c r="D110" s="1360"/>
      <c r="E110" s="1360"/>
      <c r="F110" s="1360"/>
      <c r="G110" s="1360"/>
      <c r="H110"/>
      <c r="I110"/>
    </row>
    <row r="111" spans="2:9" hidden="1" outlineLevel="1" x14ac:dyDescent="0.35">
      <c r="C111" s="1360"/>
      <c r="D111" s="1360"/>
      <c r="E111" s="1360"/>
      <c r="F111" s="1360"/>
      <c r="G111" s="1360"/>
      <c r="H111"/>
      <c r="I111"/>
    </row>
    <row r="112" spans="2:9" collapsed="1" x14ac:dyDescent="0.35">
      <c r="C112" s="1360"/>
      <c r="D112" s="1360"/>
      <c r="E112" s="1360"/>
      <c r="F112" s="1360"/>
      <c r="G112" s="1360"/>
      <c r="H112"/>
      <c r="I112"/>
    </row>
    <row r="113" spans="3:9" x14ac:dyDescent="0.35">
      <c r="C113" s="1360"/>
      <c r="D113" s="1360"/>
      <c r="E113" s="1360"/>
      <c r="F113" s="1360"/>
      <c r="G113" s="1360"/>
      <c r="H113"/>
      <c r="I113"/>
    </row>
    <row r="114" spans="3:9" x14ac:dyDescent="0.35">
      <c r="C114" s="1360"/>
      <c r="D114" s="1360"/>
      <c r="E114" s="1360"/>
      <c r="F114" s="1360"/>
      <c r="G114" s="1360"/>
      <c r="H114"/>
      <c r="I114"/>
    </row>
    <row r="115" spans="3:9" x14ac:dyDescent="0.35">
      <c r="C115" s="1360"/>
      <c r="D115" s="1360"/>
      <c r="E115" s="1360"/>
      <c r="F115" s="1360"/>
      <c r="G115" s="1360"/>
      <c r="H115"/>
      <c r="I115"/>
    </row>
    <row r="116" spans="3:9" x14ac:dyDescent="0.35">
      <c r="C116" s="1360"/>
      <c r="D116" s="1360"/>
      <c r="E116" s="1360"/>
      <c r="F116" s="1360"/>
      <c r="G116" s="1360"/>
      <c r="H116"/>
      <c r="I116"/>
    </row>
    <row r="117" spans="3:9" x14ac:dyDescent="0.35">
      <c r="C117" s="1360"/>
      <c r="D117" s="1360"/>
      <c r="E117" s="1360"/>
      <c r="F117" s="1360"/>
      <c r="G117" s="1360"/>
      <c r="H117"/>
      <c r="I117"/>
    </row>
    <row r="118" spans="3:9" x14ac:dyDescent="0.35">
      <c r="C118" s="1360"/>
      <c r="D118" s="1360"/>
      <c r="E118" s="1360"/>
      <c r="F118" s="1360"/>
      <c r="G118" s="1360"/>
      <c r="H118"/>
      <c r="I118"/>
    </row>
    <row r="119" spans="3:9" x14ac:dyDescent="0.35">
      <c r="C119" s="1360"/>
      <c r="D119" s="1360"/>
      <c r="E119" s="1360"/>
      <c r="F119" s="1360"/>
      <c r="G119" s="1360"/>
      <c r="H119"/>
      <c r="I119"/>
    </row>
    <row r="120" spans="3:9" x14ac:dyDescent="0.35">
      <c r="C120" s="1360"/>
      <c r="D120" s="1360"/>
      <c r="E120" s="1360"/>
      <c r="F120" s="1360"/>
      <c r="G120" s="1360"/>
      <c r="H120"/>
      <c r="I120"/>
    </row>
    <row r="121" spans="3:9" x14ac:dyDescent="0.35">
      <c r="C121" s="1360"/>
      <c r="D121" s="1360"/>
      <c r="E121" s="1360"/>
      <c r="F121" s="1360"/>
      <c r="G121" s="1360"/>
      <c r="H121"/>
      <c r="I121"/>
    </row>
    <row r="122" spans="3:9" x14ac:dyDescent="0.35">
      <c r="C122" s="1360"/>
      <c r="D122" s="1360"/>
      <c r="E122" s="1360"/>
      <c r="F122" s="1360"/>
      <c r="G122" s="1360"/>
      <c r="H122"/>
      <c r="I122"/>
    </row>
    <row r="123" spans="3:9" x14ac:dyDescent="0.35">
      <c r="C123" s="1360"/>
      <c r="D123" s="1360"/>
      <c r="E123" s="1360"/>
      <c r="F123" s="1360"/>
      <c r="G123" s="1360"/>
      <c r="H123"/>
      <c r="I123"/>
    </row>
    <row r="124" spans="3:9" x14ac:dyDescent="0.35">
      <c r="C124" s="1360"/>
      <c r="D124" s="1360"/>
      <c r="E124" s="1360"/>
      <c r="F124" s="1360"/>
      <c r="G124" s="1360"/>
      <c r="H124"/>
      <c r="I124"/>
    </row>
    <row r="125" spans="3:9" x14ac:dyDescent="0.35">
      <c r="C125" s="1360"/>
      <c r="D125" s="1360"/>
      <c r="E125" s="1360"/>
      <c r="F125" s="1360"/>
      <c r="G125" s="1360"/>
      <c r="H125"/>
      <c r="I125"/>
    </row>
  </sheetData>
  <phoneticPr fontId="51" type="noConversion"/>
  <pageMargins left="0.75" right="0.75" top="1" bottom="1" header="0.5" footer="0.5"/>
  <headerFooter alignWithMargins="0"/>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indexed="17"/>
  </sheetPr>
  <dimension ref="A1:P92"/>
  <sheetViews>
    <sheetView topLeftCell="B4" zoomScale="125" workbookViewId="0">
      <selection activeCell="H15" sqref="H15"/>
    </sheetView>
  </sheetViews>
  <sheetFormatPr defaultColWidth="9" defaultRowHeight="10.15" outlineLevelCol="1" x14ac:dyDescent="0.3"/>
  <cols>
    <col min="1" max="1" width="22.75" style="1062" hidden="1" customWidth="1" outlineLevel="1"/>
    <col min="2" max="2" width="16.75" style="1062" customWidth="1"/>
    <col min="3" max="3" width="6.75" style="1062" customWidth="1"/>
    <col min="4" max="6" width="7.8125" style="1062" bestFit="1" customWidth="1"/>
    <col min="7" max="7" width="7.8125" style="1062" customWidth="1"/>
    <col min="8" max="8" width="9.25" style="1062" bestFit="1" customWidth="1"/>
    <col min="9" max="16384" width="9" style="1062"/>
  </cols>
  <sheetData>
    <row r="1" spans="1:16" ht="10.5" x14ac:dyDescent="0.3">
      <c r="A1" s="1069" t="s">
        <v>793</v>
      </c>
      <c r="B1" s="1371" t="e">
        <f>#REF!</f>
        <v>#REF!</v>
      </c>
    </row>
    <row r="3" spans="1:16" ht="10.5" x14ac:dyDescent="0.3">
      <c r="A3" s="1069" t="s">
        <v>103</v>
      </c>
      <c r="B3" s="1077" t="s">
        <v>785</v>
      </c>
      <c r="C3" s="1372" t="s">
        <v>794</v>
      </c>
      <c r="D3" s="1372" t="s">
        <v>477</v>
      </c>
      <c r="E3" s="1372" t="s">
        <v>493</v>
      </c>
      <c r="F3" s="1372" t="s">
        <v>525</v>
      </c>
      <c r="G3" s="1373" t="s">
        <v>792</v>
      </c>
      <c r="H3" s="1373" t="s">
        <v>523</v>
      </c>
      <c r="I3" s="1178" t="s">
        <v>442</v>
      </c>
      <c r="J3" s="1178" t="s">
        <v>443</v>
      </c>
      <c r="K3" s="1178" t="s">
        <v>444</v>
      </c>
      <c r="L3" s="1178" t="s">
        <v>445</v>
      </c>
      <c r="M3" s="1178" t="s">
        <v>446</v>
      </c>
      <c r="N3" s="1178" t="s">
        <v>447</v>
      </c>
      <c r="O3" s="1178" t="s">
        <v>448</v>
      </c>
      <c r="P3" s="1178" t="s">
        <v>449</v>
      </c>
    </row>
    <row r="4" spans="1:16" x14ac:dyDescent="0.3">
      <c r="B4" s="1064"/>
      <c r="C4" s="1134"/>
      <c r="D4" s="1134"/>
      <c r="E4" s="1134"/>
      <c r="F4" s="1134"/>
      <c r="G4" s="1134"/>
      <c r="H4" s="1134"/>
    </row>
    <row r="5" spans="1:16" ht="10.5" x14ac:dyDescent="0.3">
      <c r="A5" s="1069" t="s">
        <v>795</v>
      </c>
      <c r="B5" s="1062" t="s">
        <v>796</v>
      </c>
      <c r="C5" s="1083" t="e">
        <f>#REF!</f>
        <v>#REF!</v>
      </c>
      <c r="D5" s="1083" t="e">
        <f>#REF!</f>
        <v>#REF!</v>
      </c>
      <c r="E5" s="1083" t="e">
        <f>#REF!</f>
        <v>#REF!</v>
      </c>
      <c r="F5" s="1083" t="e">
        <f>#REF!</f>
        <v>#REF!</v>
      </c>
      <c r="G5" s="1083"/>
      <c r="H5" s="1083"/>
      <c r="I5" s="1083"/>
      <c r="J5" s="1083"/>
      <c r="K5" s="1083"/>
      <c r="L5" s="1083"/>
      <c r="M5" s="1083"/>
      <c r="N5" s="1083"/>
      <c r="O5" s="1083" t="e">
        <f>#REF!</f>
        <v>#REF!</v>
      </c>
      <c r="P5" s="1083" t="e">
        <f>#REF!</f>
        <v>#REF!</v>
      </c>
    </row>
    <row r="6" spans="1:16" ht="10.5" x14ac:dyDescent="0.3">
      <c r="A6" s="1069" t="s">
        <v>797</v>
      </c>
      <c r="B6" s="1062" t="s">
        <v>786</v>
      </c>
      <c r="C6" s="1374"/>
      <c r="D6" s="1375" t="e">
        <f>D5/C5-1</f>
        <v>#REF!</v>
      </c>
      <c r="E6" s="1375" t="e">
        <f>E5/D5-1</f>
        <v>#REF!</v>
      </c>
      <c r="F6" s="1375" t="e">
        <f>F5/E5-1</f>
        <v>#REF!</v>
      </c>
      <c r="G6" s="1374"/>
      <c r="H6" s="1374"/>
      <c r="I6" s="1374"/>
      <c r="J6" s="1374"/>
      <c r="K6" s="1374"/>
      <c r="L6" s="1374"/>
      <c r="M6" s="1374"/>
      <c r="N6" s="1374"/>
      <c r="O6" s="1374" t="e">
        <f>O5/N5-1</f>
        <v>#REF!</v>
      </c>
      <c r="P6" s="1374" t="e">
        <f>P5/O5-1</f>
        <v>#REF!</v>
      </c>
    </row>
    <row r="7" spans="1:16" ht="10.5" x14ac:dyDescent="0.3">
      <c r="A7" s="1069" t="s">
        <v>22</v>
      </c>
      <c r="B7" s="1062" t="s">
        <v>798</v>
      </c>
      <c r="C7" s="1139" t="e">
        <f>#REF!</f>
        <v>#REF!</v>
      </c>
      <c r="D7" s="1139" t="e">
        <f>#REF!</f>
        <v>#REF!</v>
      </c>
      <c r="E7" s="1139" t="e">
        <f>#REF!</f>
        <v>#REF!</v>
      </c>
      <c r="F7" s="1139" t="e">
        <f>#REF!</f>
        <v>#REF!</v>
      </c>
      <c r="G7" s="1139"/>
      <c r="H7" s="1139"/>
      <c r="I7" s="1139"/>
      <c r="J7" s="1139"/>
      <c r="K7" s="1139"/>
      <c r="L7" s="1139"/>
      <c r="M7" s="1139"/>
      <c r="N7" s="1139"/>
      <c r="O7" s="1139" t="e">
        <f>#REF!</f>
        <v>#REF!</v>
      </c>
      <c r="P7" s="1139" t="e">
        <f>#REF!</f>
        <v>#REF!</v>
      </c>
    </row>
    <row r="8" spans="1:16" ht="10.5" x14ac:dyDescent="0.3">
      <c r="A8" s="1069" t="s">
        <v>797</v>
      </c>
      <c r="B8" s="1062" t="s">
        <v>786</v>
      </c>
      <c r="C8" s="1374"/>
      <c r="D8" s="1375" t="e">
        <f>D7/C7-1</f>
        <v>#REF!</v>
      </c>
      <c r="E8" s="1375" t="e">
        <f>E7/D7-1</f>
        <v>#REF!</v>
      </c>
      <c r="F8" s="1375" t="e">
        <f>F7/E7-1</f>
        <v>#REF!</v>
      </c>
      <c r="G8" s="1374"/>
      <c r="H8" s="1374"/>
      <c r="I8" s="1374"/>
      <c r="J8" s="1374"/>
      <c r="K8" s="1374"/>
      <c r="L8" s="1374"/>
      <c r="M8" s="1374"/>
      <c r="N8" s="1374"/>
      <c r="O8" s="1374" t="e">
        <f>O7/N7-1</f>
        <v>#REF!</v>
      </c>
      <c r="P8" s="1374" t="e">
        <f>P7/O7-1</f>
        <v>#REF!</v>
      </c>
    </row>
    <row r="9" spans="1:16" ht="10.5" x14ac:dyDescent="0.3">
      <c r="A9" s="1069" t="s">
        <v>799</v>
      </c>
      <c r="B9" s="1062" t="s">
        <v>800</v>
      </c>
      <c r="C9" s="1151"/>
      <c r="D9" s="1151"/>
      <c r="E9" s="1151" t="e">
        <f>#REF!</f>
        <v>#REF!</v>
      </c>
      <c r="F9" s="1151" t="e">
        <f>#REF!</f>
        <v>#REF!</v>
      </c>
      <c r="G9" s="1151"/>
      <c r="H9" s="1151"/>
      <c r="I9" s="1151"/>
      <c r="J9" s="1151"/>
      <c r="K9" s="1151"/>
      <c r="L9" s="1151"/>
      <c r="M9" s="1151"/>
      <c r="N9" s="1151"/>
      <c r="O9" s="1151" t="e">
        <f>#REF!</f>
        <v>#REF!</v>
      </c>
      <c r="P9" s="1151" t="e">
        <f>#REF!</f>
        <v>#REF!</v>
      </c>
    </row>
    <row r="10" spans="1:16" ht="10.5" x14ac:dyDescent="0.3">
      <c r="A10" s="1069" t="s">
        <v>797</v>
      </c>
      <c r="B10" s="1062" t="s">
        <v>801</v>
      </c>
      <c r="C10" s="1374"/>
      <c r="D10" s="1374"/>
      <c r="E10" s="1374"/>
      <c r="F10" s="1374"/>
      <c r="G10" s="1374"/>
      <c r="H10" s="1374"/>
      <c r="I10" s="1374"/>
      <c r="J10" s="1374"/>
      <c r="K10" s="1374"/>
      <c r="L10" s="1374"/>
    </row>
    <row r="11" spans="1:16" ht="10.5" x14ac:dyDescent="0.3">
      <c r="A11" s="1069" t="s">
        <v>802</v>
      </c>
      <c r="B11" s="1062" t="s">
        <v>787</v>
      </c>
      <c r="C11" s="1376"/>
      <c r="D11" s="1376"/>
      <c r="E11" s="1376"/>
      <c r="F11" s="1376"/>
      <c r="G11" s="1376"/>
      <c r="H11" s="1376"/>
    </row>
    <row r="12" spans="1:16" ht="10.5" x14ac:dyDescent="0.3">
      <c r="A12" s="1069" t="s">
        <v>803</v>
      </c>
      <c r="B12" s="1062" t="s">
        <v>539</v>
      </c>
      <c r="C12" s="1377"/>
      <c r="D12" s="1377"/>
      <c r="E12" s="1377"/>
      <c r="F12" s="1377"/>
      <c r="G12" s="1377"/>
      <c r="H12" s="1377"/>
    </row>
    <row r="13" spans="1:16" ht="10.5" x14ac:dyDescent="0.3">
      <c r="A13" s="1069" t="s">
        <v>540</v>
      </c>
      <c r="B13" s="1062" t="s">
        <v>541</v>
      </c>
      <c r="C13" s="1378"/>
      <c r="D13" s="1378" t="e">
        <f>#REF!</f>
        <v>#REF!</v>
      </c>
      <c r="E13" s="1378" t="e">
        <f>#REF!</f>
        <v>#REF!</v>
      </c>
      <c r="F13" s="1378" t="e">
        <f>#REF!</f>
        <v>#REF!</v>
      </c>
      <c r="G13" s="1378"/>
      <c r="H13" s="1378"/>
      <c r="I13" s="1378"/>
      <c r="J13" s="1378"/>
      <c r="K13" s="1378"/>
      <c r="L13" s="1378"/>
      <c r="M13" s="1378"/>
      <c r="N13" s="1378"/>
      <c r="O13" s="1378" t="e">
        <f>#REF!</f>
        <v>#REF!</v>
      </c>
      <c r="P13" s="1378" t="e">
        <f>#REF!</f>
        <v>#REF!</v>
      </c>
    </row>
    <row r="14" spans="1:16" ht="10.5" x14ac:dyDescent="0.3">
      <c r="A14" s="1069" t="s">
        <v>50</v>
      </c>
      <c r="B14" s="1062" t="s">
        <v>51</v>
      </c>
      <c r="C14" s="1376"/>
      <c r="D14" s="1376"/>
      <c r="E14" s="1376"/>
      <c r="F14" s="1376"/>
      <c r="G14" s="1376"/>
      <c r="H14" s="1376"/>
    </row>
    <row r="15" spans="1:16" ht="10.5" x14ac:dyDescent="0.3">
      <c r="A15" s="1069" t="s">
        <v>33</v>
      </c>
      <c r="B15" s="1062" t="s">
        <v>32</v>
      </c>
      <c r="C15" s="1379"/>
      <c r="D15" s="1379"/>
      <c r="E15" s="1379"/>
      <c r="F15" s="1379"/>
      <c r="G15" s="1379"/>
      <c r="H15" s="1379"/>
    </row>
    <row r="16" spans="1:16" x14ac:dyDescent="0.3">
      <c r="B16" s="1062" t="s">
        <v>789</v>
      </c>
      <c r="C16" s="1376"/>
      <c r="D16" s="1376"/>
      <c r="E16" s="1376"/>
      <c r="F16" s="1376"/>
      <c r="G16" s="1376"/>
      <c r="H16" s="1376"/>
    </row>
    <row r="17" spans="2:12" x14ac:dyDescent="0.3">
      <c r="B17" s="1062" t="s">
        <v>52</v>
      </c>
      <c r="C17" s="1151"/>
      <c r="D17" s="1151"/>
      <c r="E17" s="1151"/>
      <c r="F17" s="1151"/>
      <c r="G17" s="1151"/>
      <c r="H17" s="1151"/>
      <c r="I17" s="1151"/>
      <c r="J17" s="1151"/>
      <c r="K17" s="1151"/>
      <c r="L17" s="1151"/>
    </row>
    <row r="18" spans="2:12" x14ac:dyDescent="0.3">
      <c r="B18" s="1062" t="s">
        <v>790</v>
      </c>
      <c r="C18" s="1375"/>
      <c r="D18" s="1375"/>
      <c r="E18" s="1375"/>
      <c r="F18" s="1375"/>
      <c r="G18" s="1375"/>
      <c r="H18" s="1375"/>
    </row>
    <row r="19" spans="2:12" x14ac:dyDescent="0.3">
      <c r="B19" s="1062" t="s">
        <v>54</v>
      </c>
      <c r="C19" s="1151"/>
      <c r="D19" s="1151"/>
      <c r="E19" s="1151"/>
      <c r="F19" s="1151"/>
      <c r="G19" s="1151"/>
      <c r="H19" s="1151"/>
      <c r="I19" s="1151"/>
      <c r="J19" s="1151"/>
      <c r="K19" s="1151"/>
    </row>
    <row r="20" spans="2:12" x14ac:dyDescent="0.3">
      <c r="B20" s="1062" t="s">
        <v>482</v>
      </c>
      <c r="C20" s="1380"/>
      <c r="D20" s="1380"/>
      <c r="E20" s="1380"/>
      <c r="F20" s="1380"/>
      <c r="G20" s="1380"/>
      <c r="H20" s="1380"/>
    </row>
    <row r="21" spans="2:12" x14ac:dyDescent="0.3">
      <c r="C21" s="1134"/>
      <c r="D21" s="1134"/>
      <c r="E21" s="1134"/>
      <c r="F21" s="1134"/>
      <c r="G21" s="1134"/>
      <c r="H21" s="1134"/>
    </row>
    <row r="22" spans="2:12" x14ac:dyDescent="0.3">
      <c r="B22" s="1381" t="s">
        <v>483</v>
      </c>
      <c r="C22" s="1382" t="e">
        <f>#REF!/#REF!</f>
        <v>#REF!</v>
      </c>
      <c r="D22" s="1382" t="e">
        <f>#REF!/#REF!</f>
        <v>#REF!</v>
      </c>
      <c r="E22" s="1382" t="e">
        <f>#REF!/#REF!</f>
        <v>#REF!</v>
      </c>
      <c r="F22" s="1382" t="e">
        <f>#REF!/#REF!</f>
        <v>#REF!</v>
      </c>
      <c r="G22" s="1383"/>
      <c r="H22" s="1383"/>
      <c r="I22" s="1383"/>
      <c r="J22" s="1383"/>
    </row>
    <row r="23" spans="2:12" x14ac:dyDescent="0.3">
      <c r="B23" s="1381" t="s">
        <v>576</v>
      </c>
      <c r="C23" s="1382" t="e">
        <f>(#REF!-#REF!)/#REF!</f>
        <v>#REF!</v>
      </c>
      <c r="D23" s="1382" t="e">
        <f>(#REF!-#REF!)/#REF!</f>
        <v>#REF!</v>
      </c>
      <c r="E23" s="1382" t="e">
        <f>(#REF!-#REF!)/#REF!</f>
        <v>#REF!</v>
      </c>
      <c r="F23" s="1382" t="e">
        <f>(#REF!-#REF!)/#REF!</f>
        <v>#REF!</v>
      </c>
      <c r="G23" s="1383"/>
      <c r="H23" s="1383"/>
      <c r="I23" s="1383"/>
      <c r="J23" s="1383"/>
    </row>
    <row r="24" spans="2:12" x14ac:dyDescent="0.3">
      <c r="B24" s="1381" t="s">
        <v>484</v>
      </c>
      <c r="C24" s="1384" t="e">
        <f>(#REF!+#REF!-#REF!-#REF!)/#REF!</f>
        <v>#REF!</v>
      </c>
      <c r="D24" s="1384" t="e">
        <f>(#REF!+#REF!-#REF!-#REF!)/#REF!</f>
        <v>#REF!</v>
      </c>
      <c r="E24" s="1384" t="e">
        <f>(#REF!+#REF!-#REF!-#REF!)/#REF!</f>
        <v>#REF!</v>
      </c>
      <c r="F24" s="1384" t="e">
        <f>(#REF!+#REF!-#REF!-#REF!)/#REF!</f>
        <v>#REF!</v>
      </c>
      <c r="G24" s="1384"/>
      <c r="H24" s="1384"/>
      <c r="I24" s="1384"/>
      <c r="J24" s="1385"/>
    </row>
    <row r="25" spans="2:12" x14ac:dyDescent="0.3">
      <c r="B25" s="1386"/>
      <c r="C25" s="1387"/>
      <c r="D25" s="1387"/>
      <c r="E25" s="1387"/>
      <c r="F25" s="1387"/>
      <c r="G25" s="1387"/>
      <c r="H25" s="1387"/>
    </row>
    <row r="26" spans="2:12" ht="10.5" x14ac:dyDescent="0.3">
      <c r="B26" s="1381" t="s">
        <v>499</v>
      </c>
      <c r="C26" s="1384" t="e">
        <f>#REF!/#REF!</f>
        <v>#REF!</v>
      </c>
      <c r="D26" s="1384" t="e">
        <f>#REF!/#REF!</f>
        <v>#REF!</v>
      </c>
      <c r="E26" s="1384" t="e">
        <f>#REF!/#REF!</f>
        <v>#REF!</v>
      </c>
      <c r="F26" s="1384" t="e">
        <f>#REF!/#REF!</f>
        <v>#REF!</v>
      </c>
      <c r="G26" s="1384"/>
      <c r="H26" s="1384"/>
      <c r="I26" s="1385"/>
      <c r="J26" s="1385"/>
    </row>
    <row r="27" spans="2:12" x14ac:dyDescent="0.3">
      <c r="B27" s="1381" t="s">
        <v>30</v>
      </c>
      <c r="C27" s="1384" t="e">
        <f>#REF!/#REF!</f>
        <v>#REF!</v>
      </c>
      <c r="D27" s="1384" t="e">
        <f>#REF!/#REF!</f>
        <v>#REF!</v>
      </c>
      <c r="E27" s="1384" t="e">
        <f>#REF!/#REF!</f>
        <v>#REF!</v>
      </c>
      <c r="F27" s="1384" t="e">
        <f>#REF!/#REF!</f>
        <v>#REF!</v>
      </c>
      <c r="G27" s="1384"/>
      <c r="H27" s="1384"/>
      <c r="I27" s="1384"/>
      <c r="J27" s="1385"/>
    </row>
    <row r="28" spans="2:12" x14ac:dyDescent="0.3">
      <c r="B28" s="1381" t="s">
        <v>31</v>
      </c>
      <c r="C28" s="1388" t="e">
        <f>#REF!/#REF!</f>
        <v>#REF!</v>
      </c>
      <c r="D28" s="1388" t="e">
        <f>#REF!/#REF!</f>
        <v>#REF!</v>
      </c>
      <c r="E28" s="1388" t="e">
        <f>#REF!/#REF!</f>
        <v>#REF!</v>
      </c>
      <c r="F28" s="1388" t="e">
        <f>#REF!/#REF!</f>
        <v>#REF!</v>
      </c>
      <c r="G28" s="1389"/>
      <c r="H28" s="1389"/>
      <c r="I28" s="1389"/>
      <c r="J28" s="1385"/>
    </row>
    <row r="30" spans="2:12" x14ac:dyDescent="0.3">
      <c r="B30" s="1385" t="s">
        <v>791</v>
      </c>
      <c r="C30" s="1384" t="e">
        <f>#REF!/#REF!</f>
        <v>#REF!</v>
      </c>
      <c r="D30" s="1384" t="e">
        <f>#REF!/#REF!</f>
        <v>#REF!</v>
      </c>
      <c r="E30" s="1384" t="e">
        <f>#REF!/#REF!</f>
        <v>#REF!</v>
      </c>
      <c r="F30" s="1384" t="e">
        <f>#REF!/#REF!</f>
        <v>#REF!</v>
      </c>
      <c r="G30" s="1384"/>
      <c r="H30" s="1384"/>
      <c r="I30" s="1384"/>
      <c r="J30" s="1384"/>
      <c r="K30" s="1387"/>
    </row>
    <row r="31" spans="2:12" x14ac:dyDescent="0.3">
      <c r="B31" s="1385" t="s">
        <v>53</v>
      </c>
      <c r="C31" s="1384" t="e">
        <f>#REF!/#REF!</f>
        <v>#REF!</v>
      </c>
      <c r="D31" s="1384" t="e">
        <f>#REF!/#REF!</f>
        <v>#REF!</v>
      </c>
      <c r="E31" s="1384" t="e">
        <f>#REF!/#REF!</f>
        <v>#REF!</v>
      </c>
      <c r="F31" s="1384" t="e">
        <f>#REF!/#REF!</f>
        <v>#REF!</v>
      </c>
      <c r="G31" s="1384"/>
      <c r="H31" s="1384"/>
      <c r="I31" s="1384"/>
      <c r="J31" s="1384"/>
      <c r="K31" s="1387"/>
    </row>
    <row r="32" spans="2:12" x14ac:dyDescent="0.3">
      <c r="C32" s="1387"/>
      <c r="D32" s="1387"/>
      <c r="E32" s="1387"/>
      <c r="F32" s="1387"/>
      <c r="G32" s="1387"/>
      <c r="H32" s="1387"/>
      <c r="I32" s="1387"/>
      <c r="J32" s="1387"/>
      <c r="K32" s="1387"/>
    </row>
    <row r="33" spans="2:11" x14ac:dyDescent="0.3">
      <c r="B33" s="1385" t="s">
        <v>500</v>
      </c>
      <c r="C33" s="1390" t="e">
        <f>-#REF!/#REF!</f>
        <v>#REF!</v>
      </c>
      <c r="D33" s="1390" t="e">
        <f>-#REF!/#REF!</f>
        <v>#REF!</v>
      </c>
      <c r="E33" s="1390" t="e">
        <f>-#REF!/#REF!</f>
        <v>#REF!</v>
      </c>
      <c r="F33" s="1390" t="e">
        <f>-#REF!/#REF!</f>
        <v>#REF!</v>
      </c>
      <c r="G33" s="1384"/>
      <c r="H33" s="1384"/>
      <c r="I33" s="1384"/>
      <c r="J33" s="1384"/>
      <c r="K33" s="1387"/>
    </row>
    <row r="34" spans="2:11" x14ac:dyDescent="0.3">
      <c r="B34" s="1385" t="s">
        <v>567</v>
      </c>
      <c r="C34" s="1390" t="e">
        <f>-#REF!/#REF!</f>
        <v>#REF!</v>
      </c>
      <c r="D34" s="1390" t="e">
        <f>-#REF!/#REF!</f>
        <v>#REF!</v>
      </c>
      <c r="E34" s="1390" t="e">
        <f>-#REF!/#REF!</f>
        <v>#REF!</v>
      </c>
      <c r="F34" s="1390" t="e">
        <f>-#REF!/#REF!</f>
        <v>#REF!</v>
      </c>
      <c r="G34" s="1384"/>
      <c r="H34" s="1384"/>
      <c r="I34" s="1384"/>
      <c r="J34" s="1384"/>
      <c r="K34" s="1387"/>
    </row>
    <row r="35" spans="2:11" x14ac:dyDescent="0.3">
      <c r="B35" s="1385" t="s">
        <v>570</v>
      </c>
      <c r="C35" s="1390" t="e">
        <f>-(#REF!+#REF!)/#REF!</f>
        <v>#REF!</v>
      </c>
      <c r="D35" s="1390" t="e">
        <f>-(#REF!+#REF!)/#REF!</f>
        <v>#REF!</v>
      </c>
      <c r="E35" s="1390" t="e">
        <f>-(#REF!+#REF!)/#REF!</f>
        <v>#REF!</v>
      </c>
      <c r="F35" s="1390" t="e">
        <f>-(#REF!+#REF!)/#REF!</f>
        <v>#REF!</v>
      </c>
      <c r="G35" s="1384"/>
      <c r="H35" s="1384"/>
      <c r="I35" s="1384"/>
      <c r="J35" s="1384"/>
      <c r="K35" s="1387"/>
    </row>
    <row r="36" spans="2:11" x14ac:dyDescent="0.3">
      <c r="C36" s="1387"/>
      <c r="D36" s="1387"/>
      <c r="E36" s="1387"/>
      <c r="F36" s="1387"/>
      <c r="G36" s="1387"/>
      <c r="H36" s="1387"/>
      <c r="I36" s="1387"/>
      <c r="J36" s="1387"/>
      <c r="K36" s="1387"/>
    </row>
    <row r="37" spans="2:11" x14ac:dyDescent="0.3">
      <c r="B37" s="1385" t="s">
        <v>571</v>
      </c>
      <c r="C37" s="1384" t="e">
        <f>#REF!/#REF!</f>
        <v>#REF!</v>
      </c>
      <c r="D37" s="1384" t="e">
        <f>#REF!/#REF!</f>
        <v>#REF!</v>
      </c>
      <c r="E37" s="1384" t="e">
        <f>#REF!/#REF!</f>
        <v>#REF!</v>
      </c>
      <c r="F37" s="1384" t="e">
        <f>#REF!/#REF!</f>
        <v>#REF!</v>
      </c>
      <c r="G37" s="1384"/>
      <c r="H37" s="1384"/>
      <c r="I37" s="1384"/>
      <c r="J37" s="1384"/>
      <c r="K37" s="1387"/>
    </row>
    <row r="38" spans="2:11" x14ac:dyDescent="0.3">
      <c r="B38" s="1385" t="s">
        <v>572</v>
      </c>
      <c r="C38" s="1391" t="e">
        <f>#REF!/#REF!</f>
        <v>#REF!</v>
      </c>
      <c r="D38" s="1391" t="e">
        <f>#REF!/#REF!</f>
        <v>#REF!</v>
      </c>
      <c r="E38" s="1391" t="e">
        <f>#REF!/#REF!</f>
        <v>#REF!</v>
      </c>
      <c r="F38" s="1391" t="e">
        <f>#REF!/#REF!</f>
        <v>#REF!</v>
      </c>
      <c r="G38" s="1384"/>
      <c r="H38" s="1384"/>
      <c r="I38" s="1384"/>
      <c r="J38" s="1384"/>
      <c r="K38" s="1387"/>
    </row>
    <row r="39" spans="2:11" x14ac:dyDescent="0.3">
      <c r="B39" s="1385" t="s">
        <v>574</v>
      </c>
      <c r="C39" s="1384"/>
      <c r="D39" s="1391" t="e">
        <f>#REF!/#REF!</f>
        <v>#REF!</v>
      </c>
      <c r="E39" s="1391" t="e">
        <f>#REF!/#REF!</f>
        <v>#REF!</v>
      </c>
      <c r="F39" s="1391" t="e">
        <f>#REF!/#REF!</f>
        <v>#REF!</v>
      </c>
      <c r="G39" s="1384"/>
      <c r="H39" s="1384"/>
      <c r="I39" s="1384"/>
      <c r="J39" s="1384"/>
      <c r="K39" s="1387"/>
    </row>
    <row r="40" spans="2:11" x14ac:dyDescent="0.3">
      <c r="B40" s="1385" t="s">
        <v>117</v>
      </c>
      <c r="C40" s="1391" t="e">
        <f>(#REF!+#REF!)/#REF!</f>
        <v>#REF!</v>
      </c>
      <c r="D40" s="1391" t="e">
        <f>(#REF!+#REF!)/#REF!</f>
        <v>#REF!</v>
      </c>
      <c r="E40" s="1391" t="e">
        <f>(#REF!+#REF!)/#REF!</f>
        <v>#REF!</v>
      </c>
      <c r="F40" s="1391" t="e">
        <f>(#REF!+#REF!)/#REF!</f>
        <v>#REF!</v>
      </c>
      <c r="G40" s="1384"/>
      <c r="H40" s="1384"/>
      <c r="I40" s="1384"/>
      <c r="J40" s="1384"/>
      <c r="K40" s="1387"/>
    </row>
    <row r="41" spans="2:11" x14ac:dyDescent="0.3">
      <c r="C41" s="1387"/>
      <c r="D41" s="1387"/>
      <c r="E41" s="1387"/>
      <c r="F41" s="1387"/>
      <c r="G41" s="1387"/>
      <c r="H41" s="1387"/>
      <c r="I41" s="1387"/>
      <c r="J41" s="1387"/>
      <c r="K41" s="1387"/>
    </row>
    <row r="42" spans="2:11" ht="10.050000000000001" customHeight="1" x14ac:dyDescent="0.3">
      <c r="B42" s="1385" t="s">
        <v>573</v>
      </c>
      <c r="C42" s="1384"/>
      <c r="D42" s="1391" t="e">
        <f>#REF!/AVERAGE(#REF!)</f>
        <v>#REF!</v>
      </c>
      <c r="E42" s="1391" t="e">
        <f>#REF!/AVERAGE(#REF!)</f>
        <v>#REF!</v>
      </c>
      <c r="F42" s="1391" t="e">
        <f>#REF!/AVERAGE(#REF!)</f>
        <v>#REF!</v>
      </c>
      <c r="G42" s="1384"/>
      <c r="H42" s="1384"/>
      <c r="I42" s="1384"/>
      <c r="J42" s="1384"/>
      <c r="K42" s="1387"/>
    </row>
    <row r="43" spans="2:11" x14ac:dyDescent="0.3">
      <c r="B43" s="1385" t="s">
        <v>521</v>
      </c>
      <c r="C43" s="1392"/>
      <c r="D43" s="1393" t="e">
        <f>-#REF!/AVERAGE(#REF!)</f>
        <v>#REF!</v>
      </c>
      <c r="E43" s="1393" t="e">
        <f>-#REF!/AVERAGE(#REF!)</f>
        <v>#REF!</v>
      </c>
      <c r="F43" s="1393" t="e">
        <f>-#REF!/AVERAGE(#REF!)</f>
        <v>#REF!</v>
      </c>
      <c r="G43" s="1392"/>
      <c r="H43" s="1392"/>
      <c r="I43" s="1392"/>
      <c r="J43" s="1385"/>
    </row>
    <row r="44" spans="2:11" x14ac:dyDescent="0.3">
      <c r="B44" s="1385" t="s">
        <v>522</v>
      </c>
      <c r="C44" s="1392"/>
      <c r="D44" s="1393" t="e">
        <f>#REF!/AVERAGE(#REF!)</f>
        <v>#REF!</v>
      </c>
      <c r="E44" s="1393" t="e">
        <f>#REF!/AVERAGE(#REF!)</f>
        <v>#REF!</v>
      </c>
      <c r="F44" s="1393" t="e">
        <f>#REF!/AVERAGE(#REF!)</f>
        <v>#REF!</v>
      </c>
      <c r="G44" s="1392"/>
      <c r="H44" s="1392"/>
      <c r="I44" s="1392"/>
      <c r="J44" s="1385"/>
    </row>
    <row r="48" spans="2:11" x14ac:dyDescent="0.3">
      <c r="B48" s="1064"/>
    </row>
    <row r="69" spans="2:2" x14ac:dyDescent="0.3">
      <c r="B69" s="1064"/>
    </row>
    <row r="77" spans="2:2" x14ac:dyDescent="0.3">
      <c r="B77" s="1064"/>
    </row>
    <row r="79" spans="2:2" x14ac:dyDescent="0.3">
      <c r="B79" s="1064"/>
    </row>
    <row r="91" spans="2:2" x14ac:dyDescent="0.3">
      <c r="B91" s="1394"/>
    </row>
    <row r="92" spans="2:2" x14ac:dyDescent="0.3">
      <c r="B92" s="1394"/>
    </row>
  </sheetData>
  <phoneticPr fontId="51" type="noConversion"/>
  <pageMargins left="0.75" right="0.75" top="1" bottom="1" header="0.5" footer="0.5"/>
  <headerFooter alignWithMargins="0"/>
  <legacy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T25"/>
  <sheetViews>
    <sheetView zoomScale="115" workbookViewId="0">
      <selection activeCell="Q25" sqref="Q25"/>
    </sheetView>
  </sheetViews>
  <sheetFormatPr defaultColWidth="9" defaultRowHeight="10.5" outlineLevelCol="1" x14ac:dyDescent="0.3"/>
  <cols>
    <col min="1" max="1" width="2.25" style="1062" customWidth="1"/>
    <col min="2" max="2" width="15" style="1069" customWidth="1"/>
    <col min="3" max="3" width="0" style="1062" hidden="1" customWidth="1" outlineLevel="1"/>
    <col min="4" max="8" width="9" style="1062"/>
    <col min="9" max="14" width="0" style="1062" hidden="1" customWidth="1" outlineLevel="1"/>
    <col min="15" max="17" width="9" style="1062"/>
    <col min="18" max="18" width="11" style="1062" customWidth="1"/>
    <col min="19" max="16384" width="9" style="1062"/>
  </cols>
  <sheetData>
    <row r="1" spans="1:20" ht="10.15" x14ac:dyDescent="0.3">
      <c r="B1" s="1395" t="s">
        <v>108</v>
      </c>
    </row>
    <row r="2" spans="1:20" x14ac:dyDescent="0.3">
      <c r="A2" s="1069"/>
      <c r="C2" s="1135" t="s">
        <v>476</v>
      </c>
      <c r="D2" s="1135" t="s">
        <v>494</v>
      </c>
      <c r="E2" s="1135" t="s">
        <v>198</v>
      </c>
      <c r="F2" s="1135" t="s">
        <v>274</v>
      </c>
      <c r="G2" s="1135" t="s">
        <v>438</v>
      </c>
      <c r="I2" s="1134" t="s">
        <v>436</v>
      </c>
      <c r="J2" s="1134" t="s">
        <v>432</v>
      </c>
      <c r="K2" s="1134" t="s">
        <v>437</v>
      </c>
      <c r="L2" s="1134" t="s">
        <v>433</v>
      </c>
      <c r="M2" s="1134" t="s">
        <v>434</v>
      </c>
      <c r="N2" s="1134" t="s">
        <v>435</v>
      </c>
    </row>
    <row r="3" spans="1:20" x14ac:dyDescent="0.3">
      <c r="B3" s="1069" t="s">
        <v>104</v>
      </c>
      <c r="C3" s="1396" t="e">
        <f>#REF!</f>
        <v>#REF!</v>
      </c>
      <c r="D3" s="1396" t="e">
        <f>#REF!</f>
        <v>#REF!</v>
      </c>
      <c r="E3" s="1396" t="e">
        <f>#REF!</f>
        <v>#REF!</v>
      </c>
      <c r="F3" s="1396" t="e">
        <f>#REF!</f>
        <v>#REF!</v>
      </c>
      <c r="G3" s="1396" t="e">
        <f>#REF!</f>
        <v>#REF!</v>
      </c>
      <c r="I3" s="1396" t="e">
        <f>#REF!</f>
        <v>#REF!</v>
      </c>
      <c r="J3" s="1396" t="e">
        <f>#REF!</f>
        <v>#REF!</v>
      </c>
      <c r="K3" s="1396" t="e">
        <f>#REF!</f>
        <v>#REF!</v>
      </c>
      <c r="L3" s="1396"/>
      <c r="M3" s="1396"/>
      <c r="N3" s="1396"/>
    </row>
    <row r="4" spans="1:20" x14ac:dyDescent="0.3">
      <c r="B4" s="1069" t="s">
        <v>565</v>
      </c>
      <c r="C4" s="1083" t="e">
        <f>#REF!</f>
        <v>#REF!</v>
      </c>
      <c r="D4" s="1083" t="e">
        <f>#REF!</f>
        <v>#REF!</v>
      </c>
      <c r="E4" s="1083" t="e">
        <f>#REF!</f>
        <v>#REF!</v>
      </c>
      <c r="F4" s="1083" t="e">
        <f>#REF!</f>
        <v>#REF!</v>
      </c>
      <c r="G4" s="1083" t="e">
        <f>#REF!</f>
        <v>#REF!</v>
      </c>
      <c r="I4" s="1397" t="e">
        <f>#REF!</f>
        <v>#REF!</v>
      </c>
      <c r="J4" s="1397" t="e">
        <f>#REF!</f>
        <v>#REF!</v>
      </c>
      <c r="K4" s="1397" t="e">
        <f>#REF!</f>
        <v>#REF!</v>
      </c>
    </row>
    <row r="5" spans="1:20" x14ac:dyDescent="0.3">
      <c r="B5" s="1069" t="s">
        <v>106</v>
      </c>
      <c r="C5" s="1083" t="e">
        <f>#REF!</f>
        <v>#REF!</v>
      </c>
      <c r="D5" s="1083" t="e">
        <f>#REF!</f>
        <v>#REF!</v>
      </c>
      <c r="E5" s="1083" t="e">
        <f>#REF!</f>
        <v>#REF!</v>
      </c>
      <c r="F5" s="1083" t="e">
        <f>#REF!</f>
        <v>#REF!</v>
      </c>
      <c r="G5" s="1083" t="e">
        <f>#REF!</f>
        <v>#REF!</v>
      </c>
      <c r="I5" s="1397" t="e">
        <f>#REF!</f>
        <v>#REF!</v>
      </c>
      <c r="J5" s="1397" t="e">
        <f>#REF!</f>
        <v>#REF!</v>
      </c>
      <c r="K5" s="1397" t="e">
        <f>#REF!</f>
        <v>#REF!</v>
      </c>
    </row>
    <row r="6" spans="1:20" x14ac:dyDescent="0.3">
      <c r="B6" s="1069" t="s">
        <v>129</v>
      </c>
      <c r="C6" s="1102" t="e">
        <f>#REF!</f>
        <v>#REF!</v>
      </c>
      <c r="D6" s="1102" t="e">
        <f>#REF!</f>
        <v>#REF!</v>
      </c>
      <c r="E6" s="1102" t="e">
        <f>#REF!</f>
        <v>#REF!</v>
      </c>
      <c r="F6" s="1102" t="e">
        <f>#REF!</f>
        <v>#REF!</v>
      </c>
      <c r="G6" s="1102" t="e">
        <f>#REF!</f>
        <v>#REF!</v>
      </c>
      <c r="R6" s="1083">
        <v>13000000000</v>
      </c>
    </row>
    <row r="7" spans="1:20" x14ac:dyDescent="0.3">
      <c r="B7" s="1069" t="s">
        <v>130</v>
      </c>
      <c r="C7" s="1102" t="e">
        <f>#REF!</f>
        <v>#REF!</v>
      </c>
      <c r="D7" s="1102" t="e">
        <f>#REF!</f>
        <v>#REF!</v>
      </c>
      <c r="E7" s="1102" t="e">
        <f>#REF!</f>
        <v>#REF!</v>
      </c>
      <c r="F7" s="1102" t="e">
        <f>#REF!</f>
        <v>#REF!</v>
      </c>
      <c r="G7" s="1102" t="e">
        <f>#REF!</f>
        <v>#REF!</v>
      </c>
      <c r="R7" s="1083">
        <v>3500000000</v>
      </c>
    </row>
    <row r="8" spans="1:20" x14ac:dyDescent="0.3">
      <c r="B8" s="1069" t="s">
        <v>131</v>
      </c>
      <c r="C8" s="1070" t="e">
        <f>#REF!</f>
        <v>#REF!</v>
      </c>
      <c r="D8" s="1070" t="e">
        <f>#REF!</f>
        <v>#REF!</v>
      </c>
      <c r="E8" s="1070" t="e">
        <f>#REF!</f>
        <v>#REF!</v>
      </c>
      <c r="F8" s="1070" t="e">
        <f>#REF!</f>
        <v>#REF!</v>
      </c>
      <c r="G8" s="1070" t="e">
        <f>#REF!</f>
        <v>#REF!</v>
      </c>
      <c r="R8" s="1083">
        <v>2610000000</v>
      </c>
    </row>
    <row r="9" spans="1:20" x14ac:dyDescent="0.3">
      <c r="B9" s="1069" t="s">
        <v>132</v>
      </c>
      <c r="C9" s="1083" t="e">
        <f>#REF!</f>
        <v>#REF!</v>
      </c>
      <c r="D9" s="1083" t="e">
        <f>#REF!</f>
        <v>#REF!</v>
      </c>
      <c r="E9" s="1083" t="e">
        <f>#REF!</f>
        <v>#REF!</v>
      </c>
      <c r="F9" s="1083" t="e">
        <f>#REF!</f>
        <v>#REF!</v>
      </c>
      <c r="G9" s="1083" t="e">
        <f>#REF!</f>
        <v>#REF!</v>
      </c>
      <c r="R9" s="1398">
        <f>SUM(R6:R8)</f>
        <v>19110000000</v>
      </c>
      <c r="S9" s="1062">
        <f>R7/R9</f>
        <v>0.18315018315018314</v>
      </c>
      <c r="T9" s="1062">
        <f>R8/R9</f>
        <v>0.13657770800627944</v>
      </c>
    </row>
    <row r="10" spans="1:20" x14ac:dyDescent="0.3">
      <c r="B10" s="1069" t="s">
        <v>193</v>
      </c>
      <c r="C10" s="1070" t="e">
        <f>#REF!</f>
        <v>#REF!</v>
      </c>
      <c r="D10" s="1070" t="e">
        <f>#REF!</f>
        <v>#REF!</v>
      </c>
      <c r="E10" s="1070" t="e">
        <f>#REF!</f>
        <v>#REF!</v>
      </c>
      <c r="F10" s="1070" t="e">
        <f>#REF!</f>
        <v>#REF!</v>
      </c>
      <c r="G10" s="1070" t="e">
        <f>#REF!</f>
        <v>#REF!</v>
      </c>
      <c r="I10" s="1070">
        <f>14567/18635</f>
        <v>0.78170110008049365</v>
      </c>
      <c r="J10" s="1070" t="e">
        <f>#REF!</f>
        <v>#REF!</v>
      </c>
      <c r="K10" s="1070" t="e">
        <f>#REF!</f>
        <v>#REF!</v>
      </c>
    </row>
    <row r="11" spans="1:20" ht="12" customHeight="1" x14ac:dyDescent="0.3">
      <c r="B11" s="1069" t="s">
        <v>450</v>
      </c>
      <c r="C11" s="1070" t="e">
        <f>#REF!</f>
        <v>#REF!</v>
      </c>
      <c r="D11" s="1070" t="e">
        <f>#REF!</f>
        <v>#REF!</v>
      </c>
      <c r="E11" s="1070" t="e">
        <f>#REF!</f>
        <v>#REF!</v>
      </c>
      <c r="F11" s="1070" t="e">
        <f>#REF!</f>
        <v>#REF!</v>
      </c>
      <c r="G11" s="1070" t="e">
        <f>#REF!</f>
        <v>#REF!</v>
      </c>
      <c r="I11" s="1070"/>
      <c r="J11" s="1070" t="e">
        <f>#REF!</f>
        <v>#REF!</v>
      </c>
      <c r="K11" s="1070" t="e">
        <f>#REF!</f>
        <v>#REF!</v>
      </c>
    </row>
    <row r="12" spans="1:20" x14ac:dyDescent="0.3">
      <c r="B12" s="1069" t="s">
        <v>830</v>
      </c>
      <c r="C12" s="1070" t="e">
        <f>#REF!+#REF!+#REF!</f>
        <v>#REF!</v>
      </c>
      <c r="D12" s="1070" t="e">
        <f>#REF!+#REF!+#REF!</f>
        <v>#REF!</v>
      </c>
      <c r="E12" s="1070" t="e">
        <f>#REF!+#REF!+#REF!</f>
        <v>#REF!</v>
      </c>
      <c r="F12" s="1070" t="e">
        <f>#REF!+#REF!+#REF!</f>
        <v>#REF!</v>
      </c>
      <c r="G12" s="1070" t="e">
        <f>#REF!+#REF!+#REF!</f>
        <v>#REF!</v>
      </c>
    </row>
    <row r="13" spans="1:20" ht="10.15" x14ac:dyDescent="0.3">
      <c r="B13" s="1062" t="s">
        <v>128</v>
      </c>
      <c r="C13" s="1397" t="e">
        <f>#REF!</f>
        <v>#REF!</v>
      </c>
      <c r="D13" s="1397" t="e">
        <f>#REF!</f>
        <v>#REF!</v>
      </c>
      <c r="E13" s="1397" t="e">
        <f>#REF!</f>
        <v>#REF!</v>
      </c>
      <c r="F13" s="1397" t="e">
        <f>#REF!</f>
        <v>#REF!</v>
      </c>
      <c r="G13" s="1397" t="e">
        <f>#REF!</f>
        <v>#REF!</v>
      </c>
    </row>
    <row r="14" spans="1:20" s="1073" customFormat="1" x14ac:dyDescent="0.3">
      <c r="B14" s="1399" t="s">
        <v>451</v>
      </c>
      <c r="C14" s="1070" t="e">
        <f>#REF!</f>
        <v>#REF!</v>
      </c>
      <c r="D14" s="1070" t="e">
        <f>#REF!</f>
        <v>#REF!</v>
      </c>
      <c r="E14" s="1070" t="e">
        <f>#REF!</f>
        <v>#REF!</v>
      </c>
      <c r="F14" s="1070" t="e">
        <f>#REF!</f>
        <v>#REF!</v>
      </c>
      <c r="G14" s="1070" t="e">
        <f>#REF!</f>
        <v>#REF!</v>
      </c>
      <c r="I14" s="1070" t="e">
        <f>#REF!</f>
        <v>#REF!</v>
      </c>
      <c r="J14" s="1070" t="e">
        <f>#REF!</f>
        <v>#REF!</v>
      </c>
      <c r="K14" s="1070" t="e">
        <f>#REF!</f>
        <v>#REF!</v>
      </c>
    </row>
    <row r="15" spans="1:20" x14ac:dyDescent="0.3">
      <c r="B15" s="1069" t="s">
        <v>452</v>
      </c>
      <c r="C15" s="1102" t="e">
        <f>#REF!</f>
        <v>#REF!</v>
      </c>
      <c r="D15" s="1102" t="e">
        <f>#REF!</f>
        <v>#REF!</v>
      </c>
      <c r="E15" s="1102" t="e">
        <f>#REF!</f>
        <v>#REF!</v>
      </c>
      <c r="F15" s="1102" t="e">
        <f>#REF!</f>
        <v>#REF!</v>
      </c>
      <c r="G15" s="1102" t="e">
        <f>#REF!</f>
        <v>#REF!</v>
      </c>
      <c r="H15" s="1400"/>
      <c r="I15" s="1073"/>
    </row>
    <row r="16" spans="1:20" x14ac:dyDescent="0.3">
      <c r="B16" s="1062" t="s">
        <v>520</v>
      </c>
      <c r="E16" s="1102"/>
      <c r="F16" s="1102" t="e">
        <f>#REF!</f>
        <v>#REF!</v>
      </c>
    </row>
    <row r="17" spans="2:7" x14ac:dyDescent="0.3">
      <c r="B17" s="1069" t="s">
        <v>439</v>
      </c>
      <c r="E17" s="1401" t="e">
        <f>#REF!</f>
        <v>#REF!</v>
      </c>
    </row>
    <row r="18" spans="2:7" x14ac:dyDescent="0.3">
      <c r="B18" s="1069" t="s">
        <v>440</v>
      </c>
      <c r="E18" s="1401" t="e">
        <f>#REF!</f>
        <v>#REF!</v>
      </c>
    </row>
    <row r="19" spans="2:7" x14ac:dyDescent="0.3">
      <c r="B19" s="1069" t="s">
        <v>0</v>
      </c>
      <c r="E19" s="1401"/>
      <c r="F19" s="1401" t="e">
        <f>#REF!</f>
        <v>#REF!</v>
      </c>
      <c r="G19" s="1401" t="e">
        <f>#REF!</f>
        <v>#REF!</v>
      </c>
    </row>
    <row r="20" spans="2:7" x14ac:dyDescent="0.3">
      <c r="B20" s="1069" t="s">
        <v>109</v>
      </c>
      <c r="E20" s="1401"/>
      <c r="F20" s="1401" t="e">
        <f>#REF!</f>
        <v>#REF!</v>
      </c>
      <c r="G20" s="1401" t="e">
        <f>#REF!</f>
        <v>#REF!</v>
      </c>
    </row>
    <row r="21" spans="2:7" x14ac:dyDescent="0.3">
      <c r="B21" s="1069" t="s">
        <v>526</v>
      </c>
      <c r="C21" s="1133" t="e">
        <f>Ratio!D44</f>
        <v>#REF!</v>
      </c>
      <c r="D21" s="1133" t="e">
        <f>Ratio!E44</f>
        <v>#REF!</v>
      </c>
      <c r="E21" s="1133" t="e">
        <f>Ratio!F44</f>
        <v>#REF!</v>
      </c>
      <c r="F21" s="1133">
        <f>Ratio!G44</f>
        <v>0</v>
      </c>
      <c r="G21" s="1133">
        <f>Ratio!H44</f>
        <v>0</v>
      </c>
    </row>
    <row r="22" spans="2:7" x14ac:dyDescent="0.3">
      <c r="B22" s="1069" t="s">
        <v>808</v>
      </c>
      <c r="C22" s="1133" t="e">
        <f>Ratio!D43</f>
        <v>#REF!</v>
      </c>
      <c r="D22" s="1133" t="e">
        <f>Ratio!E43</f>
        <v>#REF!</v>
      </c>
      <c r="E22" s="1133" t="e">
        <f>Ratio!F43</f>
        <v>#REF!</v>
      </c>
      <c r="F22" s="1133">
        <f>Ratio!G43</f>
        <v>0</v>
      </c>
      <c r="G22" s="1133">
        <f>Ratio!H43</f>
        <v>0</v>
      </c>
    </row>
    <row r="23" spans="2:7" x14ac:dyDescent="0.3">
      <c r="B23" s="1069" t="s">
        <v>276</v>
      </c>
      <c r="D23" s="1397" t="e">
        <f>#REF!</f>
        <v>#REF!</v>
      </c>
      <c r="E23" s="1397" t="e">
        <f>#REF!</f>
        <v>#REF!</v>
      </c>
      <c r="F23" s="1397" t="e">
        <f>#REF!</f>
        <v>#REF!</v>
      </c>
      <c r="G23" s="1397" t="e">
        <f>#REF!</f>
        <v>#REF!</v>
      </c>
    </row>
    <row r="24" spans="2:7" x14ac:dyDescent="0.3">
      <c r="B24" s="1069" t="s">
        <v>277</v>
      </c>
      <c r="D24" s="1397" t="e">
        <f>#REF!+#REF!</f>
        <v>#REF!</v>
      </c>
      <c r="E24" s="1397" t="e">
        <f>#REF!+#REF!</f>
        <v>#REF!</v>
      </c>
      <c r="F24" s="1397" t="e">
        <f>#REF!+#REF!</f>
        <v>#REF!</v>
      </c>
      <c r="G24" s="1397" t="e">
        <f>#REF!+#REF!</f>
        <v>#REF!</v>
      </c>
    </row>
    <row r="25" spans="2:7" x14ac:dyDescent="0.3">
      <c r="B25" s="1069" t="s">
        <v>278</v>
      </c>
      <c r="D25" s="1397" t="e">
        <f>#REF!</f>
        <v>#REF!</v>
      </c>
      <c r="E25" s="1397" t="e">
        <f>#REF!</f>
        <v>#REF!</v>
      </c>
      <c r="F25" s="1397" t="e">
        <f>#REF!</f>
        <v>#REF!</v>
      </c>
      <c r="G25" s="1397" t="e">
        <f>#REF!</f>
        <v>#REF!</v>
      </c>
    </row>
  </sheetData>
  <phoneticPr fontId="51" type="noConversion"/>
  <pageMargins left="0.75" right="0.75" top="1" bottom="1" header="0.5" footer="0.5"/>
  <headerFooter alignWithMargins="0"/>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indexed="10"/>
  </sheetPr>
  <dimension ref="A1:HZ123"/>
  <sheetViews>
    <sheetView workbookViewId="0">
      <pane xSplit="2" ySplit="2" topLeftCell="C12" activePane="bottomRight" state="frozen"/>
      <selection pane="topRight"/>
      <selection pane="bottomLeft"/>
      <selection pane="bottomRight" activeCell="O26" sqref="O26"/>
    </sheetView>
  </sheetViews>
  <sheetFormatPr defaultColWidth="23.25" defaultRowHeight="10.15" outlineLevelRow="1" outlineLevelCol="1" x14ac:dyDescent="0.4"/>
  <cols>
    <col min="1" max="1" width="18.8125" style="1168" customWidth="1"/>
    <col min="2" max="2" width="21.75" style="1168" hidden="1" customWidth="1" outlineLevel="1"/>
    <col min="3" max="3" width="10.8125" style="1169" customWidth="1"/>
    <col min="4" max="4" width="11.25" style="1168" customWidth="1"/>
    <col min="5" max="5" width="11.5" style="1168" customWidth="1"/>
    <col min="6" max="6" width="11.25" style="1168" customWidth="1"/>
    <col min="7" max="7" width="12.5" style="1168" customWidth="1"/>
    <col min="8" max="8" width="12.25" style="1168" customWidth="1"/>
    <col min="9" max="14" width="7.8125" style="1168" customWidth="1" outlineLevel="1"/>
    <col min="15" max="15" width="7.8125" style="1168" customWidth="1"/>
    <col min="16" max="16" width="7.25" style="1168" customWidth="1"/>
    <col min="17" max="17" width="8" style="1168" customWidth="1"/>
    <col min="18" max="18" width="7.8125" style="1168" customWidth="1"/>
    <col min="19" max="19" width="8.3125" style="1168" customWidth="1"/>
    <col min="20" max="16384" width="23.25" style="1168"/>
  </cols>
  <sheetData>
    <row r="1" spans="1:17" x14ac:dyDescent="0.4">
      <c r="A1" s="1170"/>
      <c r="C1" s="1172"/>
      <c r="D1" s="1172"/>
      <c r="E1" s="1172"/>
      <c r="F1" s="1173"/>
      <c r="G1" s="1174"/>
    </row>
    <row r="2" spans="1:17" x14ac:dyDescent="0.4">
      <c r="A2" s="1175" t="s">
        <v>758</v>
      </c>
      <c r="B2" s="1176" t="s">
        <v>759</v>
      </c>
      <c r="C2" s="1082" t="s">
        <v>529</v>
      </c>
      <c r="D2" s="1082" t="s">
        <v>530</v>
      </c>
      <c r="E2" s="1082" t="s">
        <v>807</v>
      </c>
      <c r="F2" s="1082" t="s">
        <v>523</v>
      </c>
      <c r="G2" s="1082" t="s">
        <v>531</v>
      </c>
      <c r="H2" s="1082" t="s">
        <v>578</v>
      </c>
      <c r="I2" s="1178" t="s">
        <v>324</v>
      </c>
      <c r="J2" s="1178" t="s">
        <v>325</v>
      </c>
      <c r="K2" s="1178" t="s">
        <v>326</v>
      </c>
      <c r="L2" s="1178" t="s">
        <v>420</v>
      </c>
      <c r="M2" s="1178" t="s">
        <v>421</v>
      </c>
      <c r="N2" s="1178" t="s">
        <v>422</v>
      </c>
    </row>
    <row r="3" spans="1:17" s="1171" customFormat="1" ht="15" customHeight="1" x14ac:dyDescent="0.4">
      <c r="C3" s="1179"/>
      <c r="D3" s="1179"/>
      <c r="G3" s="1180"/>
    </row>
    <row r="4" spans="1:17" x14ac:dyDescent="0.4">
      <c r="A4" s="1402" t="s">
        <v>423</v>
      </c>
      <c r="B4" s="1183" t="s">
        <v>532</v>
      </c>
      <c r="C4" s="1184" t="e">
        <f>#REF!</f>
        <v>#REF!</v>
      </c>
      <c r="D4" s="1184" t="e">
        <f>#REF!</f>
        <v>#REF!</v>
      </c>
      <c r="E4" s="1184" t="e">
        <f>#REF!</f>
        <v>#REF!</v>
      </c>
      <c r="F4" s="1184" t="e">
        <f>#REF!</f>
        <v>#REF!</v>
      </c>
      <c r="G4" s="1184" t="e">
        <f>#REF!</f>
        <v>#REF!</v>
      </c>
      <c r="H4" s="1184" t="e">
        <f>#REF!</f>
        <v>#REF!</v>
      </c>
      <c r="I4" s="1179"/>
      <c r="J4" s="1179"/>
      <c r="K4" s="1179"/>
      <c r="L4" s="1179"/>
      <c r="M4" s="1179"/>
      <c r="N4" s="1179"/>
      <c r="O4" s="252"/>
      <c r="Q4" s="1403"/>
    </row>
    <row r="5" spans="1:17" s="266" customFormat="1" x14ac:dyDescent="0.4">
      <c r="A5" s="1186" t="s">
        <v>424</v>
      </c>
      <c r="B5" s="1186" t="s">
        <v>533</v>
      </c>
      <c r="C5" s="275"/>
      <c r="D5" s="275" t="e">
        <f>D4/C4-1</f>
        <v>#REF!</v>
      </c>
      <c r="E5" s="275" t="e">
        <f>E4/D4-1</f>
        <v>#REF!</v>
      </c>
      <c r="F5" s="275" t="e">
        <f>F4/E4-1</f>
        <v>#REF!</v>
      </c>
      <c r="G5" s="275" t="e">
        <f>G4/F4-1</f>
        <v>#REF!</v>
      </c>
      <c r="H5" s="275" t="e">
        <f>H4/G4-1</f>
        <v>#REF!</v>
      </c>
      <c r="I5" s="1211"/>
      <c r="J5" s="1211"/>
      <c r="K5" s="1211"/>
      <c r="L5" s="1211"/>
      <c r="M5" s="1211"/>
      <c r="N5" s="1211"/>
    </row>
    <row r="6" spans="1:17" x14ac:dyDescent="0.4">
      <c r="C6" s="1200"/>
      <c r="D6" s="1200"/>
    </row>
    <row r="7" spans="1:17" x14ac:dyDescent="0.4">
      <c r="A7" s="1182" t="s">
        <v>425</v>
      </c>
      <c r="B7" s="1171" t="s">
        <v>536</v>
      </c>
      <c r="C7" s="1201" t="e">
        <f>#REF!</f>
        <v>#REF!</v>
      </c>
      <c r="D7" s="1201" t="e">
        <f>#REF!</f>
        <v>#REF!</v>
      </c>
      <c r="E7" s="1201" t="e">
        <f>#REF!</f>
        <v>#REF!</v>
      </c>
      <c r="F7" s="1201" t="e">
        <f>#REF!</f>
        <v>#REF!</v>
      </c>
      <c r="G7" s="1201" t="e">
        <f>#REF!</f>
        <v>#REF!</v>
      </c>
      <c r="H7" s="1201" t="e">
        <f>#REF!</f>
        <v>#REF!</v>
      </c>
      <c r="I7" s="1201"/>
      <c r="J7" s="1201"/>
      <c r="K7" s="1201"/>
      <c r="L7" s="1201"/>
      <c r="M7" s="1201"/>
      <c r="N7" s="1201"/>
    </row>
    <row r="8" spans="1:17" x14ac:dyDescent="0.4">
      <c r="A8" s="1202" t="s">
        <v>424</v>
      </c>
      <c r="B8" s="1202" t="s">
        <v>534</v>
      </c>
      <c r="C8" s="275"/>
      <c r="D8" s="275" t="e">
        <f>D7/C7-1</f>
        <v>#REF!</v>
      </c>
      <c r="E8" s="275" t="e">
        <f>E7/D7-1</f>
        <v>#REF!</v>
      </c>
      <c r="F8" s="275" t="e">
        <f>F7/E7-1</f>
        <v>#REF!</v>
      </c>
      <c r="G8" s="275" t="e">
        <f>G7/F7-1</f>
        <v>#REF!</v>
      </c>
      <c r="H8" s="275" t="e">
        <f>H7/G7-1</f>
        <v>#REF!</v>
      </c>
      <c r="I8" s="1211"/>
      <c r="J8" s="1211"/>
      <c r="K8" s="1211"/>
      <c r="L8" s="1211"/>
      <c r="M8" s="1211"/>
      <c r="N8" s="1211"/>
    </row>
    <row r="9" spans="1:17" x14ac:dyDescent="0.4">
      <c r="A9" s="1203" t="s">
        <v>426</v>
      </c>
      <c r="B9" s="1186" t="s">
        <v>535</v>
      </c>
      <c r="C9" s="275" t="e">
        <f t="shared" ref="C9:H9" si="0">C7/C4</f>
        <v>#REF!</v>
      </c>
      <c r="D9" s="275" t="e">
        <f t="shared" si="0"/>
        <v>#REF!</v>
      </c>
      <c r="E9" s="275" t="e">
        <f t="shared" si="0"/>
        <v>#REF!</v>
      </c>
      <c r="F9" s="275" t="e">
        <f t="shared" si="0"/>
        <v>#REF!</v>
      </c>
      <c r="G9" s="275" t="e">
        <f t="shared" si="0"/>
        <v>#REF!</v>
      </c>
      <c r="H9" s="275" t="e">
        <f t="shared" si="0"/>
        <v>#REF!</v>
      </c>
      <c r="I9" s="1211"/>
      <c r="J9" s="1211"/>
      <c r="K9" s="1211"/>
      <c r="L9" s="1211"/>
      <c r="M9" s="1211"/>
      <c r="N9" s="1211"/>
      <c r="O9" s="1403"/>
    </row>
    <row r="10" spans="1:17" hidden="1" outlineLevel="1" x14ac:dyDescent="0.4">
      <c r="A10" s="1182"/>
      <c r="C10" s="1168"/>
    </row>
    <row r="11" spans="1:17" collapsed="1" x14ac:dyDescent="0.4">
      <c r="C11" s="1208"/>
      <c r="D11" s="1208"/>
      <c r="E11" s="1208"/>
      <c r="F11" s="1208"/>
      <c r="G11" s="1208"/>
      <c r="H11" s="1208"/>
      <c r="I11" s="1208"/>
      <c r="J11" s="1208"/>
      <c r="K11" s="1208"/>
      <c r="L11" s="1208"/>
      <c r="M11" s="1208"/>
      <c r="N11" s="1208"/>
    </row>
    <row r="12" spans="1:17" x14ac:dyDescent="0.4">
      <c r="A12" s="1402" t="s">
        <v>748</v>
      </c>
      <c r="B12" s="1183" t="s">
        <v>537</v>
      </c>
      <c r="C12" s="1209" t="e">
        <f>#REF!</f>
        <v>#REF!</v>
      </c>
      <c r="D12" s="1209" t="e">
        <f>#REF!</f>
        <v>#REF!</v>
      </c>
      <c r="E12" s="1209" t="e">
        <f>#REF!</f>
        <v>#REF!</v>
      </c>
      <c r="F12" s="1209" t="e">
        <f>#REF!</f>
        <v>#REF!</v>
      </c>
      <c r="G12" s="1209" t="e">
        <f>#REF!</f>
        <v>#REF!</v>
      </c>
      <c r="H12" s="1209" t="e">
        <f>#REF!</f>
        <v>#REF!</v>
      </c>
      <c r="I12" s="1404"/>
      <c r="J12" s="1404"/>
      <c r="K12" s="1404"/>
      <c r="L12" s="1404"/>
      <c r="M12" s="1404"/>
      <c r="N12" s="1404"/>
    </row>
    <row r="13" spans="1:17" x14ac:dyDescent="0.4">
      <c r="A13" s="1202" t="s">
        <v>424</v>
      </c>
      <c r="B13" s="1202" t="s">
        <v>534</v>
      </c>
      <c r="C13" s="1211"/>
      <c r="D13" s="1211" t="e">
        <f>D12/C12-1</f>
        <v>#REF!</v>
      </c>
      <c r="E13" s="1211" t="e">
        <f>E12/D12-1</f>
        <v>#REF!</v>
      </c>
      <c r="F13" s="1211" t="e">
        <f>F12/E12-1</f>
        <v>#REF!</v>
      </c>
      <c r="G13" s="1211" t="e">
        <f>G12/F12-1</f>
        <v>#REF!</v>
      </c>
      <c r="H13" s="1211" t="e">
        <f>H12/G12-1</f>
        <v>#REF!</v>
      </c>
      <c r="I13" s="1211"/>
      <c r="J13" s="1211"/>
      <c r="K13" s="1211"/>
      <c r="L13" s="1211"/>
      <c r="M13" s="1211"/>
      <c r="N13" s="1211"/>
    </row>
    <row r="14" spans="1:17" x14ac:dyDescent="0.4">
      <c r="A14" s="1203" t="s">
        <v>427</v>
      </c>
      <c r="B14" s="1202" t="s">
        <v>538</v>
      </c>
      <c r="C14" s="1211" t="e">
        <f t="shared" ref="C14:H14" si="1">C12/C4</f>
        <v>#REF!</v>
      </c>
      <c r="D14" s="1211" t="e">
        <f t="shared" si="1"/>
        <v>#REF!</v>
      </c>
      <c r="E14" s="1211" t="e">
        <f t="shared" si="1"/>
        <v>#REF!</v>
      </c>
      <c r="F14" s="1211" t="e">
        <f t="shared" si="1"/>
        <v>#REF!</v>
      </c>
      <c r="G14" s="1211" t="e">
        <f t="shared" si="1"/>
        <v>#REF!</v>
      </c>
      <c r="H14" s="1211" t="e">
        <f t="shared" si="1"/>
        <v>#REF!</v>
      </c>
      <c r="I14" s="1211"/>
      <c r="J14" s="1211"/>
      <c r="K14" s="1211"/>
      <c r="L14" s="1211"/>
      <c r="M14" s="1211"/>
      <c r="N14" s="1211"/>
    </row>
    <row r="15" spans="1:17" x14ac:dyDescent="0.4">
      <c r="B15" s="1171"/>
      <c r="C15" s="1215"/>
      <c r="D15" s="1215"/>
    </row>
    <row r="16" spans="1:17" outlineLevel="1" x14ac:dyDescent="0.4">
      <c r="A16" s="1220" t="s">
        <v>754</v>
      </c>
      <c r="B16" s="1168" t="s">
        <v>611</v>
      </c>
      <c r="C16" s="1221" t="e">
        <f>#REF!</f>
        <v>#REF!</v>
      </c>
      <c r="D16" s="1221" t="e">
        <f>#REF!</f>
        <v>#REF!</v>
      </c>
      <c r="E16" s="1221" t="e">
        <f>#REF!</f>
        <v>#REF!</v>
      </c>
      <c r="F16" s="1221" t="e">
        <f>#REF!</f>
        <v>#REF!</v>
      </c>
      <c r="G16" s="1221" t="e">
        <f>#REF!</f>
        <v>#REF!</v>
      </c>
      <c r="H16" s="1221" t="e">
        <f>#REF!</f>
        <v>#REF!</v>
      </c>
      <c r="I16" s="1222"/>
      <c r="J16" s="1222"/>
      <c r="K16" s="1222"/>
      <c r="L16" s="1222"/>
      <c r="M16" s="1222"/>
      <c r="N16" s="1222"/>
    </row>
    <row r="17" spans="1:14" x14ac:dyDescent="0.4">
      <c r="A17" s="1220"/>
      <c r="B17" s="1405"/>
      <c r="C17" s="1221"/>
      <c r="D17" s="1221"/>
      <c r="E17" s="1222"/>
      <c r="F17" s="1222"/>
      <c r="G17" s="1222"/>
      <c r="H17" s="1222"/>
      <c r="I17" s="1222"/>
      <c r="J17" s="1222"/>
      <c r="K17" s="1222"/>
      <c r="L17" s="1222"/>
      <c r="M17" s="1222"/>
      <c r="N17" s="1222"/>
    </row>
    <row r="18" spans="1:14" x14ac:dyDescent="0.4">
      <c r="A18" s="1223" t="s">
        <v>307</v>
      </c>
      <c r="B18" s="1168" t="s">
        <v>753</v>
      </c>
      <c r="C18" s="1216" t="e">
        <f>#REF!</f>
        <v>#REF!</v>
      </c>
      <c r="D18" s="1216" t="e">
        <f>#REF!</f>
        <v>#REF!</v>
      </c>
      <c r="E18" s="1216" t="e">
        <f>#REF!</f>
        <v>#REF!</v>
      </c>
      <c r="F18" s="1216" t="e">
        <f>#REF!</f>
        <v>#REF!</v>
      </c>
      <c r="G18" s="1216" t="e">
        <f>#REF!</f>
        <v>#REF!</v>
      </c>
      <c r="H18" s="1216" t="e">
        <f>#REF!</f>
        <v>#REF!</v>
      </c>
      <c r="I18" s="1225"/>
      <c r="J18" s="1225"/>
      <c r="K18" s="1225"/>
      <c r="L18" s="1225"/>
      <c r="M18" s="1225"/>
      <c r="N18" s="1225"/>
    </row>
    <row r="19" spans="1:14" outlineLevel="1" x14ac:dyDescent="0.4">
      <c r="A19" s="1223"/>
      <c r="C19" s="1216"/>
      <c r="D19" s="1216"/>
      <c r="E19" s="1225"/>
      <c r="F19" s="1225"/>
      <c r="G19" s="1225"/>
      <c r="H19" s="1225"/>
      <c r="I19" s="1225"/>
      <c r="J19" s="1225"/>
      <c r="K19" s="1225"/>
      <c r="L19" s="1225"/>
      <c r="M19" s="1225"/>
      <c r="N19" s="1225"/>
    </row>
    <row r="20" spans="1:14" x14ac:dyDescent="0.4">
      <c r="A20" s="1168" t="s">
        <v>428</v>
      </c>
      <c r="B20" s="1168" t="s">
        <v>612</v>
      </c>
      <c r="C20" s="1216" t="e">
        <f>#REF!</f>
        <v>#REF!</v>
      </c>
      <c r="D20" s="1216" t="e">
        <f>#REF!</f>
        <v>#REF!</v>
      </c>
      <c r="E20" s="1216" t="e">
        <f>#REF!</f>
        <v>#REF!</v>
      </c>
      <c r="F20" s="1216" t="e">
        <f>#REF!</f>
        <v>#REF!</v>
      </c>
      <c r="G20" s="1216" t="e">
        <f>#REF!</f>
        <v>#REF!</v>
      </c>
      <c r="H20" s="1216" t="e">
        <f>#REF!</f>
        <v>#REF!</v>
      </c>
      <c r="I20" s="1216"/>
      <c r="J20" s="1216"/>
      <c r="K20" s="1216"/>
      <c r="L20" s="1216"/>
      <c r="M20" s="1216"/>
      <c r="N20" s="1216"/>
    </row>
    <row r="21" spans="1:14" x14ac:dyDescent="0.4">
      <c r="A21" s="1217" t="s">
        <v>429</v>
      </c>
      <c r="B21" s="1186" t="s">
        <v>535</v>
      </c>
      <c r="C21" s="1218" t="e">
        <f t="shared" ref="C21:H21" si="2">C20/C4</f>
        <v>#REF!</v>
      </c>
      <c r="D21" s="1218" t="e">
        <f t="shared" si="2"/>
        <v>#REF!</v>
      </c>
      <c r="E21" s="1218" t="e">
        <f t="shared" si="2"/>
        <v>#REF!</v>
      </c>
      <c r="F21" s="1218" t="e">
        <f t="shared" si="2"/>
        <v>#REF!</v>
      </c>
      <c r="G21" s="1218" t="e">
        <f t="shared" si="2"/>
        <v>#REF!</v>
      </c>
      <c r="H21" s="1218" t="e">
        <f t="shared" si="2"/>
        <v>#REF!</v>
      </c>
      <c r="I21" s="1219"/>
      <c r="J21" s="1219"/>
      <c r="K21" s="1219"/>
      <c r="L21" s="1219"/>
      <c r="M21" s="1219"/>
      <c r="N21" s="1219"/>
    </row>
    <row r="22" spans="1:14" x14ac:dyDescent="0.4">
      <c r="A22" s="1217"/>
      <c r="B22" s="1186"/>
      <c r="C22" s="1218"/>
      <c r="D22" s="1218"/>
      <c r="E22" s="1219"/>
      <c r="F22" s="1219"/>
      <c r="G22" s="1219"/>
      <c r="H22" s="1219"/>
      <c r="I22" s="1219"/>
      <c r="J22" s="1219"/>
      <c r="K22" s="1219"/>
      <c r="L22" s="1219"/>
      <c r="M22" s="1219"/>
      <c r="N22" s="1219"/>
    </row>
    <row r="23" spans="1:14" x14ac:dyDescent="0.4">
      <c r="A23" s="1223" t="s">
        <v>430</v>
      </c>
      <c r="B23" s="1168" t="s">
        <v>755</v>
      </c>
      <c r="C23" s="1216" t="e">
        <f>#REF!</f>
        <v>#REF!</v>
      </c>
      <c r="D23" s="1216" t="e">
        <f>#REF!</f>
        <v>#REF!</v>
      </c>
      <c r="E23" s="1216" t="e">
        <f>#REF!</f>
        <v>#REF!</v>
      </c>
      <c r="F23" s="1216" t="e">
        <f>#REF!</f>
        <v>#REF!</v>
      </c>
      <c r="G23" s="1216" t="e">
        <f>#REF!</f>
        <v>#REF!</v>
      </c>
      <c r="H23" s="1216" t="e">
        <f>#REF!</f>
        <v>#REF!</v>
      </c>
      <c r="I23" s="1216"/>
      <c r="J23" s="1216"/>
      <c r="K23" s="1216"/>
      <c r="L23" s="1216"/>
      <c r="M23" s="1216"/>
      <c r="N23" s="1216"/>
    </row>
    <row r="24" spans="1:14" x14ac:dyDescent="0.4">
      <c r="A24" s="1217" t="s">
        <v>431</v>
      </c>
      <c r="B24" s="1186" t="s">
        <v>535</v>
      </c>
      <c r="C24" s="1218" t="e">
        <f t="shared" ref="C24:H24" si="3">C23/C4</f>
        <v>#REF!</v>
      </c>
      <c r="D24" s="1218" t="e">
        <f t="shared" si="3"/>
        <v>#REF!</v>
      </c>
      <c r="E24" s="1218" t="e">
        <f t="shared" si="3"/>
        <v>#REF!</v>
      </c>
      <c r="F24" s="1218" t="e">
        <f t="shared" si="3"/>
        <v>#REF!</v>
      </c>
      <c r="G24" s="1218" t="e">
        <f t="shared" si="3"/>
        <v>#REF!</v>
      </c>
      <c r="H24" s="1218" t="e">
        <f t="shared" si="3"/>
        <v>#REF!</v>
      </c>
      <c r="I24" s="1219"/>
      <c r="J24" s="1219"/>
      <c r="K24" s="1219"/>
      <c r="L24" s="1219"/>
      <c r="M24" s="1219"/>
      <c r="N24" s="1219"/>
    </row>
    <row r="25" spans="1:14" x14ac:dyDescent="0.4">
      <c r="A25" s="1217"/>
      <c r="B25" s="1186"/>
      <c r="C25" s="1218"/>
      <c r="D25" s="1218"/>
      <c r="E25" s="1219"/>
      <c r="F25" s="1219"/>
      <c r="G25" s="1219"/>
      <c r="H25" s="1219"/>
      <c r="I25" s="1219"/>
      <c r="J25" s="1219"/>
      <c r="K25" s="1219"/>
      <c r="L25" s="1219"/>
      <c r="M25" s="1219"/>
      <c r="N25" s="1219"/>
    </row>
    <row r="26" spans="1:14" x14ac:dyDescent="0.4">
      <c r="A26" s="1223" t="s">
        <v>756</v>
      </c>
      <c r="B26" s="1168" t="e">
        <f>#REF!</f>
        <v>#REF!</v>
      </c>
      <c r="C26" s="1216" t="e">
        <f>#REF!</f>
        <v>#REF!</v>
      </c>
      <c r="D26" s="1216" t="e">
        <f>#REF!</f>
        <v>#REF!</v>
      </c>
      <c r="E26" s="1216" t="e">
        <f>#REF!</f>
        <v>#REF!</v>
      </c>
      <c r="F26" s="1216" t="e">
        <f>#REF!</f>
        <v>#REF!</v>
      </c>
      <c r="G26" s="1216" t="e">
        <f>#REF!</f>
        <v>#REF!</v>
      </c>
      <c r="H26" s="1216" t="e">
        <f>#REF!</f>
        <v>#REF!</v>
      </c>
      <c r="I26" s="1216"/>
      <c r="J26" s="1216"/>
      <c r="K26" s="1216"/>
      <c r="L26" s="1216"/>
      <c r="M26" s="1216"/>
      <c r="N26" s="1216"/>
    </row>
    <row r="27" spans="1:14" x14ac:dyDescent="0.4">
      <c r="A27" s="1217"/>
      <c r="B27" s="1186"/>
      <c r="C27" s="1218"/>
      <c r="D27" s="1218"/>
      <c r="E27" s="1218"/>
      <c r="F27" s="1218"/>
      <c r="G27" s="1218"/>
      <c r="H27" s="1218"/>
      <c r="I27" s="1219"/>
      <c r="J27" s="1219"/>
      <c r="K27" s="1219"/>
      <c r="L27" s="1219"/>
      <c r="M27" s="1219"/>
      <c r="N27" s="1219"/>
    </row>
    <row r="28" spans="1:14" x14ac:dyDescent="0.4">
      <c r="A28" s="1223" t="s">
        <v>240</v>
      </c>
      <c r="B28" s="1168" t="s">
        <v>308</v>
      </c>
      <c r="C28" s="1216" t="e">
        <f>#REF!</f>
        <v>#REF!</v>
      </c>
      <c r="D28" s="1216" t="e">
        <f>#REF!</f>
        <v>#REF!</v>
      </c>
      <c r="E28" s="1216" t="e">
        <f>#REF!</f>
        <v>#REF!</v>
      </c>
      <c r="F28" s="1216" t="e">
        <f>#REF!</f>
        <v>#REF!</v>
      </c>
      <c r="G28" s="1216" t="e">
        <f>#REF!</f>
        <v>#REF!</v>
      </c>
      <c r="H28" s="1216" t="e">
        <f>#REF!</f>
        <v>#REF!</v>
      </c>
      <c r="I28" s="1225"/>
      <c r="J28" s="1225"/>
      <c r="K28" s="1225"/>
      <c r="L28" s="1225"/>
      <c r="M28" s="1225"/>
      <c r="N28" s="1225"/>
    </row>
    <row r="29" spans="1:14" x14ac:dyDescent="0.4">
      <c r="A29" s="1217" t="s">
        <v>320</v>
      </c>
      <c r="B29" s="1186" t="s">
        <v>535</v>
      </c>
      <c r="C29" s="275" t="e">
        <f>#REF!</f>
        <v>#REF!</v>
      </c>
      <c r="D29" s="275" t="e">
        <f>#REF!</f>
        <v>#REF!</v>
      </c>
      <c r="E29" s="275" t="e">
        <f>#REF!</f>
        <v>#REF!</v>
      </c>
      <c r="F29" s="275" t="e">
        <f>#REF!</f>
        <v>#REF!</v>
      </c>
      <c r="G29" s="275" t="e">
        <f>#REF!</f>
        <v>#REF!</v>
      </c>
      <c r="H29" s="275" t="e">
        <f>#REF!</f>
        <v>#REF!</v>
      </c>
      <c r="I29" s="1225"/>
      <c r="J29" s="1225"/>
      <c r="K29" s="1225"/>
      <c r="L29" s="1225"/>
      <c r="M29" s="1225"/>
      <c r="N29" s="1225"/>
    </row>
    <row r="30" spans="1:14" hidden="1" outlineLevel="1" x14ac:dyDescent="0.4">
      <c r="A30" s="1223" t="s">
        <v>518</v>
      </c>
      <c r="B30" s="1168" t="s">
        <v>542</v>
      </c>
      <c r="C30" s="1216" t="e">
        <f>#REF!</f>
        <v>#REF!</v>
      </c>
      <c r="D30" s="1216" t="e">
        <f>#REF!</f>
        <v>#REF!</v>
      </c>
      <c r="E30" s="1216" t="e">
        <f>#REF!</f>
        <v>#REF!</v>
      </c>
      <c r="F30" s="1216" t="e">
        <f>#REF!</f>
        <v>#REF!</v>
      </c>
      <c r="G30" s="1216" t="e">
        <f>#REF!</f>
        <v>#REF!</v>
      </c>
      <c r="H30" s="1216" t="e">
        <f>#REF!</f>
        <v>#REF!</v>
      </c>
      <c r="I30" s="1225" t="e">
        <f t="shared" ref="I30:N30" si="4">H30*1.1</f>
        <v>#REF!</v>
      </c>
      <c r="J30" s="1225" t="e">
        <f t="shared" si="4"/>
        <v>#REF!</v>
      </c>
      <c r="K30" s="1225" t="e">
        <f t="shared" si="4"/>
        <v>#REF!</v>
      </c>
      <c r="L30" s="1225" t="e">
        <f t="shared" si="4"/>
        <v>#REF!</v>
      </c>
      <c r="M30" s="1225" t="e">
        <f t="shared" si="4"/>
        <v>#REF!</v>
      </c>
      <c r="N30" s="1225" t="e">
        <f t="shared" si="4"/>
        <v>#REF!</v>
      </c>
    </row>
    <row r="31" spans="1:14" collapsed="1" x14ac:dyDescent="0.4">
      <c r="A31" s="1223" t="s">
        <v>279</v>
      </c>
      <c r="B31" s="1168" t="s">
        <v>309</v>
      </c>
      <c r="C31" s="1216" t="e">
        <f>#REF!</f>
        <v>#REF!</v>
      </c>
      <c r="D31" s="1216" t="e">
        <f>#REF!</f>
        <v>#REF!</v>
      </c>
      <c r="E31" s="1216" t="e">
        <f>#REF!</f>
        <v>#REF!</v>
      </c>
      <c r="F31" s="1216" t="e">
        <f>#REF!</f>
        <v>#REF!</v>
      </c>
      <c r="G31" s="1216" t="e">
        <f>#REF!</f>
        <v>#REF!</v>
      </c>
      <c r="H31" s="1216" t="e">
        <f>#REF!</f>
        <v>#REF!</v>
      </c>
      <c r="I31" s="1225"/>
      <c r="J31" s="1225"/>
      <c r="K31" s="1225"/>
      <c r="L31" s="1225"/>
      <c r="M31" s="1225"/>
      <c r="N31" s="1225"/>
    </row>
    <row r="32" spans="1:14" x14ac:dyDescent="0.4">
      <c r="A32" s="1223"/>
      <c r="B32" s="1171"/>
      <c r="C32" s="1216"/>
      <c r="D32" s="1216"/>
      <c r="E32" s="1225"/>
      <c r="F32" s="1225"/>
      <c r="G32" s="1225"/>
      <c r="H32" s="1225"/>
      <c r="I32" s="1225"/>
      <c r="J32" s="1225"/>
      <c r="K32" s="1225"/>
      <c r="L32" s="1225"/>
      <c r="M32" s="1225"/>
      <c r="N32" s="1225"/>
    </row>
    <row r="33" spans="1:17" s="1171" customFormat="1" x14ac:dyDescent="0.4">
      <c r="A33" s="1402" t="s">
        <v>62</v>
      </c>
      <c r="B33" s="1183" t="s">
        <v>471</v>
      </c>
      <c r="C33" s="1228" t="e">
        <f>#REF!</f>
        <v>#REF!</v>
      </c>
      <c r="D33" s="1228" t="e">
        <f>#REF!</f>
        <v>#REF!</v>
      </c>
      <c r="E33" s="1228" t="e">
        <f>#REF!</f>
        <v>#REF!</v>
      </c>
      <c r="F33" s="1228" t="e">
        <f>#REF!</f>
        <v>#REF!</v>
      </c>
      <c r="G33" s="1228" t="e">
        <f>#REF!</f>
        <v>#REF!</v>
      </c>
      <c r="H33" s="1228" t="e">
        <f>#REF!</f>
        <v>#REF!</v>
      </c>
      <c r="I33" s="1228" t="e">
        <f>#REF!</f>
        <v>#REF!</v>
      </c>
      <c r="J33" s="1228" t="e">
        <f>#REF!</f>
        <v>#REF!</v>
      </c>
      <c r="K33" s="1228" t="e">
        <f>#REF!</f>
        <v>#REF!</v>
      </c>
      <c r="L33" s="1228" t="e">
        <f>#REF!</f>
        <v>#REF!</v>
      </c>
      <c r="M33" s="1228" t="e">
        <f>#REF!</f>
        <v>#REF!</v>
      </c>
      <c r="N33" s="1228" t="e">
        <f>#REF!</f>
        <v>#REF!</v>
      </c>
      <c r="O33" s="266"/>
      <c r="P33" s="266"/>
      <c r="Q33" s="266"/>
    </row>
    <row r="34" spans="1:17" x14ac:dyDescent="0.4">
      <c r="A34" s="1223" t="s">
        <v>63</v>
      </c>
      <c r="B34" s="1168" t="s">
        <v>472</v>
      </c>
      <c r="C34" s="1216" t="e">
        <f>#REF!</f>
        <v>#REF!</v>
      </c>
      <c r="D34" s="1216" t="e">
        <f>#REF!</f>
        <v>#REF!</v>
      </c>
      <c r="E34" s="1216" t="e">
        <f>#REF!</f>
        <v>#REF!</v>
      </c>
      <c r="F34" s="1216" t="e">
        <f>#REF!</f>
        <v>#REF!</v>
      </c>
      <c r="G34" s="1216" t="e">
        <f>#REF!</f>
        <v>#REF!</v>
      </c>
      <c r="H34" s="1216" t="e">
        <f>#REF!</f>
        <v>#REF!</v>
      </c>
      <c r="I34" s="1216"/>
      <c r="J34" s="1216"/>
      <c r="K34" s="1216"/>
      <c r="L34" s="1216"/>
      <c r="M34" s="1216"/>
      <c r="N34" s="1216"/>
    </row>
    <row r="35" spans="1:17" s="1229" customFormat="1" x14ac:dyDescent="0.4">
      <c r="A35" s="1203" t="s">
        <v>64</v>
      </c>
      <c r="B35" s="1186" t="s">
        <v>473</v>
      </c>
      <c r="C35" s="275" t="e">
        <f t="shared" ref="C35:H35" si="5">C34/C33</f>
        <v>#REF!</v>
      </c>
      <c r="D35" s="275" t="e">
        <f t="shared" si="5"/>
        <v>#REF!</v>
      </c>
      <c r="E35" s="275" t="e">
        <f t="shared" si="5"/>
        <v>#REF!</v>
      </c>
      <c r="F35" s="275" t="e">
        <f t="shared" si="5"/>
        <v>#REF!</v>
      </c>
      <c r="G35" s="275" t="e">
        <f t="shared" si="5"/>
        <v>#REF!</v>
      </c>
      <c r="H35" s="275" t="e">
        <f t="shared" si="5"/>
        <v>#REF!</v>
      </c>
      <c r="I35" s="1230"/>
      <c r="J35" s="1230"/>
      <c r="K35" s="1230"/>
      <c r="L35" s="1230"/>
      <c r="M35" s="1230"/>
      <c r="N35" s="1230"/>
    </row>
    <row r="36" spans="1:17" x14ac:dyDescent="0.4">
      <c r="A36" s="1223" t="s">
        <v>65</v>
      </c>
      <c r="B36" s="1186" t="s">
        <v>310</v>
      </c>
      <c r="C36" s="1216" t="e">
        <f>#REF!</f>
        <v>#REF!</v>
      </c>
      <c r="D36" s="1216" t="e">
        <f>#REF!</f>
        <v>#REF!</v>
      </c>
      <c r="E36" s="1216" t="e">
        <f>#REF!</f>
        <v>#REF!</v>
      </c>
      <c r="F36" s="1216" t="e">
        <f>#REF!</f>
        <v>#REF!</v>
      </c>
      <c r="G36" s="1216" t="e">
        <f>#REF!</f>
        <v>#REF!</v>
      </c>
      <c r="H36" s="1216" t="e">
        <f>#REF!</f>
        <v>#REF!</v>
      </c>
      <c r="I36" s="1225"/>
      <c r="J36" s="1225"/>
      <c r="K36" s="1225"/>
      <c r="L36" s="1225"/>
      <c r="M36" s="1225"/>
      <c r="N36" s="1225"/>
    </row>
    <row r="37" spans="1:17" x14ac:dyDescent="0.4">
      <c r="A37" s="1223"/>
      <c r="B37" s="1186"/>
      <c r="C37" s="261"/>
      <c r="D37" s="261"/>
      <c r="E37" s="261"/>
      <c r="F37" s="261"/>
      <c r="G37" s="261"/>
      <c r="H37" s="261"/>
      <c r="I37" s="261"/>
      <c r="J37" s="261"/>
      <c r="K37" s="261"/>
      <c r="L37" s="261"/>
      <c r="M37" s="261"/>
      <c r="N37" s="261"/>
    </row>
    <row r="38" spans="1:17" s="1171" customFormat="1" x14ac:dyDescent="0.4">
      <c r="A38" s="1402" t="s">
        <v>66</v>
      </c>
      <c r="B38" s="1183" t="s">
        <v>474</v>
      </c>
      <c r="C38" s="1228" t="e">
        <f>#REF!</f>
        <v>#REF!</v>
      </c>
      <c r="D38" s="1228" t="e">
        <f>#REF!</f>
        <v>#REF!</v>
      </c>
      <c r="E38" s="1228" t="e">
        <f>#REF!</f>
        <v>#REF!</v>
      </c>
      <c r="F38" s="1228" t="e">
        <f>#REF!</f>
        <v>#REF!</v>
      </c>
      <c r="G38" s="1228" t="e">
        <f>#REF!</f>
        <v>#REF!</v>
      </c>
      <c r="H38" s="1228" t="e">
        <f>#REF!</f>
        <v>#REF!</v>
      </c>
      <c r="I38" s="1232"/>
      <c r="J38" s="1232"/>
      <c r="K38" s="1232"/>
      <c r="L38" s="1232"/>
      <c r="M38" s="1232"/>
      <c r="N38" s="1232"/>
      <c r="O38" s="252" t="e">
        <f>(G38/E38)^(1/2)-1</f>
        <v>#REF!</v>
      </c>
      <c r="P38" s="1231"/>
    </row>
    <row r="39" spans="1:17" x14ac:dyDescent="0.4">
      <c r="A39" s="1202" t="s">
        <v>424</v>
      </c>
      <c r="B39" s="1202" t="s">
        <v>534</v>
      </c>
      <c r="C39" s="275"/>
      <c r="D39" s="275" t="e">
        <f>D38/C38-1</f>
        <v>#REF!</v>
      </c>
      <c r="E39" s="275" t="e">
        <f>E38/D38-1</f>
        <v>#REF!</v>
      </c>
      <c r="F39" s="275" t="e">
        <f>F38/E38-1</f>
        <v>#REF!</v>
      </c>
      <c r="G39" s="275" t="e">
        <f>G38/F38-1</f>
        <v>#REF!</v>
      </c>
      <c r="H39" s="275" t="e">
        <f>H38/G38-1</f>
        <v>#REF!</v>
      </c>
      <c r="I39" s="275"/>
      <c r="J39" s="275"/>
      <c r="K39" s="275"/>
      <c r="L39" s="275"/>
      <c r="M39" s="275"/>
      <c r="N39" s="275"/>
      <c r="Q39" s="1403"/>
    </row>
    <row r="40" spans="1:17" x14ac:dyDescent="0.4">
      <c r="A40" s="1203" t="s">
        <v>67</v>
      </c>
      <c r="B40" s="1186" t="s">
        <v>475</v>
      </c>
      <c r="C40" s="275" t="e">
        <f t="shared" ref="C40:H40" si="6">C38/C4</f>
        <v>#REF!</v>
      </c>
      <c r="D40" s="275" t="e">
        <f t="shared" si="6"/>
        <v>#REF!</v>
      </c>
      <c r="E40" s="275" t="e">
        <f t="shared" si="6"/>
        <v>#REF!</v>
      </c>
      <c r="F40" s="275" t="e">
        <f t="shared" si="6"/>
        <v>#REF!</v>
      </c>
      <c r="G40" s="275" t="e">
        <f t="shared" si="6"/>
        <v>#REF!</v>
      </c>
      <c r="H40" s="275" t="e">
        <f t="shared" si="6"/>
        <v>#REF!</v>
      </c>
      <c r="I40" s="275"/>
      <c r="J40" s="275"/>
      <c r="K40" s="275"/>
      <c r="L40" s="275"/>
      <c r="M40" s="275"/>
      <c r="N40" s="275"/>
      <c r="P40" s="252"/>
      <c r="Q40" s="252"/>
    </row>
    <row r="41" spans="1:17" x14ac:dyDescent="0.4">
      <c r="A41" s="1182"/>
      <c r="C41" s="1232"/>
      <c r="D41" s="1232"/>
      <c r="E41" s="1232"/>
      <c r="F41" s="1232"/>
      <c r="G41" s="1232"/>
      <c r="H41" s="1232"/>
      <c r="I41" s="1232"/>
      <c r="J41" s="1232"/>
      <c r="K41" s="1232"/>
      <c r="L41" s="1232"/>
      <c r="M41" s="1232"/>
      <c r="N41" s="1232"/>
      <c r="O41" s="1232"/>
      <c r="P41" s="1232"/>
      <c r="Q41" s="1232"/>
    </row>
    <row r="42" spans="1:17" x14ac:dyDescent="0.4">
      <c r="B42" s="1202"/>
      <c r="C42" s="275"/>
      <c r="D42" s="275"/>
      <c r="E42" s="275"/>
      <c r="F42" s="275"/>
      <c r="G42" s="275"/>
      <c r="H42" s="275"/>
      <c r="I42" s="275"/>
      <c r="J42" s="275"/>
      <c r="K42" s="275"/>
      <c r="L42" s="275"/>
      <c r="M42" s="275"/>
      <c r="N42" s="275"/>
      <c r="P42" s="252"/>
      <c r="Q42" s="252"/>
    </row>
    <row r="43" spans="1:17" x14ac:dyDescent="0.4">
      <c r="B43" s="1202"/>
      <c r="C43" s="275"/>
      <c r="D43" s="275"/>
      <c r="E43" s="275"/>
      <c r="F43" s="275"/>
      <c r="G43" s="275"/>
      <c r="H43" s="275"/>
      <c r="I43" s="275"/>
      <c r="J43" s="275"/>
      <c r="K43" s="275"/>
      <c r="L43" s="275"/>
      <c r="M43" s="275"/>
      <c r="N43" s="275"/>
      <c r="P43" s="252"/>
      <c r="Q43" s="252"/>
    </row>
    <row r="44" spans="1:17" x14ac:dyDescent="0.4">
      <c r="B44" s="1202"/>
      <c r="C44" s="275"/>
      <c r="D44" s="277"/>
      <c r="E44" s="1232"/>
      <c r="F44" s="275"/>
      <c r="G44" s="252"/>
      <c r="H44" s="252"/>
      <c r="I44" s="1227"/>
      <c r="P44" s="252"/>
      <c r="Q44" s="252"/>
    </row>
    <row r="45" spans="1:17" hidden="1" outlineLevel="1" x14ac:dyDescent="0.4">
      <c r="A45" s="1187" t="s">
        <v>68</v>
      </c>
      <c r="B45" s="1188" t="s">
        <v>69</v>
      </c>
      <c r="C45" s="1406" t="e">
        <f>#REF!</f>
        <v>#REF!</v>
      </c>
      <c r="D45" s="1406" t="e">
        <f>#REF!</f>
        <v>#REF!</v>
      </c>
      <c r="E45" s="1406" t="e">
        <f>#REF!</f>
        <v>#REF!</v>
      </c>
      <c r="F45" s="1406" t="e">
        <f>#REF!</f>
        <v>#REF!</v>
      </c>
      <c r="G45" s="1406" t="e">
        <f>#REF!</f>
        <v>#REF!</v>
      </c>
    </row>
    <row r="46" spans="1:17" hidden="1" outlineLevel="1" x14ac:dyDescent="0.4">
      <c r="A46" s="1240" t="s">
        <v>99</v>
      </c>
      <c r="B46" s="1183" t="s">
        <v>70</v>
      </c>
      <c r="C46" s="1406" t="e">
        <f>#REF!</f>
        <v>#REF!</v>
      </c>
      <c r="D46" s="1406" t="e">
        <f>#REF!</f>
        <v>#REF!</v>
      </c>
      <c r="E46" s="1406" t="e">
        <f>#REF!</f>
        <v>#REF!</v>
      </c>
      <c r="F46" s="1406" t="e">
        <f>#REF!</f>
        <v>#REF!</v>
      </c>
      <c r="G46" s="1406" t="e">
        <f>#REF!</f>
        <v>#REF!</v>
      </c>
    </row>
    <row r="47" spans="1:17" hidden="1" outlineLevel="1" x14ac:dyDescent="0.4">
      <c r="A47" s="1193" t="s">
        <v>71</v>
      </c>
      <c r="B47" s="1183" t="s">
        <v>72</v>
      </c>
      <c r="C47" s="1406" t="e">
        <f>#REF!</f>
        <v>#REF!</v>
      </c>
      <c r="D47" s="1406" t="e">
        <f>#REF!</f>
        <v>#REF!</v>
      </c>
      <c r="E47" s="1406" t="e">
        <f>#REF!</f>
        <v>#REF!</v>
      </c>
      <c r="F47" s="1406" t="e">
        <f>#REF!</f>
        <v>#REF!</v>
      </c>
      <c r="G47" s="1406" t="e">
        <f>#REF!</f>
        <v>#REF!</v>
      </c>
    </row>
    <row r="48" spans="1:17" hidden="1" outlineLevel="1" x14ac:dyDescent="0.4">
      <c r="A48" s="1193" t="s">
        <v>73</v>
      </c>
      <c r="B48" s="1183" t="s">
        <v>74</v>
      </c>
      <c r="C48" s="1406" t="e">
        <f>#REF!</f>
        <v>#REF!</v>
      </c>
      <c r="D48" s="1406" t="e">
        <f>#REF!</f>
        <v>#REF!</v>
      </c>
      <c r="E48" s="1406" t="e">
        <f>#REF!</f>
        <v>#REF!</v>
      </c>
      <c r="F48" s="1406" t="e">
        <f>#REF!</f>
        <v>#REF!</v>
      </c>
      <c r="G48" s="1406" t="e">
        <f>#REF!</f>
        <v>#REF!</v>
      </c>
    </row>
    <row r="49" spans="1:14" s="1171" customFormat="1" hidden="1" outlineLevel="1" x14ac:dyDescent="0.4">
      <c r="A49" s="1193" t="s">
        <v>75</v>
      </c>
      <c r="B49" s="1183" t="s">
        <v>76</v>
      </c>
      <c r="C49" s="1406" t="e">
        <f>#REF!</f>
        <v>#REF!</v>
      </c>
      <c r="D49" s="1406" t="e">
        <f>#REF!</f>
        <v>#REF!</v>
      </c>
      <c r="E49" s="1406" t="e">
        <f>#REF!</f>
        <v>#REF!</v>
      </c>
      <c r="F49" s="1406" t="e">
        <f>#REF!</f>
        <v>#REF!</v>
      </c>
      <c r="G49" s="1406" t="e">
        <f>#REF!</f>
        <v>#REF!</v>
      </c>
    </row>
    <row r="50" spans="1:14" hidden="1" outlineLevel="1" x14ac:dyDescent="0.4">
      <c r="A50" s="1193" t="s">
        <v>77</v>
      </c>
      <c r="B50" s="1183" t="s">
        <v>78</v>
      </c>
      <c r="C50" s="1406" t="e">
        <f>#REF!</f>
        <v>#REF!</v>
      </c>
      <c r="D50" s="1406" t="e">
        <f>#REF!</f>
        <v>#REF!</v>
      </c>
      <c r="E50" s="1406" t="e">
        <f>#REF!</f>
        <v>#REF!</v>
      </c>
      <c r="F50" s="1406" t="e">
        <f>#REF!</f>
        <v>#REF!</v>
      </c>
      <c r="G50" s="1406" t="e">
        <f>#REF!</f>
        <v>#REF!</v>
      </c>
    </row>
    <row r="51" spans="1:14" s="1171" customFormat="1" hidden="1" outlineLevel="1" x14ac:dyDescent="0.4">
      <c r="A51" s="1252" t="s">
        <v>79</v>
      </c>
      <c r="B51" s="1183" t="s">
        <v>79</v>
      </c>
      <c r="C51" s="1406" t="e">
        <f>#REF!</f>
        <v>#REF!</v>
      </c>
      <c r="D51" s="1406" t="e">
        <f>#REF!</f>
        <v>#REF!</v>
      </c>
      <c r="E51" s="1406" t="e">
        <f>#REF!</f>
        <v>#REF!</v>
      </c>
      <c r="F51" s="1406" t="e">
        <f>#REF!</f>
        <v>#REF!</v>
      </c>
      <c r="G51" s="1406" t="e">
        <f>#REF!</f>
        <v>#REF!</v>
      </c>
    </row>
    <row r="52" spans="1:14" s="1171" customFormat="1" hidden="1" outlineLevel="1" x14ac:dyDescent="0.4">
      <c r="A52" s="1193" t="s">
        <v>80</v>
      </c>
      <c r="B52" s="1183" t="s">
        <v>81</v>
      </c>
      <c r="C52" s="1406" t="e">
        <f>#REF!</f>
        <v>#REF!</v>
      </c>
      <c r="D52" s="1406" t="e">
        <f>#REF!</f>
        <v>#REF!</v>
      </c>
      <c r="E52" s="1406" t="e">
        <f>#REF!</f>
        <v>#REF!</v>
      </c>
      <c r="F52" s="1406" t="e">
        <f>#REF!</f>
        <v>#REF!</v>
      </c>
      <c r="G52" s="1406" t="e">
        <f>#REF!</f>
        <v>#REF!</v>
      </c>
    </row>
    <row r="53" spans="1:14" s="1171" customFormat="1" hidden="1" outlineLevel="1" x14ac:dyDescent="0.4">
      <c r="A53" s="1193"/>
      <c r="B53" s="1183" t="s">
        <v>12</v>
      </c>
      <c r="C53" s="1406" t="e">
        <f>#REF!</f>
        <v>#REF!</v>
      </c>
      <c r="D53" s="1406" t="e">
        <f>#REF!</f>
        <v>#REF!</v>
      </c>
      <c r="E53" s="1406" t="e">
        <f>#REF!</f>
        <v>#REF!</v>
      </c>
      <c r="F53" s="1406" t="e">
        <f>#REF!</f>
        <v>#REF!</v>
      </c>
      <c r="G53" s="1406" t="e">
        <f>#REF!</f>
        <v>#REF!</v>
      </c>
    </row>
    <row r="54" spans="1:14" s="1171" customFormat="1" hidden="1" outlineLevel="1" x14ac:dyDescent="0.4">
      <c r="A54" s="1193"/>
      <c r="B54" s="1183" t="s">
        <v>251</v>
      </c>
      <c r="C54" s="1254" t="e">
        <f>#REF!</f>
        <v>#REF!</v>
      </c>
      <c r="D54" s="1254" t="e">
        <f>#REF!</f>
        <v>#REF!</v>
      </c>
      <c r="E54" s="1254" t="e">
        <f>#REF!</f>
        <v>#REF!</v>
      </c>
      <c r="F54" s="1254" t="e">
        <f>#REF!</f>
        <v>#REF!</v>
      </c>
      <c r="G54" s="1254" t="e">
        <f>#REF!</f>
        <v>#REF!</v>
      </c>
    </row>
    <row r="55" spans="1:14" s="1171" customFormat="1" hidden="1" outlineLevel="1" x14ac:dyDescent="0.4">
      <c r="A55" s="1252" t="s">
        <v>128</v>
      </c>
      <c r="B55" s="1183" t="s">
        <v>128</v>
      </c>
      <c r="C55" s="1406" t="e">
        <f>#REF!</f>
        <v>#REF!</v>
      </c>
      <c r="D55" s="1406" t="e">
        <f>#REF!</f>
        <v>#REF!</v>
      </c>
      <c r="E55" s="1406" t="e">
        <f>#REF!</f>
        <v>#REF!</v>
      </c>
      <c r="F55" s="1406" t="e">
        <f>#REF!</f>
        <v>#REF!</v>
      </c>
      <c r="G55" s="1406" t="e">
        <f>#REF!</f>
        <v>#REF!</v>
      </c>
      <c r="H55" s="1261"/>
      <c r="I55" s="1261"/>
      <c r="J55" s="1261"/>
    </row>
    <row r="56" spans="1:14" s="1171" customFormat="1" hidden="1" outlineLevel="1" x14ac:dyDescent="0.4">
      <c r="A56" s="1252" t="s">
        <v>82</v>
      </c>
      <c r="B56" s="1183" t="s">
        <v>83</v>
      </c>
      <c r="C56" s="1254" t="e">
        <f>#REF!</f>
        <v>#REF!</v>
      </c>
      <c r="D56" s="1254" t="e">
        <f>#REF!</f>
        <v>#REF!</v>
      </c>
      <c r="E56" s="1254" t="e">
        <f>#REF!</f>
        <v>#REF!</v>
      </c>
      <c r="F56" s="1254" t="e">
        <f>#REF!</f>
        <v>#REF!</v>
      </c>
      <c r="G56" s="1254" t="e">
        <f>#REF!</f>
        <v>#REF!</v>
      </c>
    </row>
    <row r="57" spans="1:14" s="1171" customFormat="1" hidden="1" outlineLevel="1" x14ac:dyDescent="0.4">
      <c r="A57" s="1252" t="s">
        <v>84</v>
      </c>
      <c r="B57" s="1183" t="s">
        <v>84</v>
      </c>
      <c r="C57" s="1406" t="e">
        <f>#REF!</f>
        <v>#REF!</v>
      </c>
      <c r="D57" s="1406" t="e">
        <f>#REF!</f>
        <v>#REF!</v>
      </c>
      <c r="E57" s="1406" t="e">
        <f>#REF!</f>
        <v>#REF!</v>
      </c>
      <c r="F57" s="1406" t="e">
        <f>#REF!</f>
        <v>#REF!</v>
      </c>
      <c r="G57" s="1406" t="e">
        <f>#REF!</f>
        <v>#REF!</v>
      </c>
    </row>
    <row r="58" spans="1:14" hidden="1" outlineLevel="1" x14ac:dyDescent="0.4">
      <c r="A58" s="1193" t="s">
        <v>1</v>
      </c>
      <c r="B58" s="1183" t="s">
        <v>85</v>
      </c>
      <c r="C58" s="1254" t="e">
        <f>#REF!</f>
        <v>#REF!</v>
      </c>
      <c r="D58" s="1254" t="e">
        <f>#REF!</f>
        <v>#REF!</v>
      </c>
      <c r="E58" s="1254" t="e">
        <f>#REF!</f>
        <v>#REF!</v>
      </c>
      <c r="F58" s="1254" t="e">
        <f>#REF!</f>
        <v>#REF!</v>
      </c>
      <c r="G58" s="1254" t="e">
        <f>#REF!</f>
        <v>#REF!</v>
      </c>
    </row>
    <row r="59" spans="1:14" hidden="1" outlineLevel="1" x14ac:dyDescent="0.4">
      <c r="A59" s="1252" t="s">
        <v>86</v>
      </c>
      <c r="B59" s="1183" t="s">
        <v>86</v>
      </c>
      <c r="C59" s="1254" t="e">
        <f>#REF!</f>
        <v>#REF!</v>
      </c>
      <c r="D59" s="1254" t="e">
        <f>#REF!</f>
        <v>#REF!</v>
      </c>
      <c r="E59" s="1254" t="e">
        <f>#REF!</f>
        <v>#REF!</v>
      </c>
      <c r="F59" s="1254" t="e">
        <f>#REF!</f>
        <v>#REF!</v>
      </c>
      <c r="G59" s="1254" t="e">
        <f>#REF!</f>
        <v>#REF!</v>
      </c>
    </row>
    <row r="60" spans="1:14" hidden="1" outlineLevel="1" x14ac:dyDescent="0.4">
      <c r="A60" s="1265" t="s">
        <v>87</v>
      </c>
      <c r="B60" s="1266" t="s">
        <v>87</v>
      </c>
      <c r="C60" s="1254" t="e">
        <f>#REF!</f>
        <v>#REF!</v>
      </c>
      <c r="D60" s="1254" t="e">
        <f>#REF!</f>
        <v>#REF!</v>
      </c>
      <c r="E60" s="1254" t="e">
        <f>#REF!</f>
        <v>#REF!</v>
      </c>
      <c r="F60" s="1254" t="e">
        <f>#REF!</f>
        <v>#REF!</v>
      </c>
      <c r="G60" s="1254" t="e">
        <f>#REF!</f>
        <v>#REF!</v>
      </c>
    </row>
    <row r="61" spans="1:14" collapsed="1" x14ac:dyDescent="0.4">
      <c r="B61" s="1171"/>
      <c r="C61" s="1270"/>
      <c r="D61" s="1270"/>
      <c r="E61" s="1270"/>
    </row>
    <row r="62" spans="1:14" x14ac:dyDescent="0.4">
      <c r="C62" s="308"/>
      <c r="D62" s="1403"/>
      <c r="E62" s="1403"/>
      <c r="F62" s="1245"/>
      <c r="G62" s="1245"/>
    </row>
    <row r="63" spans="1:14" x14ac:dyDescent="0.4">
      <c r="A63" s="1223"/>
      <c r="C63" s="1216"/>
      <c r="D63" s="1216"/>
      <c r="E63" s="261"/>
    </row>
    <row r="64" spans="1:14" s="1171" customFormat="1" x14ac:dyDescent="0.4">
      <c r="A64" s="1182"/>
      <c r="C64" s="1231"/>
      <c r="D64" s="1231"/>
      <c r="E64" s="1231"/>
      <c r="F64" s="1231"/>
      <c r="G64" s="1231"/>
      <c r="H64" s="1231"/>
      <c r="I64" s="1231"/>
      <c r="J64" s="1231"/>
      <c r="K64" s="1231"/>
      <c r="L64" s="1231"/>
      <c r="M64" s="1231"/>
      <c r="N64" s="1231"/>
    </row>
    <row r="65" spans="1:234" s="1171" customFormat="1" x14ac:dyDescent="0.4">
      <c r="A65" s="1182"/>
      <c r="C65" s="275"/>
      <c r="D65" s="275"/>
      <c r="E65" s="275"/>
      <c r="F65" s="275"/>
      <c r="G65" s="275"/>
      <c r="H65" s="275"/>
      <c r="I65" s="275"/>
      <c r="J65" s="275"/>
      <c r="K65" s="275"/>
      <c r="L65" s="275"/>
      <c r="M65" s="275"/>
      <c r="N65" s="275"/>
    </row>
    <row r="66" spans="1:234" s="1171" customFormat="1" x14ac:dyDescent="0.4">
      <c r="A66" s="1182"/>
      <c r="C66" s="275"/>
      <c r="D66" s="275"/>
      <c r="E66" s="1231"/>
      <c r="F66" s="1231"/>
      <c r="G66" s="1231"/>
      <c r="H66" s="275"/>
      <c r="I66" s="275"/>
      <c r="J66" s="275"/>
      <c r="K66" s="275"/>
      <c r="L66" s="275"/>
      <c r="M66" s="275"/>
      <c r="N66" s="275"/>
    </row>
    <row r="67" spans="1:234" s="1171" customFormat="1" x14ac:dyDescent="0.4">
      <c r="A67" s="1182"/>
      <c r="C67" s="275"/>
      <c r="D67" s="275"/>
      <c r="E67" s="275"/>
      <c r="F67" s="275"/>
      <c r="G67" s="275"/>
      <c r="H67" s="275"/>
      <c r="I67" s="275"/>
      <c r="J67" s="275"/>
      <c r="K67" s="275"/>
      <c r="L67" s="275"/>
      <c r="M67" s="275"/>
      <c r="N67" s="275"/>
    </row>
    <row r="68" spans="1:234" x14ac:dyDescent="0.4">
      <c r="A68" s="1223"/>
      <c r="E68" s="1227"/>
      <c r="F68" s="1227"/>
      <c r="G68" s="1227"/>
      <c r="H68" s="1227"/>
      <c r="I68" s="1227"/>
      <c r="J68" s="1227"/>
      <c r="K68" s="1227"/>
      <c r="L68" s="1227"/>
      <c r="M68" s="1227"/>
      <c r="N68" s="1227"/>
    </row>
    <row r="69" spans="1:234" x14ac:dyDescent="0.4">
      <c r="A69" s="1223"/>
      <c r="C69" s="1221"/>
      <c r="D69" s="1221"/>
      <c r="E69" s="1221"/>
      <c r="F69" s="1221"/>
      <c r="G69" s="1221"/>
      <c r="H69" s="1221"/>
      <c r="I69" s="1221"/>
      <c r="J69" s="1221"/>
      <c r="K69" s="1221"/>
      <c r="L69" s="1221"/>
      <c r="M69" s="1221"/>
      <c r="N69" s="1221"/>
    </row>
    <row r="70" spans="1:234" x14ac:dyDescent="0.4">
      <c r="A70" s="1223"/>
      <c r="C70" s="261"/>
      <c r="D70" s="261"/>
      <c r="E70" s="261"/>
      <c r="F70" s="261"/>
      <c r="G70" s="261"/>
      <c r="H70" s="261"/>
      <c r="I70" s="261"/>
      <c r="J70" s="261"/>
      <c r="K70" s="261"/>
      <c r="L70" s="261"/>
      <c r="M70" s="261"/>
      <c r="N70" s="261"/>
    </row>
    <row r="71" spans="1:234" x14ac:dyDescent="0.4">
      <c r="A71" s="1223"/>
      <c r="C71" s="1221"/>
      <c r="D71" s="1221"/>
      <c r="E71" s="1221"/>
      <c r="F71" s="1221"/>
      <c r="G71" s="1221"/>
      <c r="H71" s="1221"/>
      <c r="I71" s="1221"/>
      <c r="J71" s="1221"/>
      <c r="K71" s="1221"/>
      <c r="L71" s="1221"/>
      <c r="M71" s="1221"/>
      <c r="N71" s="1221"/>
    </row>
    <row r="72" spans="1:234" x14ac:dyDescent="0.4">
      <c r="A72" s="1223"/>
      <c r="C72" s="261"/>
      <c r="D72" s="261"/>
      <c r="E72" s="261"/>
      <c r="F72" s="261"/>
      <c r="G72" s="261"/>
      <c r="H72" s="261"/>
      <c r="I72" s="261"/>
      <c r="J72" s="261"/>
      <c r="K72" s="261"/>
      <c r="L72" s="261"/>
      <c r="M72" s="261"/>
      <c r="N72" s="261"/>
    </row>
    <row r="73" spans="1:234" x14ac:dyDescent="0.3">
      <c r="A73" s="1182"/>
      <c r="C73" s="1273"/>
      <c r="D73" s="1273"/>
      <c r="E73" s="1273"/>
      <c r="F73" s="1273"/>
      <c r="G73" s="1273"/>
      <c r="H73" s="1273"/>
      <c r="I73" s="1273"/>
      <c r="J73" s="1273"/>
      <c r="K73" s="1273"/>
      <c r="L73" s="1273"/>
      <c r="M73" s="1273"/>
      <c r="N73" s="1273"/>
    </row>
    <row r="74" spans="1:234" x14ac:dyDescent="0.4">
      <c r="A74" s="1223"/>
      <c r="C74" s="261"/>
      <c r="D74" s="261"/>
      <c r="E74" s="261"/>
      <c r="F74" s="261"/>
      <c r="G74" s="261"/>
      <c r="H74" s="261"/>
      <c r="I74" s="261"/>
      <c r="J74" s="261"/>
      <c r="K74" s="261"/>
      <c r="L74" s="261"/>
      <c r="M74" s="261"/>
      <c r="N74" s="261"/>
      <c r="P74" s="1227"/>
    </row>
    <row r="75" spans="1:234" x14ac:dyDescent="0.3">
      <c r="A75" s="1223"/>
      <c r="C75" s="1275"/>
      <c r="D75" s="1275"/>
      <c r="E75" s="1275"/>
      <c r="F75" s="1275"/>
      <c r="G75" s="1275"/>
      <c r="H75" s="261"/>
      <c r="I75" s="261"/>
      <c r="J75" s="261"/>
      <c r="K75" s="261"/>
      <c r="L75" s="261"/>
      <c r="M75" s="261"/>
      <c r="N75" s="261"/>
    </row>
    <row r="76" spans="1:234" x14ac:dyDescent="0.4">
      <c r="A76" s="1182"/>
      <c r="C76" s="1231"/>
      <c r="D76" s="1231"/>
      <c r="E76" s="1231"/>
      <c r="F76" s="1231"/>
      <c r="G76" s="1231"/>
    </row>
    <row r="77" spans="1:234" x14ac:dyDescent="0.3">
      <c r="C77" s="252"/>
      <c r="D77" s="252"/>
      <c r="E77" s="252"/>
      <c r="F77" s="252"/>
      <c r="G77" s="252"/>
      <c r="H77" s="1274"/>
      <c r="I77" s="1274"/>
      <c r="J77" s="1274"/>
      <c r="K77" s="1274"/>
      <c r="L77" s="1277"/>
      <c r="M77" s="1277"/>
      <c r="N77" s="1277"/>
      <c r="O77" s="1274"/>
      <c r="P77" s="1277"/>
      <c r="Q77" s="1277"/>
      <c r="R77" s="1277"/>
      <c r="S77" s="1277"/>
      <c r="T77" s="1277"/>
      <c r="U77" s="1277"/>
      <c r="V77" s="1277"/>
      <c r="W77" s="1277"/>
      <c r="X77" s="1277"/>
      <c r="Y77" s="1277"/>
      <c r="Z77" s="1277"/>
      <c r="AA77" s="1277"/>
      <c r="AB77" s="1277"/>
      <c r="AC77" s="1277"/>
      <c r="AD77" s="1277"/>
      <c r="AE77" s="1277"/>
      <c r="AF77" s="1277"/>
      <c r="AG77" s="1277"/>
      <c r="AH77" s="1277"/>
      <c r="AI77" s="1277"/>
      <c r="AJ77" s="1277"/>
      <c r="AK77" s="1277"/>
      <c r="AL77" s="1277"/>
      <c r="AM77" s="1277"/>
      <c r="AN77" s="1277"/>
      <c r="AO77" s="1277"/>
      <c r="AP77" s="1277"/>
      <c r="AQ77" s="1277"/>
      <c r="AR77" s="1277"/>
      <c r="AS77" s="1277"/>
      <c r="AT77" s="1277"/>
      <c r="AU77" s="1277"/>
      <c r="AV77" s="1277"/>
      <c r="AW77" s="1277"/>
      <c r="AX77" s="1277"/>
      <c r="AY77" s="1277"/>
      <c r="AZ77" s="1277"/>
      <c r="BA77" s="1277"/>
      <c r="BB77" s="1277"/>
      <c r="BC77" s="1277"/>
      <c r="BD77" s="1277"/>
      <c r="BE77" s="1277"/>
      <c r="BF77" s="1277"/>
      <c r="BG77" s="1277"/>
      <c r="BH77" s="1277"/>
      <c r="BI77" s="1277"/>
      <c r="BJ77" s="1277"/>
      <c r="BK77" s="1277"/>
      <c r="BL77" s="1277"/>
      <c r="BM77" s="1277"/>
      <c r="BN77" s="1277"/>
      <c r="BO77" s="1277"/>
      <c r="BP77" s="1277"/>
      <c r="BQ77" s="1277"/>
      <c r="BR77" s="1277"/>
      <c r="BS77" s="1277"/>
      <c r="BT77" s="1277"/>
      <c r="BU77" s="1277"/>
      <c r="BV77" s="1277"/>
      <c r="BW77" s="1277"/>
      <c r="BX77" s="1277"/>
      <c r="BY77" s="1277"/>
      <c r="BZ77" s="1277"/>
      <c r="CA77" s="1277"/>
      <c r="CB77" s="1277"/>
      <c r="CC77" s="1277"/>
      <c r="CD77" s="1277"/>
      <c r="CE77" s="1277"/>
      <c r="CF77" s="1277"/>
      <c r="CG77" s="1277"/>
      <c r="CH77" s="1277"/>
      <c r="CI77" s="1277"/>
      <c r="CJ77" s="1277"/>
      <c r="CK77" s="1277"/>
      <c r="CL77" s="1277"/>
      <c r="CM77" s="1277"/>
      <c r="CN77" s="1277"/>
      <c r="CO77" s="1277"/>
      <c r="CP77" s="1277"/>
      <c r="CQ77" s="1277"/>
      <c r="CR77" s="1277"/>
      <c r="CS77" s="1277"/>
      <c r="CT77" s="1277"/>
      <c r="CU77" s="1277"/>
      <c r="CV77" s="1277"/>
      <c r="CW77" s="1277"/>
      <c r="CX77" s="1277"/>
      <c r="CY77" s="1277"/>
      <c r="CZ77" s="1277"/>
      <c r="DA77" s="1277"/>
      <c r="DB77" s="1277"/>
      <c r="DC77" s="1277"/>
      <c r="DD77" s="1277"/>
      <c r="DE77" s="1277"/>
      <c r="DF77" s="1277"/>
      <c r="DG77" s="1277"/>
      <c r="DH77" s="1277"/>
      <c r="DI77" s="1277"/>
      <c r="DJ77" s="1277"/>
      <c r="DK77" s="1277"/>
      <c r="DL77" s="1277"/>
      <c r="DM77" s="1277"/>
      <c r="DN77" s="1277"/>
      <c r="DO77" s="1277"/>
      <c r="DP77" s="1277"/>
      <c r="DQ77" s="1277"/>
      <c r="DR77" s="1277"/>
      <c r="DS77" s="1277"/>
      <c r="DT77" s="1277"/>
      <c r="DU77" s="1277"/>
      <c r="DV77" s="1277"/>
      <c r="DW77" s="1277"/>
      <c r="DX77" s="1277"/>
      <c r="DY77" s="1277"/>
      <c r="DZ77" s="1277"/>
      <c r="EA77" s="1277"/>
      <c r="EB77" s="1277"/>
      <c r="EC77" s="1277"/>
      <c r="ED77" s="1277"/>
      <c r="EE77" s="1277"/>
      <c r="EF77" s="1277"/>
      <c r="EG77" s="1277"/>
      <c r="EH77" s="1277"/>
      <c r="EI77" s="1277"/>
      <c r="EJ77" s="1277"/>
      <c r="EK77" s="1277"/>
      <c r="EL77" s="1277"/>
      <c r="EM77" s="1277"/>
      <c r="EN77" s="1277"/>
      <c r="EO77" s="1277"/>
      <c r="EP77" s="1277"/>
      <c r="EQ77" s="1277"/>
      <c r="ER77" s="1277"/>
      <c r="ES77" s="1277"/>
      <c r="ET77" s="1277"/>
      <c r="EU77" s="1277"/>
      <c r="EV77" s="1277"/>
      <c r="EW77" s="1277"/>
      <c r="EX77" s="1277"/>
      <c r="EY77" s="1277"/>
      <c r="EZ77" s="1277"/>
      <c r="FA77" s="1277"/>
      <c r="FB77" s="1277"/>
      <c r="FC77" s="1277"/>
      <c r="FD77" s="1277"/>
      <c r="FE77" s="1277"/>
      <c r="FF77" s="1277"/>
      <c r="FG77" s="1277"/>
      <c r="FH77" s="1277"/>
      <c r="FI77" s="1277"/>
      <c r="FJ77" s="1277"/>
      <c r="FK77" s="1277"/>
      <c r="FL77" s="1277"/>
      <c r="FM77" s="1277"/>
      <c r="FN77" s="1277"/>
      <c r="FO77" s="1277"/>
      <c r="FP77" s="1277"/>
      <c r="FQ77" s="1277"/>
      <c r="FR77" s="1277"/>
      <c r="FS77" s="1277"/>
      <c r="FT77" s="1277"/>
      <c r="FU77" s="1277"/>
      <c r="FV77" s="1277"/>
      <c r="FW77" s="1277"/>
      <c r="FX77" s="1277"/>
      <c r="FY77" s="1277"/>
      <c r="FZ77" s="1277"/>
      <c r="GA77" s="1277"/>
      <c r="GB77" s="1277"/>
      <c r="GC77" s="1277"/>
      <c r="GD77" s="1277"/>
      <c r="GE77" s="1277"/>
      <c r="GF77" s="1277"/>
      <c r="GG77" s="1277"/>
      <c r="GH77" s="1277"/>
      <c r="GI77" s="1277"/>
      <c r="GJ77" s="1277"/>
      <c r="GK77" s="1277"/>
      <c r="GL77" s="1277"/>
      <c r="GM77" s="1277"/>
      <c r="GN77" s="1277"/>
      <c r="GO77" s="1277"/>
      <c r="GP77" s="1277"/>
      <c r="GQ77" s="1277"/>
      <c r="GR77" s="1277"/>
      <c r="GS77" s="1277"/>
      <c r="GT77" s="1277"/>
      <c r="GU77" s="1277"/>
      <c r="GV77" s="1277"/>
      <c r="GW77" s="1277"/>
      <c r="GX77" s="1277"/>
      <c r="GY77" s="1277"/>
      <c r="GZ77" s="1277"/>
      <c r="HA77" s="1277"/>
      <c r="HB77" s="1277"/>
      <c r="HC77" s="1277"/>
      <c r="HD77" s="1277"/>
      <c r="HE77" s="1277"/>
      <c r="HF77" s="1277"/>
      <c r="HG77" s="1277"/>
      <c r="HH77" s="1277"/>
      <c r="HI77" s="1277"/>
      <c r="HJ77" s="1277"/>
      <c r="HK77" s="1277"/>
      <c r="HL77" s="1277"/>
      <c r="HM77" s="1277"/>
      <c r="HN77" s="1277"/>
      <c r="HO77" s="1277"/>
      <c r="HP77" s="1277"/>
      <c r="HQ77" s="1277"/>
      <c r="HR77" s="1277"/>
      <c r="HS77" s="1277"/>
      <c r="HT77" s="1277"/>
      <c r="HU77" s="1277"/>
      <c r="HV77" s="1277"/>
      <c r="HW77" s="1277"/>
      <c r="HX77" s="1277"/>
      <c r="HY77" s="1277"/>
      <c r="HZ77" s="1277"/>
    </row>
    <row r="78" spans="1:234" x14ac:dyDescent="0.3">
      <c r="A78" s="1182"/>
      <c r="C78" s="1231"/>
      <c r="D78" s="1231"/>
      <c r="E78" s="1231"/>
      <c r="F78" s="1231"/>
      <c r="G78" s="1231"/>
      <c r="H78" s="1277"/>
      <c r="I78" s="1277"/>
      <c r="J78" s="1277"/>
      <c r="K78" s="1277"/>
      <c r="L78" s="1277"/>
      <c r="M78" s="1277"/>
      <c r="N78" s="1277"/>
      <c r="O78" s="1275"/>
      <c r="P78" s="1277"/>
      <c r="Q78" s="1277"/>
      <c r="R78" s="1277"/>
      <c r="S78" s="1277"/>
      <c r="T78" s="1277"/>
      <c r="U78" s="1277"/>
      <c r="V78" s="1277"/>
      <c r="W78" s="1277"/>
      <c r="X78" s="1277"/>
      <c r="Y78" s="1277"/>
      <c r="Z78" s="1277"/>
      <c r="AA78" s="1277"/>
      <c r="AB78" s="1277"/>
      <c r="AC78" s="1277"/>
      <c r="AD78" s="1277"/>
      <c r="AE78" s="1277"/>
      <c r="AF78" s="1277"/>
      <c r="AG78" s="1277"/>
      <c r="AH78" s="1277"/>
      <c r="AI78" s="1277"/>
      <c r="AJ78" s="1277"/>
      <c r="AK78" s="1277"/>
      <c r="AL78" s="1277"/>
      <c r="AM78" s="1277"/>
      <c r="AN78" s="1277"/>
      <c r="AO78" s="1277"/>
      <c r="AP78" s="1277"/>
      <c r="AQ78" s="1277"/>
      <c r="AR78" s="1277"/>
      <c r="AS78" s="1277"/>
      <c r="AT78" s="1277"/>
      <c r="AU78" s="1277"/>
      <c r="AV78" s="1277"/>
      <c r="AW78" s="1277"/>
      <c r="AX78" s="1277"/>
      <c r="AY78" s="1277"/>
      <c r="AZ78" s="1277"/>
      <c r="BA78" s="1277"/>
      <c r="BB78" s="1277"/>
      <c r="BC78" s="1277"/>
      <c r="BD78" s="1277"/>
      <c r="BE78" s="1277"/>
      <c r="BF78" s="1277"/>
      <c r="BG78" s="1277"/>
      <c r="BH78" s="1277"/>
      <c r="BI78" s="1277"/>
      <c r="BJ78" s="1277"/>
      <c r="BK78" s="1277"/>
      <c r="BL78" s="1277"/>
      <c r="BM78" s="1277"/>
      <c r="BN78" s="1277"/>
      <c r="BO78" s="1277"/>
      <c r="BP78" s="1277"/>
      <c r="BQ78" s="1277"/>
      <c r="BR78" s="1277"/>
      <c r="BS78" s="1277"/>
      <c r="BT78" s="1277"/>
      <c r="BU78" s="1277"/>
      <c r="BV78" s="1277"/>
      <c r="BW78" s="1277"/>
      <c r="BX78" s="1277"/>
      <c r="BY78" s="1277"/>
      <c r="BZ78" s="1277"/>
      <c r="CA78" s="1277"/>
      <c r="CB78" s="1277"/>
      <c r="CC78" s="1277"/>
      <c r="CD78" s="1277"/>
      <c r="CE78" s="1277"/>
      <c r="CF78" s="1277"/>
      <c r="CG78" s="1277"/>
      <c r="CH78" s="1277"/>
      <c r="CI78" s="1277"/>
      <c r="CJ78" s="1277"/>
      <c r="CK78" s="1277"/>
      <c r="CL78" s="1277"/>
      <c r="CM78" s="1277"/>
      <c r="CN78" s="1277"/>
      <c r="CO78" s="1277"/>
      <c r="CP78" s="1277"/>
      <c r="CQ78" s="1277"/>
      <c r="CR78" s="1277"/>
      <c r="CS78" s="1277"/>
      <c r="CT78" s="1277"/>
      <c r="CU78" s="1277"/>
      <c r="CV78" s="1277"/>
      <c r="CW78" s="1277"/>
      <c r="CX78" s="1277"/>
      <c r="CY78" s="1277"/>
      <c r="CZ78" s="1277"/>
      <c r="DA78" s="1277"/>
      <c r="DB78" s="1277"/>
      <c r="DC78" s="1277"/>
      <c r="DD78" s="1277"/>
      <c r="DE78" s="1277"/>
      <c r="DF78" s="1277"/>
      <c r="DG78" s="1277"/>
      <c r="DH78" s="1277"/>
      <c r="DI78" s="1277"/>
      <c r="DJ78" s="1277"/>
      <c r="DK78" s="1277"/>
      <c r="DL78" s="1277"/>
      <c r="DM78" s="1277"/>
      <c r="DN78" s="1277"/>
      <c r="DO78" s="1277"/>
      <c r="DP78" s="1277"/>
      <c r="DQ78" s="1277"/>
      <c r="DR78" s="1277"/>
      <c r="DS78" s="1277"/>
      <c r="DT78" s="1277"/>
      <c r="DU78" s="1277"/>
      <c r="DV78" s="1277"/>
      <c r="DW78" s="1277"/>
      <c r="DX78" s="1277"/>
      <c r="DY78" s="1277"/>
      <c r="DZ78" s="1277"/>
      <c r="EA78" s="1277"/>
      <c r="EB78" s="1277"/>
      <c r="EC78" s="1277"/>
      <c r="ED78" s="1277"/>
      <c r="EE78" s="1277"/>
      <c r="EF78" s="1277"/>
      <c r="EG78" s="1277"/>
      <c r="EH78" s="1277"/>
      <c r="EI78" s="1277"/>
      <c r="EJ78" s="1277"/>
      <c r="EK78" s="1277"/>
      <c r="EL78" s="1277"/>
      <c r="EM78" s="1277"/>
      <c r="EN78" s="1277"/>
      <c r="EO78" s="1277"/>
      <c r="EP78" s="1277"/>
      <c r="EQ78" s="1277"/>
      <c r="ER78" s="1277"/>
      <c r="ES78" s="1277"/>
      <c r="ET78" s="1277"/>
      <c r="EU78" s="1277"/>
      <c r="EV78" s="1277"/>
      <c r="EW78" s="1277"/>
      <c r="EX78" s="1277"/>
      <c r="EY78" s="1277"/>
      <c r="EZ78" s="1277"/>
      <c r="FA78" s="1277"/>
      <c r="FB78" s="1277"/>
      <c r="FC78" s="1277"/>
      <c r="FD78" s="1277"/>
      <c r="FE78" s="1277"/>
      <c r="FF78" s="1277"/>
      <c r="FG78" s="1277"/>
      <c r="FH78" s="1277"/>
      <c r="FI78" s="1277"/>
      <c r="FJ78" s="1277"/>
      <c r="FK78" s="1277"/>
      <c r="FL78" s="1277"/>
      <c r="FM78" s="1277"/>
      <c r="FN78" s="1277"/>
      <c r="FO78" s="1277"/>
      <c r="FP78" s="1277"/>
      <c r="FQ78" s="1277"/>
      <c r="FR78" s="1277"/>
      <c r="FS78" s="1277"/>
      <c r="FT78" s="1277"/>
      <c r="FU78" s="1277"/>
      <c r="FV78" s="1277"/>
      <c r="FW78" s="1277"/>
      <c r="FX78" s="1277"/>
      <c r="FY78" s="1277"/>
      <c r="FZ78" s="1277"/>
      <c r="GA78" s="1277"/>
      <c r="GB78" s="1277"/>
      <c r="GC78" s="1277"/>
      <c r="GD78" s="1277"/>
      <c r="GE78" s="1277"/>
      <c r="GF78" s="1277"/>
      <c r="GG78" s="1277"/>
      <c r="GH78" s="1277"/>
      <c r="GI78" s="1277"/>
      <c r="GJ78" s="1277"/>
      <c r="GK78" s="1277"/>
      <c r="GL78" s="1277"/>
      <c r="GM78" s="1277"/>
      <c r="GN78" s="1277"/>
      <c r="GO78" s="1277"/>
      <c r="GP78" s="1277"/>
      <c r="GQ78" s="1277"/>
      <c r="GR78" s="1277"/>
      <c r="GS78" s="1277"/>
      <c r="GT78" s="1277"/>
      <c r="GU78" s="1277"/>
      <c r="GV78" s="1277"/>
      <c r="GW78" s="1277"/>
      <c r="GX78" s="1277"/>
      <c r="GY78" s="1277"/>
      <c r="GZ78" s="1277"/>
      <c r="HA78" s="1277"/>
      <c r="HB78" s="1277"/>
      <c r="HC78" s="1277"/>
      <c r="HD78" s="1277"/>
      <c r="HE78" s="1277"/>
      <c r="HF78" s="1277"/>
      <c r="HG78" s="1277"/>
      <c r="HH78" s="1277"/>
      <c r="HI78" s="1277"/>
      <c r="HJ78" s="1277"/>
      <c r="HK78" s="1277"/>
      <c r="HL78" s="1277"/>
      <c r="HM78" s="1277"/>
      <c r="HN78" s="1277"/>
      <c r="HO78" s="1277"/>
      <c r="HP78" s="1277"/>
      <c r="HQ78" s="1277"/>
      <c r="HR78" s="1277"/>
      <c r="HS78" s="1277"/>
      <c r="HT78" s="1277"/>
      <c r="HU78" s="1277"/>
      <c r="HV78" s="1277"/>
      <c r="HW78" s="1277"/>
      <c r="HX78" s="1277"/>
      <c r="HY78" s="1277"/>
      <c r="HZ78" s="1277"/>
    </row>
    <row r="79" spans="1:234" x14ac:dyDescent="0.3">
      <c r="C79" s="1275"/>
      <c r="D79" s="1275"/>
      <c r="E79" s="1275"/>
      <c r="F79" s="1275"/>
      <c r="G79" s="1275"/>
      <c r="H79" s="1277"/>
      <c r="I79" s="1277"/>
      <c r="J79" s="1277"/>
      <c r="K79" s="1277"/>
      <c r="L79" s="1277"/>
      <c r="M79" s="1277"/>
      <c r="N79" s="1277"/>
      <c r="O79" s="1277"/>
      <c r="P79" s="1277"/>
      <c r="Q79" s="1277"/>
      <c r="R79" s="1277"/>
      <c r="S79" s="1277"/>
      <c r="T79" s="1277"/>
      <c r="U79" s="1277"/>
      <c r="V79" s="1277"/>
      <c r="W79" s="1277"/>
      <c r="X79" s="1277"/>
      <c r="Y79" s="1277"/>
      <c r="Z79" s="1277"/>
      <c r="AA79" s="1277"/>
      <c r="AB79" s="1277"/>
      <c r="AC79" s="1277"/>
      <c r="AD79" s="1277"/>
      <c r="AE79" s="1277"/>
      <c r="AF79" s="1277"/>
      <c r="AG79" s="1277"/>
      <c r="AH79" s="1277"/>
      <c r="AI79" s="1277"/>
      <c r="AJ79" s="1277"/>
      <c r="AK79" s="1277"/>
      <c r="AL79" s="1277"/>
      <c r="AM79" s="1277"/>
      <c r="AN79" s="1277"/>
      <c r="AO79" s="1277"/>
      <c r="AP79" s="1277"/>
      <c r="AQ79" s="1277"/>
      <c r="AR79" s="1277"/>
      <c r="AS79" s="1277"/>
      <c r="AT79" s="1277"/>
      <c r="AU79" s="1277"/>
      <c r="AV79" s="1277"/>
      <c r="AW79" s="1277"/>
      <c r="AX79" s="1277"/>
      <c r="AY79" s="1277"/>
      <c r="AZ79" s="1277"/>
      <c r="BA79" s="1277"/>
      <c r="BB79" s="1277"/>
      <c r="BC79" s="1277"/>
      <c r="BD79" s="1277"/>
      <c r="BE79" s="1277"/>
      <c r="BF79" s="1277"/>
      <c r="BG79" s="1277"/>
      <c r="BH79" s="1277"/>
      <c r="BI79" s="1277"/>
      <c r="BJ79" s="1277"/>
      <c r="BK79" s="1277"/>
      <c r="BL79" s="1277"/>
      <c r="BM79" s="1277"/>
      <c r="BN79" s="1277"/>
      <c r="BO79" s="1277"/>
      <c r="BP79" s="1277"/>
      <c r="BQ79" s="1277"/>
      <c r="BR79" s="1277"/>
      <c r="BS79" s="1277"/>
      <c r="BT79" s="1277"/>
      <c r="BU79" s="1277"/>
      <c r="BV79" s="1277"/>
      <c r="BW79" s="1277"/>
      <c r="BX79" s="1277"/>
      <c r="BY79" s="1277"/>
      <c r="BZ79" s="1277"/>
      <c r="CA79" s="1277"/>
      <c r="CB79" s="1277"/>
      <c r="CC79" s="1277"/>
      <c r="CD79" s="1277"/>
      <c r="CE79" s="1277"/>
      <c r="CF79" s="1277"/>
      <c r="CG79" s="1277"/>
      <c r="CH79" s="1277"/>
      <c r="CI79" s="1277"/>
      <c r="CJ79" s="1277"/>
      <c r="CK79" s="1277"/>
      <c r="CL79" s="1277"/>
      <c r="CM79" s="1277"/>
      <c r="CN79" s="1277"/>
      <c r="CO79" s="1277"/>
      <c r="CP79" s="1277"/>
      <c r="CQ79" s="1277"/>
      <c r="CR79" s="1277"/>
      <c r="CS79" s="1277"/>
      <c r="CT79" s="1277"/>
      <c r="CU79" s="1277"/>
      <c r="CV79" s="1277"/>
      <c r="CW79" s="1277"/>
      <c r="CX79" s="1277"/>
      <c r="CY79" s="1277"/>
      <c r="CZ79" s="1277"/>
      <c r="DA79" s="1277"/>
      <c r="DB79" s="1277"/>
      <c r="DC79" s="1277"/>
      <c r="DD79" s="1277"/>
      <c r="DE79" s="1277"/>
      <c r="DF79" s="1277"/>
      <c r="DG79" s="1277"/>
      <c r="DH79" s="1277"/>
      <c r="DI79" s="1277"/>
      <c r="DJ79" s="1277"/>
      <c r="DK79" s="1277"/>
      <c r="DL79" s="1277"/>
      <c r="DM79" s="1277"/>
      <c r="DN79" s="1277"/>
      <c r="DO79" s="1277"/>
      <c r="DP79" s="1277"/>
      <c r="DQ79" s="1277"/>
      <c r="DR79" s="1277"/>
      <c r="DS79" s="1277"/>
      <c r="DT79" s="1277"/>
      <c r="DU79" s="1277"/>
      <c r="DV79" s="1277"/>
      <c r="DW79" s="1277"/>
      <c r="DX79" s="1277"/>
      <c r="DY79" s="1277"/>
      <c r="DZ79" s="1277"/>
      <c r="EA79" s="1277"/>
      <c r="EB79" s="1277"/>
      <c r="EC79" s="1277"/>
      <c r="ED79" s="1277"/>
      <c r="EE79" s="1277"/>
      <c r="EF79" s="1277"/>
      <c r="EG79" s="1277"/>
      <c r="EH79" s="1277"/>
      <c r="EI79" s="1277"/>
      <c r="EJ79" s="1277"/>
      <c r="EK79" s="1277"/>
      <c r="EL79" s="1277"/>
      <c r="EM79" s="1277"/>
      <c r="EN79" s="1277"/>
      <c r="EO79" s="1277"/>
      <c r="EP79" s="1277"/>
      <c r="EQ79" s="1277"/>
      <c r="ER79" s="1277"/>
      <c r="ES79" s="1277"/>
      <c r="ET79" s="1277"/>
      <c r="EU79" s="1277"/>
      <c r="EV79" s="1277"/>
      <c r="EW79" s="1277"/>
      <c r="EX79" s="1277"/>
      <c r="EY79" s="1277"/>
      <c r="EZ79" s="1277"/>
      <c r="FA79" s="1277"/>
      <c r="FB79" s="1277"/>
      <c r="FC79" s="1277"/>
      <c r="FD79" s="1277"/>
      <c r="FE79" s="1277"/>
      <c r="FF79" s="1277"/>
      <c r="FG79" s="1277"/>
      <c r="FH79" s="1277"/>
      <c r="FI79" s="1277"/>
      <c r="FJ79" s="1277"/>
      <c r="FK79" s="1277"/>
      <c r="FL79" s="1277"/>
      <c r="FM79" s="1277"/>
      <c r="FN79" s="1277"/>
      <c r="FO79" s="1277"/>
      <c r="FP79" s="1277"/>
      <c r="FQ79" s="1277"/>
      <c r="FR79" s="1277"/>
      <c r="FS79" s="1277"/>
      <c r="FT79" s="1277"/>
      <c r="FU79" s="1277"/>
      <c r="FV79" s="1277"/>
      <c r="FW79" s="1277"/>
      <c r="FX79" s="1277"/>
      <c r="FY79" s="1277"/>
      <c r="FZ79" s="1277"/>
      <c r="GA79" s="1277"/>
      <c r="GB79" s="1277"/>
      <c r="GC79" s="1277"/>
      <c r="GD79" s="1277"/>
      <c r="GE79" s="1277"/>
      <c r="GF79" s="1277"/>
      <c r="GG79" s="1277"/>
      <c r="GH79" s="1277"/>
      <c r="GI79" s="1277"/>
      <c r="GJ79" s="1277"/>
      <c r="GK79" s="1277"/>
      <c r="GL79" s="1277"/>
      <c r="GM79" s="1277"/>
      <c r="GN79" s="1277"/>
      <c r="GO79" s="1277"/>
      <c r="GP79" s="1277"/>
      <c r="GQ79" s="1277"/>
      <c r="GR79" s="1277"/>
      <c r="GS79" s="1277"/>
      <c r="GT79" s="1277"/>
      <c r="GU79" s="1277"/>
      <c r="GV79" s="1277"/>
      <c r="GW79" s="1277"/>
      <c r="GX79" s="1277"/>
      <c r="GY79" s="1277"/>
      <c r="GZ79" s="1277"/>
      <c r="HA79" s="1277"/>
      <c r="HB79" s="1277"/>
      <c r="HC79" s="1277"/>
      <c r="HD79" s="1277"/>
      <c r="HE79" s="1277"/>
      <c r="HF79" s="1277"/>
      <c r="HG79" s="1277"/>
      <c r="HH79" s="1277"/>
      <c r="HI79" s="1277"/>
      <c r="HJ79" s="1277"/>
      <c r="HK79" s="1277"/>
      <c r="HL79" s="1277"/>
      <c r="HM79" s="1277"/>
      <c r="HN79" s="1277"/>
      <c r="HO79" s="1277"/>
      <c r="HP79" s="1277"/>
      <c r="HQ79" s="1277"/>
      <c r="HR79" s="1277"/>
      <c r="HS79" s="1277"/>
      <c r="HT79" s="1277"/>
      <c r="HU79" s="1277"/>
      <c r="HV79" s="1277"/>
      <c r="HW79" s="1277"/>
      <c r="HX79" s="1277"/>
      <c r="HY79" s="1277"/>
      <c r="HZ79" s="1277"/>
    </row>
    <row r="80" spans="1:234" x14ac:dyDescent="0.3">
      <c r="A80" s="1182"/>
      <c r="C80" s="1231"/>
      <c r="D80" s="1231"/>
      <c r="E80" s="1231"/>
      <c r="F80" s="1231"/>
      <c r="G80" s="1231"/>
      <c r="H80" s="1277"/>
      <c r="I80" s="1277"/>
      <c r="J80" s="1277"/>
      <c r="K80" s="1277"/>
      <c r="L80" s="1277"/>
      <c r="M80" s="1277"/>
      <c r="N80" s="1277"/>
      <c r="O80" s="1277"/>
      <c r="P80" s="1277"/>
      <c r="Q80" s="1277"/>
      <c r="R80" s="1277"/>
      <c r="S80" s="1277"/>
      <c r="T80" s="1277"/>
      <c r="U80" s="1277"/>
      <c r="V80" s="1277"/>
      <c r="W80" s="1277"/>
      <c r="X80" s="1277"/>
      <c r="Y80" s="1277"/>
      <c r="Z80" s="1277"/>
      <c r="AA80" s="1277"/>
      <c r="AB80" s="1277"/>
      <c r="AC80" s="1277"/>
      <c r="AD80" s="1277"/>
      <c r="AE80" s="1277"/>
      <c r="AF80" s="1277"/>
      <c r="AG80" s="1277"/>
      <c r="AH80" s="1277"/>
      <c r="AI80" s="1277"/>
      <c r="AJ80" s="1277"/>
      <c r="AK80" s="1277"/>
      <c r="AL80" s="1277"/>
      <c r="AM80" s="1277"/>
      <c r="AN80" s="1277"/>
      <c r="AO80" s="1277"/>
      <c r="AP80" s="1277"/>
      <c r="AQ80" s="1277"/>
      <c r="AR80" s="1277"/>
      <c r="AS80" s="1277"/>
      <c r="AT80" s="1277"/>
      <c r="AU80" s="1277"/>
      <c r="AV80" s="1277"/>
      <c r="AW80" s="1277"/>
      <c r="AX80" s="1277"/>
      <c r="AY80" s="1277"/>
      <c r="AZ80" s="1277"/>
      <c r="BA80" s="1277"/>
      <c r="BB80" s="1277"/>
      <c r="BC80" s="1277"/>
      <c r="BD80" s="1277"/>
      <c r="BE80" s="1277"/>
      <c r="BF80" s="1277"/>
      <c r="BG80" s="1277"/>
      <c r="BH80" s="1277"/>
      <c r="BI80" s="1277"/>
      <c r="BJ80" s="1277"/>
      <c r="BK80" s="1277"/>
      <c r="BL80" s="1277"/>
      <c r="BM80" s="1277"/>
      <c r="BN80" s="1277"/>
      <c r="BO80" s="1277"/>
      <c r="BP80" s="1277"/>
      <c r="BQ80" s="1277"/>
      <c r="BR80" s="1277"/>
      <c r="BS80" s="1277"/>
      <c r="BT80" s="1277"/>
      <c r="BU80" s="1277"/>
      <c r="BV80" s="1277"/>
      <c r="BW80" s="1277"/>
      <c r="BX80" s="1277"/>
      <c r="BY80" s="1277"/>
      <c r="BZ80" s="1277"/>
      <c r="CA80" s="1277"/>
      <c r="CB80" s="1277"/>
      <c r="CC80" s="1277"/>
      <c r="CD80" s="1277"/>
      <c r="CE80" s="1277"/>
      <c r="CF80" s="1277"/>
      <c r="CG80" s="1277"/>
      <c r="CH80" s="1277"/>
      <c r="CI80" s="1277"/>
      <c r="CJ80" s="1277"/>
      <c r="CK80" s="1277"/>
      <c r="CL80" s="1277"/>
      <c r="CM80" s="1277"/>
      <c r="CN80" s="1277"/>
      <c r="CO80" s="1277"/>
      <c r="CP80" s="1277"/>
      <c r="CQ80" s="1277"/>
      <c r="CR80" s="1277"/>
      <c r="CS80" s="1277"/>
      <c r="CT80" s="1277"/>
      <c r="CU80" s="1277"/>
      <c r="CV80" s="1277"/>
      <c r="CW80" s="1277"/>
      <c r="CX80" s="1277"/>
      <c r="CY80" s="1277"/>
      <c r="CZ80" s="1277"/>
      <c r="DA80" s="1277"/>
      <c r="DB80" s="1277"/>
      <c r="DC80" s="1277"/>
      <c r="DD80" s="1277"/>
      <c r="DE80" s="1277"/>
      <c r="DF80" s="1277"/>
      <c r="DG80" s="1277"/>
      <c r="DH80" s="1277"/>
      <c r="DI80" s="1277"/>
      <c r="DJ80" s="1277"/>
      <c r="DK80" s="1277"/>
      <c r="DL80" s="1277"/>
      <c r="DM80" s="1277"/>
      <c r="DN80" s="1277"/>
      <c r="DO80" s="1277"/>
      <c r="DP80" s="1277"/>
      <c r="DQ80" s="1277"/>
      <c r="DR80" s="1277"/>
      <c r="DS80" s="1277"/>
      <c r="DT80" s="1277"/>
      <c r="DU80" s="1277"/>
      <c r="DV80" s="1277"/>
      <c r="DW80" s="1277"/>
      <c r="DX80" s="1277"/>
      <c r="DY80" s="1277"/>
      <c r="DZ80" s="1277"/>
      <c r="EA80" s="1277"/>
      <c r="EB80" s="1277"/>
      <c r="EC80" s="1277"/>
      <c r="ED80" s="1277"/>
      <c r="EE80" s="1277"/>
      <c r="EF80" s="1277"/>
      <c r="EG80" s="1277"/>
      <c r="EH80" s="1277"/>
      <c r="EI80" s="1277"/>
      <c r="EJ80" s="1277"/>
      <c r="EK80" s="1277"/>
      <c r="EL80" s="1277"/>
      <c r="EM80" s="1277"/>
      <c r="EN80" s="1277"/>
      <c r="EO80" s="1277"/>
      <c r="EP80" s="1277"/>
      <c r="EQ80" s="1277"/>
      <c r="ER80" s="1277"/>
      <c r="ES80" s="1277"/>
      <c r="ET80" s="1277"/>
      <c r="EU80" s="1277"/>
      <c r="EV80" s="1277"/>
      <c r="EW80" s="1277"/>
      <c r="EX80" s="1277"/>
      <c r="EY80" s="1277"/>
      <c r="EZ80" s="1277"/>
      <c r="FA80" s="1277"/>
      <c r="FB80" s="1277"/>
      <c r="FC80" s="1277"/>
      <c r="FD80" s="1277"/>
      <c r="FE80" s="1277"/>
      <c r="FF80" s="1277"/>
      <c r="FG80" s="1277"/>
      <c r="FH80" s="1277"/>
      <c r="FI80" s="1277"/>
      <c r="FJ80" s="1277"/>
      <c r="FK80" s="1277"/>
      <c r="FL80" s="1277"/>
      <c r="FM80" s="1277"/>
      <c r="FN80" s="1277"/>
      <c r="FO80" s="1277"/>
      <c r="FP80" s="1277"/>
      <c r="FQ80" s="1277"/>
      <c r="FR80" s="1277"/>
      <c r="FS80" s="1277"/>
      <c r="FT80" s="1277"/>
      <c r="FU80" s="1277"/>
      <c r="FV80" s="1277"/>
      <c r="FW80" s="1277"/>
      <c r="FX80" s="1277"/>
      <c r="FY80" s="1277"/>
      <c r="FZ80" s="1277"/>
      <c r="GA80" s="1277"/>
      <c r="GB80" s="1277"/>
      <c r="GC80" s="1277"/>
      <c r="GD80" s="1277"/>
      <c r="GE80" s="1277"/>
      <c r="GF80" s="1277"/>
      <c r="GG80" s="1277"/>
      <c r="GH80" s="1277"/>
      <c r="GI80" s="1277"/>
      <c r="GJ80" s="1277"/>
      <c r="GK80" s="1277"/>
      <c r="GL80" s="1277"/>
      <c r="GM80" s="1277"/>
      <c r="GN80" s="1277"/>
      <c r="GO80" s="1277"/>
      <c r="GP80" s="1277"/>
      <c r="GQ80" s="1277"/>
      <c r="GR80" s="1277"/>
      <c r="GS80" s="1277"/>
      <c r="GT80" s="1277"/>
      <c r="GU80" s="1277"/>
      <c r="GV80" s="1277"/>
      <c r="GW80" s="1277"/>
      <c r="GX80" s="1277"/>
      <c r="GY80" s="1277"/>
      <c r="GZ80" s="1277"/>
      <c r="HA80" s="1277"/>
      <c r="HB80" s="1277"/>
      <c r="HC80" s="1277"/>
      <c r="HD80" s="1277"/>
      <c r="HE80" s="1277"/>
      <c r="HF80" s="1277"/>
      <c r="HG80" s="1277"/>
      <c r="HH80" s="1277"/>
      <c r="HI80" s="1277"/>
      <c r="HJ80" s="1277"/>
      <c r="HK80" s="1277"/>
      <c r="HL80" s="1277"/>
      <c r="HM80" s="1277"/>
      <c r="HN80" s="1277"/>
      <c r="HO80" s="1277"/>
      <c r="HP80" s="1277"/>
      <c r="HQ80" s="1277"/>
      <c r="HR80" s="1277"/>
      <c r="HS80" s="1277"/>
      <c r="HT80" s="1277"/>
      <c r="HU80" s="1277"/>
      <c r="HV80" s="1277"/>
      <c r="HW80" s="1277"/>
      <c r="HX80" s="1277"/>
      <c r="HY80" s="1277"/>
      <c r="HZ80" s="1277"/>
    </row>
    <row r="81" spans="1:234" x14ac:dyDescent="0.3">
      <c r="C81" s="261"/>
      <c r="D81" s="261"/>
      <c r="E81" s="261"/>
      <c r="F81" s="261"/>
      <c r="G81" s="261"/>
      <c r="H81" s="1275"/>
      <c r="I81" s="1275"/>
      <c r="J81" s="1275"/>
      <c r="K81" s="1275"/>
      <c r="L81" s="1275"/>
      <c r="M81" s="1275"/>
      <c r="N81" s="1275"/>
      <c r="O81" s="1277"/>
      <c r="P81" s="1277"/>
      <c r="Q81" s="1277"/>
      <c r="R81" s="1277"/>
      <c r="S81" s="1277"/>
      <c r="T81" s="1277"/>
      <c r="U81" s="1277"/>
      <c r="V81" s="1277"/>
      <c r="W81" s="1277"/>
      <c r="X81" s="1277"/>
      <c r="Y81" s="1277"/>
      <c r="Z81" s="1277"/>
      <c r="AA81" s="1277"/>
      <c r="AB81" s="1277"/>
      <c r="AC81" s="1277"/>
      <c r="AD81" s="1277"/>
      <c r="AE81" s="1277"/>
      <c r="AF81" s="1277"/>
      <c r="AG81" s="1277"/>
      <c r="AH81" s="1277"/>
      <c r="AI81" s="1277"/>
      <c r="AJ81" s="1277"/>
      <c r="AK81" s="1277"/>
      <c r="AL81" s="1277"/>
      <c r="AM81" s="1277"/>
      <c r="AN81" s="1277"/>
      <c r="AO81" s="1277"/>
      <c r="AP81" s="1277"/>
      <c r="AQ81" s="1277"/>
      <c r="AR81" s="1277"/>
      <c r="AS81" s="1277"/>
      <c r="AT81" s="1277"/>
      <c r="AU81" s="1277"/>
      <c r="AV81" s="1277"/>
      <c r="AW81" s="1277"/>
      <c r="AX81" s="1277"/>
      <c r="AY81" s="1277"/>
      <c r="AZ81" s="1277"/>
      <c r="BA81" s="1277"/>
      <c r="BB81" s="1277"/>
      <c r="BC81" s="1277"/>
      <c r="BD81" s="1277"/>
      <c r="BE81" s="1277"/>
      <c r="BF81" s="1277"/>
      <c r="BG81" s="1277"/>
      <c r="BH81" s="1277"/>
      <c r="BI81" s="1277"/>
      <c r="BJ81" s="1277"/>
      <c r="BK81" s="1277"/>
      <c r="BL81" s="1277"/>
      <c r="BM81" s="1277"/>
      <c r="BN81" s="1277"/>
      <c r="BO81" s="1277"/>
      <c r="BP81" s="1277"/>
      <c r="BQ81" s="1277"/>
      <c r="BR81" s="1277"/>
      <c r="BS81" s="1277"/>
      <c r="BT81" s="1277"/>
      <c r="BU81" s="1277"/>
      <c r="BV81" s="1277"/>
      <c r="BW81" s="1277"/>
      <c r="BX81" s="1277"/>
      <c r="BY81" s="1277"/>
      <c r="BZ81" s="1277"/>
      <c r="CA81" s="1277"/>
      <c r="CB81" s="1277"/>
      <c r="CC81" s="1277"/>
      <c r="CD81" s="1277"/>
      <c r="CE81" s="1277"/>
      <c r="CF81" s="1277"/>
      <c r="CG81" s="1277"/>
      <c r="CH81" s="1277"/>
      <c r="CI81" s="1277"/>
      <c r="CJ81" s="1277"/>
      <c r="CK81" s="1277"/>
      <c r="CL81" s="1277"/>
      <c r="CM81" s="1277"/>
      <c r="CN81" s="1277"/>
      <c r="CO81" s="1277"/>
      <c r="CP81" s="1277"/>
      <c r="CQ81" s="1277"/>
      <c r="CR81" s="1277"/>
      <c r="CS81" s="1277"/>
      <c r="CT81" s="1277"/>
      <c r="CU81" s="1277"/>
      <c r="CV81" s="1277"/>
      <c r="CW81" s="1277"/>
      <c r="CX81" s="1277"/>
      <c r="CY81" s="1277"/>
      <c r="CZ81" s="1277"/>
      <c r="DA81" s="1277"/>
      <c r="DB81" s="1277"/>
      <c r="DC81" s="1277"/>
      <c r="DD81" s="1277"/>
      <c r="DE81" s="1277"/>
      <c r="DF81" s="1277"/>
      <c r="DG81" s="1277"/>
      <c r="DH81" s="1277"/>
      <c r="DI81" s="1277"/>
      <c r="DJ81" s="1277"/>
      <c r="DK81" s="1277"/>
      <c r="DL81" s="1277"/>
      <c r="DM81" s="1277"/>
      <c r="DN81" s="1277"/>
      <c r="DO81" s="1277"/>
      <c r="DP81" s="1277"/>
      <c r="DQ81" s="1277"/>
      <c r="DR81" s="1277"/>
      <c r="DS81" s="1277"/>
      <c r="DT81" s="1277"/>
      <c r="DU81" s="1277"/>
      <c r="DV81" s="1277"/>
      <c r="DW81" s="1277"/>
      <c r="DX81" s="1277"/>
      <c r="DY81" s="1277"/>
      <c r="DZ81" s="1277"/>
      <c r="EA81" s="1277"/>
      <c r="EB81" s="1277"/>
      <c r="EC81" s="1277"/>
      <c r="ED81" s="1277"/>
      <c r="EE81" s="1277"/>
      <c r="EF81" s="1277"/>
      <c r="EG81" s="1277"/>
      <c r="EH81" s="1277"/>
      <c r="EI81" s="1277"/>
      <c r="EJ81" s="1277"/>
      <c r="EK81" s="1277"/>
      <c r="EL81" s="1277"/>
      <c r="EM81" s="1277"/>
      <c r="EN81" s="1277"/>
      <c r="EO81" s="1277"/>
      <c r="EP81" s="1277"/>
      <c r="EQ81" s="1277"/>
      <c r="ER81" s="1277"/>
      <c r="ES81" s="1277"/>
      <c r="ET81" s="1277"/>
      <c r="EU81" s="1277"/>
      <c r="EV81" s="1277"/>
      <c r="EW81" s="1277"/>
      <c r="EX81" s="1277"/>
      <c r="EY81" s="1277"/>
      <c r="EZ81" s="1277"/>
      <c r="FA81" s="1277"/>
      <c r="FB81" s="1277"/>
      <c r="FC81" s="1277"/>
      <c r="FD81" s="1277"/>
      <c r="FE81" s="1277"/>
      <c r="FF81" s="1277"/>
      <c r="FG81" s="1277"/>
      <c r="FH81" s="1277"/>
      <c r="FI81" s="1277"/>
      <c r="FJ81" s="1277"/>
      <c r="FK81" s="1277"/>
      <c r="FL81" s="1277"/>
      <c r="FM81" s="1277"/>
      <c r="FN81" s="1277"/>
      <c r="FO81" s="1277"/>
      <c r="FP81" s="1277"/>
      <c r="FQ81" s="1277"/>
      <c r="FR81" s="1277"/>
      <c r="FS81" s="1277"/>
      <c r="FT81" s="1277"/>
      <c r="FU81" s="1277"/>
      <c r="FV81" s="1277"/>
      <c r="FW81" s="1277"/>
      <c r="FX81" s="1277"/>
      <c r="FY81" s="1277"/>
      <c r="FZ81" s="1277"/>
      <c r="GA81" s="1277"/>
      <c r="GB81" s="1277"/>
      <c r="GC81" s="1277"/>
      <c r="GD81" s="1277"/>
      <c r="GE81" s="1277"/>
      <c r="GF81" s="1277"/>
      <c r="GG81" s="1277"/>
      <c r="GH81" s="1277"/>
      <c r="GI81" s="1277"/>
      <c r="GJ81" s="1277"/>
      <c r="GK81" s="1277"/>
      <c r="GL81" s="1277"/>
      <c r="GM81" s="1277"/>
      <c r="GN81" s="1277"/>
      <c r="GO81" s="1277"/>
      <c r="GP81" s="1277"/>
      <c r="GQ81" s="1277"/>
      <c r="GR81" s="1277"/>
      <c r="GS81" s="1277"/>
      <c r="GT81" s="1277"/>
      <c r="GU81" s="1277"/>
      <c r="GV81" s="1277"/>
      <c r="GW81" s="1277"/>
      <c r="GX81" s="1277"/>
      <c r="GY81" s="1277"/>
      <c r="GZ81" s="1277"/>
      <c r="HA81" s="1277"/>
      <c r="HB81" s="1277"/>
      <c r="HC81" s="1277"/>
      <c r="HD81" s="1277"/>
      <c r="HE81" s="1277"/>
      <c r="HF81" s="1277"/>
      <c r="HG81" s="1277"/>
      <c r="HH81" s="1277"/>
      <c r="HI81" s="1277"/>
      <c r="HJ81" s="1277"/>
      <c r="HK81" s="1277"/>
      <c r="HL81" s="1277"/>
      <c r="HM81" s="1277"/>
      <c r="HN81" s="1277"/>
      <c r="HO81" s="1277"/>
      <c r="HP81" s="1277"/>
      <c r="HQ81" s="1277"/>
      <c r="HR81" s="1277"/>
      <c r="HS81" s="1277"/>
      <c r="HT81" s="1277"/>
      <c r="HU81" s="1277"/>
      <c r="HV81" s="1277"/>
      <c r="HW81" s="1277"/>
      <c r="HX81" s="1277"/>
      <c r="HY81" s="1277"/>
      <c r="HZ81" s="1277"/>
    </row>
    <row r="82" spans="1:234" x14ac:dyDescent="0.4">
      <c r="A82" s="1182"/>
      <c r="C82" s="1231"/>
      <c r="D82" s="1231"/>
      <c r="E82" s="1231"/>
      <c r="F82" s="1231"/>
      <c r="G82" s="1231"/>
    </row>
    <row r="83" spans="1:234" x14ac:dyDescent="0.4">
      <c r="C83" s="261"/>
      <c r="D83" s="261"/>
      <c r="E83" s="261"/>
      <c r="F83" s="261"/>
      <c r="G83" s="261"/>
    </row>
    <row r="84" spans="1:234" x14ac:dyDescent="0.4">
      <c r="A84" s="1182"/>
      <c r="C84" s="1231"/>
      <c r="D84" s="1231"/>
      <c r="E84" s="1231"/>
      <c r="F84" s="1231"/>
      <c r="G84" s="1231"/>
      <c r="H84" s="1231"/>
      <c r="I84" s="1231"/>
      <c r="J84" s="1231"/>
      <c r="K84" s="1231"/>
      <c r="L84" s="1231"/>
      <c r="M84" s="1231"/>
      <c r="N84" s="1231"/>
    </row>
    <row r="85" spans="1:234" x14ac:dyDescent="0.4">
      <c r="C85" s="308"/>
      <c r="D85" s="308"/>
      <c r="E85" s="308"/>
      <c r="F85" s="308"/>
      <c r="G85" s="308"/>
    </row>
    <row r="86" spans="1:234" x14ac:dyDescent="0.4">
      <c r="A86" s="1182"/>
      <c r="C86" s="308"/>
      <c r="D86" s="308"/>
      <c r="E86" s="308"/>
      <c r="F86" s="308"/>
      <c r="G86" s="308"/>
    </row>
    <row r="87" spans="1:234" x14ac:dyDescent="0.4">
      <c r="A87" s="1223"/>
      <c r="C87" s="261"/>
      <c r="D87" s="261"/>
      <c r="E87" s="261"/>
      <c r="F87" s="261"/>
      <c r="G87" s="261"/>
    </row>
    <row r="88" spans="1:234" x14ac:dyDescent="0.4">
      <c r="C88" s="261"/>
      <c r="D88" s="261"/>
      <c r="E88" s="261"/>
      <c r="F88" s="261"/>
      <c r="G88" s="261"/>
      <c r="O88" s="1227"/>
      <c r="P88" s="1227"/>
      <c r="Q88" s="1227"/>
    </row>
    <row r="89" spans="1:234" x14ac:dyDescent="0.4">
      <c r="C89" s="261"/>
      <c r="D89" s="261"/>
      <c r="E89" s="261"/>
      <c r="F89" s="261"/>
      <c r="G89" s="261"/>
    </row>
    <row r="90" spans="1:234" x14ac:dyDescent="0.4">
      <c r="C90" s="261"/>
      <c r="D90" s="261"/>
      <c r="E90" s="261"/>
      <c r="F90" s="261"/>
      <c r="G90" s="261"/>
      <c r="H90" s="261"/>
      <c r="I90" s="261"/>
      <c r="J90" s="261"/>
      <c r="K90" s="261"/>
      <c r="L90" s="261"/>
      <c r="M90" s="261"/>
      <c r="N90" s="261"/>
    </row>
    <row r="91" spans="1:234" x14ac:dyDescent="0.4">
      <c r="C91" s="261"/>
      <c r="D91" s="261"/>
      <c r="E91" s="261"/>
      <c r="F91" s="261"/>
      <c r="G91" s="261"/>
    </row>
    <row r="92" spans="1:234" x14ac:dyDescent="0.4">
      <c r="C92" s="308"/>
      <c r="D92" s="308"/>
      <c r="E92" s="308"/>
      <c r="F92" s="308"/>
      <c r="G92" s="308"/>
    </row>
    <row r="93" spans="1:234" x14ac:dyDescent="0.4">
      <c r="C93" s="308"/>
      <c r="D93" s="308"/>
      <c r="E93" s="308"/>
      <c r="F93" s="308"/>
      <c r="G93" s="308"/>
    </row>
    <row r="94" spans="1:234" x14ac:dyDescent="0.4">
      <c r="A94" s="1182"/>
      <c r="B94" s="1169"/>
      <c r="C94" s="308"/>
    </row>
    <row r="95" spans="1:234" x14ac:dyDescent="0.4">
      <c r="C95" s="261"/>
      <c r="D95" s="261"/>
      <c r="E95" s="261"/>
      <c r="F95" s="261"/>
      <c r="G95" s="261"/>
    </row>
    <row r="96" spans="1:234" x14ac:dyDescent="0.4">
      <c r="C96" s="261"/>
      <c r="D96" s="261"/>
      <c r="E96" s="261"/>
      <c r="F96" s="261"/>
      <c r="G96" s="261"/>
    </row>
    <row r="97" spans="1:14" x14ac:dyDescent="0.4">
      <c r="C97" s="261"/>
      <c r="D97" s="261"/>
      <c r="E97" s="261"/>
      <c r="F97" s="261"/>
      <c r="G97" s="261"/>
    </row>
    <row r="98" spans="1:14" x14ac:dyDescent="0.4">
      <c r="C98" s="261"/>
      <c r="D98" s="261"/>
      <c r="E98" s="261"/>
      <c r="F98" s="261"/>
      <c r="G98" s="261"/>
      <c r="H98" s="261"/>
      <c r="I98" s="261"/>
      <c r="J98" s="261"/>
      <c r="K98" s="261"/>
      <c r="L98" s="261"/>
      <c r="M98" s="261"/>
      <c r="N98" s="261"/>
    </row>
    <row r="99" spans="1:14" x14ac:dyDescent="0.4">
      <c r="C99" s="261"/>
      <c r="D99" s="261"/>
      <c r="E99" s="261"/>
      <c r="F99" s="261"/>
      <c r="G99" s="261"/>
      <c r="H99" s="261"/>
      <c r="I99" s="261"/>
      <c r="J99" s="261"/>
      <c r="K99" s="261"/>
      <c r="L99" s="261"/>
      <c r="M99" s="261"/>
      <c r="N99" s="261"/>
    </row>
    <row r="100" spans="1:14" x14ac:dyDescent="0.4">
      <c r="B100" s="1280"/>
    </row>
    <row r="101" spans="1:14" x14ac:dyDescent="0.4">
      <c r="C101" s="1259"/>
      <c r="D101" s="1259"/>
      <c r="E101" s="1259"/>
      <c r="F101" s="1259"/>
    </row>
    <row r="102" spans="1:14" x14ac:dyDescent="0.4">
      <c r="C102" s="261"/>
      <c r="D102" s="261"/>
      <c r="E102" s="261"/>
      <c r="F102" s="261"/>
    </row>
    <row r="103" spans="1:14" x14ac:dyDescent="0.4">
      <c r="C103" s="261"/>
      <c r="D103" s="261"/>
      <c r="E103" s="261"/>
      <c r="F103" s="261"/>
    </row>
    <row r="104" spans="1:14" x14ac:dyDescent="0.4">
      <c r="C104" s="252"/>
      <c r="D104" s="252"/>
      <c r="E104" s="252"/>
      <c r="F104" s="252"/>
    </row>
    <row r="105" spans="1:14" x14ac:dyDescent="0.4">
      <c r="C105" s="252"/>
      <c r="D105" s="252"/>
      <c r="E105" s="252"/>
      <c r="F105" s="252"/>
    </row>
    <row r="106" spans="1:14" x14ac:dyDescent="0.4">
      <c r="C106" s="252"/>
      <c r="D106" s="252"/>
      <c r="E106" s="252"/>
      <c r="F106" s="252"/>
    </row>
    <row r="107" spans="1:14" x14ac:dyDescent="0.4">
      <c r="B107" s="1280"/>
      <c r="C107" s="1259"/>
    </row>
    <row r="108" spans="1:14" x14ac:dyDescent="0.4">
      <c r="A108" s="1182"/>
      <c r="C108" s="1179"/>
    </row>
    <row r="109" spans="1:14" x14ac:dyDescent="0.4">
      <c r="A109" s="1223"/>
      <c r="C109" s="261"/>
    </row>
    <row r="110" spans="1:14" x14ac:dyDescent="0.4">
      <c r="A110" s="1223"/>
      <c r="C110" s="261"/>
    </row>
    <row r="111" spans="1:14" x14ac:dyDescent="0.4">
      <c r="A111" s="1223"/>
    </row>
    <row r="112" spans="1:14" x14ac:dyDescent="0.4">
      <c r="A112" s="1182"/>
      <c r="C112" s="1179"/>
    </row>
    <row r="113" spans="1:3" x14ac:dyDescent="0.4">
      <c r="C113" s="261"/>
    </row>
    <row r="114" spans="1:3" x14ac:dyDescent="0.4">
      <c r="C114" s="261"/>
    </row>
    <row r="115" spans="1:3" x14ac:dyDescent="0.4">
      <c r="A115" s="1182"/>
      <c r="C115" s="1179"/>
    </row>
    <row r="116" spans="1:3" x14ac:dyDescent="0.4">
      <c r="C116" s="261"/>
    </row>
    <row r="117" spans="1:3" x14ac:dyDescent="0.4">
      <c r="C117" s="261"/>
    </row>
    <row r="118" spans="1:3" x14ac:dyDescent="0.4">
      <c r="A118" s="1182"/>
      <c r="C118" s="1179"/>
    </row>
    <row r="119" spans="1:3" x14ac:dyDescent="0.4">
      <c r="C119" s="261"/>
    </row>
    <row r="120" spans="1:3" x14ac:dyDescent="0.4">
      <c r="C120" s="261"/>
    </row>
    <row r="121" spans="1:3" x14ac:dyDescent="0.4">
      <c r="A121" s="1182"/>
      <c r="C121" s="1179"/>
    </row>
    <row r="122" spans="1:3" x14ac:dyDescent="0.4">
      <c r="C122" s="261"/>
    </row>
    <row r="123" spans="1:3" x14ac:dyDescent="0.4">
      <c r="C123" s="261"/>
    </row>
  </sheetData>
  <phoneticPr fontId="51" type="noConversion"/>
  <pageMargins left="0.74803149606299213" right="0.74803149606299213" top="0.78740157480314965" bottom="0.59055118110236227" header="0.51181102362204722" footer="0.51181102362204722"/>
  <pageSetup paperSize="9" scale="80"/>
  <headerFooter alignWithMargins="0"/>
  <drawing r:id="rId1"/>
  <legacy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indexed="10"/>
  </sheetPr>
  <dimension ref="A1:AB103"/>
  <sheetViews>
    <sheetView zoomScale="125" workbookViewId="0">
      <pane xSplit="2" ySplit="2" topLeftCell="C54" activePane="bottomRight" state="frozen"/>
      <selection pane="topRight"/>
      <selection pane="bottomLeft"/>
      <selection pane="bottomRight" activeCell="O26" sqref="O26"/>
    </sheetView>
  </sheetViews>
  <sheetFormatPr defaultColWidth="9" defaultRowHeight="10.15" outlineLevelRow="1" outlineLevelCol="1" x14ac:dyDescent="0.4"/>
  <cols>
    <col min="1" max="1" width="30.5" style="1168" customWidth="1"/>
    <col min="2" max="2" width="31.3125" style="1168" hidden="1" customWidth="1" outlineLevel="1"/>
    <col min="3" max="3" width="13.25" style="1169" customWidth="1"/>
    <col min="4" max="4" width="11.75" style="1168" customWidth="1"/>
    <col min="5" max="5" width="12.25" style="1168" customWidth="1"/>
    <col min="6" max="6" width="11.25" style="1168" customWidth="1"/>
    <col min="7" max="7" width="10.5" style="1168" customWidth="1"/>
    <col min="8" max="8" width="11.25" style="1168" customWidth="1" outlineLevel="1"/>
    <col min="9" max="11" width="8.5" style="1168" customWidth="1" outlineLevel="1"/>
    <col min="12" max="14" width="9" style="1168" outlineLevel="1"/>
    <col min="15" max="16384" width="9" style="1168"/>
  </cols>
  <sheetData>
    <row r="1" spans="1:18" s="1407" customFormat="1" x14ac:dyDescent="0.4">
      <c r="A1" s="1227" t="s">
        <v>88</v>
      </c>
      <c r="B1" s="1227"/>
      <c r="C1" s="253" t="e">
        <f>ROUND(C31-C66,1)</f>
        <v>#REF!</v>
      </c>
      <c r="D1" s="253" t="e">
        <f>ROUND(D31-D66,1)</f>
        <v>#REF!</v>
      </c>
      <c r="E1" s="253" t="e">
        <f>ROUND(E31-E66,1)</f>
        <v>#REF!</v>
      </c>
      <c r="F1" s="253" t="e">
        <f>ROUND(F31-F66,1)</f>
        <v>#REF!</v>
      </c>
      <c r="G1" s="253" t="e">
        <f>ROUND(G31-G66,1)</f>
        <v>#REF!</v>
      </c>
    </row>
    <row r="2" spans="1:18" s="1408" customFormat="1" x14ac:dyDescent="0.4">
      <c r="A2" s="1175" t="s">
        <v>758</v>
      </c>
      <c r="B2" s="1176" t="s">
        <v>759</v>
      </c>
      <c r="C2" s="1409" t="s">
        <v>495</v>
      </c>
      <c r="D2" s="1409" t="s">
        <v>525</v>
      </c>
      <c r="E2" s="1082" t="s">
        <v>807</v>
      </c>
      <c r="F2" s="1082" t="s">
        <v>523</v>
      </c>
      <c r="G2" s="1082" t="s">
        <v>441</v>
      </c>
      <c r="H2" s="1082" t="s">
        <v>578</v>
      </c>
      <c r="I2" s="1178" t="s">
        <v>579</v>
      </c>
      <c r="J2" s="1178" t="s">
        <v>580</v>
      </c>
      <c r="K2" s="1178" t="s">
        <v>581</v>
      </c>
      <c r="L2" s="1178" t="s">
        <v>582</v>
      </c>
      <c r="M2" s="1178" t="s">
        <v>583</v>
      </c>
      <c r="N2" s="1178" t="s">
        <v>584</v>
      </c>
    </row>
    <row r="3" spans="1:18" x14ac:dyDescent="0.4">
      <c r="A3" s="1182" t="s">
        <v>114</v>
      </c>
      <c r="B3" s="1171" t="s">
        <v>497</v>
      </c>
      <c r="C3" s="1270"/>
    </row>
    <row r="4" spans="1:18" x14ac:dyDescent="0.4">
      <c r="A4" s="1223" t="s">
        <v>115</v>
      </c>
      <c r="B4" s="1168" t="s">
        <v>616</v>
      </c>
      <c r="C4" s="1410" t="e">
        <f>#REF!</f>
        <v>#REF!</v>
      </c>
      <c r="D4" s="1410" t="e">
        <f>#REF!</f>
        <v>#REF!</v>
      </c>
      <c r="E4" s="1410" t="e">
        <f>#REF!</f>
        <v>#REF!</v>
      </c>
      <c r="F4" s="1410" t="e">
        <f>#REF!</f>
        <v>#REF!</v>
      </c>
      <c r="G4" s="1410" t="e">
        <f>#REF!</f>
        <v>#REF!</v>
      </c>
      <c r="H4" s="1410" t="e">
        <f>#REF!</f>
        <v>#REF!</v>
      </c>
      <c r="I4" s="1410"/>
      <c r="J4" s="1410"/>
      <c r="K4" s="1410"/>
      <c r="L4" s="1410"/>
      <c r="M4" s="1410"/>
      <c r="N4" s="1410"/>
      <c r="O4" s="1411"/>
      <c r="P4" s="1410"/>
      <c r="Q4" s="1410"/>
      <c r="R4" s="1411"/>
    </row>
    <row r="5" spans="1:18" x14ac:dyDescent="0.4">
      <c r="A5" s="1223" t="s">
        <v>453</v>
      </c>
      <c r="B5" s="1168" t="s">
        <v>617</v>
      </c>
      <c r="C5" s="1410" t="e">
        <f>#REF!</f>
        <v>#REF!</v>
      </c>
      <c r="D5" s="1410" t="e">
        <f>#REF!</f>
        <v>#REF!</v>
      </c>
      <c r="E5" s="1410" t="e">
        <f>#REF!</f>
        <v>#REF!</v>
      </c>
      <c r="F5" s="1410" t="e">
        <f>#REF!</f>
        <v>#REF!</v>
      </c>
      <c r="G5" s="1410" t="e">
        <f>#REF!</f>
        <v>#REF!</v>
      </c>
      <c r="H5" s="1410" t="e">
        <f>#REF!</f>
        <v>#REF!</v>
      </c>
      <c r="I5" s="1410"/>
      <c r="J5" s="1410"/>
      <c r="K5" s="1410"/>
      <c r="L5" s="1410"/>
      <c r="M5" s="1410"/>
      <c r="N5" s="1410"/>
      <c r="O5" s="1411"/>
      <c r="P5" s="1410"/>
      <c r="Q5" s="1410"/>
      <c r="R5" s="1411"/>
    </row>
    <row r="6" spans="1:18" x14ac:dyDescent="0.4">
      <c r="A6" s="1223" t="s">
        <v>34</v>
      </c>
      <c r="B6" s="1168" t="s">
        <v>618</v>
      </c>
      <c r="C6" s="1410" t="e">
        <f>#REF!</f>
        <v>#REF!</v>
      </c>
      <c r="D6" s="1410" t="e">
        <f>#REF!</f>
        <v>#REF!</v>
      </c>
      <c r="E6" s="1410" t="e">
        <f>#REF!</f>
        <v>#REF!</v>
      </c>
      <c r="F6" s="1410" t="e">
        <f>#REF!</f>
        <v>#REF!</v>
      </c>
      <c r="G6" s="1410" t="e">
        <f>#REF!</f>
        <v>#REF!</v>
      </c>
      <c r="H6" s="1410" t="e">
        <f>#REF!</f>
        <v>#REF!</v>
      </c>
      <c r="I6" s="1410"/>
      <c r="J6" s="1410"/>
      <c r="K6" s="1410"/>
      <c r="L6" s="1410"/>
      <c r="M6" s="1410"/>
      <c r="N6" s="1410"/>
      <c r="O6" s="1411"/>
      <c r="P6" s="1410"/>
      <c r="Q6" s="1410"/>
      <c r="R6" s="1411"/>
    </row>
    <row r="7" spans="1:18" x14ac:dyDescent="0.4">
      <c r="A7" s="1223" t="s">
        <v>35</v>
      </c>
      <c r="B7" s="1168" t="s">
        <v>619</v>
      </c>
      <c r="C7" s="1410" t="e">
        <f>#REF!</f>
        <v>#REF!</v>
      </c>
      <c r="D7" s="1410" t="e">
        <f>#REF!</f>
        <v>#REF!</v>
      </c>
      <c r="E7" s="1410" t="e">
        <f>#REF!</f>
        <v>#REF!</v>
      </c>
      <c r="F7" s="1410" t="e">
        <f>#REF!</f>
        <v>#REF!</v>
      </c>
      <c r="G7" s="1410" t="e">
        <f>#REF!</f>
        <v>#REF!</v>
      </c>
      <c r="H7" s="1410" t="e">
        <f>#REF!</f>
        <v>#REF!</v>
      </c>
      <c r="I7" s="1412"/>
      <c r="J7" s="1412"/>
      <c r="K7" s="1412"/>
      <c r="L7" s="1412"/>
      <c r="M7" s="1412"/>
      <c r="N7" s="1412"/>
      <c r="O7" s="1411"/>
    </row>
    <row r="8" spans="1:18" x14ac:dyDescent="0.4">
      <c r="A8" s="1223" t="s">
        <v>36</v>
      </c>
      <c r="B8" s="1168" t="s">
        <v>620</v>
      </c>
      <c r="C8" s="1410" t="e">
        <f>#REF!</f>
        <v>#REF!</v>
      </c>
      <c r="D8" s="1410" t="e">
        <f>#REF!</f>
        <v>#REF!</v>
      </c>
      <c r="E8" s="1410" t="e">
        <f>#REF!</f>
        <v>#REF!</v>
      </c>
      <c r="F8" s="1410" t="e">
        <f>#REF!</f>
        <v>#REF!</v>
      </c>
      <c r="G8" s="1410" t="e">
        <f>#REF!</f>
        <v>#REF!</v>
      </c>
      <c r="H8" s="1410" t="e">
        <f>#REF!</f>
        <v>#REF!</v>
      </c>
      <c r="I8" s="1410"/>
      <c r="J8" s="1410"/>
      <c r="K8" s="1410"/>
      <c r="L8" s="1410"/>
      <c r="M8" s="1410"/>
      <c r="N8" s="1410"/>
      <c r="O8" s="1411"/>
    </row>
    <row r="9" spans="1:18" hidden="1" outlineLevel="1" x14ac:dyDescent="0.4">
      <c r="A9" s="1223"/>
      <c r="C9" s="1410" t="e">
        <f>#REF!</f>
        <v>#REF!</v>
      </c>
      <c r="D9" s="1410" t="e">
        <f>#REF!</f>
        <v>#REF!</v>
      </c>
      <c r="E9" s="1410" t="e">
        <f>#REF!</f>
        <v>#REF!</v>
      </c>
      <c r="F9" s="1410" t="e">
        <f>#REF!</f>
        <v>#REF!</v>
      </c>
      <c r="G9" s="1410" t="e">
        <f>#REF!</f>
        <v>#REF!</v>
      </c>
      <c r="H9" s="1410" t="e">
        <f>#REF!</f>
        <v>#REF!</v>
      </c>
      <c r="I9" s="1410"/>
      <c r="J9" s="1410"/>
      <c r="K9" s="1410"/>
      <c r="L9" s="1410"/>
      <c r="M9" s="1410"/>
      <c r="N9" s="1410"/>
      <c r="O9" s="1411"/>
    </row>
    <row r="10" spans="1:18" hidden="1" outlineLevel="1" x14ac:dyDescent="0.4">
      <c r="A10" s="1223"/>
      <c r="C10" s="1410" t="e">
        <f>#REF!</f>
        <v>#REF!</v>
      </c>
      <c r="D10" s="1410" t="e">
        <f>#REF!</f>
        <v>#REF!</v>
      </c>
      <c r="E10" s="1410" t="e">
        <f>#REF!</f>
        <v>#REF!</v>
      </c>
      <c r="F10" s="1410" t="e">
        <f>#REF!</f>
        <v>#REF!</v>
      </c>
      <c r="G10" s="1410" t="e">
        <f>#REF!</f>
        <v>#REF!</v>
      </c>
      <c r="H10" s="1410" t="e">
        <f>#REF!</f>
        <v>#REF!</v>
      </c>
      <c r="I10" s="1410"/>
      <c r="J10" s="1410"/>
      <c r="K10" s="1410"/>
      <c r="L10" s="1410"/>
      <c r="M10" s="1410"/>
      <c r="N10" s="1410"/>
      <c r="O10" s="1411"/>
    </row>
    <row r="11" spans="1:18" collapsed="1" x14ac:dyDescent="0.4">
      <c r="A11" s="1223" t="s">
        <v>37</v>
      </c>
      <c r="B11" s="1168" t="s">
        <v>621</v>
      </c>
      <c r="C11" s="1410" t="e">
        <f>#REF!</f>
        <v>#REF!</v>
      </c>
      <c r="D11" s="1410" t="e">
        <f>#REF!</f>
        <v>#REF!</v>
      </c>
      <c r="E11" s="1410" t="e">
        <f>#REF!</f>
        <v>#REF!</v>
      </c>
      <c r="F11" s="1410" t="e">
        <f>#REF!</f>
        <v>#REF!</v>
      </c>
      <c r="G11" s="1410" t="e">
        <f>#REF!</f>
        <v>#REF!</v>
      </c>
      <c r="H11" s="1410" t="e">
        <f>#REF!</f>
        <v>#REF!</v>
      </c>
      <c r="I11" s="1410"/>
      <c r="J11" s="1410"/>
      <c r="K11" s="1410"/>
      <c r="L11" s="1410"/>
      <c r="M11" s="1410"/>
      <c r="N11" s="1410"/>
      <c r="O11" s="1411"/>
    </row>
    <row r="12" spans="1:18" x14ac:dyDescent="0.4">
      <c r="A12" s="1223" t="s">
        <v>38</v>
      </c>
      <c r="B12" s="1168" t="s">
        <v>622</v>
      </c>
      <c r="C12" s="1410" t="e">
        <f>#REF!</f>
        <v>#REF!</v>
      </c>
      <c r="D12" s="1410" t="e">
        <f>#REF!</f>
        <v>#REF!</v>
      </c>
      <c r="E12" s="1410" t="e">
        <f>#REF!</f>
        <v>#REF!</v>
      </c>
      <c r="F12" s="1410" t="e">
        <f>#REF!</f>
        <v>#REF!</v>
      </c>
      <c r="G12" s="1410" t="e">
        <f>#REF!</f>
        <v>#REF!</v>
      </c>
      <c r="H12" s="1410" t="e">
        <f>#REF!</f>
        <v>#REF!</v>
      </c>
      <c r="I12" s="1412"/>
      <c r="J12" s="1412"/>
      <c r="K12" s="1412"/>
      <c r="L12" s="1412"/>
      <c r="M12" s="1412"/>
      <c r="N12" s="1412"/>
      <c r="O12" s="1411"/>
    </row>
    <row r="13" spans="1:18" x14ac:dyDescent="0.4">
      <c r="A13" s="1223" t="s">
        <v>39</v>
      </c>
      <c r="B13" s="1168" t="s">
        <v>623</v>
      </c>
      <c r="C13" s="1410" t="e">
        <f>#REF!</f>
        <v>#REF!</v>
      </c>
      <c r="D13" s="1410" t="e">
        <f>#REF!</f>
        <v>#REF!</v>
      </c>
      <c r="E13" s="1410" t="e">
        <f>#REF!</f>
        <v>#REF!</v>
      </c>
      <c r="F13" s="1410" t="e">
        <f>#REF!</f>
        <v>#REF!</v>
      </c>
      <c r="G13" s="1410" t="e">
        <f>#REF!</f>
        <v>#REF!</v>
      </c>
      <c r="H13" s="1410" t="e">
        <f>#REF!</f>
        <v>#REF!</v>
      </c>
      <c r="I13" s="1412"/>
      <c r="J13" s="1412"/>
      <c r="K13" s="1412"/>
      <c r="L13" s="1412"/>
      <c r="M13" s="1412"/>
      <c r="N13" s="1412"/>
      <c r="O13" s="1411"/>
    </row>
    <row r="14" spans="1:18" hidden="1" outlineLevel="1" x14ac:dyDescent="0.4">
      <c r="A14" s="1223" t="s">
        <v>454</v>
      </c>
      <c r="B14" s="1168" t="e">
        <f>#REF!</f>
        <v>#REF!</v>
      </c>
      <c r="C14" s="1410" t="e">
        <f>#REF!</f>
        <v>#REF!</v>
      </c>
      <c r="D14" s="1410" t="e">
        <f>#REF!</f>
        <v>#REF!</v>
      </c>
      <c r="E14" s="1410" t="e">
        <f>#REF!</f>
        <v>#REF!</v>
      </c>
      <c r="F14" s="1410" t="e">
        <f>#REF!</f>
        <v>#REF!</v>
      </c>
      <c r="G14" s="1410" t="e">
        <f>#REF!</f>
        <v>#REF!</v>
      </c>
      <c r="H14" s="1410" t="e">
        <f>#REF!</f>
        <v>#REF!</v>
      </c>
      <c r="I14" s="1412"/>
      <c r="J14" s="1412"/>
      <c r="K14" s="1412"/>
      <c r="L14" s="1412"/>
      <c r="M14" s="1412"/>
      <c r="N14" s="1412"/>
      <c r="O14" s="1411"/>
    </row>
    <row r="15" spans="1:18" collapsed="1" x14ac:dyDescent="0.4">
      <c r="A15" s="1402" t="s">
        <v>458</v>
      </c>
      <c r="B15" s="1183" t="s">
        <v>496</v>
      </c>
      <c r="C15" s="1413" t="e">
        <f>#REF!</f>
        <v>#REF!</v>
      </c>
      <c r="D15" s="1413" t="e">
        <f>#REF!</f>
        <v>#REF!</v>
      </c>
      <c r="E15" s="1413" t="e">
        <f>#REF!</f>
        <v>#REF!</v>
      </c>
      <c r="F15" s="1413" t="e">
        <f>#REF!</f>
        <v>#REF!</v>
      </c>
      <c r="G15" s="1413" t="e">
        <f>#REF!</f>
        <v>#REF!</v>
      </c>
      <c r="H15" s="1413" t="e">
        <f>#REF!</f>
        <v>#REF!</v>
      </c>
      <c r="I15" s="1414"/>
      <c r="J15" s="1414"/>
      <c r="K15" s="1414"/>
      <c r="L15" s="1414"/>
      <c r="M15" s="1414"/>
      <c r="N15" s="1414"/>
      <c r="O15" s="1411"/>
    </row>
    <row r="16" spans="1:18" ht="12.75" x14ac:dyDescent="0.35">
      <c r="A16" s="1182" t="s">
        <v>187</v>
      </c>
      <c r="B16" s="1171" t="s">
        <v>498</v>
      </c>
      <c r="C16" s="1415"/>
      <c r="D16" s="1415"/>
      <c r="E16" s="1415"/>
      <c r="F16" s="1416"/>
      <c r="O16" s="1411"/>
    </row>
    <row r="17" spans="1:15" x14ac:dyDescent="0.4">
      <c r="A17" s="1223" t="s">
        <v>762</v>
      </c>
      <c r="B17" s="1168" t="s">
        <v>625</v>
      </c>
      <c r="C17" s="1415" t="e">
        <f>#REF!</f>
        <v>#REF!</v>
      </c>
      <c r="D17" s="1415" t="e">
        <f>#REF!</f>
        <v>#REF!</v>
      </c>
      <c r="E17" s="1415" t="e">
        <f>#REF!</f>
        <v>#REF!</v>
      </c>
      <c r="F17" s="1415" t="e">
        <f>#REF!</f>
        <v>#REF!</v>
      </c>
      <c r="G17" s="1415" t="e">
        <f>#REF!</f>
        <v>#REF!</v>
      </c>
      <c r="H17" s="1415" t="e">
        <f>#REF!</f>
        <v>#REF!</v>
      </c>
      <c r="I17" s="1417"/>
      <c r="J17" s="1417"/>
      <c r="K17" s="1417"/>
      <c r="L17" s="1417"/>
      <c r="M17" s="1417"/>
      <c r="N17" s="1417"/>
      <c r="O17" s="1411"/>
    </row>
    <row r="18" spans="1:15" x14ac:dyDescent="0.4">
      <c r="A18" s="1223" t="s">
        <v>239</v>
      </c>
      <c r="B18" s="1168" t="s">
        <v>624</v>
      </c>
      <c r="C18" s="1415" t="e">
        <f>#REF!</f>
        <v>#REF!</v>
      </c>
      <c r="D18" s="1415" t="e">
        <f>#REF!</f>
        <v>#REF!</v>
      </c>
      <c r="E18" s="1415" t="e">
        <f>#REF!</f>
        <v>#REF!</v>
      </c>
      <c r="F18" s="1415" t="e">
        <f>#REF!</f>
        <v>#REF!</v>
      </c>
      <c r="G18" s="1415" t="e">
        <f>#REF!</f>
        <v>#REF!</v>
      </c>
      <c r="H18" s="1415" t="e">
        <f>#REF!</f>
        <v>#REF!</v>
      </c>
      <c r="I18" s="1417"/>
      <c r="J18" s="1417"/>
      <c r="K18" s="1417"/>
      <c r="L18" s="1417"/>
      <c r="M18" s="1417"/>
      <c r="N18" s="1417"/>
      <c r="O18" s="1411"/>
    </row>
    <row r="19" spans="1:15" x14ac:dyDescent="0.4">
      <c r="A19" s="1223" t="s">
        <v>763</v>
      </c>
      <c r="B19" s="1168" t="s">
        <v>757</v>
      </c>
      <c r="C19" s="1415" t="e">
        <f>#REF!</f>
        <v>#REF!</v>
      </c>
      <c r="D19" s="1415" t="e">
        <f>#REF!</f>
        <v>#REF!</v>
      </c>
      <c r="E19" s="1415" t="e">
        <f>#REF!</f>
        <v>#REF!</v>
      </c>
      <c r="F19" s="1415" t="e">
        <f>#REF!</f>
        <v>#REF!</v>
      </c>
      <c r="G19" s="1415" t="e">
        <f>#REF!</f>
        <v>#REF!</v>
      </c>
      <c r="H19" s="1415" t="e">
        <f>#REF!</f>
        <v>#REF!</v>
      </c>
      <c r="I19" s="1417"/>
      <c r="J19" s="1417"/>
      <c r="K19" s="1417"/>
      <c r="L19" s="1417"/>
      <c r="M19" s="1417"/>
      <c r="N19" s="1417"/>
      <c r="O19" s="1411"/>
    </row>
    <row r="20" spans="1:15" x14ac:dyDescent="0.4">
      <c r="A20" s="1223" t="s">
        <v>764</v>
      </c>
      <c r="B20" s="1168" t="s">
        <v>760</v>
      </c>
      <c r="C20" s="1415" t="e">
        <f>#REF!</f>
        <v>#REF!</v>
      </c>
      <c r="D20" s="1415" t="e">
        <f>#REF!</f>
        <v>#REF!</v>
      </c>
      <c r="E20" s="1415" t="e">
        <f>#REF!</f>
        <v>#REF!</v>
      </c>
      <c r="F20" s="1415" t="e">
        <f>#REF!</f>
        <v>#REF!</v>
      </c>
      <c r="G20" s="1415" t="e">
        <f>#REF!</f>
        <v>#REF!</v>
      </c>
      <c r="H20" s="1415" t="e">
        <f>#REF!</f>
        <v>#REF!</v>
      </c>
      <c r="I20" s="1412"/>
      <c r="J20" s="1412"/>
      <c r="K20" s="1412"/>
      <c r="L20" s="1412"/>
      <c r="M20" s="1412"/>
      <c r="N20" s="1412"/>
      <c r="O20" s="1411"/>
    </row>
    <row r="21" spans="1:15" x14ac:dyDescent="0.4">
      <c r="A21" s="1223" t="s">
        <v>722</v>
      </c>
      <c r="B21" s="1168" t="s">
        <v>761</v>
      </c>
      <c r="C21" s="1415" t="e">
        <f>#REF!</f>
        <v>#REF!</v>
      </c>
      <c r="D21" s="1415" t="e">
        <f>#REF!</f>
        <v>#REF!</v>
      </c>
      <c r="E21" s="1415" t="e">
        <f>#REF!</f>
        <v>#REF!</v>
      </c>
      <c r="F21" s="1415" t="e">
        <f>#REF!</f>
        <v>#REF!</v>
      </c>
      <c r="G21" s="1415" t="e">
        <f>#REF!</f>
        <v>#REF!</v>
      </c>
      <c r="H21" s="1415" t="e">
        <f>#REF!</f>
        <v>#REF!</v>
      </c>
      <c r="I21" s="1410"/>
      <c r="J21" s="1410"/>
      <c r="K21" s="1410"/>
      <c r="L21" s="1410"/>
      <c r="M21" s="1410"/>
      <c r="N21" s="1410"/>
      <c r="O21" s="1411"/>
    </row>
    <row r="22" spans="1:15" x14ac:dyDescent="0.4">
      <c r="A22" s="1402" t="s">
        <v>460</v>
      </c>
      <c r="B22" s="1183" t="s">
        <v>125</v>
      </c>
      <c r="C22" s="1413" t="e">
        <f t="shared" ref="C22:H22" si="0">SUM(C20:C21)</f>
        <v>#REF!</v>
      </c>
      <c r="D22" s="1413" t="e">
        <f t="shared" si="0"/>
        <v>#REF!</v>
      </c>
      <c r="E22" s="1413" t="e">
        <f t="shared" si="0"/>
        <v>#REF!</v>
      </c>
      <c r="F22" s="1413" t="e">
        <f t="shared" si="0"/>
        <v>#REF!</v>
      </c>
      <c r="G22" s="1413" t="e">
        <f t="shared" si="0"/>
        <v>#REF!</v>
      </c>
      <c r="H22" s="1413" t="e">
        <f t="shared" si="0"/>
        <v>#REF!</v>
      </c>
      <c r="I22" s="1410"/>
      <c r="J22" s="1410"/>
      <c r="K22" s="1410"/>
      <c r="L22" s="1410"/>
      <c r="M22" s="1410"/>
      <c r="N22" s="1410"/>
      <c r="O22" s="1411"/>
    </row>
    <row r="23" spans="1:15" x14ac:dyDescent="0.4">
      <c r="A23" s="1223" t="s">
        <v>454</v>
      </c>
      <c r="B23" s="1168" t="s">
        <v>765</v>
      </c>
      <c r="C23" s="1410" t="e">
        <f>#REF!</f>
        <v>#REF!</v>
      </c>
      <c r="D23" s="1410" t="e">
        <f>#REF!</f>
        <v>#REF!</v>
      </c>
      <c r="E23" s="1410" t="e">
        <f>#REF!</f>
        <v>#REF!</v>
      </c>
      <c r="F23" s="1410" t="e">
        <f>#REF!</f>
        <v>#REF!</v>
      </c>
      <c r="G23" s="1410" t="e">
        <f>#REF!</f>
        <v>#REF!</v>
      </c>
      <c r="H23" s="1410" t="e">
        <f>#REF!</f>
        <v>#REF!</v>
      </c>
      <c r="I23" s="1410"/>
      <c r="J23" s="1410"/>
      <c r="K23" s="1410"/>
      <c r="L23" s="1410"/>
      <c r="M23" s="1410"/>
      <c r="N23" s="1410"/>
      <c r="O23" s="1411"/>
    </row>
    <row r="24" spans="1:15" x14ac:dyDescent="0.4">
      <c r="A24" s="1223" t="s">
        <v>766</v>
      </c>
      <c r="B24" s="1168" t="s">
        <v>632</v>
      </c>
      <c r="C24" s="1410" t="e">
        <f>#REF!</f>
        <v>#REF!</v>
      </c>
      <c r="D24" s="1410" t="e">
        <f>#REF!</f>
        <v>#REF!</v>
      </c>
      <c r="E24" s="1410" t="e">
        <f>#REF!</f>
        <v>#REF!</v>
      </c>
      <c r="F24" s="1410" t="e">
        <f>#REF!</f>
        <v>#REF!</v>
      </c>
      <c r="G24" s="1410" t="e">
        <f>#REF!</f>
        <v>#REF!</v>
      </c>
      <c r="H24" s="1410" t="e">
        <f>#REF!</f>
        <v>#REF!</v>
      </c>
      <c r="I24" s="1410"/>
      <c r="J24" s="1410"/>
      <c r="K24" s="1410"/>
      <c r="L24" s="1410"/>
      <c r="M24" s="1410"/>
      <c r="N24" s="1410"/>
      <c r="O24" s="1411"/>
    </row>
    <row r="25" spans="1:15" hidden="1" outlineLevel="1" x14ac:dyDescent="0.4">
      <c r="A25" s="1223" t="s">
        <v>116</v>
      </c>
      <c r="C25" s="1410" t="e">
        <f>#REF!</f>
        <v>#REF!</v>
      </c>
      <c r="D25" s="1410" t="e">
        <f>#REF!</f>
        <v>#REF!</v>
      </c>
      <c r="E25" s="1410" t="e">
        <f>#REF!</f>
        <v>#REF!</v>
      </c>
      <c r="F25" s="1410" t="e">
        <f>#REF!</f>
        <v>#REF!</v>
      </c>
      <c r="G25" s="1410" t="e">
        <f>#REF!</f>
        <v>#REF!</v>
      </c>
      <c r="H25" s="1410" t="e">
        <f>#REF!</f>
        <v>#REF!</v>
      </c>
      <c r="I25" s="1410"/>
      <c r="J25" s="1410"/>
      <c r="K25" s="1410"/>
      <c r="L25" s="1410"/>
      <c r="M25" s="1410"/>
      <c r="N25" s="1410"/>
      <c r="O25" s="1411"/>
    </row>
    <row r="26" spans="1:15" collapsed="1" x14ac:dyDescent="0.4">
      <c r="A26" s="1223" t="s">
        <v>726</v>
      </c>
      <c r="B26" s="1168" t="s">
        <v>633</v>
      </c>
      <c r="C26" s="1410" t="e">
        <f>#REF!</f>
        <v>#REF!</v>
      </c>
      <c r="D26" s="1410" t="e">
        <f>#REF!</f>
        <v>#REF!</v>
      </c>
      <c r="E26" s="1410" t="e">
        <f>#REF!</f>
        <v>#REF!</v>
      </c>
      <c r="F26" s="1410" t="e">
        <f>#REF!</f>
        <v>#REF!</v>
      </c>
      <c r="G26" s="1410" t="e">
        <f>#REF!</f>
        <v>#REF!</v>
      </c>
      <c r="H26" s="1410" t="e">
        <f>#REF!</f>
        <v>#REF!</v>
      </c>
      <c r="I26" s="1410"/>
      <c r="J26" s="1410"/>
      <c r="K26" s="1410"/>
      <c r="L26" s="1410"/>
      <c r="M26" s="1410"/>
      <c r="N26" s="1410"/>
      <c r="O26" s="1411"/>
    </row>
    <row r="27" spans="1:15" x14ac:dyDescent="0.4">
      <c r="A27" s="1223" t="s">
        <v>728</v>
      </c>
      <c r="B27" s="1168" t="s">
        <v>727</v>
      </c>
      <c r="C27" s="1410" t="e">
        <f>#REF!</f>
        <v>#REF!</v>
      </c>
      <c r="D27" s="1410" t="e">
        <f>#REF!</f>
        <v>#REF!</v>
      </c>
      <c r="E27" s="1410" t="e">
        <f>#REF!</f>
        <v>#REF!</v>
      </c>
      <c r="F27" s="1410" t="e">
        <f>#REF!</f>
        <v>#REF!</v>
      </c>
      <c r="G27" s="1410" t="e">
        <f>#REF!</f>
        <v>#REF!</v>
      </c>
      <c r="H27" s="1410" t="e">
        <f>#REF!</f>
        <v>#REF!</v>
      </c>
      <c r="I27" s="1412"/>
      <c r="J27" s="1412"/>
      <c r="K27" s="1412"/>
      <c r="L27" s="1412"/>
      <c r="M27" s="1412"/>
      <c r="N27" s="1412"/>
      <c r="O27" s="1411"/>
    </row>
    <row r="28" spans="1:15" x14ac:dyDescent="0.4">
      <c r="A28" s="1223" t="s">
        <v>729</v>
      </c>
      <c r="B28" s="1168" t="s">
        <v>634</v>
      </c>
      <c r="C28" s="1410" t="e">
        <f>#REF!</f>
        <v>#REF!</v>
      </c>
      <c r="D28" s="1410" t="e">
        <f>#REF!</f>
        <v>#REF!</v>
      </c>
      <c r="E28" s="1410" t="e">
        <f>#REF!</f>
        <v>#REF!</v>
      </c>
      <c r="F28" s="1410" t="e">
        <f>#REF!</f>
        <v>#REF!</v>
      </c>
      <c r="G28" s="1410" t="e">
        <f>#REF!</f>
        <v>#REF!</v>
      </c>
      <c r="H28" s="1410" t="e">
        <f>#REF!</f>
        <v>#REF!</v>
      </c>
      <c r="I28" s="1412"/>
      <c r="J28" s="1412"/>
      <c r="K28" s="1412"/>
      <c r="L28" s="1412"/>
      <c r="M28" s="1412"/>
      <c r="N28" s="1412"/>
      <c r="O28" s="1411"/>
    </row>
    <row r="29" spans="1:15" x14ac:dyDescent="0.4">
      <c r="A29" s="1402" t="s">
        <v>457</v>
      </c>
      <c r="B29" s="1183" t="s">
        <v>119</v>
      </c>
      <c r="C29" s="1413" t="e">
        <f t="shared" ref="C29:H29" si="1">SUM(C17:C28)-C22</f>
        <v>#REF!</v>
      </c>
      <c r="D29" s="1413" t="e">
        <f t="shared" si="1"/>
        <v>#REF!</v>
      </c>
      <c r="E29" s="1413" t="e">
        <f t="shared" si="1"/>
        <v>#REF!</v>
      </c>
      <c r="F29" s="1413" t="e">
        <f t="shared" si="1"/>
        <v>#REF!</v>
      </c>
      <c r="G29" s="1413" t="e">
        <f t="shared" si="1"/>
        <v>#REF!</v>
      </c>
      <c r="H29" s="1413" t="e">
        <f t="shared" si="1"/>
        <v>#REF!</v>
      </c>
      <c r="I29" s="1414"/>
      <c r="J29" s="1414"/>
      <c r="K29" s="1414"/>
      <c r="L29" s="1414"/>
      <c r="M29" s="1414"/>
      <c r="N29" s="1414"/>
      <c r="O29" s="1411"/>
    </row>
    <row r="30" spans="1:15" x14ac:dyDescent="0.4">
      <c r="A30" s="1182"/>
      <c r="B30" s="1171"/>
      <c r="C30" s="1414"/>
      <c r="D30" s="1414"/>
      <c r="E30" s="1414"/>
      <c r="F30" s="1414"/>
      <c r="G30" s="1414"/>
      <c r="H30" s="1414"/>
      <c r="I30" s="1414"/>
      <c r="J30" s="1414"/>
      <c r="K30" s="1414"/>
      <c r="L30" s="1414"/>
      <c r="M30" s="1414"/>
      <c r="N30" s="1414"/>
      <c r="O30" s="1411"/>
    </row>
    <row r="31" spans="1:15" s="1171" customFormat="1" x14ac:dyDescent="0.4">
      <c r="A31" s="1402" t="s">
        <v>89</v>
      </c>
      <c r="B31" s="1183" t="s">
        <v>118</v>
      </c>
      <c r="C31" s="1413" t="e">
        <f t="shared" ref="C31:H31" si="2">C15+C29</f>
        <v>#REF!</v>
      </c>
      <c r="D31" s="1413" t="e">
        <f t="shared" si="2"/>
        <v>#REF!</v>
      </c>
      <c r="E31" s="1413" t="e">
        <f t="shared" si="2"/>
        <v>#REF!</v>
      </c>
      <c r="F31" s="1413" t="e">
        <f t="shared" si="2"/>
        <v>#REF!</v>
      </c>
      <c r="G31" s="1413" t="e">
        <f t="shared" si="2"/>
        <v>#REF!</v>
      </c>
      <c r="H31" s="1413" t="e">
        <f t="shared" si="2"/>
        <v>#REF!</v>
      </c>
      <c r="I31" s="1414"/>
      <c r="J31" s="1414"/>
      <c r="K31" s="1414"/>
      <c r="L31" s="1414"/>
      <c r="M31" s="1414"/>
      <c r="N31" s="1414"/>
      <c r="O31" s="1411"/>
    </row>
    <row r="32" spans="1:15" s="1418" customFormat="1" x14ac:dyDescent="0.4">
      <c r="A32" s="1418" t="s">
        <v>749</v>
      </c>
      <c r="B32" s="1418" t="s">
        <v>749</v>
      </c>
      <c r="C32" s="1211"/>
      <c r="D32" s="1211" t="e">
        <f>D31/C31-1</f>
        <v>#REF!</v>
      </c>
      <c r="E32" s="1211" t="e">
        <f>E31/D31-1</f>
        <v>#REF!</v>
      </c>
      <c r="F32" s="1211" t="e">
        <f>F31/E31-1</f>
        <v>#REF!</v>
      </c>
      <c r="G32" s="1211" t="e">
        <f>G31/F31-1</f>
        <v>#REF!</v>
      </c>
      <c r="H32" s="1211" t="e">
        <f>H31/G31-1</f>
        <v>#REF!</v>
      </c>
      <c r="O32" s="1411"/>
    </row>
    <row r="33" spans="1:28" s="1418" customFormat="1" x14ac:dyDescent="0.4">
      <c r="C33" s="1211"/>
      <c r="D33" s="1211"/>
      <c r="E33" s="1211"/>
      <c r="F33" s="1211"/>
      <c r="G33" s="1211"/>
      <c r="H33" s="1211"/>
      <c r="O33" s="1411"/>
    </row>
    <row r="34" spans="1:28" ht="13.15" x14ac:dyDescent="0.4">
      <c r="A34" s="1182" t="s">
        <v>120</v>
      </c>
      <c r="B34" s="1171" t="s">
        <v>557</v>
      </c>
      <c r="C34" s="1270"/>
      <c r="D34" s="261"/>
      <c r="E34" s="1270"/>
      <c r="F34" s="1419"/>
      <c r="G34" s="261"/>
      <c r="H34" s="261"/>
      <c r="O34" s="1411"/>
    </row>
    <row r="35" spans="1:28" x14ac:dyDescent="0.4">
      <c r="A35" s="1223" t="s">
        <v>40</v>
      </c>
      <c r="B35" s="1168" t="s">
        <v>41</v>
      </c>
      <c r="C35" s="1410" t="e">
        <f>#REF!</f>
        <v>#REF!</v>
      </c>
      <c r="D35" s="1410" t="e">
        <f>#REF!</f>
        <v>#REF!</v>
      </c>
      <c r="E35" s="1410" t="e">
        <f>#REF!</f>
        <v>#REF!</v>
      </c>
      <c r="F35" s="1410" t="e">
        <f>#REF!</f>
        <v>#REF!</v>
      </c>
      <c r="G35" s="1410" t="e">
        <f>#REF!</f>
        <v>#REF!</v>
      </c>
      <c r="H35" s="1410" t="e">
        <f>#REF!</f>
        <v>#REF!</v>
      </c>
      <c r="I35" s="1410"/>
      <c r="O35" s="1411"/>
    </row>
    <row r="36" spans="1:28" x14ac:dyDescent="0.4">
      <c r="A36" s="1223" t="s">
        <v>42</v>
      </c>
      <c r="B36" s="1168" t="s">
        <v>43</v>
      </c>
      <c r="C36" s="1410" t="e">
        <f>#REF!</f>
        <v>#REF!</v>
      </c>
      <c r="D36" s="1410" t="e">
        <f>#REF!</f>
        <v>#REF!</v>
      </c>
      <c r="E36" s="1410" t="e">
        <f>#REF!</f>
        <v>#REF!</v>
      </c>
      <c r="F36" s="1410" t="e">
        <f>#REF!</f>
        <v>#REF!</v>
      </c>
      <c r="G36" s="1410" t="e">
        <f>#REF!</f>
        <v>#REF!</v>
      </c>
      <c r="H36" s="1410" t="e">
        <f>#REF!</f>
        <v>#REF!</v>
      </c>
      <c r="I36" s="1410"/>
      <c r="J36" s="1410"/>
      <c r="K36" s="1410"/>
      <c r="L36" s="1410"/>
      <c r="M36" s="1410"/>
      <c r="N36" s="1410"/>
      <c r="O36" s="1411"/>
    </row>
    <row r="37" spans="1:28" x14ac:dyDescent="0.4">
      <c r="A37" s="1223" t="s">
        <v>44</v>
      </c>
      <c r="B37" s="1168" t="s">
        <v>45</v>
      </c>
      <c r="C37" s="1410" t="e">
        <f>#REF!</f>
        <v>#REF!</v>
      </c>
      <c r="D37" s="1410" t="e">
        <f>#REF!</f>
        <v>#REF!</v>
      </c>
      <c r="E37" s="1410" t="e">
        <f>#REF!</f>
        <v>#REF!</v>
      </c>
      <c r="F37" s="1410" t="e">
        <f>#REF!</f>
        <v>#REF!</v>
      </c>
      <c r="G37" s="1410" t="e">
        <f>#REF!</f>
        <v>#REF!</v>
      </c>
      <c r="H37" s="1410" t="e">
        <f>#REF!</f>
        <v>#REF!</v>
      </c>
      <c r="I37" s="1410"/>
      <c r="J37" s="1410"/>
      <c r="K37" s="1410"/>
      <c r="L37" s="1410"/>
      <c r="M37" s="1410"/>
      <c r="N37" s="1410"/>
      <c r="O37" s="1411"/>
    </row>
    <row r="38" spans="1:28" x14ac:dyDescent="0.4">
      <c r="A38" s="1223" t="s">
        <v>46</v>
      </c>
      <c r="B38" s="1168" t="s">
        <v>47</v>
      </c>
      <c r="C38" s="1410" t="e">
        <f>#REF!</f>
        <v>#REF!</v>
      </c>
      <c r="D38" s="1410" t="e">
        <f>#REF!</f>
        <v>#REF!</v>
      </c>
      <c r="E38" s="1410" t="e">
        <f>#REF!</f>
        <v>#REF!</v>
      </c>
      <c r="F38" s="1410" t="e">
        <f>#REF!</f>
        <v>#REF!</v>
      </c>
      <c r="G38" s="1410" t="e">
        <f>#REF!</f>
        <v>#REF!</v>
      </c>
      <c r="H38" s="1410" t="e">
        <f>#REF!</f>
        <v>#REF!</v>
      </c>
      <c r="I38" s="1410"/>
      <c r="J38" s="1410"/>
      <c r="K38" s="1410"/>
      <c r="L38" s="1410"/>
      <c r="M38" s="1410"/>
      <c r="N38" s="1410"/>
      <c r="O38" s="1411"/>
    </row>
    <row r="39" spans="1:28" hidden="1" outlineLevel="1" x14ac:dyDescent="0.4">
      <c r="A39" s="1223" t="s">
        <v>555</v>
      </c>
      <c r="B39" s="1168" t="e">
        <f>#REF!</f>
        <v>#REF!</v>
      </c>
      <c r="C39" s="1410" t="e">
        <f>#REF!</f>
        <v>#REF!</v>
      </c>
      <c r="D39" s="1410" t="e">
        <f>#REF!</f>
        <v>#REF!</v>
      </c>
      <c r="E39" s="1410" t="e">
        <f>#REF!</f>
        <v>#REF!</v>
      </c>
      <c r="F39" s="1410" t="e">
        <f>#REF!</f>
        <v>#REF!</v>
      </c>
      <c r="G39" s="1410" t="e">
        <f>#REF!</f>
        <v>#REF!</v>
      </c>
      <c r="H39" s="1410" t="e">
        <f>#REF!</f>
        <v>#REF!</v>
      </c>
      <c r="I39" s="1412"/>
      <c r="J39" s="1412"/>
      <c r="K39" s="1412"/>
      <c r="L39" s="1412"/>
      <c r="M39" s="1412"/>
      <c r="N39" s="1412"/>
      <c r="O39" s="1411"/>
    </row>
    <row r="40" spans="1:28" hidden="1" outlineLevel="1" x14ac:dyDescent="0.4">
      <c r="A40" s="1223" t="s">
        <v>122</v>
      </c>
      <c r="B40" s="1168" t="e">
        <f>#REF!</f>
        <v>#REF!</v>
      </c>
      <c r="C40" s="1410" t="e">
        <f>#REF!</f>
        <v>#REF!</v>
      </c>
      <c r="D40" s="1410" t="e">
        <f>#REF!</f>
        <v>#REF!</v>
      </c>
      <c r="E40" s="1410" t="e">
        <f>#REF!</f>
        <v>#REF!</v>
      </c>
      <c r="F40" s="1410" t="e">
        <f>#REF!</f>
        <v>#REF!</v>
      </c>
      <c r="G40" s="1410" t="e">
        <f>#REF!</f>
        <v>#REF!</v>
      </c>
      <c r="H40" s="1410" t="e">
        <f>#REF!</f>
        <v>#REF!</v>
      </c>
      <c r="I40" s="1410"/>
      <c r="J40" s="1410"/>
      <c r="K40" s="1410"/>
      <c r="L40" s="1410"/>
      <c r="M40" s="1410"/>
      <c r="N40" s="1410"/>
      <c r="O40" s="1411"/>
    </row>
    <row r="41" spans="1:28" collapsed="1" x14ac:dyDescent="0.4">
      <c r="A41" s="1402" t="s">
        <v>553</v>
      </c>
      <c r="B41" s="1183" t="s">
        <v>123</v>
      </c>
      <c r="C41" s="1413" t="e">
        <f t="shared" ref="C41:H41" si="3">SUM(C35:C40)</f>
        <v>#REF!</v>
      </c>
      <c r="D41" s="1413" t="e">
        <f t="shared" si="3"/>
        <v>#REF!</v>
      </c>
      <c r="E41" s="1413" t="e">
        <f t="shared" si="3"/>
        <v>#REF!</v>
      </c>
      <c r="F41" s="1413" t="e">
        <f t="shared" si="3"/>
        <v>#REF!</v>
      </c>
      <c r="G41" s="1413" t="e">
        <f t="shared" si="3"/>
        <v>#REF!</v>
      </c>
      <c r="H41" s="1413" t="e">
        <f t="shared" si="3"/>
        <v>#REF!</v>
      </c>
      <c r="I41" s="1414"/>
      <c r="J41" s="1414"/>
      <c r="K41" s="1414"/>
      <c r="L41" s="1414"/>
      <c r="M41" s="1414"/>
      <c r="N41" s="1414"/>
      <c r="O41" s="1411"/>
    </row>
    <row r="42" spans="1:28" ht="12.75" x14ac:dyDescent="0.35">
      <c r="A42" s="1182" t="s">
        <v>554</v>
      </c>
      <c r="B42" s="1171" t="s">
        <v>558</v>
      </c>
      <c r="C42" s="294"/>
      <c r="D42" s="294"/>
      <c r="E42" s="1412"/>
      <c r="F42" s="1420"/>
      <c r="G42" s="1412"/>
      <c r="H42" s="1412"/>
      <c r="I42" s="1412"/>
      <c r="J42" s="1412"/>
      <c r="K42" s="1412"/>
      <c r="L42" s="1412"/>
      <c r="M42" s="1412"/>
      <c r="N42" s="1412"/>
      <c r="O42" s="1411"/>
    </row>
    <row r="43" spans="1:28" x14ac:dyDescent="0.4">
      <c r="A43" s="1223" t="s">
        <v>555</v>
      </c>
      <c r="B43" s="1168" t="s">
        <v>767</v>
      </c>
      <c r="C43" s="294" t="e">
        <f>#REF!</f>
        <v>#REF!</v>
      </c>
      <c r="D43" s="294" t="e">
        <f>#REF!</f>
        <v>#REF!</v>
      </c>
      <c r="E43" s="294" t="e">
        <f>#REF!</f>
        <v>#REF!</v>
      </c>
      <c r="F43" s="294" t="e">
        <f>#REF!</f>
        <v>#REF!</v>
      </c>
      <c r="G43" s="294" t="e">
        <f>#REF!</f>
        <v>#REF!</v>
      </c>
      <c r="H43" s="294" t="e">
        <f>#REF!</f>
        <v>#REF!</v>
      </c>
      <c r="O43" s="1411"/>
    </row>
    <row r="44" spans="1:28" x14ac:dyDescent="0.4">
      <c r="A44" s="1223" t="s">
        <v>771</v>
      </c>
      <c r="B44" s="1168" t="s">
        <v>768</v>
      </c>
      <c r="C44" s="294" t="e">
        <f>#REF!</f>
        <v>#REF!</v>
      </c>
      <c r="D44" s="294" t="e">
        <f>#REF!</f>
        <v>#REF!</v>
      </c>
      <c r="E44" s="294" t="e">
        <f>#REF!</f>
        <v>#REF!</v>
      </c>
      <c r="F44" s="294" t="e">
        <f>#REF!</f>
        <v>#REF!</v>
      </c>
      <c r="G44" s="294" t="e">
        <f>#REF!</f>
        <v>#REF!</v>
      </c>
      <c r="H44" s="294" t="e">
        <f>#REF!</f>
        <v>#REF!</v>
      </c>
      <c r="O44" s="1411"/>
    </row>
    <row r="45" spans="1:28" x14ac:dyDescent="0.4">
      <c r="A45" s="1223" t="s">
        <v>455</v>
      </c>
      <c r="B45" s="1168" t="s">
        <v>769</v>
      </c>
      <c r="C45" s="294" t="e">
        <f>#REF!</f>
        <v>#REF!</v>
      </c>
      <c r="D45" s="294" t="e">
        <f>#REF!</f>
        <v>#REF!</v>
      </c>
      <c r="E45" s="294" t="e">
        <f>#REF!</f>
        <v>#REF!</v>
      </c>
      <c r="F45" s="294" t="e">
        <f>#REF!</f>
        <v>#REF!</v>
      </c>
      <c r="G45" s="294" t="e">
        <f>#REF!</f>
        <v>#REF!</v>
      </c>
      <c r="H45" s="294" t="e">
        <f>#REF!</f>
        <v>#REF!</v>
      </c>
      <c r="I45" s="1410"/>
      <c r="J45" s="1410"/>
      <c r="K45" s="1410"/>
      <c r="L45" s="1410"/>
      <c r="M45" s="1410"/>
      <c r="N45" s="1410"/>
      <c r="O45" s="1411"/>
    </row>
    <row r="46" spans="1:28" x14ac:dyDescent="0.4">
      <c r="A46" s="1223" t="s">
        <v>456</v>
      </c>
      <c r="B46" s="1168" t="s">
        <v>48</v>
      </c>
      <c r="C46" s="294" t="e">
        <f>#REF!</f>
        <v>#REF!</v>
      </c>
      <c r="D46" s="294" t="e">
        <f>#REF!</f>
        <v>#REF!</v>
      </c>
      <c r="E46" s="294" t="e">
        <f>#REF!</f>
        <v>#REF!</v>
      </c>
      <c r="F46" s="294" t="e">
        <f>#REF!</f>
        <v>#REF!</v>
      </c>
      <c r="G46" s="294" t="e">
        <f>#REF!</f>
        <v>#REF!</v>
      </c>
      <c r="H46" s="294" t="e">
        <f>#REF!</f>
        <v>#REF!</v>
      </c>
      <c r="O46" s="1411"/>
    </row>
    <row r="47" spans="1:28" x14ac:dyDescent="0.4">
      <c r="A47" s="1223" t="s">
        <v>49</v>
      </c>
      <c r="B47" s="1168" t="s">
        <v>770</v>
      </c>
      <c r="C47" s="294" t="e">
        <f>#REF!</f>
        <v>#REF!</v>
      </c>
      <c r="D47" s="294" t="e">
        <f>#REF!</f>
        <v>#REF!</v>
      </c>
      <c r="E47" s="294" t="e">
        <f>#REF!</f>
        <v>#REF!</v>
      </c>
      <c r="F47" s="294" t="e">
        <f>#REF!</f>
        <v>#REF!</v>
      </c>
      <c r="G47" s="294" t="e">
        <f>#REF!</f>
        <v>#REF!</v>
      </c>
      <c r="H47" s="294" t="e">
        <f>#REF!</f>
        <v>#REF!</v>
      </c>
      <c r="O47" s="1411"/>
    </row>
    <row r="48" spans="1:28" s="1183" customFormat="1" x14ac:dyDescent="0.4">
      <c r="A48" s="1402" t="s">
        <v>459</v>
      </c>
      <c r="B48" s="1183" t="s">
        <v>575</v>
      </c>
      <c r="C48" s="1413" t="e">
        <f t="shared" ref="C48:H48" si="4">SUM(C43:C47)</f>
        <v>#REF!</v>
      </c>
      <c r="D48" s="1413" t="e">
        <f t="shared" si="4"/>
        <v>#REF!</v>
      </c>
      <c r="E48" s="1413" t="e">
        <f t="shared" si="4"/>
        <v>#REF!</v>
      </c>
      <c r="F48" s="1413" t="e">
        <f t="shared" si="4"/>
        <v>#REF!</v>
      </c>
      <c r="G48" s="1413" t="e">
        <f t="shared" si="4"/>
        <v>#REF!</v>
      </c>
      <c r="H48" s="1413" t="e">
        <f t="shared" si="4"/>
        <v>#REF!</v>
      </c>
      <c r="I48" s="1171"/>
      <c r="J48" s="1171"/>
      <c r="K48" s="1171"/>
      <c r="L48" s="1171"/>
      <c r="M48" s="1171"/>
      <c r="N48" s="1171"/>
      <c r="O48" s="1421"/>
      <c r="P48" s="1171"/>
      <c r="Q48" s="1171"/>
      <c r="R48" s="1171"/>
      <c r="S48" s="1171"/>
      <c r="T48" s="1171"/>
      <c r="U48" s="1171"/>
      <c r="V48" s="1171"/>
      <c r="W48" s="1171"/>
      <c r="X48" s="1171"/>
      <c r="Y48" s="1171"/>
      <c r="Z48" s="1171"/>
      <c r="AA48" s="1171"/>
      <c r="AB48" s="1171"/>
    </row>
    <row r="49" spans="1:28" x14ac:dyDescent="0.4">
      <c r="A49" s="1223" t="s">
        <v>121</v>
      </c>
      <c r="B49" s="1168" t="s">
        <v>124</v>
      </c>
      <c r="C49" s="1410" t="e">
        <f>#REF!</f>
        <v>#REF!</v>
      </c>
      <c r="D49" s="1410" t="e">
        <f>#REF!</f>
        <v>#REF!</v>
      </c>
      <c r="E49" s="1410" t="e">
        <f>#REF!</f>
        <v>#REF!</v>
      </c>
      <c r="F49" s="1410" t="e">
        <f>#REF!</f>
        <v>#REF!</v>
      </c>
      <c r="G49" s="1410" t="e">
        <f>#REF!</f>
        <v>#REF!</v>
      </c>
      <c r="H49" s="1410" t="e">
        <f>#REF!</f>
        <v>#REF!</v>
      </c>
      <c r="I49" s="1412"/>
      <c r="J49" s="1412"/>
      <c r="K49" s="1412"/>
      <c r="L49" s="1412"/>
      <c r="M49" s="1412"/>
      <c r="N49" s="1412"/>
      <c r="O49" s="1411"/>
      <c r="P49" s="1411"/>
    </row>
    <row r="50" spans="1:28" s="1183" customFormat="1" x14ac:dyDescent="0.4">
      <c r="A50" s="1402" t="s">
        <v>111</v>
      </c>
      <c r="B50" s="1183" t="s">
        <v>556</v>
      </c>
      <c r="C50" s="1413" t="e">
        <f t="shared" ref="C50:H50" si="5">SUM(C43:C49)-C48</f>
        <v>#REF!</v>
      </c>
      <c r="D50" s="1413" t="e">
        <f t="shared" si="5"/>
        <v>#REF!</v>
      </c>
      <c r="E50" s="1413" t="e">
        <f t="shared" si="5"/>
        <v>#REF!</v>
      </c>
      <c r="F50" s="1413" t="e">
        <f t="shared" si="5"/>
        <v>#REF!</v>
      </c>
      <c r="G50" s="1413" t="e">
        <f t="shared" si="5"/>
        <v>#REF!</v>
      </c>
      <c r="H50" s="1413" t="e">
        <f t="shared" si="5"/>
        <v>#REF!</v>
      </c>
      <c r="I50" s="1171"/>
      <c r="J50" s="1171"/>
      <c r="K50" s="1171"/>
      <c r="L50" s="1171"/>
      <c r="M50" s="1171"/>
      <c r="N50" s="1171"/>
      <c r="O50" s="1421"/>
      <c r="P50" s="1171"/>
      <c r="Q50" s="1171"/>
      <c r="R50" s="1171"/>
      <c r="S50" s="1171"/>
      <c r="T50" s="1171"/>
      <c r="U50" s="1171"/>
      <c r="V50" s="1171"/>
      <c r="W50" s="1171"/>
      <c r="X50" s="1171"/>
      <c r="Y50" s="1171"/>
      <c r="Z50" s="1171"/>
      <c r="AA50" s="1171"/>
      <c r="AB50" s="1171"/>
    </row>
    <row r="51" spans="1:28" ht="12.75" x14ac:dyDescent="0.35">
      <c r="A51" s="1223"/>
      <c r="C51" s="1410"/>
      <c r="D51" s="1410"/>
      <c r="E51" s="1412"/>
      <c r="F51" s="1416"/>
      <c r="G51" s="1412"/>
      <c r="H51" s="1412"/>
      <c r="O51" s="1411"/>
    </row>
    <row r="52" spans="1:28" s="1171" customFormat="1" x14ac:dyDescent="0.4">
      <c r="A52" s="1402" t="s">
        <v>585</v>
      </c>
      <c r="B52" s="1183" t="s">
        <v>502</v>
      </c>
      <c r="C52" s="1413" t="e">
        <f t="shared" ref="C52:H52" si="6">C41+C50</f>
        <v>#REF!</v>
      </c>
      <c r="D52" s="1413" t="e">
        <f t="shared" si="6"/>
        <v>#REF!</v>
      </c>
      <c r="E52" s="1413" t="e">
        <f t="shared" si="6"/>
        <v>#REF!</v>
      </c>
      <c r="F52" s="1413" t="e">
        <f t="shared" si="6"/>
        <v>#REF!</v>
      </c>
      <c r="G52" s="1413" t="e">
        <f t="shared" si="6"/>
        <v>#REF!</v>
      </c>
      <c r="H52" s="1413" t="e">
        <f t="shared" si="6"/>
        <v>#REF!</v>
      </c>
      <c r="I52" s="1414"/>
      <c r="J52" s="1414"/>
      <c r="K52" s="1414"/>
      <c r="L52" s="1414"/>
      <c r="M52" s="1414"/>
      <c r="N52" s="1414"/>
      <c r="O52" s="1411"/>
    </row>
    <row r="53" spans="1:28" s="1418" customFormat="1" x14ac:dyDescent="0.4">
      <c r="A53" s="1418" t="s">
        <v>105</v>
      </c>
      <c r="B53" s="1418" t="s">
        <v>749</v>
      </c>
      <c r="C53" s="1211"/>
      <c r="D53" s="1211" t="e">
        <f>D52/C52-1</f>
        <v>#REF!</v>
      </c>
      <c r="E53" s="1211" t="e">
        <f>E52/D52-1</f>
        <v>#REF!</v>
      </c>
      <c r="F53" s="1211" t="e">
        <f>F52/E52-1</f>
        <v>#REF!</v>
      </c>
      <c r="G53" s="1211" t="e">
        <f>G52/F52-1</f>
        <v>#REF!</v>
      </c>
      <c r="H53" s="1211" t="e">
        <f>H52/G52-1</f>
        <v>#REF!</v>
      </c>
      <c r="O53" s="1411"/>
    </row>
    <row r="54" spans="1:28" s="1418" customFormat="1" ht="12.75" x14ac:dyDescent="0.35">
      <c r="C54" s="1211"/>
      <c r="D54" s="1211"/>
      <c r="E54" s="1211"/>
      <c r="F54" s="1416"/>
      <c r="G54" s="1211"/>
      <c r="H54" s="1211"/>
      <c r="O54" s="1411"/>
    </row>
    <row r="55" spans="1:28" ht="12.75" x14ac:dyDescent="0.35">
      <c r="A55" s="1182" t="s">
        <v>503</v>
      </c>
      <c r="B55" s="1171" t="s">
        <v>504</v>
      </c>
      <c r="C55" s="1270"/>
      <c r="D55" s="1270"/>
      <c r="E55" s="1270"/>
      <c r="F55" s="1416"/>
      <c r="O55" s="1411"/>
    </row>
    <row r="56" spans="1:28" x14ac:dyDescent="0.4">
      <c r="A56" s="1223" t="s">
        <v>509</v>
      </c>
      <c r="B56" s="1168" t="s">
        <v>772</v>
      </c>
      <c r="C56" s="1410" t="e">
        <f>#REF!</f>
        <v>#REF!</v>
      </c>
      <c r="D56" s="1410" t="e">
        <f>#REF!</f>
        <v>#REF!</v>
      </c>
      <c r="E56" s="1410" t="e">
        <f>#REF!</f>
        <v>#REF!</v>
      </c>
      <c r="F56" s="1410" t="e">
        <f>#REF!</f>
        <v>#REF!</v>
      </c>
      <c r="G56" s="1410" t="e">
        <f>#REF!</f>
        <v>#REF!</v>
      </c>
      <c r="H56" s="1410" t="e">
        <f>#REF!</f>
        <v>#REF!</v>
      </c>
      <c r="O56" s="1411"/>
    </row>
    <row r="57" spans="1:28" x14ac:dyDescent="0.4">
      <c r="A57" s="1223" t="s">
        <v>280</v>
      </c>
      <c r="B57" s="1168" t="s">
        <v>773</v>
      </c>
      <c r="C57" s="1410" t="e">
        <f>#REF!</f>
        <v>#REF!</v>
      </c>
      <c r="D57" s="1410" t="e">
        <f>#REF!</f>
        <v>#REF!</v>
      </c>
      <c r="E57" s="1410" t="e">
        <f>#REF!+#REF!</f>
        <v>#REF!</v>
      </c>
      <c r="F57" s="1410" t="e">
        <f>#REF!+#REF!</f>
        <v>#REF!</v>
      </c>
      <c r="G57" s="1410" t="e">
        <f>#REF!+#REF!</f>
        <v>#REF!</v>
      </c>
      <c r="H57" s="1410" t="e">
        <f>#REF!+#REF!</f>
        <v>#REF!</v>
      </c>
      <c r="O57" s="1411"/>
    </row>
    <row r="58" spans="1:28" hidden="1" outlineLevel="1" x14ac:dyDescent="0.4">
      <c r="A58" s="1223" t="s">
        <v>510</v>
      </c>
      <c r="B58" s="1168" t="s">
        <v>505</v>
      </c>
      <c r="C58" s="1410" t="e">
        <f>#REF!</f>
        <v>#REF!</v>
      </c>
      <c r="D58" s="1410" t="e">
        <f>#REF!</f>
        <v>#REF!</v>
      </c>
      <c r="E58" s="1410"/>
      <c r="F58" s="1410"/>
      <c r="G58" s="1410"/>
      <c r="H58" s="1410"/>
      <c r="O58" s="1411"/>
    </row>
    <row r="59" spans="1:28" hidden="1" outlineLevel="1" x14ac:dyDescent="0.4">
      <c r="A59" s="1223" t="s">
        <v>511</v>
      </c>
      <c r="B59" s="1168" t="s">
        <v>506</v>
      </c>
      <c r="C59" s="1410" t="e">
        <f>#REF!</f>
        <v>#REF!</v>
      </c>
      <c r="D59" s="1410" t="e">
        <f>#REF!</f>
        <v>#REF!</v>
      </c>
      <c r="E59" s="1410" t="e">
        <f>#REF!</f>
        <v>#REF!</v>
      </c>
      <c r="F59" s="1410" t="e">
        <f>#REF!</f>
        <v>#REF!</v>
      </c>
      <c r="G59" s="1410" t="e">
        <f>#REF!</f>
        <v>#REF!</v>
      </c>
      <c r="H59" s="1410" t="e">
        <f>#REF!</f>
        <v>#REF!</v>
      </c>
      <c r="O59" s="1411"/>
    </row>
    <row r="60" spans="1:28" s="1171" customFormat="1" collapsed="1" x14ac:dyDescent="0.4">
      <c r="A60" s="1182" t="s">
        <v>599</v>
      </c>
      <c r="B60" s="1171" t="s">
        <v>191</v>
      </c>
      <c r="C60" s="1414" t="e">
        <f>#REF!</f>
        <v>#REF!</v>
      </c>
      <c r="D60" s="1414" t="e">
        <f>#REF!</f>
        <v>#REF!</v>
      </c>
      <c r="E60" s="1414" t="e">
        <f>#REF!</f>
        <v>#REF!</v>
      </c>
      <c r="F60" s="1414" t="e">
        <f>#REF!</f>
        <v>#REF!</v>
      </c>
      <c r="G60" s="1414" t="e">
        <f>#REF!</f>
        <v>#REF!</v>
      </c>
      <c r="H60" s="1414" t="e">
        <f>#REF!</f>
        <v>#REF!</v>
      </c>
      <c r="O60" s="1411"/>
    </row>
    <row r="61" spans="1:28" s="1171" customFormat="1" x14ac:dyDescent="0.4">
      <c r="A61" s="1182"/>
      <c r="B61" s="1418" t="s">
        <v>749</v>
      </c>
      <c r="C61" s="1211"/>
      <c r="D61" s="1211" t="e">
        <f>D60/C60-1</f>
        <v>#REF!</v>
      </c>
      <c r="E61" s="1211" t="e">
        <f>E60/D60-1</f>
        <v>#REF!</v>
      </c>
      <c r="F61" s="1211" t="e">
        <f>F60/E60-1</f>
        <v>#REF!</v>
      </c>
      <c r="G61" s="1211" t="e">
        <f>G60/F60-1</f>
        <v>#REF!</v>
      </c>
      <c r="H61" s="1211" t="e">
        <f>H60/G60-1</f>
        <v>#REF!</v>
      </c>
      <c r="O61" s="1411"/>
    </row>
    <row r="62" spans="1:28" x14ac:dyDescent="0.4">
      <c r="A62" s="1223" t="s">
        <v>321</v>
      </c>
      <c r="B62" s="1168" t="s">
        <v>310</v>
      </c>
      <c r="C62" s="1410" t="e">
        <f>#REF!</f>
        <v>#REF!</v>
      </c>
      <c r="D62" s="1410" t="e">
        <f>#REF!</f>
        <v>#REF!</v>
      </c>
      <c r="E62" s="1410" t="e">
        <f>#REF!</f>
        <v>#REF!</v>
      </c>
      <c r="F62" s="1410" t="e">
        <f>#REF!</f>
        <v>#REF!</v>
      </c>
      <c r="G62" s="1410" t="e">
        <f>#REF!</f>
        <v>#REF!</v>
      </c>
      <c r="H62" s="1410" t="e">
        <f>#REF!</f>
        <v>#REF!</v>
      </c>
      <c r="O62" s="1411"/>
    </row>
    <row r="63" spans="1:28" s="1171" customFormat="1" x14ac:dyDescent="0.4">
      <c r="A63" s="1182"/>
      <c r="C63" s="1414"/>
      <c r="D63" s="1414"/>
      <c r="E63" s="1414"/>
      <c r="F63" s="1414"/>
      <c r="G63" s="1414"/>
      <c r="H63" s="1414"/>
      <c r="O63" s="1411"/>
    </row>
    <row r="64" spans="1:28" s="1183" customFormat="1" x14ac:dyDescent="0.4">
      <c r="A64" s="1402" t="s">
        <v>507</v>
      </c>
      <c r="B64" s="1183" t="s">
        <v>508</v>
      </c>
      <c r="C64" s="1413" t="e">
        <f t="shared" ref="C64:H64" si="7">C60+C62</f>
        <v>#REF!</v>
      </c>
      <c r="D64" s="1413" t="e">
        <f t="shared" si="7"/>
        <v>#REF!</v>
      </c>
      <c r="E64" s="1413" t="e">
        <f t="shared" si="7"/>
        <v>#REF!</v>
      </c>
      <c r="F64" s="1413" t="e">
        <f t="shared" si="7"/>
        <v>#REF!</v>
      </c>
      <c r="G64" s="1413" t="e">
        <f t="shared" si="7"/>
        <v>#REF!</v>
      </c>
      <c r="H64" s="1413" t="e">
        <f t="shared" si="7"/>
        <v>#REF!</v>
      </c>
      <c r="I64" s="1171"/>
      <c r="J64" s="1171"/>
      <c r="K64" s="1171"/>
      <c r="L64" s="1171"/>
      <c r="M64" s="1171"/>
      <c r="N64" s="1171"/>
      <c r="O64" s="1411"/>
      <c r="P64" s="1171"/>
      <c r="Q64" s="1171"/>
      <c r="R64" s="1171"/>
      <c r="S64" s="1171"/>
      <c r="T64" s="1171"/>
      <c r="U64" s="1171"/>
      <c r="V64" s="1171"/>
      <c r="W64" s="1171"/>
      <c r="X64" s="1171"/>
      <c r="Y64" s="1171"/>
      <c r="Z64" s="1171"/>
      <c r="AA64" s="1171"/>
      <c r="AB64" s="1171"/>
    </row>
    <row r="65" spans="1:15" s="1171" customFormat="1" x14ac:dyDescent="0.4">
      <c r="A65" s="1182"/>
      <c r="B65" s="1418" t="s">
        <v>749</v>
      </c>
      <c r="C65" s="1211"/>
      <c r="D65" s="1211" t="e">
        <f>D64/C64-1</f>
        <v>#REF!</v>
      </c>
      <c r="E65" s="1211" t="e">
        <f>E64/D64-1</f>
        <v>#REF!</v>
      </c>
      <c r="F65" s="1211" t="e">
        <f>F64/E64-1</f>
        <v>#REF!</v>
      </c>
      <c r="G65" s="1211" t="e">
        <f>G64/F64-1</f>
        <v>#REF!</v>
      </c>
      <c r="H65" s="1211" t="e">
        <f>H64/G64-1</f>
        <v>#REF!</v>
      </c>
      <c r="O65" s="1411"/>
    </row>
    <row r="66" spans="1:15" s="1171" customFormat="1" x14ac:dyDescent="0.4">
      <c r="A66" s="1402" t="s">
        <v>91</v>
      </c>
      <c r="B66" s="1183" t="s">
        <v>311</v>
      </c>
      <c r="C66" s="1413" t="e">
        <f t="shared" ref="C66:H66" si="8">C52+C64</f>
        <v>#REF!</v>
      </c>
      <c r="D66" s="1413" t="e">
        <f t="shared" si="8"/>
        <v>#REF!</v>
      </c>
      <c r="E66" s="1413" t="e">
        <f t="shared" si="8"/>
        <v>#REF!</v>
      </c>
      <c r="F66" s="1413" t="e">
        <f t="shared" si="8"/>
        <v>#REF!</v>
      </c>
      <c r="G66" s="1413" t="e">
        <f t="shared" si="8"/>
        <v>#REF!</v>
      </c>
      <c r="H66" s="1413" t="e">
        <f t="shared" si="8"/>
        <v>#REF!</v>
      </c>
      <c r="O66" s="1411"/>
    </row>
    <row r="67" spans="1:15" s="1422" customFormat="1" x14ac:dyDescent="0.4">
      <c r="B67" s="1418" t="s">
        <v>749</v>
      </c>
      <c r="C67" s="1211"/>
      <c r="D67" s="1211" t="e">
        <f>D66/C66-1</f>
        <v>#REF!</v>
      </c>
      <c r="E67" s="1211" t="e">
        <f>E66/D66-1</f>
        <v>#REF!</v>
      </c>
      <c r="F67" s="1211" t="e">
        <f>F66/E66-1</f>
        <v>#REF!</v>
      </c>
      <c r="G67" s="1211" t="e">
        <f>G66/F66-1</f>
        <v>#REF!</v>
      </c>
      <c r="H67" s="1211" t="e">
        <f>H66/G66-1</f>
        <v>#REF!</v>
      </c>
      <c r="O67" s="1411"/>
    </row>
    <row r="68" spans="1:15" x14ac:dyDescent="0.4">
      <c r="C68" s="308"/>
      <c r="D68" s="308"/>
      <c r="E68" s="308"/>
      <c r="F68" s="308"/>
      <c r="G68" s="308"/>
    </row>
    <row r="69" spans="1:15" x14ac:dyDescent="0.4">
      <c r="C69" s="308"/>
      <c r="D69" s="308"/>
      <c r="E69" s="308"/>
      <c r="F69" s="308"/>
      <c r="G69" s="308"/>
    </row>
    <row r="70" spans="1:15" x14ac:dyDescent="0.4">
      <c r="C70" s="308"/>
      <c r="D70" s="308"/>
      <c r="E70" s="1414"/>
      <c r="F70" s="308"/>
      <c r="G70" s="308"/>
    </row>
    <row r="71" spans="1:15" s="1171" customFormat="1" hidden="1" outlineLevel="1" x14ac:dyDescent="0.4">
      <c r="A71" s="1187" t="s">
        <v>90</v>
      </c>
      <c r="B71" s="1187" t="s">
        <v>90</v>
      </c>
      <c r="C71" s="1423"/>
      <c r="D71" s="1423">
        <v>14825</v>
      </c>
      <c r="E71" s="1424">
        <f>D71</f>
        <v>14825</v>
      </c>
      <c r="F71" s="1425">
        <f>E71</f>
        <v>14825</v>
      </c>
      <c r="G71" s="1425">
        <f>F71</f>
        <v>14825</v>
      </c>
      <c r="H71" s="1426"/>
      <c r="I71" s="1426"/>
      <c r="J71" s="1426"/>
      <c r="K71" s="1426"/>
      <c r="L71" s="1426"/>
    </row>
    <row r="72" spans="1:15" s="1171" customFormat="1" hidden="1" outlineLevel="1" x14ac:dyDescent="0.4">
      <c r="A72" s="1193" t="s">
        <v>543</v>
      </c>
      <c r="B72" s="1193" t="s">
        <v>543</v>
      </c>
      <c r="C72" s="1427"/>
      <c r="D72" s="1427">
        <f>D71</f>
        <v>14825</v>
      </c>
      <c r="E72" s="1428">
        <f>E71</f>
        <v>14825</v>
      </c>
      <c r="F72" s="1429">
        <f>F71</f>
        <v>14825</v>
      </c>
      <c r="G72" s="1429">
        <f>G71</f>
        <v>14825</v>
      </c>
      <c r="H72" s="1410"/>
      <c r="I72" s="1410"/>
      <c r="J72" s="1410"/>
      <c r="K72" s="1410"/>
      <c r="L72" s="1410"/>
    </row>
    <row r="73" spans="1:15" s="1171" customFormat="1" hidden="1" outlineLevel="1" x14ac:dyDescent="0.3">
      <c r="A73" s="1193" t="s">
        <v>544</v>
      </c>
      <c r="B73" s="1193" t="s">
        <v>544</v>
      </c>
      <c r="C73" s="1430"/>
      <c r="D73" s="1430"/>
      <c r="E73" s="1431"/>
      <c r="F73" s="1432"/>
      <c r="G73" s="1432"/>
      <c r="H73" s="1433"/>
      <c r="I73" s="1433"/>
      <c r="J73" s="1433"/>
      <c r="K73" s="1433"/>
      <c r="L73" s="1433"/>
    </row>
    <row r="74" spans="1:15" s="1171" customFormat="1" hidden="1" outlineLevel="1" x14ac:dyDescent="0.3">
      <c r="A74" s="1252"/>
      <c r="B74" s="1193" t="s">
        <v>545</v>
      </c>
      <c r="C74" s="1430"/>
      <c r="D74" s="1430">
        <v>10397.5</v>
      </c>
      <c r="E74" s="1431">
        <f t="shared" ref="E74:G75" si="9">D74</f>
        <v>10397.5</v>
      </c>
      <c r="F74" s="1432">
        <f t="shared" si="9"/>
        <v>10397.5</v>
      </c>
      <c r="G74" s="1432">
        <f t="shared" si="9"/>
        <v>10397.5</v>
      </c>
      <c r="H74" s="1433"/>
      <c r="I74" s="1433"/>
      <c r="J74" s="1433"/>
      <c r="K74" s="1433"/>
      <c r="L74" s="1433"/>
    </row>
    <row r="75" spans="1:15" s="1171" customFormat="1" hidden="1" outlineLevel="1" x14ac:dyDescent="0.3">
      <c r="A75" s="1265"/>
      <c r="B75" s="1434" t="s">
        <v>322</v>
      </c>
      <c r="C75" s="1435"/>
      <c r="D75" s="1435">
        <v>4427.5</v>
      </c>
      <c r="E75" s="1436">
        <f t="shared" si="9"/>
        <v>4427.5</v>
      </c>
      <c r="F75" s="1437">
        <f t="shared" si="9"/>
        <v>4427.5</v>
      </c>
      <c r="G75" s="1437">
        <f t="shared" si="9"/>
        <v>4427.5</v>
      </c>
      <c r="H75" s="1438"/>
      <c r="I75" s="1438"/>
      <c r="J75" s="1438"/>
      <c r="K75" s="1438"/>
      <c r="L75" s="1438"/>
    </row>
    <row r="76" spans="1:15" s="1171" customFormat="1" hidden="1" outlineLevel="1" x14ac:dyDescent="0.3">
      <c r="A76" s="1168"/>
      <c r="B76" s="1168"/>
      <c r="C76" s="1433"/>
      <c r="D76" s="1433"/>
      <c r="E76" s="1433"/>
      <c r="F76" s="1433"/>
    </row>
    <row r="77" spans="1:15" s="1171" customFormat="1" hidden="1" outlineLevel="1" x14ac:dyDescent="0.4">
      <c r="A77" s="1187" t="s">
        <v>546</v>
      </c>
      <c r="B77" s="1187" t="s">
        <v>546</v>
      </c>
      <c r="C77" s="1439"/>
      <c r="D77" s="1439" t="e">
        <f>D60/D72</f>
        <v>#REF!</v>
      </c>
      <c r="E77" s="1440" t="e">
        <f>E60/E72</f>
        <v>#REF!</v>
      </c>
      <c r="F77" s="1441" t="e">
        <f>F60/F72</f>
        <v>#REF!</v>
      </c>
      <c r="G77" s="1441" t="e">
        <f>G60/G72</f>
        <v>#REF!</v>
      </c>
      <c r="H77" s="1442"/>
      <c r="I77" s="1442"/>
      <c r="J77" s="1442"/>
      <c r="K77" s="1442"/>
      <c r="L77" s="1443"/>
    </row>
    <row r="78" spans="1:15" hidden="1" outlineLevel="1" x14ac:dyDescent="0.4">
      <c r="A78" s="1193" t="s">
        <v>547</v>
      </c>
      <c r="B78" s="1193" t="s">
        <v>547</v>
      </c>
      <c r="C78" s="1241" t="e">
        <f>SUM(C35,C49)/C60</f>
        <v>#REF!</v>
      </c>
      <c r="D78" s="1241" t="e">
        <f>SUM(D35,D49)/D60</f>
        <v>#REF!</v>
      </c>
      <c r="E78" s="1444" t="e">
        <f>SUM(E35,E49)/E60</f>
        <v>#REF!</v>
      </c>
      <c r="F78" s="1242" t="e">
        <f>SUM(F35,F49)/F60</f>
        <v>#REF!</v>
      </c>
      <c r="G78" s="1242" t="e">
        <f>SUM(G35,G49)/G60</f>
        <v>#REF!</v>
      </c>
      <c r="H78" s="261"/>
      <c r="I78" s="261"/>
      <c r="J78" s="261"/>
      <c r="K78" s="261"/>
      <c r="L78" s="261"/>
    </row>
    <row r="79" spans="1:15" hidden="1" outlineLevel="1" x14ac:dyDescent="0.4">
      <c r="A79" s="1193" t="s">
        <v>548</v>
      </c>
      <c r="B79" s="1193" t="s">
        <v>548</v>
      </c>
      <c r="C79" s="1254" t="e">
        <f>(C35+C49)/C66</f>
        <v>#REF!</v>
      </c>
      <c r="D79" s="1254" t="e">
        <f>(D35+D49)/D66</f>
        <v>#REF!</v>
      </c>
      <c r="E79" s="1445" t="e">
        <f>(E35+E49)/E66</f>
        <v>#REF!</v>
      </c>
      <c r="F79" s="1257" t="e">
        <f>(F35+F49)/F66</f>
        <v>#REF!</v>
      </c>
      <c r="G79" s="1257" t="e">
        <f>(G35+G49)/G66</f>
        <v>#REF!</v>
      </c>
      <c r="L79" s="1446"/>
    </row>
    <row r="80" spans="1:15" hidden="1" outlineLevel="1" x14ac:dyDescent="0.4">
      <c r="A80" s="1193" t="s">
        <v>750</v>
      </c>
      <c r="B80" s="1193" t="s">
        <v>750</v>
      </c>
      <c r="C80" s="1254" t="e">
        <f>(C35+C49)/(C35+C49+C60)</f>
        <v>#REF!</v>
      </c>
      <c r="D80" s="1254" t="e">
        <f>(D35+D49)/(D35+D49+D60)</f>
        <v>#REF!</v>
      </c>
      <c r="E80" s="1445" t="e">
        <f>(E35+E49)/(E35+E49+E60)</f>
        <v>#REF!</v>
      </c>
      <c r="F80" s="1257" t="e">
        <f>(F35+F49)/(F35+F49+F60)</f>
        <v>#REF!</v>
      </c>
      <c r="G80" s="1257" t="e">
        <f>(G35+G49)/(G35+G49+G60)</f>
        <v>#REF!</v>
      </c>
      <c r="L80" s="1446"/>
    </row>
    <row r="81" spans="1:12" s="1171" customFormat="1" hidden="1" outlineLevel="1" x14ac:dyDescent="0.4">
      <c r="A81" s="1447" t="s">
        <v>193</v>
      </c>
      <c r="B81" s="1447" t="s">
        <v>193</v>
      </c>
      <c r="C81" s="1448" t="e">
        <f>C52/C66</f>
        <v>#REF!</v>
      </c>
      <c r="D81" s="1448" t="e">
        <f>D52/D66</f>
        <v>#REF!</v>
      </c>
      <c r="E81" s="1449" t="e">
        <f>E52/E66</f>
        <v>#REF!</v>
      </c>
      <c r="F81" s="1450" t="e">
        <f>F52/F66</f>
        <v>#REF!</v>
      </c>
      <c r="G81" s="1450" t="e">
        <f>G52/G66</f>
        <v>#REF!</v>
      </c>
      <c r="L81" s="1451"/>
    </row>
    <row r="82" spans="1:12" hidden="1" outlineLevel="1" x14ac:dyDescent="0.4">
      <c r="A82" s="1193"/>
      <c r="B82" s="1193"/>
      <c r="C82" s="1253"/>
      <c r="D82" s="1253"/>
      <c r="E82" s="1452"/>
      <c r="F82" s="1453"/>
      <c r="G82" s="1454"/>
      <c r="L82" s="1446"/>
    </row>
    <row r="83" spans="1:12" hidden="1" outlineLevel="1" x14ac:dyDescent="0.4">
      <c r="A83" s="1193" t="s">
        <v>549</v>
      </c>
      <c r="B83" s="1193" t="s">
        <v>549</v>
      </c>
      <c r="C83" s="1455" t="e">
        <f>C35+C49-C28-C27</f>
        <v>#REF!</v>
      </c>
      <c r="D83" s="1455" t="e">
        <f>D35+D49-D28-D27</f>
        <v>#REF!</v>
      </c>
      <c r="E83" s="1456" t="e">
        <f>E35+E49-E28-E27</f>
        <v>#REF!</v>
      </c>
      <c r="F83" s="1457" t="e">
        <f>F35+F49-F28-F27</f>
        <v>#REF!</v>
      </c>
      <c r="G83" s="1457" t="e">
        <f>G35+G49-G28-G27</f>
        <v>#REF!</v>
      </c>
      <c r="L83" s="1446"/>
    </row>
    <row r="84" spans="1:12" hidden="1" outlineLevel="1" x14ac:dyDescent="0.4">
      <c r="A84" s="1193" t="s">
        <v>550</v>
      </c>
      <c r="B84" s="1193" t="s">
        <v>550</v>
      </c>
      <c r="C84" s="1455" t="e">
        <f>SUM(C83,C62)</f>
        <v>#REF!</v>
      </c>
      <c r="D84" s="1455" t="e">
        <f>SUM(D83,D62)</f>
        <v>#REF!</v>
      </c>
      <c r="E84" s="1456" t="e">
        <f>SUM(E83,E62)</f>
        <v>#REF!</v>
      </c>
      <c r="F84" s="1457" t="e">
        <f>SUM(F83,F62)</f>
        <v>#REF!</v>
      </c>
      <c r="G84" s="1457" t="e">
        <f>SUM(G83,G62)</f>
        <v>#REF!</v>
      </c>
      <c r="L84" s="1446"/>
    </row>
    <row r="85" spans="1:12" s="1171" customFormat="1" hidden="1" outlineLevel="1" x14ac:dyDescent="0.4">
      <c r="A85" s="1458"/>
      <c r="B85" s="1458"/>
      <c r="C85" s="1459"/>
      <c r="D85" s="1459"/>
      <c r="E85" s="1460"/>
      <c r="F85" s="1461"/>
      <c r="G85" s="1462"/>
      <c r="L85" s="1451"/>
    </row>
    <row r="86" spans="1:12" s="1171" customFormat="1" hidden="1" outlineLevel="1" x14ac:dyDescent="0.4">
      <c r="A86" s="1463" t="s">
        <v>275</v>
      </c>
      <c r="B86" s="1463" t="s">
        <v>275</v>
      </c>
      <c r="C86" s="1464" t="e">
        <f>C83/C60</f>
        <v>#REF!</v>
      </c>
      <c r="D86" s="1464" t="e">
        <f>D83/D60</f>
        <v>#REF!</v>
      </c>
      <c r="E86" s="1465" t="e">
        <f>E83/E60</f>
        <v>#REF!</v>
      </c>
      <c r="F86" s="1466" t="e">
        <f>F83/F60</f>
        <v>#REF!</v>
      </c>
      <c r="G86" s="1466" t="e">
        <f>G83/G60</f>
        <v>#REF!</v>
      </c>
      <c r="H86" s="1467"/>
      <c r="I86" s="1467"/>
      <c r="J86" s="1467"/>
      <c r="K86" s="1467"/>
      <c r="L86" s="1468"/>
    </row>
    <row r="87" spans="1:12" collapsed="1" x14ac:dyDescent="0.4"/>
    <row r="88" spans="1:12" x14ac:dyDescent="0.4">
      <c r="E88" s="1227"/>
    </row>
    <row r="92" spans="1:12" x14ac:dyDescent="0.4">
      <c r="A92" s="1171"/>
    </row>
    <row r="93" spans="1:12" s="1171" customFormat="1" x14ac:dyDescent="0.3">
      <c r="B93" s="1168"/>
      <c r="C93" s="1469"/>
      <c r="D93" s="1469"/>
      <c r="E93" s="1469"/>
      <c r="F93" s="1469"/>
    </row>
    <row r="95" spans="1:12" x14ac:dyDescent="0.4">
      <c r="C95" s="1470"/>
      <c r="D95" s="1471"/>
      <c r="E95" s="1471"/>
      <c r="F95" s="1471"/>
    </row>
    <row r="96" spans="1:12" x14ac:dyDescent="0.4">
      <c r="C96" s="1470"/>
      <c r="D96" s="1471"/>
      <c r="E96" s="1471"/>
      <c r="F96" s="1471"/>
    </row>
    <row r="97" spans="2:6" x14ac:dyDescent="0.4">
      <c r="C97" s="1470"/>
      <c r="D97" s="1471"/>
      <c r="E97" s="1471"/>
      <c r="F97" s="1471"/>
    </row>
    <row r="98" spans="2:6" x14ac:dyDescent="0.4">
      <c r="C98" s="1470"/>
      <c r="D98" s="1471"/>
      <c r="E98" s="1471"/>
      <c r="F98" s="1471"/>
    </row>
    <row r="99" spans="2:6" x14ac:dyDescent="0.4">
      <c r="C99" s="1470"/>
      <c r="D99" s="1471"/>
      <c r="E99" s="1471"/>
      <c r="F99" s="1471"/>
    </row>
    <row r="100" spans="2:6" x14ac:dyDescent="0.4">
      <c r="B100" s="1171"/>
      <c r="C100" s="1472"/>
      <c r="D100" s="1472"/>
      <c r="E100" s="1472"/>
      <c r="F100" s="1472"/>
    </row>
    <row r="101" spans="2:6" s="1171" customFormat="1" x14ac:dyDescent="0.4">
      <c r="C101" s="1259"/>
    </row>
    <row r="103" spans="2:6" x14ac:dyDescent="0.4">
      <c r="B103" s="1171"/>
      <c r="C103" s="1472"/>
      <c r="D103" s="1472"/>
      <c r="E103" s="1472"/>
      <c r="F103" s="1472"/>
    </row>
  </sheetData>
  <phoneticPr fontId="51" type="noConversion"/>
  <pageMargins left="0.75" right="0.75" top="1" bottom="1" header="0.5" footer="0.5"/>
  <headerFooter alignWithMargins="0"/>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indexed="10"/>
  </sheetPr>
  <dimension ref="A1:R44"/>
  <sheetViews>
    <sheetView zoomScale="125" workbookViewId="0">
      <pane xSplit="1" ySplit="2" topLeftCell="C3" activePane="bottomRight" state="frozen"/>
      <selection pane="topRight"/>
      <selection pane="bottomLeft"/>
      <selection pane="bottomRight" activeCell="O26" sqref="O26"/>
    </sheetView>
  </sheetViews>
  <sheetFormatPr defaultColWidth="9" defaultRowHeight="10.15" outlineLevelRow="1" outlineLevelCol="2" x14ac:dyDescent="0.4"/>
  <cols>
    <col min="1" max="1" width="21.25" style="1168" customWidth="1"/>
    <col min="2" max="2" width="23.75" style="1168" hidden="1" customWidth="1" outlineLevel="2"/>
    <col min="3" max="3" width="10.75" style="1169" customWidth="1"/>
    <col min="4" max="5" width="11" style="1168" customWidth="1"/>
    <col min="6" max="6" width="10.5" style="1168" customWidth="1"/>
    <col min="7" max="7" width="10.3125" style="1168" customWidth="1"/>
    <col min="8" max="8" width="10.75" style="1168" customWidth="1"/>
    <col min="9" max="10" width="8.75" style="1168" hidden="1" customWidth="1" outlineLevel="1"/>
    <col min="11" max="14" width="0" style="1168" hidden="1" customWidth="1" outlineLevel="1"/>
    <col min="15" max="16384" width="9" style="1168"/>
  </cols>
  <sheetData>
    <row r="1" spans="1:18" s="1407" customFormat="1" x14ac:dyDescent="0.4">
      <c r="A1" s="1473" t="s">
        <v>88</v>
      </c>
      <c r="B1" s="1473"/>
      <c r="C1" s="1474" t="e">
        <f>ROUND(C34-'BS (2)'!C28,1)</f>
        <v>#REF!</v>
      </c>
      <c r="D1" s="1474" t="e">
        <f>ROUND(D34-'BS (2)'!D28,1)</f>
        <v>#REF!</v>
      </c>
      <c r="E1" s="1474" t="e">
        <f>ROUND(E34-'BS (2)'!E28,1)</f>
        <v>#REF!</v>
      </c>
      <c r="F1" s="1474" t="e">
        <f>ROUND(F34-'BS (2)'!F28,1)</f>
        <v>#REF!</v>
      </c>
      <c r="G1" s="1474" t="e">
        <f>ROUND(G34-'BS (2)'!G28,1)</f>
        <v>#REF!</v>
      </c>
      <c r="H1" s="1474" t="e">
        <f>ROUND(H34-'BS (2)'!H28,1)</f>
        <v>#REF!</v>
      </c>
      <c r="I1" s="1474">
        <f>ROUND(I32-'BS (2)'!I28,1)</f>
        <v>0</v>
      </c>
      <c r="J1" s="1474">
        <f>ROUND(J32-'BS (2)'!J28,1)</f>
        <v>0</v>
      </c>
      <c r="K1" s="1474">
        <f>ROUND(K32-'BS (2)'!K28,1)</f>
        <v>0</v>
      </c>
      <c r="L1" s="1474">
        <f>ROUND(L32-'BS (2)'!L28,1)</f>
        <v>0</v>
      </c>
      <c r="M1" s="1474">
        <f>ROUND(M32-'BS (2)'!M28,1)</f>
        <v>0</v>
      </c>
      <c r="N1" s="1474">
        <f>ROUND(N32-'BS (2)'!N28,1)</f>
        <v>0</v>
      </c>
      <c r="O1" s="1474"/>
      <c r="P1" s="1474"/>
    </row>
    <row r="2" spans="1:18" s="1408" customFormat="1" x14ac:dyDescent="0.4">
      <c r="A2" s="1175" t="s">
        <v>758</v>
      </c>
      <c r="B2" s="1176" t="s">
        <v>759</v>
      </c>
      <c r="C2" s="1082" t="s">
        <v>495</v>
      </c>
      <c r="D2" s="1082" t="s">
        <v>525</v>
      </c>
      <c r="E2" s="1082" t="s">
        <v>807</v>
      </c>
      <c r="F2" s="1082" t="s">
        <v>523</v>
      </c>
      <c r="G2" s="1082" t="s">
        <v>441</v>
      </c>
      <c r="H2" s="1082" t="s">
        <v>578</v>
      </c>
      <c r="I2" s="1178" t="s">
        <v>579</v>
      </c>
      <c r="J2" s="1178" t="s">
        <v>580</v>
      </c>
      <c r="K2" s="1178" t="s">
        <v>581</v>
      </c>
      <c r="L2" s="1178" t="s">
        <v>582</v>
      </c>
      <c r="M2" s="1178" t="s">
        <v>583</v>
      </c>
      <c r="N2" s="1178" t="s">
        <v>584</v>
      </c>
    </row>
    <row r="3" spans="1:18" s="1408" customFormat="1" ht="10.5" x14ac:dyDescent="0.3">
      <c r="A3" s="1475" t="s">
        <v>100</v>
      </c>
      <c r="B3" s="1476" t="s">
        <v>314</v>
      </c>
      <c r="C3" s="1477"/>
      <c r="D3" s="1478"/>
      <c r="E3" s="1478"/>
      <c r="F3" s="1478"/>
      <c r="G3" s="1478"/>
      <c r="H3" s="1478"/>
      <c r="P3" s="1216"/>
      <c r="Q3" s="1216"/>
      <c r="R3" s="1216"/>
    </row>
    <row r="4" spans="1:18" x14ac:dyDescent="0.4">
      <c r="A4" s="1223" t="s">
        <v>241</v>
      </c>
      <c r="B4" s="1168" t="s">
        <v>774</v>
      </c>
      <c r="C4" s="1479" t="e">
        <f>#REF!</f>
        <v>#REF!</v>
      </c>
      <c r="D4" s="1479" t="e">
        <f>#REF!</f>
        <v>#REF!</v>
      </c>
      <c r="E4" s="1479" t="e">
        <f>#REF!</f>
        <v>#REF!</v>
      </c>
      <c r="F4" s="1479" t="e">
        <f>#REF!</f>
        <v>#REF!</v>
      </c>
      <c r="G4" s="1479" t="e">
        <f>#REF!</f>
        <v>#REF!</v>
      </c>
      <c r="H4" s="1479" t="e">
        <f>#REF!</f>
        <v>#REF!</v>
      </c>
      <c r="I4" s="1405"/>
      <c r="J4" s="1405"/>
      <c r="K4" s="1405"/>
      <c r="L4" s="1405"/>
      <c r="M4" s="1405"/>
      <c r="N4" s="1405"/>
      <c r="P4" s="1411"/>
      <c r="Q4" s="1411"/>
      <c r="R4" s="1411"/>
    </row>
    <row r="5" spans="1:18" x14ac:dyDescent="0.4">
      <c r="A5" s="1223" t="s">
        <v>242</v>
      </c>
      <c r="B5" s="1168" t="s">
        <v>775</v>
      </c>
      <c r="C5" s="1479" t="e">
        <f>#REF!</f>
        <v>#REF!</v>
      </c>
      <c r="D5" s="1479" t="e">
        <f>#REF!</f>
        <v>#REF!</v>
      </c>
      <c r="E5" s="1479" t="e">
        <f>#REF!</f>
        <v>#REF!</v>
      </c>
      <c r="F5" s="1479" t="e">
        <f>#REF!</f>
        <v>#REF!</v>
      </c>
      <c r="G5" s="1479" t="e">
        <f>#REF!</f>
        <v>#REF!</v>
      </c>
      <c r="H5" s="1479" t="e">
        <f>#REF!</f>
        <v>#REF!</v>
      </c>
      <c r="I5" s="1405"/>
      <c r="J5" s="1405"/>
      <c r="K5" s="1405"/>
      <c r="L5" s="1405"/>
      <c r="M5" s="1405"/>
      <c r="N5" s="1405"/>
      <c r="P5" s="1411"/>
      <c r="Q5" s="1411"/>
      <c r="R5" s="1411"/>
    </row>
    <row r="6" spans="1:18" x14ac:dyDescent="0.4">
      <c r="A6" s="1223" t="s">
        <v>243</v>
      </c>
      <c r="B6" s="1168" t="s">
        <v>776</v>
      </c>
      <c r="C6" s="1479" t="e">
        <f>#REF!</f>
        <v>#REF!</v>
      </c>
      <c r="D6" s="1479" t="e">
        <f>#REF!</f>
        <v>#REF!</v>
      </c>
      <c r="E6" s="1479" t="e">
        <f>#REF!</f>
        <v>#REF!</v>
      </c>
      <c r="F6" s="1479" t="e">
        <f>#REF!</f>
        <v>#REF!</v>
      </c>
      <c r="G6" s="1479" t="e">
        <f>#REF!</f>
        <v>#REF!</v>
      </c>
      <c r="H6" s="1479" t="e">
        <f>#REF!</f>
        <v>#REF!</v>
      </c>
      <c r="I6" s="1405"/>
      <c r="J6" s="1405"/>
      <c r="K6" s="1405"/>
      <c r="L6" s="1405"/>
      <c r="M6" s="1405"/>
      <c r="N6" s="1405"/>
      <c r="O6" s="1405"/>
      <c r="P6" s="1480"/>
      <c r="Q6" s="1480"/>
      <c r="R6" s="1480"/>
    </row>
    <row r="7" spans="1:18" x14ac:dyDescent="0.4">
      <c r="A7" s="1223" t="s">
        <v>244</v>
      </c>
      <c r="B7" s="1168" t="s">
        <v>777</v>
      </c>
      <c r="C7" s="1479" t="e">
        <f>#REF!</f>
        <v>#REF!</v>
      </c>
      <c r="D7" s="1479" t="e">
        <f>#REF!</f>
        <v>#REF!</v>
      </c>
      <c r="E7" s="1479" t="e">
        <f>#REF!</f>
        <v>#REF!</v>
      </c>
      <c r="F7" s="1479" t="e">
        <f>#REF!</f>
        <v>#REF!</v>
      </c>
      <c r="G7" s="1479" t="e">
        <f>#REF!</f>
        <v>#REF!</v>
      </c>
      <c r="H7" s="1479" t="e">
        <f>#REF!</f>
        <v>#REF!</v>
      </c>
      <c r="I7" s="1405"/>
      <c r="J7" s="1405"/>
      <c r="K7" s="1405"/>
      <c r="L7" s="1405"/>
      <c r="M7" s="1405"/>
      <c r="N7" s="1405"/>
      <c r="O7" s="1411"/>
      <c r="P7" s="1411"/>
      <c r="Q7" s="1411"/>
      <c r="R7" s="1411"/>
    </row>
    <row r="8" spans="1:18" x14ac:dyDescent="0.4">
      <c r="A8" s="1223" t="s">
        <v>245</v>
      </c>
      <c r="B8" s="1168" t="s">
        <v>778</v>
      </c>
      <c r="C8" s="1479" t="e">
        <f>#REF!</f>
        <v>#REF!</v>
      </c>
      <c r="D8" s="1479" t="e">
        <f>#REF!</f>
        <v>#REF!</v>
      </c>
      <c r="E8" s="1479" t="e">
        <f>#REF!</f>
        <v>#REF!</v>
      </c>
      <c r="F8" s="1479" t="e">
        <f>#REF!</f>
        <v>#REF!</v>
      </c>
      <c r="G8" s="1479" t="e">
        <f>#REF!</f>
        <v>#REF!</v>
      </c>
      <c r="H8" s="1479" t="e">
        <f>#REF!</f>
        <v>#REF!</v>
      </c>
      <c r="I8" s="1221"/>
      <c r="J8" s="1221"/>
      <c r="K8" s="1221"/>
      <c r="L8" s="1221"/>
      <c r="M8" s="1221"/>
      <c r="N8" s="1221"/>
      <c r="O8" s="1411"/>
      <c r="P8" s="1411"/>
      <c r="Q8" s="1411"/>
      <c r="R8" s="1411"/>
    </row>
    <row r="9" spans="1:18" x14ac:dyDescent="0.4">
      <c r="A9" s="1223" t="s">
        <v>246</v>
      </c>
      <c r="B9" s="1168" t="s">
        <v>779</v>
      </c>
      <c r="C9" s="1479" t="e">
        <f>#REF!</f>
        <v>#REF!</v>
      </c>
      <c r="D9" s="1479" t="e">
        <f>#REF!</f>
        <v>#REF!</v>
      </c>
      <c r="E9" s="1479" t="e">
        <f>#REF!</f>
        <v>#REF!</v>
      </c>
      <c r="F9" s="1479" t="e">
        <f>#REF!</f>
        <v>#REF!</v>
      </c>
      <c r="G9" s="1479" t="e">
        <f>#REF!</f>
        <v>#REF!</v>
      </c>
      <c r="H9" s="1479" t="e">
        <f>#REF!</f>
        <v>#REF!</v>
      </c>
      <c r="I9" s="1405"/>
      <c r="J9" s="1405"/>
      <c r="K9" s="1405"/>
      <c r="L9" s="1405"/>
      <c r="M9" s="1405"/>
      <c r="N9" s="1405"/>
      <c r="O9" s="1227"/>
      <c r="P9" s="1227"/>
      <c r="Q9" s="1227"/>
      <c r="R9" s="1227"/>
    </row>
    <row r="10" spans="1:18" x14ac:dyDescent="0.4">
      <c r="A10" s="1223" t="s">
        <v>247</v>
      </c>
      <c r="B10" s="1168" t="s">
        <v>781</v>
      </c>
      <c r="C10" s="1479" t="e">
        <f>#REF!</f>
        <v>#REF!</v>
      </c>
      <c r="D10" s="1479" t="e">
        <f>#REF!</f>
        <v>#REF!</v>
      </c>
      <c r="E10" s="1479" t="e">
        <f>#REF!</f>
        <v>#REF!</v>
      </c>
      <c r="F10" s="1479" t="e">
        <f>#REF!</f>
        <v>#REF!</v>
      </c>
      <c r="G10" s="1479" t="e">
        <f>#REF!</f>
        <v>#REF!</v>
      </c>
      <c r="H10" s="1479" t="e">
        <f>#REF!</f>
        <v>#REF!</v>
      </c>
      <c r="I10" s="1221"/>
      <c r="J10" s="1221"/>
      <c r="K10" s="1221"/>
      <c r="L10" s="1221"/>
      <c r="M10" s="1221"/>
      <c r="N10" s="1221"/>
      <c r="O10" s="1227"/>
      <c r="P10" s="1227"/>
      <c r="Q10" s="1227"/>
    </row>
    <row r="11" spans="1:18" s="1171" customFormat="1" x14ac:dyDescent="0.4">
      <c r="A11" s="1402" t="s">
        <v>248</v>
      </c>
      <c r="B11" s="1183" t="s">
        <v>315</v>
      </c>
      <c r="C11" s="1481" t="e">
        <f>#REF!</f>
        <v>#REF!</v>
      </c>
      <c r="D11" s="1481" t="e">
        <f>#REF!</f>
        <v>#REF!</v>
      </c>
      <c r="E11" s="1481" t="e">
        <f t="shared" ref="E11:N11" si="0">SUM(E4:E10)</f>
        <v>#REF!</v>
      </c>
      <c r="F11" s="1481" t="e">
        <f t="shared" si="0"/>
        <v>#REF!</v>
      </c>
      <c r="G11" s="1481" t="e">
        <f t="shared" si="0"/>
        <v>#REF!</v>
      </c>
      <c r="H11" s="1481" t="e">
        <f t="shared" si="0"/>
        <v>#REF!</v>
      </c>
      <c r="I11" s="1481">
        <f t="shared" si="0"/>
        <v>0</v>
      </c>
      <c r="J11" s="1481">
        <f t="shared" si="0"/>
        <v>0</v>
      </c>
      <c r="K11" s="1481">
        <f t="shared" si="0"/>
        <v>0</v>
      </c>
      <c r="L11" s="1481">
        <f t="shared" si="0"/>
        <v>0</v>
      </c>
      <c r="M11" s="1481">
        <f t="shared" si="0"/>
        <v>0</v>
      </c>
      <c r="N11" s="1481">
        <f t="shared" si="0"/>
        <v>0</v>
      </c>
      <c r="O11" s="1482"/>
      <c r="P11" s="1482"/>
      <c r="Q11" s="1482"/>
    </row>
    <row r="12" spans="1:18" x14ac:dyDescent="0.4">
      <c r="C12" s="1479"/>
      <c r="D12" s="1411"/>
      <c r="E12" s="1411"/>
      <c r="F12" s="1411"/>
      <c r="G12" s="1411"/>
      <c r="H12" s="1411"/>
    </row>
    <row r="13" spans="1:18" ht="10.5" x14ac:dyDescent="0.3">
      <c r="A13" s="1475" t="s">
        <v>101</v>
      </c>
      <c r="B13" s="1476" t="s">
        <v>316</v>
      </c>
      <c r="C13" s="1479"/>
      <c r="D13" s="1479"/>
      <c r="E13" s="1411"/>
      <c r="F13" s="1411"/>
      <c r="G13" s="1411"/>
      <c r="H13" s="1411"/>
    </row>
    <row r="14" spans="1:18" x14ac:dyDescent="0.4">
      <c r="A14" s="1223" t="s">
        <v>249</v>
      </c>
      <c r="B14" s="1168" t="s">
        <v>317</v>
      </c>
      <c r="C14" s="1483" t="e">
        <f>#REF!</f>
        <v>#REF!</v>
      </c>
      <c r="D14" s="1483" t="e">
        <f>#REF!</f>
        <v>#REF!</v>
      </c>
      <c r="E14" s="1483" t="e">
        <f>#REF!</f>
        <v>#REF!</v>
      </c>
      <c r="F14" s="1483" t="e">
        <f>#REF!</f>
        <v>#REF!</v>
      </c>
      <c r="G14" s="1483" t="e">
        <f>#REF!</f>
        <v>#REF!</v>
      </c>
      <c r="H14" s="1483" t="e">
        <f>#REF!</f>
        <v>#REF!</v>
      </c>
      <c r="I14" s="1221"/>
      <c r="J14" s="1221"/>
      <c r="K14" s="1221"/>
      <c r="L14" s="1221"/>
      <c r="M14" s="1221"/>
      <c r="N14" s="1221"/>
    </row>
    <row r="15" spans="1:18" x14ac:dyDescent="0.4">
      <c r="A15" s="1223" t="s">
        <v>250</v>
      </c>
      <c r="B15" s="1168" t="s">
        <v>828</v>
      </c>
      <c r="C15" s="1483" t="e">
        <f>#REF!</f>
        <v>#REF!</v>
      </c>
      <c r="D15" s="1483" t="e">
        <f>#REF!</f>
        <v>#REF!</v>
      </c>
      <c r="E15" s="1483" t="e">
        <f>#REF!</f>
        <v>#REF!</v>
      </c>
      <c r="F15" s="1483" t="e">
        <f>#REF!</f>
        <v>#REF!</v>
      </c>
      <c r="G15" s="1483" t="e">
        <f>#REF!</f>
        <v>#REF!</v>
      </c>
      <c r="H15" s="1483" t="e">
        <f>#REF!</f>
        <v>#REF!</v>
      </c>
      <c r="I15" s="1221"/>
      <c r="J15" s="1221"/>
      <c r="K15" s="1221"/>
      <c r="L15" s="1221"/>
      <c r="M15" s="1221"/>
      <c r="N15" s="1221"/>
    </row>
    <row r="16" spans="1:18" hidden="1" outlineLevel="1" x14ac:dyDescent="0.4">
      <c r="A16" s="1223" t="s">
        <v>601</v>
      </c>
      <c r="B16" s="1168" t="s">
        <v>265</v>
      </c>
      <c r="C16" s="1483" t="e">
        <f>#REF!</f>
        <v>#REF!</v>
      </c>
      <c r="D16" s="1483" t="e">
        <f>#REF!</f>
        <v>#REF!</v>
      </c>
      <c r="E16" s="1483" t="e">
        <f>#REF!</f>
        <v>#REF!</v>
      </c>
      <c r="F16" s="1483" t="e">
        <f>#REF!</f>
        <v>#REF!</v>
      </c>
      <c r="G16" s="1483" t="e">
        <f>#REF!</f>
        <v>#REF!</v>
      </c>
      <c r="H16" s="1483" t="e">
        <f>#REF!</f>
        <v>#REF!</v>
      </c>
      <c r="I16" s="1410">
        <f t="shared" ref="I16:N16" si="1">-I9</f>
        <v>0</v>
      </c>
      <c r="J16" s="1410">
        <f t="shared" si="1"/>
        <v>0</v>
      </c>
      <c r="K16" s="1410">
        <f t="shared" si="1"/>
        <v>0</v>
      </c>
      <c r="L16" s="1410">
        <f t="shared" si="1"/>
        <v>0</v>
      </c>
      <c r="M16" s="1410">
        <f t="shared" si="1"/>
        <v>0</v>
      </c>
      <c r="N16" s="1410">
        <f t="shared" si="1"/>
        <v>0</v>
      </c>
    </row>
    <row r="17" spans="1:17" collapsed="1" x14ac:dyDescent="0.4">
      <c r="A17" s="1223" t="s">
        <v>751</v>
      </c>
      <c r="B17" s="1168" t="s">
        <v>600</v>
      </c>
      <c r="C17" s="1483" t="e">
        <f>#REF!</f>
        <v>#REF!</v>
      </c>
      <c r="D17" s="1483" t="e">
        <f>#REF!</f>
        <v>#REF!</v>
      </c>
      <c r="E17" s="1483" t="e">
        <f>#REF!</f>
        <v>#REF!</v>
      </c>
      <c r="F17" s="1483" t="e">
        <f>#REF!</f>
        <v>#REF!</v>
      </c>
      <c r="G17" s="1483" t="e">
        <f>#REF!</f>
        <v>#REF!</v>
      </c>
      <c r="H17" s="1483" t="e">
        <f>#REF!</f>
        <v>#REF!</v>
      </c>
    </row>
    <row r="18" spans="1:17" s="1171" customFormat="1" x14ac:dyDescent="0.4">
      <c r="A18" s="1402" t="s">
        <v>602</v>
      </c>
      <c r="B18" s="1183" t="s">
        <v>266</v>
      </c>
      <c r="C18" s="1481" t="e">
        <f t="shared" ref="C18:H18" si="2">SUM(C14:C17)</f>
        <v>#REF!</v>
      </c>
      <c r="D18" s="1481" t="e">
        <f t="shared" si="2"/>
        <v>#REF!</v>
      </c>
      <c r="E18" s="1481" t="e">
        <f t="shared" si="2"/>
        <v>#REF!</v>
      </c>
      <c r="F18" s="1481" t="e">
        <f t="shared" si="2"/>
        <v>#REF!</v>
      </c>
      <c r="G18" s="1481" t="e">
        <f t="shared" si="2"/>
        <v>#REF!</v>
      </c>
      <c r="H18" s="1481" t="e">
        <f t="shared" si="2"/>
        <v>#REF!</v>
      </c>
      <c r="I18" s="1481">
        <f t="shared" ref="I18:N18" si="3">SUM(I14:I17)</f>
        <v>0</v>
      </c>
      <c r="J18" s="1481">
        <f t="shared" si="3"/>
        <v>0</v>
      </c>
      <c r="K18" s="1481">
        <f t="shared" si="3"/>
        <v>0</v>
      </c>
      <c r="L18" s="1481">
        <f t="shared" si="3"/>
        <v>0</v>
      </c>
      <c r="M18" s="1481">
        <f t="shared" si="3"/>
        <v>0</v>
      </c>
      <c r="N18" s="1481">
        <f t="shared" si="3"/>
        <v>0</v>
      </c>
      <c r="O18" s="1421"/>
    </row>
    <row r="19" spans="1:17" x14ac:dyDescent="0.4">
      <c r="C19" s="1479"/>
      <c r="D19" s="1479"/>
      <c r="E19" s="1410"/>
      <c r="F19" s="1410"/>
      <c r="G19" s="1410"/>
      <c r="H19" s="1410"/>
    </row>
    <row r="20" spans="1:17" ht="10.5" x14ac:dyDescent="0.3">
      <c r="A20" s="1475" t="s">
        <v>102</v>
      </c>
      <c r="B20" s="1476" t="s">
        <v>267</v>
      </c>
      <c r="C20" s="1479"/>
      <c r="D20" s="1479"/>
      <c r="E20" s="1410"/>
      <c r="F20" s="1410"/>
      <c r="G20" s="1410"/>
      <c r="H20" s="1410"/>
    </row>
    <row r="21" spans="1:17" x14ac:dyDescent="0.4">
      <c r="A21" s="1223" t="s">
        <v>603</v>
      </c>
      <c r="B21" s="1168" t="s">
        <v>268</v>
      </c>
      <c r="C21" s="1479" t="e">
        <f>#REF!</f>
        <v>#REF!</v>
      </c>
      <c r="D21" s="1479" t="e">
        <f>#REF!</f>
        <v>#REF!</v>
      </c>
      <c r="E21" s="1479" t="e">
        <f>#REF!</f>
        <v>#REF!</v>
      </c>
      <c r="F21" s="1479" t="e">
        <f>#REF!</f>
        <v>#REF!</v>
      </c>
      <c r="G21" s="1479" t="e">
        <f>#REF!</f>
        <v>#REF!</v>
      </c>
      <c r="H21" s="1479" t="e">
        <f>#REF!</f>
        <v>#REF!</v>
      </c>
    </row>
    <row r="22" spans="1:17" x14ac:dyDescent="0.4">
      <c r="A22" s="1223" t="s">
        <v>604</v>
      </c>
      <c r="B22" s="1168" t="s">
        <v>269</v>
      </c>
      <c r="C22" s="1479" t="e">
        <f>#REF!</f>
        <v>#REF!</v>
      </c>
      <c r="D22" s="1479" t="e">
        <f>#REF!</f>
        <v>#REF!</v>
      </c>
      <c r="E22" s="1479" t="e">
        <f>#REF!</f>
        <v>#REF!</v>
      </c>
      <c r="F22" s="1479" t="e">
        <f>#REF!</f>
        <v>#REF!</v>
      </c>
      <c r="G22" s="1479" t="e">
        <f>#REF!</f>
        <v>#REF!</v>
      </c>
      <c r="H22" s="1479" t="e">
        <f>#REF!</f>
        <v>#REF!</v>
      </c>
    </row>
    <row r="23" spans="1:17" hidden="1" x14ac:dyDescent="0.4">
      <c r="A23" s="1223" t="s">
        <v>605</v>
      </c>
      <c r="B23" s="1168" t="s">
        <v>270</v>
      </c>
      <c r="C23" s="1479" t="e">
        <f>#REF!</f>
        <v>#REF!</v>
      </c>
      <c r="D23" s="1479" t="e">
        <f>#REF!</f>
        <v>#REF!</v>
      </c>
      <c r="E23" s="1479" t="e">
        <f>#REF!</f>
        <v>#REF!</v>
      </c>
      <c r="F23" s="1479" t="e">
        <f>#REF!</f>
        <v>#REF!</v>
      </c>
      <c r="G23" s="1479" t="e">
        <f>#REF!</f>
        <v>#REF!</v>
      </c>
      <c r="H23" s="1479" t="e">
        <f>#REF!</f>
        <v>#REF!</v>
      </c>
      <c r="I23" s="1221"/>
      <c r="J23" s="1221"/>
      <c r="K23" s="1221"/>
      <c r="L23" s="1221"/>
      <c r="M23" s="1221"/>
      <c r="N23" s="1221"/>
    </row>
    <row r="24" spans="1:17" x14ac:dyDescent="0.4">
      <c r="A24" s="1223" t="s">
        <v>752</v>
      </c>
      <c r="B24" s="1168" t="s">
        <v>271</v>
      </c>
      <c r="C24" s="1479" t="e">
        <f>#REF!</f>
        <v>#REF!</v>
      </c>
      <c r="D24" s="1479" t="e">
        <f>#REF!</f>
        <v>#REF!</v>
      </c>
      <c r="E24" s="1479" t="e">
        <f>#REF!</f>
        <v>#REF!</v>
      </c>
      <c r="F24" s="1479" t="e">
        <f>#REF!</f>
        <v>#REF!</v>
      </c>
      <c r="G24" s="1479" t="e">
        <f>#REF!</f>
        <v>#REF!</v>
      </c>
      <c r="H24" s="1479" t="e">
        <f>#REF!</f>
        <v>#REF!</v>
      </c>
      <c r="I24" s="1221"/>
      <c r="J24" s="1221"/>
      <c r="K24" s="1221"/>
      <c r="L24" s="1221"/>
      <c r="M24" s="1221"/>
      <c r="N24" s="1221"/>
    </row>
    <row r="25" spans="1:17" x14ac:dyDescent="0.4">
      <c r="A25" s="1223" t="s">
        <v>551</v>
      </c>
      <c r="B25" s="1168" t="s">
        <v>600</v>
      </c>
      <c r="C25" s="1479" t="e">
        <f>#REF!</f>
        <v>#REF!</v>
      </c>
      <c r="D25" s="1479" t="e">
        <f>#REF!</f>
        <v>#REF!</v>
      </c>
      <c r="E25" s="1479" t="e">
        <f>#REF!</f>
        <v>#REF!</v>
      </c>
      <c r="F25" s="1479" t="e">
        <f>#REF!</f>
        <v>#REF!</v>
      </c>
      <c r="G25" s="1479" t="e">
        <f>#REF!</f>
        <v>#REF!</v>
      </c>
      <c r="H25" s="1479" t="e">
        <f>#REF!</f>
        <v>#REF!</v>
      </c>
      <c r="I25" s="1221"/>
      <c r="J25" s="1221"/>
      <c r="K25" s="1221"/>
      <c r="L25" s="1221"/>
      <c r="M25" s="1221"/>
      <c r="N25" s="1221"/>
    </row>
    <row r="26" spans="1:17" s="1171" customFormat="1" x14ac:dyDescent="0.4">
      <c r="A26" s="1402" t="s">
        <v>606</v>
      </c>
      <c r="B26" s="1183" t="s">
        <v>272</v>
      </c>
      <c r="C26" s="1481" t="e">
        <f>SUM(C21:C25)</f>
        <v>#REF!</v>
      </c>
      <c r="D26" s="1481" t="e">
        <f t="shared" ref="D26:N26" si="4">SUM(D21:D25)</f>
        <v>#REF!</v>
      </c>
      <c r="E26" s="1481" t="e">
        <f t="shared" si="4"/>
        <v>#REF!</v>
      </c>
      <c r="F26" s="1481" t="e">
        <f t="shared" si="4"/>
        <v>#REF!</v>
      </c>
      <c r="G26" s="1481" t="e">
        <f t="shared" si="4"/>
        <v>#REF!</v>
      </c>
      <c r="H26" s="1481" t="e">
        <f t="shared" si="4"/>
        <v>#REF!</v>
      </c>
      <c r="I26" s="1481">
        <f t="shared" si="4"/>
        <v>0</v>
      </c>
      <c r="J26" s="1481">
        <f t="shared" si="4"/>
        <v>0</v>
      </c>
      <c r="K26" s="1481">
        <f t="shared" si="4"/>
        <v>0</v>
      </c>
      <c r="L26" s="1481">
        <f t="shared" si="4"/>
        <v>0</v>
      </c>
      <c r="M26" s="1481">
        <f t="shared" si="4"/>
        <v>0</v>
      </c>
      <c r="N26" s="1481">
        <f t="shared" si="4"/>
        <v>0</v>
      </c>
    </row>
    <row r="27" spans="1:17" x14ac:dyDescent="0.4">
      <c r="C27" s="1479"/>
      <c r="D27" s="1479"/>
      <c r="E27" s="1410"/>
      <c r="F27" s="1410"/>
      <c r="G27" s="1410"/>
      <c r="H27" s="1410"/>
    </row>
    <row r="28" spans="1:17" ht="20.25" customHeight="1" x14ac:dyDescent="0.4">
      <c r="A28" s="1223" t="s">
        <v>607</v>
      </c>
      <c r="B28" s="1484" t="s">
        <v>780</v>
      </c>
      <c r="C28" s="1410" t="e">
        <f>#REF!</f>
        <v>#REF!</v>
      </c>
      <c r="D28" s="1410" t="e">
        <f>#REF!</f>
        <v>#REF!</v>
      </c>
      <c r="E28" s="1410" t="e">
        <f>#REF!</f>
        <v>#REF!</v>
      </c>
      <c r="F28" s="1410" t="e">
        <f>#REF!</f>
        <v>#REF!</v>
      </c>
      <c r="G28" s="1410" t="e">
        <f>#REF!</f>
        <v>#REF!</v>
      </c>
      <c r="H28" s="1410" t="e">
        <f>#REF!</f>
        <v>#REF!</v>
      </c>
      <c r="I28" s="1221"/>
      <c r="J28" s="1221"/>
      <c r="K28" s="1221"/>
      <c r="L28" s="1221"/>
      <c r="M28" s="1221"/>
      <c r="N28" s="1221"/>
    </row>
    <row r="29" spans="1:17" x14ac:dyDescent="0.4">
      <c r="A29" s="1223" t="s">
        <v>17</v>
      </c>
      <c r="B29" s="1484" t="s">
        <v>273</v>
      </c>
      <c r="C29" s="1410" t="e">
        <f>#REF!</f>
        <v>#REF!</v>
      </c>
      <c r="D29" s="1410" t="e">
        <f>#REF!</f>
        <v>#REF!</v>
      </c>
      <c r="E29" s="1410" t="e">
        <f>#REF!</f>
        <v>#REF!</v>
      </c>
      <c r="F29" s="1410" t="e">
        <f>#REF!</f>
        <v>#REF!</v>
      </c>
      <c r="G29" s="1410" t="e">
        <f>#REF!</f>
        <v>#REF!</v>
      </c>
      <c r="H29" s="1410" t="e">
        <f>#REF!</f>
        <v>#REF!</v>
      </c>
      <c r="I29" s="1479">
        <f t="shared" ref="I29:N29" si="5">I11+I18+I26+I28</f>
        <v>0</v>
      </c>
      <c r="J29" s="1479">
        <f t="shared" si="5"/>
        <v>0</v>
      </c>
      <c r="K29" s="1479">
        <f t="shared" si="5"/>
        <v>0</v>
      </c>
      <c r="L29" s="1479">
        <f t="shared" si="5"/>
        <v>0</v>
      </c>
      <c r="M29" s="1479">
        <f t="shared" si="5"/>
        <v>0</v>
      </c>
      <c r="N29" s="1479">
        <f t="shared" si="5"/>
        <v>0</v>
      </c>
      <c r="O29" s="1210"/>
      <c r="P29" s="1210"/>
      <c r="Q29" s="1210"/>
    </row>
    <row r="30" spans="1:17" x14ac:dyDescent="0.4">
      <c r="B30" s="1484"/>
      <c r="C30" s="1410"/>
      <c r="D30" s="1410"/>
      <c r="E30" s="1410"/>
      <c r="F30" s="1410"/>
      <c r="G30" s="1410"/>
      <c r="H30" s="1410"/>
    </row>
    <row r="31" spans="1:17" s="1171" customFormat="1" ht="22.5" customHeight="1" x14ac:dyDescent="0.4">
      <c r="A31" s="1223" t="s">
        <v>18</v>
      </c>
      <c r="B31" s="1484" t="s">
        <v>312</v>
      </c>
      <c r="C31" s="1410" t="e">
        <f>#REF!</f>
        <v>#REF!</v>
      </c>
      <c r="D31" s="1410" t="e">
        <f>#REF!</f>
        <v>#REF!</v>
      </c>
      <c r="E31" s="1410" t="e">
        <f>#REF!</f>
        <v>#REF!</v>
      </c>
      <c r="F31" s="1410" t="e">
        <f>#REF!</f>
        <v>#REF!</v>
      </c>
      <c r="G31" s="1410" t="e">
        <f>#REF!</f>
        <v>#REF!</v>
      </c>
      <c r="H31" s="1410" t="e">
        <f>#REF!</f>
        <v>#REF!</v>
      </c>
      <c r="O31" s="1421"/>
    </row>
    <row r="32" spans="1:17" ht="23.25" customHeight="1" x14ac:dyDescent="0.4">
      <c r="A32" s="1402" t="s">
        <v>19</v>
      </c>
      <c r="B32" s="1485" t="s">
        <v>313</v>
      </c>
      <c r="C32" s="1486" t="e">
        <f t="shared" ref="C32:H32" si="6">C31+C29</f>
        <v>#REF!</v>
      </c>
      <c r="D32" s="1486" t="e">
        <f t="shared" si="6"/>
        <v>#REF!</v>
      </c>
      <c r="E32" s="1486" t="e">
        <f t="shared" si="6"/>
        <v>#REF!</v>
      </c>
      <c r="F32" s="1486" t="e">
        <f t="shared" si="6"/>
        <v>#REF!</v>
      </c>
      <c r="G32" s="1486" t="e">
        <f t="shared" si="6"/>
        <v>#REF!</v>
      </c>
      <c r="H32" s="1486" t="e">
        <f t="shared" si="6"/>
        <v>#REF!</v>
      </c>
    </row>
    <row r="33" spans="1:14" x14ac:dyDescent="0.4">
      <c r="A33" s="1223" t="s">
        <v>730</v>
      </c>
      <c r="B33" s="1168" t="s">
        <v>731</v>
      </c>
      <c r="C33" s="1216" t="e">
        <f>#REF!</f>
        <v>#REF!</v>
      </c>
      <c r="D33" s="1216" t="e">
        <f>#REF!</f>
        <v>#REF!</v>
      </c>
      <c r="E33" s="1216" t="e">
        <f>#REF!</f>
        <v>#REF!</v>
      </c>
      <c r="F33" s="1216" t="e">
        <f>#REF!</f>
        <v>#REF!</v>
      </c>
      <c r="G33" s="1216" t="e">
        <f>#REF!</f>
        <v>#REF!</v>
      </c>
      <c r="H33" s="1216" t="e">
        <f>#REF!</f>
        <v>#REF!</v>
      </c>
      <c r="I33" s="1487"/>
      <c r="J33" s="1487"/>
      <c r="K33" s="1487"/>
      <c r="L33" s="1487"/>
      <c r="M33" s="1487"/>
      <c r="N33" s="1487"/>
    </row>
    <row r="34" spans="1:14" x14ac:dyDescent="0.4">
      <c r="A34" s="1488" t="s">
        <v>636</v>
      </c>
      <c r="B34" s="1183" t="s">
        <v>732</v>
      </c>
      <c r="C34" s="1486" t="e">
        <f>#REF!</f>
        <v>#REF!</v>
      </c>
      <c r="D34" s="1486" t="e">
        <f>#REF!</f>
        <v>#REF!</v>
      </c>
      <c r="E34" s="1486" t="e">
        <f>#REF!</f>
        <v>#REF!</v>
      </c>
      <c r="F34" s="1486" t="e">
        <f>#REF!</f>
        <v>#REF!</v>
      </c>
      <c r="G34" s="1486" t="e">
        <f>#REF!</f>
        <v>#REF!</v>
      </c>
      <c r="H34" s="1486" t="e">
        <f>#REF!</f>
        <v>#REF!</v>
      </c>
      <c r="I34" s="1403"/>
      <c r="J34" s="1403"/>
      <c r="K34" s="1403"/>
      <c r="L34" s="1403"/>
      <c r="M34" s="1403"/>
      <c r="N34" s="1403"/>
    </row>
    <row r="35" spans="1:14" x14ac:dyDescent="0.4">
      <c r="A35" s="1489"/>
      <c r="B35" s="1489"/>
      <c r="C35" s="1490"/>
      <c r="D35" s="1491"/>
      <c r="E35" s="1411"/>
      <c r="F35" s="1411"/>
      <c r="G35" s="1411"/>
    </row>
    <row r="36" spans="1:14" x14ac:dyDescent="0.4">
      <c r="A36" s="1489"/>
      <c r="B36" s="1489"/>
      <c r="C36" s="1492"/>
      <c r="D36" s="1493"/>
      <c r="E36" s="1411"/>
      <c r="F36" s="1411"/>
      <c r="G36" s="1411"/>
    </row>
    <row r="37" spans="1:14" x14ac:dyDescent="0.4">
      <c r="A37" s="1489"/>
      <c r="B37" s="1489"/>
      <c r="C37" s="1492"/>
      <c r="E37" s="1411"/>
      <c r="F37" s="1411"/>
      <c r="G37" s="1411"/>
    </row>
    <row r="38" spans="1:14" x14ac:dyDescent="0.4">
      <c r="A38" s="1489"/>
      <c r="B38" s="1489"/>
      <c r="C38" s="1492"/>
      <c r="D38" s="1223"/>
      <c r="F38" s="1411"/>
      <c r="G38" s="1411"/>
    </row>
    <row r="39" spans="1:14" x14ac:dyDescent="0.4">
      <c r="C39" s="1494"/>
      <c r="D39" s="1493"/>
      <c r="E39" s="1411"/>
      <c r="F39" s="1411"/>
      <c r="G39" s="1411"/>
    </row>
    <row r="40" spans="1:14" x14ac:dyDescent="0.4">
      <c r="C40" s="1494"/>
      <c r="D40" s="1493"/>
      <c r="F40" s="1411"/>
      <c r="G40" s="1411"/>
    </row>
    <row r="41" spans="1:14" x14ac:dyDescent="0.4">
      <c r="E41" s="1411"/>
      <c r="F41" s="1411"/>
      <c r="G41" s="1411"/>
      <c r="H41" s="1411"/>
      <c r="I41" s="1411"/>
      <c r="J41" s="1411"/>
      <c r="K41" s="1411"/>
      <c r="L41" s="1411"/>
      <c r="M41" s="1411"/>
      <c r="N41" s="1411"/>
    </row>
    <row r="42" spans="1:14" x14ac:dyDescent="0.4">
      <c r="E42" s="1411"/>
      <c r="F42" s="1411"/>
      <c r="G42" s="1411"/>
    </row>
    <row r="43" spans="1:14" x14ac:dyDescent="0.4">
      <c r="E43" s="1227"/>
      <c r="F43" s="1227"/>
      <c r="G43" s="1227"/>
    </row>
    <row r="44" spans="1:14" x14ac:dyDescent="0.4">
      <c r="D44" s="1493"/>
      <c r="E44" s="1411"/>
      <c r="F44" s="1411"/>
      <c r="G44" s="1411"/>
    </row>
  </sheetData>
  <phoneticPr fontId="51" type="noConversion"/>
  <pageMargins left="0.75" right="0.75" top="1" bottom="1" header="0.5" footer="0.5"/>
  <headerFooter alignWithMargins="0"/>
  <legacy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640000"/>
  </sheetPr>
  <dimension ref="A1:T86"/>
  <sheetViews>
    <sheetView showGridLines="0" workbookViewId="0"/>
  </sheetViews>
  <sheetFormatPr defaultColWidth="9" defaultRowHeight="11.65" x14ac:dyDescent="0.35"/>
  <cols>
    <col min="1" max="1" width="21.25" style="1062" customWidth="1"/>
    <col min="2" max="2" width="9.3125" style="1062" bestFit="1" customWidth="1"/>
    <col min="3" max="3" width="11.75" style="1062" customWidth="1"/>
    <col min="4" max="4" width="10.75" style="1062" customWidth="1"/>
    <col min="5" max="5" width="9" style="1062" customWidth="1"/>
    <col min="6" max="13" width="9" style="1281"/>
    <col min="14" max="14" width="15" style="1281" customWidth="1"/>
    <col min="15" max="18" width="11.3125" style="1281" customWidth="1"/>
    <col min="19" max="16384" width="9" style="1281"/>
  </cols>
  <sheetData>
    <row r="1" spans="1:20" x14ac:dyDescent="0.35">
      <c r="A1" s="1103" t="s">
        <v>1659</v>
      </c>
      <c r="N1" s="1771" t="s">
        <v>1697</v>
      </c>
      <c r="O1" s="1772" t="s">
        <v>1698</v>
      </c>
      <c r="P1" s="1772"/>
      <c r="Q1" s="1772" t="s">
        <v>1699</v>
      </c>
      <c r="R1" s="1772"/>
      <c r="S1" s="1773" t="s">
        <v>1700</v>
      </c>
    </row>
    <row r="2" spans="1:20" ht="20.25" x14ac:dyDescent="0.35">
      <c r="A2" s="1064" t="s">
        <v>1650</v>
      </c>
      <c r="H2" s="1064" t="s">
        <v>1650</v>
      </c>
      <c r="N2" s="1771"/>
      <c r="O2" s="1497" t="s">
        <v>1702</v>
      </c>
      <c r="P2" s="1495" t="s">
        <v>1701</v>
      </c>
      <c r="Q2" s="1497" t="s">
        <v>1702</v>
      </c>
      <c r="R2" s="1495" t="s">
        <v>1701</v>
      </c>
      <c r="S2" s="1773"/>
    </row>
    <row r="3" spans="1:20" s="1498" customFormat="1" ht="20.25" x14ac:dyDescent="0.4">
      <c r="A3" s="1499" t="s">
        <v>1644</v>
      </c>
      <c r="B3" s="1500" t="s">
        <v>1651</v>
      </c>
      <c r="C3" s="1500" t="s">
        <v>1689</v>
      </c>
      <c r="D3" s="1500" t="s">
        <v>1646</v>
      </c>
      <c r="E3" s="1500" t="s">
        <v>1647</v>
      </c>
      <c r="H3" s="1499" t="s">
        <v>1644</v>
      </c>
      <c r="I3" s="1500" t="s">
        <v>1651</v>
      </c>
      <c r="J3" s="1500" t="s">
        <v>1690</v>
      </c>
      <c r="K3" s="1500" t="s">
        <v>1691</v>
      </c>
      <c r="N3" s="1501" t="s">
        <v>1693</v>
      </c>
      <c r="O3" s="1502">
        <v>2336.0916590000002</v>
      </c>
      <c r="P3" s="1503">
        <f>O3/$O$6</f>
        <v>0.57591480856289456</v>
      </c>
      <c r="Q3" s="1502">
        <v>2767.9162980000001</v>
      </c>
      <c r="R3" s="1503">
        <f>Q3/$Q$6</f>
        <v>0.61671800651374664</v>
      </c>
      <c r="S3" s="1504">
        <f>Q3/O3-1</f>
        <v>0.1848491848923639</v>
      </c>
    </row>
    <row r="4" spans="1:20" x14ac:dyDescent="0.35">
      <c r="A4" s="1069" t="s">
        <v>1648</v>
      </c>
      <c r="B4" s="1505">
        <v>18797.659</v>
      </c>
      <c r="C4" s="1505">
        <v>47.393999999999998</v>
      </c>
      <c r="D4" s="1505">
        <v>0</v>
      </c>
      <c r="E4" s="1505">
        <f>SUM(B4:D4)</f>
        <v>18845.053</v>
      </c>
      <c r="H4" s="1069" t="s">
        <v>1648</v>
      </c>
      <c r="I4" s="1505">
        <v>18797.659</v>
      </c>
      <c r="J4" s="1505">
        <v>47.393999999999998</v>
      </c>
      <c r="K4" s="1505">
        <f>SUM(I4:J4)</f>
        <v>18845.053</v>
      </c>
      <c r="N4" s="1506" t="s">
        <v>1694</v>
      </c>
      <c r="O4" s="1507">
        <v>13.541496</v>
      </c>
      <c r="P4" s="1508">
        <f>O4/$O$6</f>
        <v>3.3383741799898285E-3</v>
      </c>
      <c r="Q4" s="1509">
        <v>13.541496</v>
      </c>
      <c r="R4" s="1508">
        <f>Q4/$Q$6</f>
        <v>3.0171737578799694E-3</v>
      </c>
      <c r="S4" s="1510">
        <f>Q4/O4-1</f>
        <v>0</v>
      </c>
    </row>
    <row r="5" spans="1:20" x14ac:dyDescent="0.35">
      <c r="A5" s="1069" t="s">
        <v>1649</v>
      </c>
      <c r="B5" s="1505">
        <v>-16534.904999999999</v>
      </c>
      <c r="C5" s="1505">
        <v>-2.7160000000000002</v>
      </c>
      <c r="D5" s="1505">
        <v>0</v>
      </c>
      <c r="E5" s="1505">
        <f>SUM(B5:D5)</f>
        <v>-16537.620999999999</v>
      </c>
      <c r="H5" s="1069" t="s">
        <v>1649</v>
      </c>
      <c r="I5" s="1505">
        <v>-16534.904999999999</v>
      </c>
      <c r="J5" s="1505">
        <v>-2.7160000000000002</v>
      </c>
      <c r="K5" s="1505">
        <f t="shared" ref="K5:K14" si="0">SUM(I5:J5)</f>
        <v>-16537.620999999999</v>
      </c>
      <c r="N5" s="1511" t="s">
        <v>1695</v>
      </c>
      <c r="O5" s="1502">
        <v>1706.6814670000001</v>
      </c>
      <c r="P5" s="1503">
        <f>O5/$O$6</f>
        <v>0.42074681725711566</v>
      </c>
      <c r="Q5" s="1512">
        <v>1706.6814670000001</v>
      </c>
      <c r="R5" s="1503">
        <f>Q5/$Q$6</f>
        <v>0.38026481972837339</v>
      </c>
      <c r="S5" s="1504">
        <f>Q5/O5-1</f>
        <v>0</v>
      </c>
    </row>
    <row r="6" spans="1:20" x14ac:dyDescent="0.35">
      <c r="A6" s="1103" t="s">
        <v>1653</v>
      </c>
      <c r="B6" s="1513">
        <f>SUM(B4:B5)</f>
        <v>2262.7540000000008</v>
      </c>
      <c r="C6" s="1513">
        <f>SUM(C4:C5)</f>
        <v>44.677999999999997</v>
      </c>
      <c r="D6" s="1514">
        <v>0</v>
      </c>
      <c r="E6" s="1514">
        <f>SUM(E4:E5)</f>
        <v>2307.4320000000007</v>
      </c>
      <c r="H6" s="1103" t="s">
        <v>1653</v>
      </c>
      <c r="I6" s="1513">
        <f>SUM(I4:I5)</f>
        <v>2262.7540000000008</v>
      </c>
      <c r="J6" s="1513">
        <f>SUM(J4:J5)</f>
        <v>44.677999999999997</v>
      </c>
      <c r="K6" s="1514">
        <f t="shared" si="0"/>
        <v>2307.4320000000007</v>
      </c>
      <c r="L6" s="1515"/>
      <c r="N6" s="1506" t="s">
        <v>1696</v>
      </c>
      <c r="O6" s="1509">
        <f>SUM(O3:O5)</f>
        <v>4056.3146219999999</v>
      </c>
      <c r="P6" s="1508">
        <f>O6/$O$6</f>
        <v>1</v>
      </c>
      <c r="Q6" s="1509">
        <f>SUM(Q3:Q5)</f>
        <v>4488.1392610000003</v>
      </c>
      <c r="R6" s="1508">
        <f>Q6/$Q$6</f>
        <v>1</v>
      </c>
      <c r="S6" s="1510">
        <f>Q6/O6-1</f>
        <v>0.10645738293029283</v>
      </c>
    </row>
    <row r="7" spans="1:20" x14ac:dyDescent="0.35">
      <c r="A7" s="1069" t="s">
        <v>1652</v>
      </c>
      <c r="B7" s="1505">
        <v>-93.501999999999995</v>
      </c>
      <c r="C7" s="1505">
        <v>1183.117</v>
      </c>
      <c r="D7" s="1505">
        <v>0</v>
      </c>
      <c r="E7" s="1505">
        <f>SUM(B7:D7)</f>
        <v>1089.615</v>
      </c>
      <c r="H7" s="1069" t="s">
        <v>1652</v>
      </c>
      <c r="I7" s="1505">
        <v>-93.501999999999995</v>
      </c>
      <c r="J7" s="1505">
        <v>1183.117</v>
      </c>
      <c r="K7" s="1505">
        <f t="shared" si="0"/>
        <v>1089.615</v>
      </c>
    </row>
    <row r="8" spans="1:20" x14ac:dyDescent="0.35">
      <c r="A8" s="1069" t="s">
        <v>1654</v>
      </c>
      <c r="B8" s="1505">
        <v>-644.59100000000001</v>
      </c>
      <c r="C8" s="1505">
        <v>-1.6419999999999999</v>
      </c>
      <c r="D8" s="1505">
        <v>0.501</v>
      </c>
      <c r="E8" s="1505">
        <f>SUM(B8:D8)</f>
        <v>-645.73200000000008</v>
      </c>
      <c r="H8" s="1069" t="s">
        <v>1654</v>
      </c>
      <c r="I8" s="1505">
        <v>-644.59100000000001</v>
      </c>
      <c r="J8" s="1505">
        <v>-1.6419999999999999</v>
      </c>
      <c r="K8" s="1505">
        <f t="shared" si="0"/>
        <v>-646.23300000000006</v>
      </c>
    </row>
    <row r="9" spans="1:20" x14ac:dyDescent="0.35">
      <c r="A9" s="1168" t="s">
        <v>1643</v>
      </c>
      <c r="B9" s="1505">
        <v>-312.15300000000002</v>
      </c>
      <c r="C9" s="1505">
        <v>-11.798999999999999</v>
      </c>
      <c r="D9" s="1505">
        <v>0</v>
      </c>
      <c r="E9" s="1505">
        <f>SUM(B9:D9)</f>
        <v>-323.952</v>
      </c>
      <c r="H9" s="1168" t="s">
        <v>1643</v>
      </c>
      <c r="I9" s="1505">
        <v>-312.15300000000002</v>
      </c>
      <c r="J9" s="1505">
        <v>-11.798999999999999</v>
      </c>
      <c r="K9" s="1505">
        <f t="shared" si="0"/>
        <v>-323.952</v>
      </c>
    </row>
    <row r="10" spans="1:20" x14ac:dyDescent="0.35">
      <c r="A10" s="1168" t="s">
        <v>1641</v>
      </c>
      <c r="B10" s="1505">
        <v>249.16</v>
      </c>
      <c r="C10" s="1505">
        <v>0</v>
      </c>
      <c r="D10" s="1505">
        <v>0</v>
      </c>
      <c r="E10" s="1505">
        <f>SUM(B10:D10)</f>
        <v>249.16</v>
      </c>
      <c r="H10" s="1168" t="s">
        <v>1641</v>
      </c>
      <c r="I10" s="1505">
        <v>249.16</v>
      </c>
      <c r="J10" s="1505">
        <v>0</v>
      </c>
      <c r="K10" s="1505">
        <f t="shared" si="0"/>
        <v>249.16</v>
      </c>
      <c r="N10" s="1516" t="s">
        <v>1704</v>
      </c>
      <c r="O10" s="1770" t="s">
        <v>1707</v>
      </c>
      <c r="P10" s="1770"/>
      <c r="Q10" s="1770" t="s">
        <v>1708</v>
      </c>
      <c r="R10" s="1770"/>
      <c r="S10" s="1770" t="s">
        <v>1709</v>
      </c>
      <c r="T10" s="1770"/>
    </row>
    <row r="11" spans="1:20" x14ac:dyDescent="0.35">
      <c r="A11" s="1171" t="s">
        <v>1655</v>
      </c>
      <c r="B11" s="1514">
        <f>SUM(B6:B10)</f>
        <v>1461.668000000001</v>
      </c>
      <c r="C11" s="1514">
        <f>SUM(C6:C10)</f>
        <v>1214.354</v>
      </c>
      <c r="D11" s="1514">
        <f>SUM(D6:D10)</f>
        <v>0.501</v>
      </c>
      <c r="E11" s="1514">
        <f>SUM(E6:E10)</f>
        <v>2676.5230000000001</v>
      </c>
      <c r="H11" s="1171" t="s">
        <v>1655</v>
      </c>
      <c r="I11" s="1514">
        <f>SUM(I6:I10)</f>
        <v>1461.668000000001</v>
      </c>
      <c r="J11" s="1514">
        <f>SUM(J6:J10)</f>
        <v>1214.354</v>
      </c>
      <c r="K11" s="1514">
        <f t="shared" si="0"/>
        <v>2676.0220000000008</v>
      </c>
      <c r="N11" s="1517" t="s">
        <v>1712</v>
      </c>
      <c r="O11" s="1517" t="s">
        <v>1705</v>
      </c>
      <c r="P11" s="1517" t="s">
        <v>1706</v>
      </c>
      <c r="Q11" s="1517" t="s">
        <v>1705</v>
      </c>
      <c r="R11" s="1517" t="s">
        <v>1706</v>
      </c>
      <c r="S11" s="1517" t="s">
        <v>1705</v>
      </c>
      <c r="T11" s="1517" t="s">
        <v>1706</v>
      </c>
    </row>
    <row r="12" spans="1:20" x14ac:dyDescent="0.35">
      <c r="A12" s="1069" t="s">
        <v>1656</v>
      </c>
      <c r="B12" s="1505">
        <v>-427.54199999999997</v>
      </c>
      <c r="C12" s="1505">
        <v>-5.2480000000000002</v>
      </c>
      <c r="D12" s="1505">
        <v>-0.23799999999999999</v>
      </c>
      <c r="E12" s="1505">
        <f>SUM(B12:D12)</f>
        <v>-433.02799999999996</v>
      </c>
      <c r="H12" s="1069" t="s">
        <v>1656</v>
      </c>
      <c r="I12" s="1505">
        <v>-427.54199999999997</v>
      </c>
      <c r="J12" s="1505">
        <v>-5.2480000000000002</v>
      </c>
      <c r="K12" s="1505">
        <f t="shared" si="0"/>
        <v>-432.78999999999996</v>
      </c>
      <c r="N12" s="1069" t="s">
        <v>609</v>
      </c>
      <c r="O12" s="1505">
        <f>I20</f>
        <v>16975.732</v>
      </c>
      <c r="P12" s="1505">
        <f>I4</f>
        <v>18797.659</v>
      </c>
      <c r="Q12" s="1505">
        <f>K20</f>
        <v>17017.498</v>
      </c>
      <c r="R12" s="1505">
        <f>K4</f>
        <v>18845.053</v>
      </c>
      <c r="S12" s="1070">
        <f t="shared" ref="S12:T16" si="1">Q12/O12-1</f>
        <v>2.4603357310306606E-3</v>
      </c>
      <c r="T12" s="1070">
        <f t="shared" si="1"/>
        <v>2.5212713987416979E-3</v>
      </c>
    </row>
    <row r="13" spans="1:20" x14ac:dyDescent="0.35">
      <c r="A13" s="1069" t="s">
        <v>1657</v>
      </c>
      <c r="B13" s="1505">
        <v>10</v>
      </c>
      <c r="C13" s="1505">
        <v>0</v>
      </c>
      <c r="D13" s="1505">
        <v>0</v>
      </c>
      <c r="E13" s="1505">
        <f>SUM(B13:D13)</f>
        <v>10</v>
      </c>
      <c r="H13" s="1069" t="s">
        <v>1657</v>
      </c>
      <c r="I13" s="1505">
        <v>10</v>
      </c>
      <c r="J13" s="1505">
        <v>0</v>
      </c>
      <c r="K13" s="1505">
        <f t="shared" si="0"/>
        <v>10</v>
      </c>
      <c r="N13" s="1069" t="s">
        <v>1710</v>
      </c>
      <c r="O13" s="1505">
        <f>I22</f>
        <v>2506.4950000000008</v>
      </c>
      <c r="P13" s="1505">
        <f>I6</f>
        <v>2262.7540000000008</v>
      </c>
      <c r="Q13" s="1505">
        <f>K22</f>
        <v>2545.8540000000007</v>
      </c>
      <c r="R13" s="1505">
        <f>K6</f>
        <v>2307.4320000000007</v>
      </c>
      <c r="S13" s="1070">
        <f t="shared" si="1"/>
        <v>1.570280411490943E-2</v>
      </c>
      <c r="T13" s="1070">
        <f t="shared" si="1"/>
        <v>1.9744965648055279E-2</v>
      </c>
    </row>
    <row r="14" spans="1:20" x14ac:dyDescent="0.35">
      <c r="A14" s="1171" t="s">
        <v>1642</v>
      </c>
      <c r="B14" s="1514">
        <f>SUM(B11:B13)</f>
        <v>1044.1260000000011</v>
      </c>
      <c r="C14" s="1514">
        <f>SUM(C11:C13)</f>
        <v>1209.106</v>
      </c>
      <c r="D14" s="1514">
        <f>SUM(D11:D13)</f>
        <v>0.26300000000000001</v>
      </c>
      <c r="E14" s="1514">
        <f>SUM(B14:D14)</f>
        <v>2253.4950000000008</v>
      </c>
      <c r="H14" s="1171" t="s">
        <v>1642</v>
      </c>
      <c r="I14" s="1514">
        <f>SUM(I11:I13)</f>
        <v>1044.1260000000011</v>
      </c>
      <c r="J14" s="1514">
        <f>SUM(J11:J13)</f>
        <v>1209.106</v>
      </c>
      <c r="K14" s="1514">
        <f t="shared" si="0"/>
        <v>2253.2320000000009</v>
      </c>
      <c r="N14" s="1069" t="s">
        <v>22</v>
      </c>
      <c r="O14" s="1505">
        <f>I30</f>
        <v>1765.3470000000011</v>
      </c>
      <c r="P14" s="1505">
        <f>I14</f>
        <v>1044.1260000000011</v>
      </c>
      <c r="Q14" s="1505">
        <f>K30</f>
        <v>1870.8950000000011</v>
      </c>
      <c r="R14" s="1505">
        <f>K14</f>
        <v>2253.2320000000009</v>
      </c>
      <c r="S14" s="1070">
        <f t="shared" si="1"/>
        <v>5.9788812057912644E-2</v>
      </c>
      <c r="T14" s="1070">
        <f t="shared" si="1"/>
        <v>1.1580077500225054</v>
      </c>
    </row>
    <row r="15" spans="1:20" x14ac:dyDescent="0.35">
      <c r="A15" s="1069"/>
      <c r="B15" s="1505"/>
      <c r="C15" s="1505"/>
      <c r="D15" s="1505"/>
      <c r="E15" s="1505"/>
      <c r="H15" s="1182" t="s">
        <v>1692</v>
      </c>
      <c r="I15" s="1505">
        <v>4056.3146219999999</v>
      </c>
      <c r="K15" s="1505">
        <v>4488.1392610000003</v>
      </c>
      <c r="N15" s="1069" t="s">
        <v>1692</v>
      </c>
      <c r="O15" s="1505">
        <f>I15</f>
        <v>4056.3146219999999</v>
      </c>
      <c r="P15" s="1505">
        <v>4056.3146219999999</v>
      </c>
      <c r="Q15" s="1505">
        <v>4488.1392610000003</v>
      </c>
      <c r="R15" s="1505">
        <v>4488.1392610000003</v>
      </c>
      <c r="S15" s="1070">
        <f t="shared" si="1"/>
        <v>0.10645738293029283</v>
      </c>
      <c r="T15" s="1070">
        <f t="shared" si="1"/>
        <v>0.10645738293029283</v>
      </c>
    </row>
    <row r="16" spans="1:20" x14ac:dyDescent="0.35">
      <c r="A16" s="1069"/>
      <c r="B16" s="1505"/>
      <c r="C16" s="1505"/>
      <c r="D16" s="1505"/>
      <c r="E16" s="1505"/>
      <c r="H16" s="1182" t="s">
        <v>1703</v>
      </c>
      <c r="I16" s="1102">
        <f>I14/I15</f>
        <v>0.25740754781126568</v>
      </c>
      <c r="K16" s="1102">
        <f>K14/K15</f>
        <v>0.50204146283508133</v>
      </c>
      <c r="N16" s="1518" t="s">
        <v>1711</v>
      </c>
      <c r="O16" s="1519">
        <f>O14/O15</f>
        <v>0.43520958419383704</v>
      </c>
      <c r="P16" s="1519">
        <f>P14/P15</f>
        <v>0.25740754781126568</v>
      </c>
      <c r="Q16" s="1519">
        <f>Q14/Q15</f>
        <v>0.41685315254303135</v>
      </c>
      <c r="R16" s="1519">
        <f>R14/R15</f>
        <v>0.50204146283508133</v>
      </c>
      <c r="S16" s="1520">
        <f t="shared" si="1"/>
        <v>-4.2178371794840741E-2</v>
      </c>
      <c r="T16" s="1520">
        <f t="shared" si="1"/>
        <v>0.95037584213802528</v>
      </c>
    </row>
    <row r="17" spans="1:20" s="1521" customFormat="1" ht="20.25" x14ac:dyDescent="0.4">
      <c r="A17" s="1522" t="s">
        <v>1658</v>
      </c>
      <c r="B17" s="1500" t="s">
        <v>1651</v>
      </c>
      <c r="C17" s="1500" t="s">
        <v>1645</v>
      </c>
      <c r="D17" s="1500" t="s">
        <v>1646</v>
      </c>
      <c r="E17" s="1500" t="s">
        <v>1647</v>
      </c>
      <c r="N17" s="1523"/>
    </row>
    <row r="18" spans="1:20" ht="12" x14ac:dyDescent="0.35">
      <c r="A18" s="1069" t="s">
        <v>1648</v>
      </c>
      <c r="B18" s="1083">
        <v>16975.732</v>
      </c>
      <c r="C18" s="1083">
        <v>41.765999999999998</v>
      </c>
      <c r="D18" s="1505">
        <v>0</v>
      </c>
      <c r="E18" s="1083">
        <f>SUM(B18:D18)</f>
        <v>17017.498</v>
      </c>
      <c r="N18" s="1524"/>
    </row>
    <row r="19" spans="1:20" ht="20.25" x14ac:dyDescent="0.35">
      <c r="A19" s="1069" t="s">
        <v>1649</v>
      </c>
      <c r="B19" s="1505">
        <v>-14469.236999999999</v>
      </c>
      <c r="C19" s="1505">
        <v>-2.407</v>
      </c>
      <c r="D19" s="1505">
        <v>0</v>
      </c>
      <c r="E19" s="1505">
        <f>SUM(B19:D19)</f>
        <v>-14471.643999999998</v>
      </c>
      <c r="H19" s="1522" t="s">
        <v>1658</v>
      </c>
      <c r="I19" s="1500" t="s">
        <v>1651</v>
      </c>
      <c r="J19" s="1500" t="s">
        <v>1645</v>
      </c>
      <c r="K19" s="1500" t="s">
        <v>1691</v>
      </c>
      <c r="N19" s="1524"/>
    </row>
    <row r="20" spans="1:20" x14ac:dyDescent="0.35">
      <c r="A20" s="1103" t="s">
        <v>1653</v>
      </c>
      <c r="B20" s="1513">
        <f>SUM(B18:B19)</f>
        <v>2506.4950000000008</v>
      </c>
      <c r="C20" s="1513">
        <f>SUM(C18:C19)</f>
        <v>39.358999999999995</v>
      </c>
      <c r="D20" s="1505">
        <v>0</v>
      </c>
      <c r="E20" s="1513">
        <f>SUM(E18:E19)</f>
        <v>2545.8540000000012</v>
      </c>
      <c r="H20" s="1069" t="s">
        <v>1648</v>
      </c>
      <c r="I20" s="1083">
        <v>16975.732</v>
      </c>
      <c r="J20" s="1083">
        <v>41.765999999999998</v>
      </c>
      <c r="K20" s="1505">
        <f>SUM(I20:J20)</f>
        <v>17017.498</v>
      </c>
      <c r="N20" s="1516" t="s">
        <v>1713</v>
      </c>
      <c r="O20" s="1770" t="s">
        <v>1707</v>
      </c>
      <c r="P20" s="1770"/>
      <c r="Q20" s="1770" t="s">
        <v>1708</v>
      </c>
      <c r="R20" s="1770"/>
      <c r="S20" s="1770" t="s">
        <v>1709</v>
      </c>
      <c r="T20" s="1770"/>
    </row>
    <row r="21" spans="1:20" x14ac:dyDescent="0.35">
      <c r="A21" s="1069" t="s">
        <v>1652</v>
      </c>
      <c r="B21" s="1083">
        <v>167.386</v>
      </c>
      <c r="C21" s="1083">
        <v>88.007999999999996</v>
      </c>
      <c r="D21" s="1505">
        <v>0</v>
      </c>
      <c r="E21" s="1083">
        <f>SUM(B21:D21)</f>
        <v>255.39400000000001</v>
      </c>
      <c r="H21" s="1069" t="s">
        <v>1649</v>
      </c>
      <c r="I21" s="1505">
        <v>-14469.236999999999</v>
      </c>
      <c r="J21" s="1505">
        <v>-2.407</v>
      </c>
      <c r="K21" s="1505">
        <f t="shared" ref="K21:K30" si="2">SUM(I21:J21)</f>
        <v>-14471.643999999998</v>
      </c>
      <c r="N21" s="1517" t="s">
        <v>1712</v>
      </c>
      <c r="O21" s="1517" t="s">
        <v>1714</v>
      </c>
      <c r="P21" s="1517" t="s">
        <v>1715</v>
      </c>
      <c r="Q21" s="1517" t="s">
        <v>1714</v>
      </c>
      <c r="R21" s="1517" t="s">
        <v>1715</v>
      </c>
      <c r="S21" s="1517" t="s">
        <v>1714</v>
      </c>
      <c r="T21" s="1517" t="s">
        <v>1715</v>
      </c>
    </row>
    <row r="22" spans="1:20" x14ac:dyDescent="0.35">
      <c r="A22" s="1069" t="s">
        <v>1654</v>
      </c>
      <c r="B22" s="1505">
        <v>-444.21100000000001</v>
      </c>
      <c r="C22" s="1505">
        <v>-7.1059999999999999</v>
      </c>
      <c r="D22" s="1505">
        <v>0.503</v>
      </c>
      <c r="E22" s="1505">
        <f>SUM(B22:D22)</f>
        <v>-450.81400000000002</v>
      </c>
      <c r="H22" s="1103" t="s">
        <v>1653</v>
      </c>
      <c r="I22" s="1513">
        <f>SUM(I20:I21)</f>
        <v>2506.4950000000008</v>
      </c>
      <c r="J22" s="1513">
        <f>SUM(J20:J21)</f>
        <v>39.358999999999995</v>
      </c>
      <c r="K22" s="1514">
        <f t="shared" si="2"/>
        <v>2545.8540000000007</v>
      </c>
      <c r="N22" s="1069" t="s">
        <v>1716</v>
      </c>
      <c r="O22" s="1505">
        <f>I67</f>
        <v>37657.231</v>
      </c>
      <c r="P22" s="1505">
        <f>I41</f>
        <v>38152.33</v>
      </c>
      <c r="Q22" s="1505">
        <f>K67</f>
        <v>40479.756999999998</v>
      </c>
      <c r="R22" s="1505">
        <f>K41</f>
        <v>42157.423000000003</v>
      </c>
      <c r="S22" s="1070">
        <f t="shared" ref="S22:T26" si="3">Q22/O22-1</f>
        <v>7.495309466593536E-2</v>
      </c>
      <c r="T22" s="1070">
        <f t="shared" si="3"/>
        <v>0.10497636710523306</v>
      </c>
    </row>
    <row r="23" spans="1:20" x14ac:dyDescent="0.35">
      <c r="A23" s="1168" t="s">
        <v>1643</v>
      </c>
      <c r="B23" s="1505">
        <v>-293.58</v>
      </c>
      <c r="C23" s="1505">
        <v>-11.010999999999999</v>
      </c>
      <c r="D23" s="1505">
        <v>0</v>
      </c>
      <c r="E23" s="1505">
        <f>SUM(B23:D23)</f>
        <v>-304.59100000000001</v>
      </c>
      <c r="H23" s="1069" t="s">
        <v>1652</v>
      </c>
      <c r="I23" s="1083">
        <v>167.386</v>
      </c>
      <c r="J23" s="1083">
        <v>88.007999999999996</v>
      </c>
      <c r="K23" s="1505">
        <f t="shared" si="2"/>
        <v>255.39400000000001</v>
      </c>
      <c r="N23" s="1069" t="s">
        <v>1717</v>
      </c>
      <c r="O23" s="1505">
        <f>I72</f>
        <v>32407.304</v>
      </c>
      <c r="P23" s="1505">
        <f>I46</f>
        <v>36801.824999999997</v>
      </c>
      <c r="Q23" s="1505">
        <f>K72</f>
        <v>32418.460999999999</v>
      </c>
      <c r="R23" s="1505">
        <f>K46</f>
        <v>36823.661999999997</v>
      </c>
      <c r="S23" s="1070">
        <f t="shared" si="3"/>
        <v>3.4427424138705476E-4</v>
      </c>
      <c r="T23" s="1070">
        <f t="shared" si="3"/>
        <v>5.9336731262638054E-4</v>
      </c>
    </row>
    <row r="24" spans="1:20" x14ac:dyDescent="0.35">
      <c r="A24" s="1168" t="s">
        <v>1641</v>
      </c>
      <c r="B24" s="1216">
        <v>180.672</v>
      </c>
      <c r="C24" s="1505">
        <v>0</v>
      </c>
      <c r="D24" s="1505">
        <v>0</v>
      </c>
      <c r="E24" s="1505">
        <f>SUM(B24:D24)</f>
        <v>180.672</v>
      </c>
      <c r="H24" s="1069" t="s">
        <v>1654</v>
      </c>
      <c r="I24" s="1505">
        <v>-444.21100000000001</v>
      </c>
      <c r="J24" s="1505">
        <v>-7.1059999999999999</v>
      </c>
      <c r="K24" s="1505">
        <f t="shared" si="2"/>
        <v>-451.31700000000001</v>
      </c>
      <c r="N24" s="1525" t="s">
        <v>1718</v>
      </c>
      <c r="O24" s="1526">
        <f>SUM(O22:O23)</f>
        <v>70064.535000000003</v>
      </c>
      <c r="P24" s="1526">
        <f>SUM(P22:P23)</f>
        <v>74954.154999999999</v>
      </c>
      <c r="Q24" s="1526">
        <f>SUM(Q22:Q23)</f>
        <v>72898.217999999993</v>
      </c>
      <c r="R24" s="1526">
        <f>SUM(R22:R23)</f>
        <v>78981.084999999992</v>
      </c>
      <c r="S24" s="1520">
        <f t="shared" si="3"/>
        <v>4.0443899327955224E-2</v>
      </c>
      <c r="T24" s="1520">
        <f t="shared" si="3"/>
        <v>5.3725240448644795E-2</v>
      </c>
    </row>
    <row r="25" spans="1:20" x14ac:dyDescent="0.35">
      <c r="A25" s="1171" t="s">
        <v>1655</v>
      </c>
      <c r="B25" s="1513">
        <f>SUM(B20:B24)</f>
        <v>2116.7620000000011</v>
      </c>
      <c r="C25" s="1513">
        <f>SUM(C20:C24)</f>
        <v>109.25</v>
      </c>
      <c r="D25" s="1505">
        <f>SUM(D20:D24)</f>
        <v>0.503</v>
      </c>
      <c r="E25" s="1513">
        <f>SUM(E20:E24)</f>
        <v>2226.5150000000017</v>
      </c>
      <c r="H25" s="1168" t="s">
        <v>1643</v>
      </c>
      <c r="I25" s="1505">
        <v>-293.58</v>
      </c>
      <c r="J25" s="1505">
        <v>-11.010999999999999</v>
      </c>
      <c r="K25" s="1505">
        <f t="shared" si="2"/>
        <v>-304.59100000000001</v>
      </c>
      <c r="N25" s="1069" t="s">
        <v>1719</v>
      </c>
      <c r="O25" s="1505">
        <f>I78+I82</f>
        <v>48817.557000000001</v>
      </c>
      <c r="P25" s="1505">
        <f>I57</f>
        <v>54184.604000000007</v>
      </c>
      <c r="Q25" s="1505">
        <f>K78+K82</f>
        <v>49806.861000000004</v>
      </c>
      <c r="R25" s="1505">
        <f>K57</f>
        <v>54241.760000000009</v>
      </c>
      <c r="S25" s="1070">
        <f t="shared" si="3"/>
        <v>2.0265331999305136E-2</v>
      </c>
      <c r="T25" s="1070">
        <f t="shared" si="3"/>
        <v>1.0548383817661211E-3</v>
      </c>
    </row>
    <row r="26" spans="1:20" x14ac:dyDescent="0.35">
      <c r="A26" s="1069" t="s">
        <v>1656</v>
      </c>
      <c r="B26" s="1216">
        <v>-350.077</v>
      </c>
      <c r="C26" s="1216">
        <v>-3.702</v>
      </c>
      <c r="D26" s="1505">
        <v>-3.9E-2</v>
      </c>
      <c r="E26" s="1505">
        <f>SUM(B26:D26)</f>
        <v>-353.81799999999998</v>
      </c>
      <c r="H26" s="1168" t="s">
        <v>1641</v>
      </c>
      <c r="I26" s="1216">
        <v>180.672</v>
      </c>
      <c r="J26" s="1505">
        <v>0</v>
      </c>
      <c r="K26" s="1505">
        <f t="shared" si="2"/>
        <v>180.672</v>
      </c>
      <c r="N26" s="1525" t="s">
        <v>1720</v>
      </c>
      <c r="O26" s="1526">
        <f>I86</f>
        <v>21246.977999999999</v>
      </c>
      <c r="P26" s="1526">
        <f>I60</f>
        <v>20769.550999999999</v>
      </c>
      <c r="Q26" s="1526">
        <f>K86</f>
        <v>23091.357</v>
      </c>
      <c r="R26" s="1526">
        <f>K60</f>
        <v>24739.325000000001</v>
      </c>
      <c r="S26" s="1520">
        <f t="shared" si="3"/>
        <v>8.6806650809352792E-2</v>
      </c>
      <c r="T26" s="1520">
        <f t="shared" si="3"/>
        <v>0.19113431965861949</v>
      </c>
    </row>
    <row r="27" spans="1:20" x14ac:dyDescent="0.35">
      <c r="A27" s="1069" t="s">
        <v>1657</v>
      </c>
      <c r="B27" s="1216">
        <v>-1.3380000000000001</v>
      </c>
      <c r="C27" s="1505">
        <v>0</v>
      </c>
      <c r="D27" s="1505">
        <v>0</v>
      </c>
      <c r="E27" s="1505">
        <f>SUM(B27:D27)</f>
        <v>-1.3380000000000001</v>
      </c>
      <c r="H27" s="1171" t="s">
        <v>1655</v>
      </c>
      <c r="I27" s="1513">
        <f>SUM(I22:I26)</f>
        <v>2116.7620000000011</v>
      </c>
      <c r="J27" s="1513">
        <f>SUM(J22:J26)</f>
        <v>109.25</v>
      </c>
      <c r="K27" s="1514">
        <f t="shared" si="2"/>
        <v>2226.0120000000011</v>
      </c>
      <c r="N27" s="1069"/>
    </row>
    <row r="28" spans="1:20" x14ac:dyDescent="0.35">
      <c r="A28" s="1171" t="s">
        <v>1642</v>
      </c>
      <c r="B28" s="1514">
        <f>SUM(B25:B27)</f>
        <v>1765.3470000000011</v>
      </c>
      <c r="C28" s="1514">
        <f>SUM(C25:C27)</f>
        <v>105.548</v>
      </c>
      <c r="D28" s="1514">
        <f>SUM(D25:D27)</f>
        <v>0.46400000000000002</v>
      </c>
      <c r="E28" s="1514">
        <f>SUM(B28:D28)</f>
        <v>1871.3590000000011</v>
      </c>
      <c r="H28" s="1069" t="s">
        <v>1656</v>
      </c>
      <c r="I28" s="1216">
        <v>-350.077</v>
      </c>
      <c r="J28" s="1216">
        <v>-3.702</v>
      </c>
      <c r="K28" s="1505">
        <f t="shared" si="2"/>
        <v>-353.779</v>
      </c>
      <c r="N28" s="1069"/>
    </row>
    <row r="29" spans="1:20" x14ac:dyDescent="0.35">
      <c r="H29" s="1069" t="s">
        <v>1657</v>
      </c>
      <c r="I29" s="1216">
        <v>-1.3380000000000001</v>
      </c>
      <c r="J29" s="1505">
        <v>0</v>
      </c>
      <c r="K29" s="1505">
        <f t="shared" si="2"/>
        <v>-1.3380000000000001</v>
      </c>
      <c r="N29" s="1069"/>
    </row>
    <row r="30" spans="1:20" x14ac:dyDescent="0.35">
      <c r="A30" s="1103" t="s">
        <v>1660</v>
      </c>
      <c r="H30" s="1171" t="s">
        <v>1642</v>
      </c>
      <c r="I30" s="1514">
        <f>SUM(I27:I29)</f>
        <v>1765.3470000000011</v>
      </c>
      <c r="J30" s="1514">
        <f>SUM(J27:J29)</f>
        <v>105.548</v>
      </c>
      <c r="K30" s="1514">
        <f t="shared" si="2"/>
        <v>1870.8950000000011</v>
      </c>
    </row>
    <row r="31" spans="1:20" s="1521" customFormat="1" ht="20.25" x14ac:dyDescent="0.3">
      <c r="A31" s="1527" t="s">
        <v>1687</v>
      </c>
      <c r="B31" s="1500" t="s">
        <v>1651</v>
      </c>
      <c r="C31" s="1500" t="s">
        <v>1688</v>
      </c>
      <c r="D31" s="1500" t="s">
        <v>1646</v>
      </c>
      <c r="E31" s="1500" t="s">
        <v>1647</v>
      </c>
      <c r="H31" s="1182" t="s">
        <v>1692</v>
      </c>
      <c r="I31" s="1505">
        <v>4056.3146219999999</v>
      </c>
      <c r="K31" s="1505">
        <v>4488.1392610000003</v>
      </c>
    </row>
    <row r="32" spans="1:20" x14ac:dyDescent="0.35">
      <c r="A32" s="1103" t="s">
        <v>1663</v>
      </c>
      <c r="B32" s="1103"/>
      <c r="C32" s="1103"/>
      <c r="D32" s="1103"/>
      <c r="E32" s="1103"/>
      <c r="H32" s="1182" t="s">
        <v>1703</v>
      </c>
      <c r="I32" s="1102">
        <f>I30/I31</f>
        <v>0.43520958419383704</v>
      </c>
      <c r="K32" s="1102">
        <f>K30/K31</f>
        <v>0.41685315254303135</v>
      </c>
    </row>
    <row r="33" spans="1:12" x14ac:dyDescent="0.35">
      <c r="A33" s="1069" t="s">
        <v>1661</v>
      </c>
      <c r="B33" s="1083">
        <v>2623.5569999999998</v>
      </c>
      <c r="C33" s="1083">
        <v>14.693</v>
      </c>
      <c r="D33" s="1505">
        <v>0</v>
      </c>
      <c r="E33" s="1083">
        <f>SUM(B33:D33)</f>
        <v>2638.25</v>
      </c>
    </row>
    <row r="34" spans="1:12" x14ac:dyDescent="0.35">
      <c r="A34" s="1069" t="s">
        <v>1662</v>
      </c>
      <c r="B34" s="1083">
        <v>36.463000000000001</v>
      </c>
      <c r="C34" s="1083">
        <v>3990.4</v>
      </c>
      <c r="D34" s="1083">
        <v>205.27099999999999</v>
      </c>
      <c r="E34" s="1083">
        <f>SUM(B34:D34)</f>
        <v>4232.134</v>
      </c>
    </row>
    <row r="35" spans="1:12" x14ac:dyDescent="0.35">
      <c r="A35" s="1103" t="s">
        <v>1664</v>
      </c>
      <c r="B35" s="1513">
        <v>38152.33</v>
      </c>
      <c r="C35" s="1513">
        <f>SUM(C33:C34)</f>
        <v>4005.0930000000003</v>
      </c>
      <c r="D35" s="1513">
        <f>SUM(D33:D34)</f>
        <v>205.27099999999999</v>
      </c>
      <c r="E35" s="1513">
        <f>SUM(B35:D35)</f>
        <v>42362.694000000003</v>
      </c>
    </row>
    <row r="36" spans="1:12" x14ac:dyDescent="0.35">
      <c r="A36" s="1103" t="s">
        <v>1665</v>
      </c>
      <c r="B36" s="1083"/>
      <c r="C36" s="1083"/>
      <c r="D36" s="1083"/>
      <c r="E36" s="1083"/>
    </row>
    <row r="37" spans="1:12" ht="20.25" x14ac:dyDescent="0.35">
      <c r="A37" s="1069" t="s">
        <v>1666</v>
      </c>
      <c r="B37" s="1083">
        <v>16636.96</v>
      </c>
      <c r="C37" s="1083">
        <v>3.0609999999999999</v>
      </c>
      <c r="D37" s="1505">
        <v>0</v>
      </c>
      <c r="E37" s="1083">
        <f>SUM(B37:D37)</f>
        <v>16640.021000000001</v>
      </c>
      <c r="H37" s="1527" t="s">
        <v>1687</v>
      </c>
      <c r="I37" s="1500" t="s">
        <v>1651</v>
      </c>
      <c r="J37" s="1500" t="s">
        <v>1688</v>
      </c>
    </row>
    <row r="38" spans="1:12" x14ac:dyDescent="0.35">
      <c r="A38" s="1069" t="s">
        <v>1667</v>
      </c>
      <c r="B38" s="1505">
        <v>528.05100000000004</v>
      </c>
      <c r="C38" s="1505">
        <v>-3.2610000000000001</v>
      </c>
      <c r="D38" s="1505">
        <v>0</v>
      </c>
      <c r="E38" s="1505">
        <f>SUM(B38:D38)</f>
        <v>524.79000000000008</v>
      </c>
      <c r="H38" s="1103" t="s">
        <v>1663</v>
      </c>
      <c r="I38" s="1103"/>
      <c r="J38" s="1103"/>
    </row>
    <row r="39" spans="1:12" x14ac:dyDescent="0.35">
      <c r="A39" s="1069" t="s">
        <v>1668</v>
      </c>
      <c r="B39" s="1505">
        <v>14073.846</v>
      </c>
      <c r="C39" s="1505">
        <v>22.036999999999999</v>
      </c>
      <c r="D39" s="1505">
        <v>0</v>
      </c>
      <c r="E39" s="1505">
        <f>SUM(B39:D39)</f>
        <v>14095.883</v>
      </c>
      <c r="H39" s="1069" t="s">
        <v>1661</v>
      </c>
      <c r="I39" s="1083">
        <v>2623.5569999999998</v>
      </c>
      <c r="J39" s="1083">
        <v>14.693</v>
      </c>
      <c r="K39" s="1083">
        <f>SUM(I39:J39)</f>
        <v>2638.25</v>
      </c>
    </row>
    <row r="40" spans="1:12" x14ac:dyDescent="0.35">
      <c r="A40" s="1103" t="s">
        <v>1669</v>
      </c>
      <c r="B40" s="1232">
        <v>36801.824999999997</v>
      </c>
      <c r="C40" s="1514">
        <f>SUM(C37:C39)</f>
        <v>21.837</v>
      </c>
      <c r="D40" s="1514">
        <f>SUM(D37:D39)</f>
        <v>0</v>
      </c>
      <c r="E40" s="1513">
        <f>SUM(B40:D40)</f>
        <v>36823.661999999997</v>
      </c>
      <c r="H40" s="1069" t="s">
        <v>1662</v>
      </c>
      <c r="I40" s="1083">
        <v>36.463000000000001</v>
      </c>
      <c r="J40" s="1083">
        <v>3990.4</v>
      </c>
      <c r="K40" s="1083">
        <f>SUM(I40:J40)</f>
        <v>4026.8630000000003</v>
      </c>
    </row>
    <row r="41" spans="1:12" x14ac:dyDescent="0.35">
      <c r="A41" s="1069"/>
      <c r="B41" s="1083"/>
      <c r="C41" s="1083"/>
      <c r="D41" s="1505"/>
      <c r="E41" s="1083"/>
      <c r="H41" s="1103" t="s">
        <v>1664</v>
      </c>
      <c r="I41" s="1513">
        <v>38152.33</v>
      </c>
      <c r="J41" s="1513">
        <f>SUM(J39:J40)</f>
        <v>4005.0930000000003</v>
      </c>
      <c r="K41" s="1513">
        <f>SUM(I41:J41)</f>
        <v>42157.423000000003</v>
      </c>
    </row>
    <row r="42" spans="1:12" x14ac:dyDescent="0.35">
      <c r="A42" s="1103" t="s">
        <v>1670</v>
      </c>
      <c r="B42" s="1505"/>
      <c r="C42" s="1505"/>
      <c r="D42" s="1505"/>
      <c r="E42" s="1505"/>
      <c r="H42" s="1103" t="s">
        <v>1665</v>
      </c>
      <c r="I42" s="1083"/>
      <c r="J42" s="1083"/>
      <c r="K42" s="1083"/>
    </row>
    <row r="43" spans="1:12" x14ac:dyDescent="0.35">
      <c r="A43" s="1069" t="s">
        <v>1671</v>
      </c>
      <c r="B43" s="1505">
        <v>24132.579000000002</v>
      </c>
      <c r="C43" s="1505">
        <v>1.0089999999999999</v>
      </c>
      <c r="D43" s="1505">
        <v>0</v>
      </c>
      <c r="E43" s="1505">
        <f>SUM(B43:D43)</f>
        <v>24133.588</v>
      </c>
      <c r="H43" s="1069" t="s">
        <v>1666</v>
      </c>
      <c r="I43" s="1083">
        <v>16636.96</v>
      </c>
      <c r="J43" s="1083">
        <v>3.0609999999999999</v>
      </c>
      <c r="K43" s="1083">
        <f>SUM(I43:J43)</f>
        <v>16640.021000000001</v>
      </c>
    </row>
    <row r="44" spans="1:12" x14ac:dyDescent="0.35">
      <c r="A44" s="1069" t="s">
        <v>1672</v>
      </c>
      <c r="B44" s="1505">
        <v>508.52499999999998</v>
      </c>
      <c r="C44" s="1505">
        <v>24.350999999999999</v>
      </c>
      <c r="D44" s="1505">
        <v>0</v>
      </c>
      <c r="E44" s="1505">
        <f>SUM(B44:D44)</f>
        <v>532.87599999999998</v>
      </c>
      <c r="H44" s="1069" t="s">
        <v>1667</v>
      </c>
      <c r="I44" s="1505">
        <v>528.05100000000004</v>
      </c>
      <c r="J44" s="1505">
        <v>-3.2610000000000001</v>
      </c>
      <c r="K44" s="1083">
        <f>SUM(I44:J44)</f>
        <v>524.79000000000008</v>
      </c>
    </row>
    <row r="45" spans="1:12" x14ac:dyDescent="0.35">
      <c r="A45" s="1069" t="s">
        <v>1673</v>
      </c>
      <c r="B45" s="1083">
        <v>2152.808</v>
      </c>
      <c r="C45" s="1083">
        <v>4.8070000000000004</v>
      </c>
      <c r="D45" s="1505">
        <v>0</v>
      </c>
      <c r="E45" s="1505">
        <f>SUM(B45:D45)</f>
        <v>2157.6149999999998</v>
      </c>
      <c r="H45" s="1069" t="s">
        <v>1668</v>
      </c>
      <c r="I45" s="1505">
        <v>14073.846</v>
      </c>
      <c r="J45" s="1505">
        <v>22.036999999999999</v>
      </c>
      <c r="K45" s="1083">
        <f>SUM(I45:J45)</f>
        <v>14095.883</v>
      </c>
    </row>
    <row r="46" spans="1:12" x14ac:dyDescent="0.35">
      <c r="A46" s="1103" t="s">
        <v>1674</v>
      </c>
      <c r="B46" s="1514">
        <v>34670.741000000002</v>
      </c>
      <c r="C46" s="1514">
        <f>SUM(C43:C45)</f>
        <v>30.167000000000002</v>
      </c>
      <c r="D46" s="1514">
        <f>SUM(D43:D45)</f>
        <v>0</v>
      </c>
      <c r="E46" s="1514">
        <f>SUM(B46:D46)</f>
        <v>34700.908000000003</v>
      </c>
      <c r="H46" s="1103" t="s">
        <v>1669</v>
      </c>
      <c r="I46" s="1232">
        <v>36801.824999999997</v>
      </c>
      <c r="J46" s="1514">
        <f>SUM(J43:J45)</f>
        <v>21.837</v>
      </c>
      <c r="K46" s="1513">
        <f>SUM(I46:J46)</f>
        <v>36823.661999999997</v>
      </c>
    </row>
    <row r="47" spans="1:12" x14ac:dyDescent="0.35">
      <c r="A47" s="1069"/>
      <c r="B47" s="1505"/>
      <c r="C47" s="1505"/>
      <c r="D47" s="1505"/>
      <c r="E47" s="1505"/>
      <c r="H47" s="1069"/>
      <c r="I47" s="1083">
        <f>I41+I46</f>
        <v>74954.154999999999</v>
      </c>
      <c r="J47" s="1083"/>
      <c r="K47" s="1083">
        <f>K41+K46</f>
        <v>78981.084999999992</v>
      </c>
      <c r="L47" s="1083"/>
    </row>
    <row r="48" spans="1:12" x14ac:dyDescent="0.35">
      <c r="A48" s="1103" t="s">
        <v>1675</v>
      </c>
      <c r="B48" s="1514"/>
      <c r="C48" s="1514"/>
      <c r="D48" s="1514"/>
      <c r="E48" s="1514"/>
      <c r="H48" s="1103" t="s">
        <v>1670</v>
      </c>
      <c r="I48" s="1505"/>
      <c r="J48" s="1505"/>
      <c r="K48" s="1505"/>
    </row>
    <row r="49" spans="1:11" x14ac:dyDescent="0.35">
      <c r="A49" s="1069" t="s">
        <v>1676</v>
      </c>
      <c r="B49" s="1505">
        <v>306.98200000000003</v>
      </c>
      <c r="C49" s="1505">
        <v>26.989000000000001</v>
      </c>
      <c r="D49" s="1505">
        <v>12.656000000000001</v>
      </c>
      <c r="E49" s="1505">
        <f>SUM(B49:D49)</f>
        <v>346.62700000000001</v>
      </c>
      <c r="H49" s="1069" t="s">
        <v>1671</v>
      </c>
      <c r="I49" s="1505">
        <v>24132.579000000002</v>
      </c>
      <c r="J49" s="1505">
        <v>1.0089999999999999</v>
      </c>
      <c r="K49" s="1083">
        <f>SUM(I49:J49)</f>
        <v>24133.588</v>
      </c>
    </row>
    <row r="50" spans="1:11" x14ac:dyDescent="0.35">
      <c r="A50" s="1103" t="s">
        <v>1677</v>
      </c>
      <c r="B50" s="1514">
        <v>19513.863000000001</v>
      </c>
      <c r="C50" s="1514">
        <v>26.989000000000001</v>
      </c>
      <c r="D50" s="1514">
        <v>12.656000000000001</v>
      </c>
      <c r="E50" s="1514">
        <v>19553.508000000002</v>
      </c>
      <c r="H50" s="1069" t="s">
        <v>1672</v>
      </c>
      <c r="I50" s="1505">
        <v>508.52499999999998</v>
      </c>
      <c r="J50" s="1505">
        <v>24.350999999999999</v>
      </c>
      <c r="K50" s="1083">
        <f>SUM(I50:J50)</f>
        <v>532.87599999999998</v>
      </c>
    </row>
    <row r="51" spans="1:11" x14ac:dyDescent="0.35">
      <c r="A51" s="1069"/>
      <c r="H51" s="1069" t="s">
        <v>1673</v>
      </c>
      <c r="I51" s="1083">
        <v>2152.808</v>
      </c>
      <c r="J51" s="1083">
        <v>4.8070000000000004</v>
      </c>
      <c r="K51" s="1083">
        <f>SUM(I51:J51)</f>
        <v>2157.6149999999998</v>
      </c>
    </row>
    <row r="52" spans="1:11" x14ac:dyDescent="0.35">
      <c r="A52" s="1103" t="s">
        <v>1678</v>
      </c>
      <c r="H52" s="1103" t="s">
        <v>1674</v>
      </c>
      <c r="I52" s="1514">
        <v>34670.741000000002</v>
      </c>
      <c r="J52" s="1514">
        <f>SUM(J49:J51)</f>
        <v>30.167000000000002</v>
      </c>
      <c r="K52" s="1513">
        <f>SUM(I52:J52)</f>
        <v>34700.908000000003</v>
      </c>
    </row>
    <row r="53" spans="1:11" x14ac:dyDescent="0.35">
      <c r="A53" s="1069" t="s">
        <v>1679</v>
      </c>
      <c r="B53" s="1505">
        <v>20555.213</v>
      </c>
      <c r="C53" s="1505">
        <v>3969.7739999999999</v>
      </c>
      <c r="D53" s="1505">
        <v>192.61500000000001</v>
      </c>
      <c r="E53" s="1505">
        <v>24717.601999999999</v>
      </c>
      <c r="F53" s="1505"/>
      <c r="H53" s="1069"/>
      <c r="I53" s="1505"/>
      <c r="J53" s="1505"/>
      <c r="K53" s="1505"/>
    </row>
    <row r="54" spans="1:11" x14ac:dyDescent="0.35">
      <c r="A54" s="1103" t="s">
        <v>1680</v>
      </c>
      <c r="B54" s="1514">
        <v>20769.550999999999</v>
      </c>
      <c r="C54" s="1514">
        <v>3969.7739999999999</v>
      </c>
      <c r="D54" s="1514">
        <f>D53</f>
        <v>192.61500000000001</v>
      </c>
      <c r="E54" s="1514">
        <v>24931.94</v>
      </c>
      <c r="H54" s="1103" t="s">
        <v>1675</v>
      </c>
      <c r="I54" s="1514"/>
      <c r="J54" s="1514"/>
      <c r="K54" s="1514"/>
    </row>
    <row r="55" spans="1:11" x14ac:dyDescent="0.35">
      <c r="A55" s="1069"/>
      <c r="H55" s="1069" t="s">
        <v>1676</v>
      </c>
      <c r="I55" s="1505">
        <v>306.98200000000003</v>
      </c>
      <c r="J55" s="1505">
        <v>26.989000000000001</v>
      </c>
      <c r="K55" s="1083">
        <f>SUM(I55:J55)</f>
        <v>333.971</v>
      </c>
    </row>
    <row r="56" spans="1:11" s="1521" customFormat="1" ht="20.25" x14ac:dyDescent="0.3">
      <c r="A56" s="1527" t="s">
        <v>1686</v>
      </c>
      <c r="B56" s="1500" t="s">
        <v>1651</v>
      </c>
      <c r="C56" s="1500" t="s">
        <v>1645</v>
      </c>
      <c r="D56" s="1500" t="s">
        <v>1646</v>
      </c>
      <c r="E56" s="1500" t="s">
        <v>1647</v>
      </c>
      <c r="H56" s="1103" t="s">
        <v>1677</v>
      </c>
      <c r="I56" s="1514">
        <v>19513.863000000001</v>
      </c>
      <c r="J56" s="1514">
        <v>26.989000000000001</v>
      </c>
      <c r="K56" s="1513">
        <f>SUM(I56:J56)</f>
        <v>19540.852000000003</v>
      </c>
    </row>
    <row r="57" spans="1:11" x14ac:dyDescent="0.35">
      <c r="A57" s="1103" t="s">
        <v>1663</v>
      </c>
      <c r="B57" s="1103"/>
      <c r="C57" s="1103"/>
      <c r="D57" s="1103"/>
      <c r="E57" s="1103"/>
      <c r="H57" s="1069"/>
      <c r="I57" s="1083">
        <f>I52+I56</f>
        <v>54184.604000000007</v>
      </c>
      <c r="J57" s="1062"/>
      <c r="K57" s="1083">
        <f>K52+K56</f>
        <v>54241.760000000009</v>
      </c>
    </row>
    <row r="58" spans="1:11" x14ac:dyDescent="0.35">
      <c r="A58" s="1069" t="s">
        <v>1661</v>
      </c>
      <c r="B58" s="1083">
        <v>2771.99</v>
      </c>
      <c r="C58" s="1083">
        <v>14.926</v>
      </c>
      <c r="D58" s="1505">
        <v>0</v>
      </c>
      <c r="E58" s="1083">
        <f>SUM(B58:D58)</f>
        <v>2786.9159999999997</v>
      </c>
      <c r="H58" s="1103" t="s">
        <v>1678</v>
      </c>
      <c r="I58" s="1062"/>
      <c r="J58" s="1062"/>
      <c r="K58" s="1062"/>
    </row>
    <row r="59" spans="1:11" x14ac:dyDescent="0.35">
      <c r="A59" s="1069" t="s">
        <v>1662</v>
      </c>
      <c r="B59" s="1083">
        <v>36.991</v>
      </c>
      <c r="C59" s="1083">
        <v>2807.6</v>
      </c>
      <c r="D59" s="1083">
        <v>205.87700000000001</v>
      </c>
      <c r="E59" s="1083">
        <f>SUM(B59:D59)</f>
        <v>3050.4679999999998</v>
      </c>
      <c r="H59" s="1069" t="s">
        <v>1679</v>
      </c>
      <c r="I59" s="1505">
        <v>20555.213</v>
      </c>
      <c r="J59" s="1505">
        <v>3969.7739999999999</v>
      </c>
      <c r="K59" s="1083">
        <f>SUM(I59:J59)</f>
        <v>24524.987000000001</v>
      </c>
    </row>
    <row r="60" spans="1:11" x14ac:dyDescent="0.35">
      <c r="A60" s="1103" t="s">
        <v>1664</v>
      </c>
      <c r="B60" s="1513">
        <v>37657.231</v>
      </c>
      <c r="C60" s="1513">
        <f>SUM(C58:C59)</f>
        <v>2822.5259999999998</v>
      </c>
      <c r="D60" s="1513">
        <f>SUM(D58:D59)</f>
        <v>205.87700000000001</v>
      </c>
      <c r="E60" s="1513">
        <f>SUM(B60:D60)</f>
        <v>40685.633999999998</v>
      </c>
      <c r="H60" s="1103" t="s">
        <v>1680</v>
      </c>
      <c r="I60" s="1514">
        <v>20769.550999999999</v>
      </c>
      <c r="J60" s="1514">
        <v>3969.7739999999999</v>
      </c>
      <c r="K60" s="1513">
        <f>SUM(I60:J60)</f>
        <v>24739.325000000001</v>
      </c>
    </row>
    <row r="61" spans="1:11" x14ac:dyDescent="0.35">
      <c r="A61" s="1103" t="s">
        <v>1665</v>
      </c>
      <c r="B61" s="1083"/>
      <c r="C61" s="1083"/>
      <c r="D61" s="1083"/>
      <c r="E61" s="1083"/>
    </row>
    <row r="62" spans="1:11" x14ac:dyDescent="0.35">
      <c r="A62" s="1069" t="s">
        <v>1666</v>
      </c>
      <c r="B62" s="1083">
        <v>18170.163</v>
      </c>
      <c r="C62" s="1083">
        <v>3.3620000000000001</v>
      </c>
      <c r="D62" s="1505">
        <v>0</v>
      </c>
      <c r="E62" s="1083">
        <f>SUM(B62:D62)</f>
        <v>18173.525000000001</v>
      </c>
    </row>
    <row r="63" spans="1:11" ht="20.25" x14ac:dyDescent="0.35">
      <c r="A63" s="1069" t="s">
        <v>1667</v>
      </c>
      <c r="B63" s="1505">
        <v>526.91499999999996</v>
      </c>
      <c r="C63" s="1505">
        <v>-3.242</v>
      </c>
      <c r="D63" s="1505">
        <v>0</v>
      </c>
      <c r="E63" s="1505">
        <f>SUM(B63:D63)</f>
        <v>523.673</v>
      </c>
      <c r="H63" s="1527" t="s">
        <v>1686</v>
      </c>
      <c r="I63" s="1500" t="s">
        <v>1651</v>
      </c>
      <c r="J63" s="1500" t="s">
        <v>1645</v>
      </c>
    </row>
    <row r="64" spans="1:11" x14ac:dyDescent="0.35">
      <c r="A64" s="1069" t="s">
        <v>1668</v>
      </c>
      <c r="B64" s="1505">
        <v>8015.1869999999999</v>
      </c>
      <c r="C64" s="1505">
        <v>11.037000000000001</v>
      </c>
      <c r="D64" s="1505">
        <v>0</v>
      </c>
      <c r="E64" s="1505">
        <f>SUM(B64:D64)</f>
        <v>8026.2240000000002</v>
      </c>
      <c r="H64" s="1103" t="s">
        <v>1663</v>
      </c>
      <c r="I64" s="1103"/>
      <c r="J64" s="1103"/>
    </row>
    <row r="65" spans="1:11" x14ac:dyDescent="0.35">
      <c r="A65" s="1103" t="s">
        <v>1669</v>
      </c>
      <c r="B65" s="1232">
        <v>32407.304</v>
      </c>
      <c r="C65" s="1514">
        <f>SUM(C62:C64)</f>
        <v>11.157</v>
      </c>
      <c r="D65" s="1514">
        <f>SUM(D62:D64)</f>
        <v>0</v>
      </c>
      <c r="E65" s="1513">
        <f>SUM(B65:D65)</f>
        <v>32418.460999999999</v>
      </c>
      <c r="H65" s="1069" t="s">
        <v>1661</v>
      </c>
      <c r="I65" s="1083">
        <v>2771.99</v>
      </c>
      <c r="J65" s="1083">
        <v>14.926</v>
      </c>
      <c r="K65" s="1083">
        <f>SUM(I65:J65)</f>
        <v>2786.9159999999997</v>
      </c>
    </row>
    <row r="66" spans="1:11" x14ac:dyDescent="0.35">
      <c r="A66" s="1069"/>
      <c r="B66" s="1083"/>
      <c r="C66" s="1083"/>
      <c r="D66" s="1505"/>
      <c r="E66" s="1083"/>
      <c r="H66" s="1069" t="s">
        <v>1662</v>
      </c>
      <c r="I66" s="1083">
        <v>36.991</v>
      </c>
      <c r="J66" s="1083">
        <v>2807.6</v>
      </c>
      <c r="K66" s="1083">
        <f>SUM(I66:J66)</f>
        <v>2844.5909999999999</v>
      </c>
    </row>
    <row r="67" spans="1:11" x14ac:dyDescent="0.35">
      <c r="A67" s="1103" t="s">
        <v>1670</v>
      </c>
      <c r="B67" s="1505"/>
      <c r="C67" s="1505"/>
      <c r="D67" s="1505"/>
      <c r="E67" s="1505"/>
      <c r="H67" s="1103" t="s">
        <v>1664</v>
      </c>
      <c r="I67" s="1513">
        <v>37657.231</v>
      </c>
      <c r="J67" s="1513">
        <f>SUM(J65:J66)</f>
        <v>2822.5259999999998</v>
      </c>
      <c r="K67" s="1513">
        <f>SUM(I67:J67)</f>
        <v>40479.756999999998</v>
      </c>
    </row>
    <row r="68" spans="1:11" x14ac:dyDescent="0.35">
      <c r="A68" s="1069" t="s">
        <v>1671</v>
      </c>
      <c r="B68" s="1505">
        <v>21926.222000000002</v>
      </c>
      <c r="C68" s="1505">
        <v>0.75600000000000001</v>
      </c>
      <c r="D68" s="1505">
        <v>0</v>
      </c>
      <c r="E68" s="1505">
        <f>SUM(B68:D68)</f>
        <v>21926.978000000003</v>
      </c>
      <c r="H68" s="1103" t="s">
        <v>1665</v>
      </c>
      <c r="I68" s="1083"/>
      <c r="J68" s="1083"/>
      <c r="K68" s="1083"/>
    </row>
    <row r="69" spans="1:11" x14ac:dyDescent="0.35">
      <c r="A69" s="1069" t="s">
        <v>1672</v>
      </c>
      <c r="B69" s="1505">
        <v>698.19399999999996</v>
      </c>
      <c r="C69" s="1505">
        <v>24.401</v>
      </c>
      <c r="D69" s="1505">
        <v>0</v>
      </c>
      <c r="E69" s="1505">
        <f>SUM(B69:D69)</f>
        <v>722.59499999999991</v>
      </c>
      <c r="H69" s="1069" t="s">
        <v>1666</v>
      </c>
      <c r="I69" s="1083">
        <v>18170.163</v>
      </c>
      <c r="J69" s="1083">
        <v>3.3620000000000001</v>
      </c>
      <c r="K69" s="1083">
        <f>SUM(I69:J69)</f>
        <v>18173.525000000001</v>
      </c>
    </row>
    <row r="70" spans="1:11" x14ac:dyDescent="0.35">
      <c r="A70" s="1069" t="s">
        <v>1681</v>
      </c>
      <c r="B70" s="1083">
        <v>0</v>
      </c>
      <c r="C70" s="1083">
        <v>937.54200000000003</v>
      </c>
      <c r="D70" s="1505">
        <v>0</v>
      </c>
      <c r="E70" s="1505">
        <f>SUM(B70:D70)</f>
        <v>937.54200000000003</v>
      </c>
      <c r="H70" s="1069" t="s">
        <v>1667</v>
      </c>
      <c r="I70" s="1505">
        <v>526.91499999999996</v>
      </c>
      <c r="J70" s="1505">
        <v>-3.242</v>
      </c>
      <c r="K70" s="1083">
        <f>SUM(I70:J70)</f>
        <v>523.673</v>
      </c>
    </row>
    <row r="71" spans="1:11" x14ac:dyDescent="0.35">
      <c r="A71" s="1103" t="s">
        <v>1674</v>
      </c>
      <c r="B71" s="1514">
        <v>30743.97</v>
      </c>
      <c r="C71" s="1514">
        <f>SUM(C68:C70)</f>
        <v>962.69900000000007</v>
      </c>
      <c r="D71" s="1514">
        <f>SUM(D68:D70)</f>
        <v>0</v>
      </c>
      <c r="E71" s="1514">
        <f>SUM(B71:D71)</f>
        <v>31706.669000000002</v>
      </c>
      <c r="H71" s="1069" t="s">
        <v>1668</v>
      </c>
      <c r="I71" s="1505">
        <v>8015.1869999999999</v>
      </c>
      <c r="J71" s="1505">
        <v>11.037000000000001</v>
      </c>
      <c r="K71" s="1083">
        <f>SUM(I71:J71)</f>
        <v>8026.2240000000002</v>
      </c>
    </row>
    <row r="72" spans="1:11" x14ac:dyDescent="0.35">
      <c r="A72" s="1069"/>
      <c r="B72" s="1505"/>
      <c r="C72" s="1505"/>
      <c r="D72" s="1505"/>
      <c r="E72" s="1505"/>
      <c r="H72" s="1103" t="s">
        <v>1669</v>
      </c>
      <c r="I72" s="1232">
        <v>32407.304</v>
      </c>
      <c r="J72" s="1514">
        <f>SUM(J69:J71)</f>
        <v>11.157</v>
      </c>
      <c r="K72" s="1513">
        <f>SUM(I72:J72)</f>
        <v>32418.460999999999</v>
      </c>
    </row>
    <row r="73" spans="1:11" x14ac:dyDescent="0.35">
      <c r="A73" s="1103" t="s">
        <v>1675</v>
      </c>
      <c r="B73" s="1514"/>
      <c r="C73" s="1514"/>
      <c r="D73" s="1514"/>
      <c r="E73" s="1514"/>
      <c r="H73" s="1069"/>
      <c r="I73" s="1083">
        <f>I67+I72</f>
        <v>70064.535000000003</v>
      </c>
      <c r="J73" s="1083"/>
      <c r="K73" s="1083">
        <f>K67+K72</f>
        <v>72898.217999999993</v>
      </c>
    </row>
    <row r="74" spans="1:11" x14ac:dyDescent="0.35">
      <c r="A74" s="1069" t="s">
        <v>1676</v>
      </c>
      <c r="B74" s="1505">
        <v>367.24200000000002</v>
      </c>
      <c r="C74" s="1505">
        <v>26.605</v>
      </c>
      <c r="D74" s="1505">
        <v>12.417999999999999</v>
      </c>
      <c r="E74" s="1505">
        <f>SUM(B74:D74)</f>
        <v>406.26500000000004</v>
      </c>
      <c r="H74" s="1103" t="s">
        <v>1670</v>
      </c>
      <c r="I74" s="1505"/>
      <c r="J74" s="1505"/>
      <c r="K74" s="1505"/>
    </row>
    <row r="75" spans="1:11" x14ac:dyDescent="0.35">
      <c r="A75" s="1103" t="s">
        <v>1677</v>
      </c>
      <c r="B75" s="1514">
        <v>18073.587</v>
      </c>
      <c r="C75" s="1514">
        <f>C74</f>
        <v>26.605</v>
      </c>
      <c r="D75" s="1514">
        <f>D74</f>
        <v>12.417999999999999</v>
      </c>
      <c r="E75" s="1514">
        <f>SUM(B75:D75)</f>
        <v>18112.61</v>
      </c>
      <c r="H75" s="1069" t="s">
        <v>1671</v>
      </c>
      <c r="I75" s="1505">
        <v>21926.222000000002</v>
      </c>
      <c r="J75" s="1505">
        <v>0.75600000000000001</v>
      </c>
      <c r="K75" s="1083">
        <f>SUM(I75:J75)</f>
        <v>21926.978000000003</v>
      </c>
    </row>
    <row r="76" spans="1:11" x14ac:dyDescent="0.35">
      <c r="A76" s="1069"/>
      <c r="H76" s="1069" t="s">
        <v>1672</v>
      </c>
      <c r="I76" s="1505">
        <v>698.19399999999996</v>
      </c>
      <c r="J76" s="1505">
        <v>24.401</v>
      </c>
      <c r="K76" s="1083">
        <f>SUM(I76:J76)</f>
        <v>722.59499999999991</v>
      </c>
    </row>
    <row r="77" spans="1:11" x14ac:dyDescent="0.35">
      <c r="A77" s="1103" t="s">
        <v>1678</v>
      </c>
      <c r="H77" s="1069" t="s">
        <v>1681</v>
      </c>
      <c r="I77" s="1083">
        <v>0</v>
      </c>
      <c r="J77" s="1083">
        <v>937.54200000000003</v>
      </c>
      <c r="K77" s="1083">
        <f>SUM(I77:J77)</f>
        <v>937.54200000000003</v>
      </c>
    </row>
    <row r="78" spans="1:11" x14ac:dyDescent="0.35">
      <c r="A78" s="1069" t="s">
        <v>1679</v>
      </c>
      <c r="B78" s="1505">
        <v>21045.308000000001</v>
      </c>
      <c r="C78" s="1505">
        <v>1844.3789999999999</v>
      </c>
      <c r="D78" s="1505">
        <v>193.459</v>
      </c>
      <c r="E78" s="1505">
        <f>SUM(B78:D78)</f>
        <v>23083.146000000001</v>
      </c>
      <c r="H78" s="1103" t="s">
        <v>1674</v>
      </c>
      <c r="I78" s="1514">
        <v>30743.97</v>
      </c>
      <c r="J78" s="1514">
        <f>SUM(J75:J77)</f>
        <v>962.69900000000007</v>
      </c>
      <c r="K78" s="1513">
        <f>SUM(I78:J78)</f>
        <v>31706.669000000002</v>
      </c>
    </row>
    <row r="79" spans="1:11" x14ac:dyDescent="0.35">
      <c r="A79" s="1103" t="s">
        <v>1680</v>
      </c>
      <c r="B79" s="1514">
        <v>21246.977999999999</v>
      </c>
      <c r="C79" s="1514">
        <f>C78</f>
        <v>1844.3789999999999</v>
      </c>
      <c r="D79" s="1514">
        <f>D78</f>
        <v>193.459</v>
      </c>
      <c r="E79" s="1514">
        <f>SUM(B79:D79)</f>
        <v>23284.815999999999</v>
      </c>
      <c r="H79" s="1069"/>
      <c r="I79" s="1505"/>
      <c r="J79" s="1505"/>
      <c r="K79" s="1505"/>
    </row>
    <row r="80" spans="1:11" x14ac:dyDescent="0.35">
      <c r="A80" s="1103"/>
      <c r="B80" s="1514"/>
      <c r="C80" s="1514"/>
      <c r="D80" s="1514"/>
      <c r="E80" s="1514"/>
      <c r="H80" s="1103" t="s">
        <v>1675</v>
      </c>
      <c r="I80" s="1514"/>
      <c r="J80" s="1514"/>
      <c r="K80" s="1514"/>
    </row>
    <row r="81" spans="1:11" x14ac:dyDescent="0.35">
      <c r="A81" s="1064" t="s">
        <v>1658</v>
      </c>
      <c r="E81" s="1505"/>
      <c r="H81" s="1069" t="s">
        <v>1676</v>
      </c>
      <c r="I81" s="1505">
        <v>367.24200000000002</v>
      </c>
      <c r="J81" s="1505">
        <v>26.605</v>
      </c>
      <c r="K81" s="1083">
        <f>SUM(I81:J81)</f>
        <v>393.84700000000004</v>
      </c>
    </row>
    <row r="82" spans="1:11" ht="20.25" x14ac:dyDescent="0.35">
      <c r="A82" s="1103" t="s">
        <v>1682</v>
      </c>
      <c r="B82" s="1500" t="s">
        <v>1651</v>
      </c>
      <c r="C82" s="1500" t="s">
        <v>1645</v>
      </c>
      <c r="D82" s="1500" t="s">
        <v>1646</v>
      </c>
      <c r="E82" s="1500" t="s">
        <v>1647</v>
      </c>
      <c r="H82" s="1103" t="s">
        <v>1677</v>
      </c>
      <c r="I82" s="1514">
        <v>18073.587</v>
      </c>
      <c r="J82" s="1514">
        <f>J81</f>
        <v>26.605</v>
      </c>
      <c r="K82" s="1513">
        <f>SUM(I82:J82)</f>
        <v>18100.191999999999</v>
      </c>
    </row>
    <row r="83" spans="1:11" x14ac:dyDescent="0.35">
      <c r="A83" s="1069" t="s">
        <v>1684</v>
      </c>
      <c r="B83" s="1505">
        <v>437.166</v>
      </c>
      <c r="C83" s="1505">
        <v>29.263000000000002</v>
      </c>
      <c r="D83" s="1505">
        <v>0</v>
      </c>
      <c r="E83" s="1505">
        <f>SUM(B83:D83)</f>
        <v>466.42899999999997</v>
      </c>
      <c r="H83" s="1069"/>
      <c r="I83" s="1062"/>
      <c r="J83" s="1062"/>
      <c r="K83" s="1062"/>
    </row>
    <row r="84" spans="1:11" x14ac:dyDescent="0.35">
      <c r="A84" s="1069" t="s">
        <v>1683</v>
      </c>
      <c r="B84" s="1505">
        <v>-666.25699999999995</v>
      </c>
      <c r="C84" s="1505">
        <v>8</v>
      </c>
      <c r="D84" s="1505">
        <v>0</v>
      </c>
      <c r="E84" s="1505">
        <v>-666.24900000000002</v>
      </c>
      <c r="H84" s="1103" t="s">
        <v>1678</v>
      </c>
      <c r="I84" s="1062"/>
      <c r="J84" s="1062"/>
      <c r="K84" s="1062"/>
    </row>
    <row r="85" spans="1:11" x14ac:dyDescent="0.35">
      <c r="A85" s="1069" t="s">
        <v>1685</v>
      </c>
      <c r="B85" s="1083">
        <v>2516.6390000000001</v>
      </c>
      <c r="C85" s="1505">
        <v>0</v>
      </c>
      <c r="D85" s="1505">
        <v>0</v>
      </c>
      <c r="E85" s="1083">
        <v>2516.6390000000001</v>
      </c>
      <c r="H85" s="1069" t="s">
        <v>1679</v>
      </c>
      <c r="I85" s="1505">
        <v>21045.308000000001</v>
      </c>
      <c r="J85" s="1505">
        <v>1844.3789999999999</v>
      </c>
      <c r="K85" s="1083">
        <f>SUM(I85:J85)</f>
        <v>22889.687000000002</v>
      </c>
    </row>
    <row r="86" spans="1:11" x14ac:dyDescent="0.35">
      <c r="H86" s="1103" t="s">
        <v>1680</v>
      </c>
      <c r="I86" s="1514">
        <v>21246.977999999999</v>
      </c>
      <c r="J86" s="1514">
        <f>J85</f>
        <v>1844.3789999999999</v>
      </c>
      <c r="K86" s="1513">
        <f>SUM(I86:J86)</f>
        <v>23091.357</v>
      </c>
    </row>
  </sheetData>
  <mergeCells count="10">
    <mergeCell ref="O20:P20"/>
    <mergeCell ref="Q20:R20"/>
    <mergeCell ref="S20:T20"/>
    <mergeCell ref="S10:T10"/>
    <mergeCell ref="N1:N2"/>
    <mergeCell ref="O1:P1"/>
    <mergeCell ref="Q1:R1"/>
    <mergeCell ref="S1:S2"/>
    <mergeCell ref="O10:P10"/>
    <mergeCell ref="Q10:R10"/>
  </mergeCells>
  <phoneticPr fontId="51"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D3:IV45"/>
  <sheetViews>
    <sheetView showGridLines="0" workbookViewId="0">
      <pane xSplit="4" ySplit="4" topLeftCell="E50" activePane="bottomRight" state="frozen"/>
      <selection pane="topRight"/>
      <selection pane="bottomLeft"/>
      <selection pane="bottomRight" activeCell="J33" sqref="J33"/>
    </sheetView>
  </sheetViews>
  <sheetFormatPr defaultColWidth="9" defaultRowHeight="10.15" x14ac:dyDescent="0.25"/>
  <cols>
    <col min="1" max="3" width="2.25" style="1314" customWidth="1"/>
    <col min="4" max="4" width="23.3125" style="1314" customWidth="1"/>
    <col min="5" max="5" width="10.25" style="1528" customWidth="1"/>
    <col min="6" max="6" width="11.8125" style="1528" customWidth="1"/>
    <col min="7" max="7" width="10.75" style="1528" customWidth="1"/>
    <col min="8" max="8" width="10.25" style="1528" customWidth="1"/>
    <col min="9" max="9" width="9.5" style="1528" bestFit="1" customWidth="1"/>
    <col min="10" max="10" width="37.75" style="1314" customWidth="1"/>
    <col min="11" max="16384" width="9" style="1314"/>
  </cols>
  <sheetData>
    <row r="3" spans="4:256" ht="10.5" x14ac:dyDescent="0.3">
      <c r="D3" s="1062"/>
      <c r="E3" s="1143"/>
      <c r="F3" s="1143"/>
      <c r="G3" s="1143"/>
      <c r="H3" s="1143"/>
      <c r="I3" s="1143"/>
      <c r="J3" s="1062"/>
      <c r="K3" s="1062"/>
      <c r="L3" s="1062"/>
    </row>
    <row r="4" spans="4:256" ht="30.4" x14ac:dyDescent="0.3">
      <c r="D4" s="1529" t="s">
        <v>1172</v>
      </c>
      <c r="E4" s="1496" t="s">
        <v>1173</v>
      </c>
      <c r="F4" s="1496" t="s">
        <v>1174</v>
      </c>
      <c r="G4" s="1496" t="s">
        <v>2</v>
      </c>
      <c r="H4" s="1496" t="s">
        <v>1175</v>
      </c>
      <c r="I4" s="1496" t="s">
        <v>1176</v>
      </c>
      <c r="J4" s="1530" t="s">
        <v>1177</v>
      </c>
      <c r="K4" s="1062"/>
      <c r="L4" s="1062"/>
    </row>
    <row r="5" spans="4:256" ht="30.4" x14ac:dyDescent="0.3">
      <c r="D5" s="1531" t="s">
        <v>719</v>
      </c>
      <c r="E5" s="1532" t="s">
        <v>1178</v>
      </c>
      <c r="F5" s="1533">
        <v>40366</v>
      </c>
      <c r="G5" s="1534">
        <v>1400</v>
      </c>
      <c r="H5" s="1532" t="s">
        <v>814</v>
      </c>
      <c r="I5" s="1534">
        <v>500000</v>
      </c>
      <c r="J5" s="1531" t="s">
        <v>1179</v>
      </c>
      <c r="K5" s="1062"/>
      <c r="L5" s="1062"/>
    </row>
    <row r="6" spans="4:256" ht="20.25" x14ac:dyDescent="0.3">
      <c r="D6" s="1535" t="s">
        <v>318</v>
      </c>
      <c r="E6" s="1536" t="s">
        <v>1178</v>
      </c>
      <c r="F6" s="1537">
        <v>40491</v>
      </c>
      <c r="G6" s="1538">
        <v>810</v>
      </c>
      <c r="H6" s="1536" t="s">
        <v>319</v>
      </c>
      <c r="I6" s="1538">
        <v>300000</v>
      </c>
      <c r="J6" s="1535" t="s">
        <v>1180</v>
      </c>
      <c r="K6" s="1062"/>
      <c r="L6" s="1062"/>
    </row>
    <row r="7" spans="4:256" ht="40.5" x14ac:dyDescent="0.3">
      <c r="D7" s="1531" t="s">
        <v>1181</v>
      </c>
      <c r="E7" s="1532" t="s">
        <v>1182</v>
      </c>
      <c r="F7" s="1533">
        <v>40584</v>
      </c>
      <c r="G7" s="1534">
        <v>2000</v>
      </c>
      <c r="H7" s="1532" t="s">
        <v>814</v>
      </c>
      <c r="I7" s="1534">
        <f>375000+400000</f>
        <v>775000</v>
      </c>
      <c r="J7" s="1531" t="s">
        <v>1183</v>
      </c>
      <c r="K7" s="1062"/>
      <c r="L7" s="1062"/>
      <c r="IV7" s="1531"/>
    </row>
    <row r="8" spans="4:256" ht="20.25" x14ac:dyDescent="0.3">
      <c r="D8" s="1535" t="s">
        <v>1184</v>
      </c>
      <c r="E8" s="1536" t="s">
        <v>1185</v>
      </c>
      <c r="F8" s="1537">
        <v>40672</v>
      </c>
      <c r="G8" s="1538">
        <v>1840</v>
      </c>
      <c r="H8" s="1536" t="s">
        <v>201</v>
      </c>
      <c r="I8" s="1538">
        <v>770000</v>
      </c>
      <c r="J8" s="1535" t="s">
        <v>1186</v>
      </c>
      <c r="K8" s="1062"/>
      <c r="L8" s="1062"/>
    </row>
    <row r="9" spans="4:256" ht="20.25" x14ac:dyDescent="0.3">
      <c r="D9" s="1484" t="s">
        <v>1187</v>
      </c>
      <c r="E9" s="1539" t="s">
        <v>1188</v>
      </c>
      <c r="F9" s="1540">
        <v>40765</v>
      </c>
      <c r="G9" s="1541">
        <v>670</v>
      </c>
      <c r="H9" s="1539" t="s">
        <v>1189</v>
      </c>
      <c r="I9" s="1541">
        <v>200000</v>
      </c>
      <c r="J9" s="1484" t="s">
        <v>3</v>
      </c>
      <c r="K9" s="1062"/>
      <c r="L9" s="1062"/>
    </row>
    <row r="10" spans="4:256" ht="20.25" x14ac:dyDescent="0.3">
      <c r="D10" s="1535" t="s">
        <v>1190</v>
      </c>
      <c r="E10" s="1536" t="s">
        <v>1191</v>
      </c>
      <c r="F10" s="1537">
        <v>40765</v>
      </c>
      <c r="G10" s="1538">
        <v>1350</v>
      </c>
      <c r="H10" s="1536" t="s">
        <v>1192</v>
      </c>
      <c r="I10" s="1538">
        <v>450000</v>
      </c>
      <c r="J10" s="1535" t="s">
        <v>4</v>
      </c>
      <c r="K10" s="1062"/>
      <c r="L10" s="1062"/>
    </row>
    <row r="11" spans="4:256" ht="30.4" x14ac:dyDescent="0.3">
      <c r="D11" s="1484" t="s">
        <v>1193</v>
      </c>
      <c r="E11" s="1539" t="s">
        <v>1194</v>
      </c>
      <c r="F11" s="1540">
        <v>40857</v>
      </c>
      <c r="G11" s="1541">
        <v>1740</v>
      </c>
      <c r="H11" s="1539" t="s">
        <v>55</v>
      </c>
      <c r="I11" s="1541">
        <v>500000</v>
      </c>
      <c r="J11" s="1484" t="s">
        <v>5</v>
      </c>
      <c r="K11" s="1062"/>
      <c r="L11" s="1062"/>
    </row>
    <row r="12" spans="4:256" ht="30.4" x14ac:dyDescent="0.3">
      <c r="D12" s="1535" t="s">
        <v>1195</v>
      </c>
      <c r="E12" s="1536" t="s">
        <v>1194</v>
      </c>
      <c r="F12" s="1537">
        <v>40857</v>
      </c>
      <c r="G12" s="1538">
        <v>1080</v>
      </c>
      <c r="H12" s="1536" t="s">
        <v>55</v>
      </c>
      <c r="I12" s="1538">
        <v>310000</v>
      </c>
      <c r="J12" s="1535" t="s">
        <v>5</v>
      </c>
      <c r="K12" s="1062"/>
      <c r="L12" s="1062"/>
    </row>
    <row r="13" spans="4:256" ht="20.25" x14ac:dyDescent="0.3">
      <c r="D13" s="1484" t="s">
        <v>822</v>
      </c>
      <c r="E13" s="1539" t="s">
        <v>1196</v>
      </c>
      <c r="F13" s="1540">
        <v>41039</v>
      </c>
      <c r="G13" s="1541">
        <v>2840</v>
      </c>
      <c r="H13" s="1539" t="s">
        <v>55</v>
      </c>
      <c r="I13" s="1541" t="s">
        <v>1197</v>
      </c>
      <c r="J13" s="1484" t="s">
        <v>7</v>
      </c>
      <c r="K13" s="1062"/>
      <c r="L13" s="1062"/>
    </row>
    <row r="14" spans="4:256" ht="20.25" x14ac:dyDescent="0.3">
      <c r="D14" s="1535" t="s">
        <v>1198</v>
      </c>
      <c r="E14" s="1536" t="s">
        <v>1199</v>
      </c>
      <c r="F14" s="1537">
        <v>41100</v>
      </c>
      <c r="G14" s="1538">
        <v>3830</v>
      </c>
      <c r="H14" s="1536" t="s">
        <v>1197</v>
      </c>
      <c r="I14" s="1538" t="s">
        <v>1197</v>
      </c>
      <c r="J14" s="1535" t="s">
        <v>8</v>
      </c>
      <c r="K14" s="1062"/>
      <c r="L14" s="1062"/>
    </row>
    <row r="15" spans="4:256" ht="30.4" x14ac:dyDescent="0.3">
      <c r="D15" s="1531" t="s">
        <v>1200</v>
      </c>
      <c r="E15" s="1532" t="s">
        <v>1201</v>
      </c>
      <c r="F15" s="1533">
        <v>41162</v>
      </c>
      <c r="G15" s="1534">
        <v>2960</v>
      </c>
      <c r="H15" s="1532" t="s">
        <v>1202</v>
      </c>
      <c r="I15" s="1534" t="s">
        <v>1203</v>
      </c>
      <c r="J15" s="1484" t="s">
        <v>1204</v>
      </c>
      <c r="K15" s="1062"/>
      <c r="L15" s="1062"/>
    </row>
    <row r="16" spans="4:256" ht="30.4" x14ac:dyDescent="0.3">
      <c r="D16" s="1535" t="s">
        <v>1205</v>
      </c>
      <c r="E16" s="1536" t="s">
        <v>1206</v>
      </c>
      <c r="F16" s="1537">
        <v>41222</v>
      </c>
      <c r="G16" s="1538">
        <v>2500</v>
      </c>
      <c r="H16" s="1536" t="s">
        <v>1207</v>
      </c>
      <c r="I16" s="1538" t="s">
        <v>1208</v>
      </c>
      <c r="J16" s="1535" t="s">
        <v>1209</v>
      </c>
      <c r="K16" s="1062"/>
      <c r="L16" s="1062"/>
    </row>
    <row r="17" spans="4:12" ht="30.4" x14ac:dyDescent="0.3">
      <c r="D17" s="1531" t="s">
        <v>1210</v>
      </c>
      <c r="E17" s="1532" t="s">
        <v>1211</v>
      </c>
      <c r="F17" s="1542">
        <v>41284</v>
      </c>
      <c r="G17" s="1543">
        <v>1630</v>
      </c>
      <c r="H17" s="1532" t="s">
        <v>1212</v>
      </c>
      <c r="I17" s="1534" t="s">
        <v>1208</v>
      </c>
      <c r="J17" s="1531" t="s">
        <v>1213</v>
      </c>
      <c r="K17" s="1062"/>
      <c r="L17" s="1062"/>
    </row>
    <row r="18" spans="4:12" ht="30.4" x14ac:dyDescent="0.3">
      <c r="D18" s="1535" t="s">
        <v>1214</v>
      </c>
      <c r="E18" s="1536" t="s">
        <v>1201</v>
      </c>
      <c r="F18" s="1537">
        <v>41404</v>
      </c>
      <c r="G18" s="1538">
        <v>4530</v>
      </c>
      <c r="H18" s="1536" t="s">
        <v>1215</v>
      </c>
      <c r="I18" s="1538" t="s">
        <v>1208</v>
      </c>
      <c r="J18" s="1535" t="s">
        <v>1216</v>
      </c>
      <c r="K18" s="1062"/>
      <c r="L18" s="1062"/>
    </row>
    <row r="19" spans="4:12" ht="30.4" x14ac:dyDescent="0.3">
      <c r="D19" s="1531" t="s">
        <v>1163</v>
      </c>
      <c r="E19" s="1532" t="s">
        <v>1217</v>
      </c>
      <c r="F19" s="1542">
        <v>41465</v>
      </c>
      <c r="G19" s="1543">
        <v>4470</v>
      </c>
      <c r="H19" s="1532" t="s">
        <v>1215</v>
      </c>
      <c r="I19" s="1534" t="s">
        <v>1208</v>
      </c>
      <c r="J19" s="1531" t="s">
        <v>1162</v>
      </c>
      <c r="K19" s="1062"/>
      <c r="L19" s="1062"/>
    </row>
    <row r="20" spans="4:12" ht="20.25" x14ac:dyDescent="0.3">
      <c r="D20" s="1535" t="s">
        <v>1218</v>
      </c>
      <c r="E20" s="1536" t="s">
        <v>1211</v>
      </c>
      <c r="F20" s="1537">
        <v>41557</v>
      </c>
      <c r="G20" s="1538">
        <v>2810</v>
      </c>
      <c r="H20" s="1536" t="s">
        <v>1212</v>
      </c>
      <c r="I20" s="1538" t="s">
        <v>1208</v>
      </c>
      <c r="J20" s="1535" t="s">
        <v>1219</v>
      </c>
      <c r="K20" s="1062"/>
      <c r="L20" s="1062"/>
    </row>
    <row r="21" spans="4:12" ht="30.4" x14ac:dyDescent="0.3">
      <c r="D21" s="1531" t="s">
        <v>1165</v>
      </c>
      <c r="E21" s="1532" t="s">
        <v>1220</v>
      </c>
      <c r="F21" s="1542">
        <v>41621</v>
      </c>
      <c r="G21" s="1543">
        <v>1640</v>
      </c>
      <c r="H21" s="1532" t="s">
        <v>1212</v>
      </c>
      <c r="I21" s="1534" t="s">
        <v>1208</v>
      </c>
      <c r="J21" s="1531" t="s">
        <v>1166</v>
      </c>
      <c r="K21" s="1062"/>
      <c r="L21" s="1062"/>
    </row>
    <row r="22" spans="4:12" ht="30.4" x14ac:dyDescent="0.3">
      <c r="D22" s="1535" t="s">
        <v>1399</v>
      </c>
      <c r="E22" s="1536" t="s">
        <v>1400</v>
      </c>
      <c r="F22" s="1537">
        <v>41680</v>
      </c>
      <c r="G22" s="1538">
        <v>3970</v>
      </c>
      <c r="H22" s="1536" t="s">
        <v>1401</v>
      </c>
      <c r="I22" s="1538" t="s">
        <v>1401</v>
      </c>
      <c r="J22" s="1535" t="s">
        <v>1402</v>
      </c>
      <c r="K22" s="1062"/>
      <c r="L22" s="1062"/>
    </row>
    <row r="23" spans="4:12" ht="20.25" x14ac:dyDescent="0.3">
      <c r="D23" s="1531" t="s">
        <v>1403</v>
      </c>
      <c r="E23" s="1532" t="s">
        <v>1404</v>
      </c>
      <c r="F23" s="1533">
        <v>41739</v>
      </c>
      <c r="G23" s="1534">
        <f>0.98*1000</f>
        <v>980</v>
      </c>
      <c r="H23" s="1534" t="s">
        <v>1401</v>
      </c>
      <c r="I23" s="1534" t="s">
        <v>1401</v>
      </c>
      <c r="J23" s="1531" t="s">
        <v>1405</v>
      </c>
      <c r="K23" s="1062"/>
      <c r="L23" s="1062"/>
    </row>
    <row r="24" spans="4:12" ht="20.25" x14ac:dyDescent="0.3">
      <c r="D24" s="1535" t="s">
        <v>1406</v>
      </c>
      <c r="E24" s="1536" t="s">
        <v>1407</v>
      </c>
      <c r="F24" s="1537">
        <v>41768</v>
      </c>
      <c r="G24" s="1538">
        <v>4670</v>
      </c>
      <c r="H24" s="1536" t="s">
        <v>1401</v>
      </c>
      <c r="I24" s="1538" t="s">
        <v>1401</v>
      </c>
      <c r="J24" s="1535" t="s">
        <v>1410</v>
      </c>
      <c r="K24" s="1062"/>
      <c r="L24" s="1062"/>
    </row>
    <row r="25" spans="4:12" ht="30.4" x14ac:dyDescent="0.3">
      <c r="D25" s="1531" t="s">
        <v>1456</v>
      </c>
      <c r="E25" s="1542" t="s">
        <v>1457</v>
      </c>
      <c r="F25" s="1542">
        <v>41861</v>
      </c>
      <c r="G25" s="1543">
        <v>2350</v>
      </c>
      <c r="H25" s="1534" t="s">
        <v>1458</v>
      </c>
      <c r="I25" s="1534" t="s">
        <v>1458</v>
      </c>
      <c r="J25" s="1544" t="s">
        <v>1459</v>
      </c>
      <c r="K25" s="1062"/>
      <c r="L25" s="1062"/>
    </row>
    <row r="26" spans="4:12" ht="30.4" x14ac:dyDescent="0.3">
      <c r="D26" s="1535" t="s">
        <v>1476</v>
      </c>
      <c r="E26" s="1536" t="s">
        <v>1477</v>
      </c>
      <c r="F26" s="1537">
        <v>41893</v>
      </c>
      <c r="G26" s="1545">
        <f>2.5*1000</f>
        <v>2500</v>
      </c>
      <c r="H26" s="1536" t="s">
        <v>1478</v>
      </c>
      <c r="I26" s="1538" t="s">
        <v>1478</v>
      </c>
      <c r="J26" s="1546" t="s">
        <v>1479</v>
      </c>
      <c r="K26" s="1062"/>
      <c r="L26" s="1062"/>
    </row>
    <row r="27" spans="4:12" ht="30.4" x14ac:dyDescent="0.3">
      <c r="D27" s="1531" t="s">
        <v>1484</v>
      </c>
      <c r="E27" s="1542" t="s">
        <v>1485</v>
      </c>
      <c r="F27" s="1542">
        <v>41922</v>
      </c>
      <c r="G27" s="1543">
        <v>1550</v>
      </c>
      <c r="H27" s="1534" t="s">
        <v>1486</v>
      </c>
      <c r="I27" s="1534" t="s">
        <v>1486</v>
      </c>
      <c r="J27" s="1544" t="s">
        <v>1487</v>
      </c>
      <c r="K27" s="1062"/>
      <c r="L27" s="1062"/>
    </row>
    <row r="28" spans="4:12" ht="19.5" customHeight="1" x14ac:dyDescent="0.3">
      <c r="D28" s="1535" t="s">
        <v>1496</v>
      </c>
      <c r="E28" s="1536" t="s">
        <v>1497</v>
      </c>
      <c r="F28" s="1547">
        <v>41954</v>
      </c>
      <c r="G28" s="1545">
        <v>3750</v>
      </c>
      <c r="H28" s="1536" t="s">
        <v>1498</v>
      </c>
      <c r="I28" s="1538" t="s">
        <v>1498</v>
      </c>
      <c r="J28" s="1546" t="s">
        <v>1499</v>
      </c>
      <c r="K28" s="1062"/>
      <c r="L28" s="1062"/>
    </row>
    <row r="29" spans="4:12" ht="30.4" x14ac:dyDescent="0.3">
      <c r="D29" s="1531" t="s">
        <v>1500</v>
      </c>
      <c r="E29" s="1542" t="s">
        <v>1501</v>
      </c>
      <c r="F29" s="1542">
        <v>41983</v>
      </c>
      <c r="G29" s="1543">
        <f>7.5*1000</f>
        <v>7500</v>
      </c>
      <c r="H29" s="1534" t="s">
        <v>1502</v>
      </c>
      <c r="I29" s="1534" t="s">
        <v>1502</v>
      </c>
      <c r="J29" s="1544" t="s">
        <v>1503</v>
      </c>
      <c r="K29" s="1062"/>
      <c r="L29" s="1062"/>
    </row>
    <row r="30" spans="4:12" ht="10.5" x14ac:dyDescent="0.3">
      <c r="D30" s="1548" t="s">
        <v>1221</v>
      </c>
      <c r="E30" s="1549"/>
      <c r="F30" s="1550"/>
      <c r="G30" s="1551">
        <f>SUM(G5:G29)</f>
        <v>65370</v>
      </c>
      <c r="H30" s="1552"/>
      <c r="I30" s="1551"/>
      <c r="J30" s="1553"/>
      <c r="K30" s="1062"/>
      <c r="L30" s="1062"/>
    </row>
    <row r="31" spans="4:12" ht="10.5" x14ac:dyDescent="0.3">
      <c r="D31" s="1531"/>
      <c r="E31" s="1532"/>
      <c r="F31" s="1532"/>
      <c r="G31" s="1532"/>
      <c r="H31" s="1532"/>
      <c r="I31" s="1532"/>
      <c r="J31" s="1531"/>
      <c r="K31" s="1062"/>
      <c r="L31" s="1062"/>
    </row>
    <row r="32" spans="4:12" ht="10.5" x14ac:dyDescent="0.3">
      <c r="D32" s="1484"/>
      <c r="E32" s="1554"/>
      <c r="F32" s="1539"/>
      <c r="G32" s="1539"/>
      <c r="H32" s="1554"/>
      <c r="I32" s="1539"/>
      <c r="J32" s="1484"/>
      <c r="K32" s="1062"/>
      <c r="L32" s="1062"/>
    </row>
    <row r="36" spans="4:10" ht="20.25" x14ac:dyDescent="0.25">
      <c r="D36" s="1497" t="s">
        <v>281</v>
      </c>
      <c r="E36" s="1497" t="s">
        <v>282</v>
      </c>
      <c r="F36" s="1497" t="s">
        <v>283</v>
      </c>
      <c r="G36" s="1497" t="s">
        <v>305</v>
      </c>
      <c r="H36" s="1497" t="s">
        <v>284</v>
      </c>
      <c r="I36" s="1497" t="s">
        <v>304</v>
      </c>
      <c r="J36" s="1555" t="s">
        <v>285</v>
      </c>
    </row>
    <row r="37" spans="4:10" ht="21" x14ac:dyDescent="0.25">
      <c r="D37" s="1556" t="s">
        <v>286</v>
      </c>
      <c r="E37" s="1557" t="s">
        <v>288</v>
      </c>
      <c r="F37" s="1533">
        <v>40366</v>
      </c>
      <c r="G37" s="1534">
        <v>1400</v>
      </c>
      <c r="H37" s="1532" t="s">
        <v>1447</v>
      </c>
      <c r="I37" s="1534">
        <v>500000</v>
      </c>
      <c r="J37" s="1556" t="s">
        <v>1448</v>
      </c>
    </row>
    <row r="38" spans="4:10" ht="21" x14ac:dyDescent="0.25">
      <c r="D38" s="1558" t="s">
        <v>289</v>
      </c>
      <c r="E38" s="1559" t="s">
        <v>287</v>
      </c>
      <c r="F38" s="1537">
        <v>40491</v>
      </c>
      <c r="G38" s="1538">
        <v>810</v>
      </c>
      <c r="H38" s="1536" t="s">
        <v>1449</v>
      </c>
      <c r="I38" s="1538">
        <v>300000</v>
      </c>
      <c r="J38" s="1558" t="s">
        <v>1450</v>
      </c>
    </row>
    <row r="39" spans="4:10" ht="42" x14ac:dyDescent="0.25">
      <c r="D39" s="1556" t="s">
        <v>290</v>
      </c>
      <c r="E39" s="1557" t="s">
        <v>291</v>
      </c>
      <c r="F39" s="1533">
        <v>40584</v>
      </c>
      <c r="G39" s="1534">
        <v>2000</v>
      </c>
      <c r="H39" s="1532" t="s">
        <v>1447</v>
      </c>
      <c r="I39" s="1534">
        <f>375000+400000</f>
        <v>775000</v>
      </c>
      <c r="J39" s="1556" t="s">
        <v>1451</v>
      </c>
    </row>
    <row r="40" spans="4:10" ht="21" x14ac:dyDescent="0.25">
      <c r="D40" s="1558" t="s">
        <v>1452</v>
      </c>
      <c r="E40" s="1559" t="s">
        <v>292</v>
      </c>
      <c r="F40" s="1537">
        <v>40672</v>
      </c>
      <c r="G40" s="1538">
        <v>1840</v>
      </c>
      <c r="H40" s="1536" t="s">
        <v>201</v>
      </c>
      <c r="I40" s="1538">
        <v>770000</v>
      </c>
      <c r="J40" s="1558" t="s">
        <v>1453</v>
      </c>
    </row>
    <row r="41" spans="4:10" ht="10.5" x14ac:dyDescent="0.25">
      <c r="D41" s="1560" t="s">
        <v>1454</v>
      </c>
      <c r="E41" s="1561" t="s">
        <v>295</v>
      </c>
      <c r="F41" s="1540">
        <v>40765</v>
      </c>
      <c r="G41" s="1541">
        <v>670</v>
      </c>
      <c r="H41" s="1539" t="s">
        <v>1455</v>
      </c>
      <c r="I41" s="1541">
        <v>200000</v>
      </c>
      <c r="J41" s="1560" t="s">
        <v>296</v>
      </c>
    </row>
    <row r="42" spans="4:10" ht="10.5" x14ac:dyDescent="0.25">
      <c r="D42" s="1558" t="s">
        <v>297</v>
      </c>
      <c r="E42" s="1559" t="s">
        <v>306</v>
      </c>
      <c r="F42" s="1537">
        <v>40765</v>
      </c>
      <c r="G42" s="1538">
        <v>1350</v>
      </c>
      <c r="H42" s="1536" t="s">
        <v>1455</v>
      </c>
      <c r="I42" s="1538">
        <v>450000</v>
      </c>
      <c r="J42" s="1558" t="s">
        <v>298</v>
      </c>
    </row>
    <row r="43" spans="4:10" ht="10.5" x14ac:dyDescent="0.25">
      <c r="D43" s="1560" t="s">
        <v>299</v>
      </c>
      <c r="E43" s="1561" t="s">
        <v>300</v>
      </c>
      <c r="F43" s="1540">
        <v>40857</v>
      </c>
      <c r="G43" s="1541">
        <v>1740</v>
      </c>
      <c r="H43" s="1539" t="s">
        <v>1455</v>
      </c>
      <c r="I43" s="1541">
        <v>500000</v>
      </c>
      <c r="J43" s="1560" t="s">
        <v>301</v>
      </c>
    </row>
    <row r="44" spans="4:10" ht="10.5" x14ac:dyDescent="0.25">
      <c r="D44" s="1558" t="s">
        <v>302</v>
      </c>
      <c r="E44" s="1559" t="s">
        <v>300</v>
      </c>
      <c r="F44" s="1537">
        <v>40857</v>
      </c>
      <c r="G44" s="1538">
        <v>1080</v>
      </c>
      <c r="H44" s="1536" t="s">
        <v>1455</v>
      </c>
      <c r="I44" s="1538">
        <v>310000</v>
      </c>
      <c r="J44" s="1558" t="s">
        <v>301</v>
      </c>
    </row>
    <row r="45" spans="4:10" ht="10.5" x14ac:dyDescent="0.3">
      <c r="D45" s="1562" t="s">
        <v>303</v>
      </c>
      <c r="E45" s="1563"/>
      <c r="F45" s="1563"/>
      <c r="G45" s="1564">
        <f>SUM(G37:G44)</f>
        <v>10890</v>
      </c>
      <c r="H45" s="1563"/>
      <c r="I45" s="1564">
        <f>SUM(I37:I44)</f>
        <v>3805000</v>
      </c>
      <c r="J45" s="1062"/>
    </row>
  </sheetData>
  <phoneticPr fontId="51" type="noConversion"/>
  <pageMargins left="0.75" right="0.75" top="1" bottom="1" header="0.5" footer="0.5"/>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D3:IV59"/>
  <sheetViews>
    <sheetView showGridLines="0" topLeftCell="B1" workbookViewId="0">
      <pane xSplit="3" ySplit="4" topLeftCell="E35" activePane="bottomRight" state="frozen"/>
      <selection pane="topRight" activeCell="B1" sqref="B1"/>
      <selection pane="bottomLeft" activeCell="B1" sqref="B1"/>
      <selection pane="bottomRight" activeCell="J33" sqref="J33"/>
    </sheetView>
  </sheetViews>
  <sheetFormatPr defaultColWidth="9" defaultRowHeight="10.15" x14ac:dyDescent="0.25"/>
  <cols>
    <col min="1" max="1" width="9" style="1314"/>
    <col min="2" max="2" width="3" style="1314" customWidth="1"/>
    <col min="3" max="3" width="2.75" style="1314" customWidth="1"/>
    <col min="4" max="4" width="22.75" style="1314" customWidth="1"/>
    <col min="5" max="5" width="15" style="1528" customWidth="1"/>
    <col min="6" max="7" width="11.8125" style="1528" customWidth="1"/>
    <col min="8" max="8" width="13.75" style="1528" customWidth="1"/>
    <col min="9" max="9" width="11.25" style="1528" customWidth="1"/>
    <col min="10" max="10" width="54.5" style="1314" customWidth="1"/>
    <col min="11" max="16384" width="9" style="1314"/>
  </cols>
  <sheetData>
    <row r="3" spans="4:256" ht="10.5" x14ac:dyDescent="0.3">
      <c r="D3" s="1062"/>
      <c r="E3" s="1143"/>
      <c r="F3" s="1143"/>
      <c r="G3" s="1143"/>
      <c r="H3" s="1143"/>
      <c r="I3" s="1143"/>
      <c r="J3" s="1062"/>
      <c r="K3" s="1062"/>
      <c r="L3" s="1062"/>
    </row>
    <row r="4" spans="4:256" ht="20.25" x14ac:dyDescent="0.3">
      <c r="D4" s="1496" t="s">
        <v>1222</v>
      </c>
      <c r="E4" s="1496" t="s">
        <v>1223</v>
      </c>
      <c r="F4" s="1496" t="s">
        <v>1224</v>
      </c>
      <c r="G4" s="1496" t="s">
        <v>1225</v>
      </c>
      <c r="H4" s="1496" t="s">
        <v>1226</v>
      </c>
      <c r="I4" s="1496" t="s">
        <v>1175</v>
      </c>
      <c r="J4" s="1530" t="s">
        <v>1177</v>
      </c>
      <c r="K4" s="1062"/>
      <c r="L4" s="1062"/>
    </row>
    <row r="5" spans="4:256" ht="20.25" x14ac:dyDescent="0.3">
      <c r="D5" s="1484" t="s">
        <v>1227</v>
      </c>
      <c r="E5" s="1539" t="s">
        <v>1228</v>
      </c>
      <c r="F5" s="1539" t="s">
        <v>1228</v>
      </c>
      <c r="G5" s="1539" t="s">
        <v>1229</v>
      </c>
      <c r="H5" s="1539" t="s">
        <v>1228</v>
      </c>
      <c r="I5" s="1539" t="s">
        <v>1230</v>
      </c>
      <c r="J5" s="1484" t="s">
        <v>1231</v>
      </c>
      <c r="K5" s="1062"/>
      <c r="L5" s="1062"/>
    </row>
    <row r="6" spans="4:256" ht="30.4" x14ac:dyDescent="0.3">
      <c r="D6" s="1535" t="s">
        <v>1232</v>
      </c>
      <c r="E6" s="1536" t="s">
        <v>1233</v>
      </c>
      <c r="F6" s="1536" t="s">
        <v>1234</v>
      </c>
      <c r="G6" s="1536" t="s">
        <v>1235</v>
      </c>
      <c r="H6" s="1536" t="s">
        <v>9</v>
      </c>
      <c r="I6" s="1536" t="s">
        <v>1236</v>
      </c>
      <c r="J6" s="1535" t="s">
        <v>1237</v>
      </c>
      <c r="K6" s="1062"/>
      <c r="L6" s="1062"/>
    </row>
    <row r="7" spans="4:256" ht="20.25" x14ac:dyDescent="0.3">
      <c r="D7" s="1484" t="s">
        <v>1238</v>
      </c>
      <c r="E7" s="1539" t="s">
        <v>1239</v>
      </c>
      <c r="F7" s="1539" t="s">
        <v>1240</v>
      </c>
      <c r="G7" s="1539" t="s">
        <v>1241</v>
      </c>
      <c r="H7" s="1539" t="s">
        <v>10</v>
      </c>
      <c r="I7" s="1539" t="s">
        <v>814</v>
      </c>
      <c r="J7" s="1484" t="s">
        <v>1242</v>
      </c>
      <c r="K7" s="1062"/>
      <c r="L7" s="1062"/>
    </row>
    <row r="8" spans="4:256" ht="20.25" x14ac:dyDescent="0.3">
      <c r="D8" s="1535" t="s">
        <v>1243</v>
      </c>
      <c r="E8" s="1536" t="s">
        <v>1244</v>
      </c>
      <c r="F8" s="1536" t="s">
        <v>1245</v>
      </c>
      <c r="G8" s="1536" t="s">
        <v>1246</v>
      </c>
      <c r="H8" s="1536" t="s">
        <v>1247</v>
      </c>
      <c r="I8" s="1536" t="s">
        <v>814</v>
      </c>
      <c r="J8" s="1535" t="s">
        <v>1248</v>
      </c>
      <c r="K8" s="1062"/>
      <c r="L8" s="1062"/>
    </row>
    <row r="9" spans="4:256" ht="20.25" x14ac:dyDescent="0.3">
      <c r="D9" s="1484" t="s">
        <v>1249</v>
      </c>
      <c r="E9" s="1554">
        <v>1</v>
      </c>
      <c r="F9" s="1539" t="s">
        <v>1250</v>
      </c>
      <c r="G9" s="1539" t="s">
        <v>1250</v>
      </c>
      <c r="H9" s="1539" t="s">
        <v>1228</v>
      </c>
      <c r="I9" s="1539" t="s">
        <v>814</v>
      </c>
      <c r="J9" s="1484" t="s">
        <v>1251</v>
      </c>
      <c r="K9" s="1062"/>
      <c r="L9" s="1062"/>
    </row>
    <row r="10" spans="4:256" ht="20.25" x14ac:dyDescent="0.3">
      <c r="D10" s="1535" t="s">
        <v>11</v>
      </c>
      <c r="E10" s="1536" t="s">
        <v>1252</v>
      </c>
      <c r="F10" s="1536" t="s">
        <v>1253</v>
      </c>
      <c r="G10" s="1536" t="s">
        <v>1254</v>
      </c>
      <c r="H10" s="1536" t="s">
        <v>1255</v>
      </c>
      <c r="I10" s="1536" t="s">
        <v>1256</v>
      </c>
      <c r="J10" s="1535" t="s">
        <v>1257</v>
      </c>
      <c r="K10" s="1062"/>
      <c r="L10" s="1062"/>
    </row>
    <row r="11" spans="4:256" ht="20.25" x14ac:dyDescent="0.3">
      <c r="D11" s="1484" t="s">
        <v>1258</v>
      </c>
      <c r="E11" s="1554" t="s">
        <v>1259</v>
      </c>
      <c r="F11" s="1539" t="s">
        <v>1260</v>
      </c>
      <c r="G11" s="1539" t="s">
        <v>1254</v>
      </c>
      <c r="H11" s="1539" t="s">
        <v>1261</v>
      </c>
      <c r="I11" s="1539" t="s">
        <v>814</v>
      </c>
      <c r="J11" s="1484" t="s">
        <v>1262</v>
      </c>
      <c r="K11" s="1062"/>
      <c r="L11" s="1062"/>
      <c r="IV11" s="1531"/>
    </row>
    <row r="12" spans="4:256" ht="20.25" x14ac:dyDescent="0.3">
      <c r="D12" s="1535" t="s">
        <v>1181</v>
      </c>
      <c r="E12" s="1565">
        <v>1</v>
      </c>
      <c r="F12" s="1536" t="s">
        <v>1263</v>
      </c>
      <c r="G12" s="1536" t="s">
        <v>1263</v>
      </c>
      <c r="H12" s="1536" t="s">
        <v>1228</v>
      </c>
      <c r="I12" s="1536" t="s">
        <v>814</v>
      </c>
      <c r="J12" s="1535" t="s">
        <v>1264</v>
      </c>
      <c r="K12" s="1062"/>
      <c r="L12" s="1062"/>
    </row>
    <row r="13" spans="4:256" ht="30.4" x14ac:dyDescent="0.3">
      <c r="D13" s="1484" t="s">
        <v>1265</v>
      </c>
      <c r="E13" s="1554">
        <v>1</v>
      </c>
      <c r="F13" s="1539" t="s">
        <v>1266</v>
      </c>
      <c r="G13" s="1539" t="s">
        <v>720</v>
      </c>
      <c r="H13" s="1539" t="s">
        <v>1228</v>
      </c>
      <c r="I13" s="1539" t="s">
        <v>1228</v>
      </c>
      <c r="J13" s="1484" t="s">
        <v>1267</v>
      </c>
      <c r="K13" s="1062"/>
      <c r="L13" s="1062"/>
    </row>
    <row r="14" spans="4:256" ht="20.25" x14ac:dyDescent="0.3">
      <c r="D14" s="1535" t="s">
        <v>1268</v>
      </c>
      <c r="E14" s="1565" t="s">
        <v>1228</v>
      </c>
      <c r="F14" s="1565" t="s">
        <v>1228</v>
      </c>
      <c r="G14" s="1536" t="s">
        <v>1269</v>
      </c>
      <c r="H14" s="1565" t="s">
        <v>1228</v>
      </c>
      <c r="I14" s="1536" t="s">
        <v>1270</v>
      </c>
      <c r="J14" s="1535" t="s">
        <v>462</v>
      </c>
      <c r="K14" s="1062"/>
      <c r="L14" s="1062"/>
    </row>
    <row r="15" spans="4:256" ht="20.25" x14ac:dyDescent="0.3">
      <c r="D15" s="1484" t="s">
        <v>1271</v>
      </c>
      <c r="E15" s="1554">
        <v>1</v>
      </c>
      <c r="F15" s="1539" t="s">
        <v>1272</v>
      </c>
      <c r="G15" s="1539" t="s">
        <v>1272</v>
      </c>
      <c r="H15" s="1554" t="s">
        <v>1228</v>
      </c>
      <c r="I15" s="1539" t="s">
        <v>1273</v>
      </c>
      <c r="J15" s="1484" t="s">
        <v>463</v>
      </c>
      <c r="K15" s="1062"/>
      <c r="L15" s="1062"/>
    </row>
    <row r="16" spans="4:256" ht="30.4" x14ac:dyDescent="0.3">
      <c r="D16" s="1535" t="s">
        <v>1274</v>
      </c>
      <c r="E16" s="1565">
        <v>1</v>
      </c>
      <c r="F16" s="1536" t="s">
        <v>1275</v>
      </c>
      <c r="G16" s="1536" t="s">
        <v>1275</v>
      </c>
      <c r="H16" s="1565" t="s">
        <v>1228</v>
      </c>
      <c r="I16" s="1536" t="s">
        <v>1273</v>
      </c>
      <c r="J16" s="1535" t="s">
        <v>1276</v>
      </c>
      <c r="K16" s="1062"/>
      <c r="L16" s="1062"/>
    </row>
    <row r="17" spans="4:12" ht="30.4" x14ac:dyDescent="0.3">
      <c r="D17" s="1484" t="s">
        <v>1277</v>
      </c>
      <c r="E17" s="1554">
        <v>1</v>
      </c>
      <c r="F17" s="1539" t="s">
        <v>1278</v>
      </c>
      <c r="G17" s="1539" t="s">
        <v>1278</v>
      </c>
      <c r="H17" s="1554" t="s">
        <v>1228</v>
      </c>
      <c r="I17" s="1539" t="s">
        <v>1273</v>
      </c>
      <c r="J17" s="1484" t="s">
        <v>464</v>
      </c>
      <c r="K17" s="1062"/>
      <c r="L17" s="1062"/>
    </row>
    <row r="18" spans="4:12" ht="30.4" x14ac:dyDescent="0.3">
      <c r="D18" s="1535" t="s">
        <v>1279</v>
      </c>
      <c r="E18" s="1565">
        <v>1</v>
      </c>
      <c r="F18" s="1536" t="s">
        <v>1280</v>
      </c>
      <c r="G18" s="1536" t="s">
        <v>1280</v>
      </c>
      <c r="H18" s="1565" t="s">
        <v>1228</v>
      </c>
      <c r="I18" s="1536" t="s">
        <v>1273</v>
      </c>
      <c r="J18" s="1535" t="s">
        <v>465</v>
      </c>
      <c r="K18" s="1062"/>
      <c r="L18" s="1062"/>
    </row>
    <row r="19" spans="4:12" ht="20.25" x14ac:dyDescent="0.3">
      <c r="D19" s="1484" t="s">
        <v>1281</v>
      </c>
      <c r="E19" s="1554">
        <v>1</v>
      </c>
      <c r="F19" s="1539" t="s">
        <v>1282</v>
      </c>
      <c r="G19" s="1539" t="s">
        <v>1282</v>
      </c>
      <c r="H19" s="1554" t="s">
        <v>1228</v>
      </c>
      <c r="I19" s="1539" t="s">
        <v>635</v>
      </c>
      <c r="J19" s="1484" t="s">
        <v>466</v>
      </c>
      <c r="K19" s="1062"/>
      <c r="L19" s="1062"/>
    </row>
    <row r="20" spans="4:12" ht="20.25" x14ac:dyDescent="0.3">
      <c r="D20" s="1535" t="s">
        <v>821</v>
      </c>
      <c r="E20" s="1565">
        <v>1</v>
      </c>
      <c r="F20" s="1536" t="s">
        <v>1283</v>
      </c>
      <c r="G20" s="1536" t="s">
        <v>823</v>
      </c>
      <c r="H20" s="1565" t="s">
        <v>1228</v>
      </c>
      <c r="I20" s="1536" t="s">
        <v>635</v>
      </c>
      <c r="J20" s="1535" t="s">
        <v>466</v>
      </c>
      <c r="K20" s="1062"/>
      <c r="L20" s="1062"/>
    </row>
    <row r="21" spans="4:12" ht="20.25" x14ac:dyDescent="0.3">
      <c r="D21" s="1484" t="s">
        <v>1284</v>
      </c>
      <c r="E21" s="1554">
        <v>1</v>
      </c>
      <c r="F21" s="1539" t="s">
        <v>1285</v>
      </c>
      <c r="G21" s="1539" t="s">
        <v>824</v>
      </c>
      <c r="H21" s="1554" t="s">
        <v>1228</v>
      </c>
      <c r="I21" s="1539" t="s">
        <v>1273</v>
      </c>
      <c r="J21" s="1484" t="s">
        <v>7</v>
      </c>
      <c r="K21" s="1062"/>
      <c r="L21" s="1062"/>
    </row>
    <row r="22" spans="4:12" ht="30.4" x14ac:dyDescent="0.3">
      <c r="D22" s="1535" t="s">
        <v>1286</v>
      </c>
      <c r="E22" s="1565">
        <v>1</v>
      </c>
      <c r="F22" s="1536" t="s">
        <v>1287</v>
      </c>
      <c r="G22" s="1536" t="s">
        <v>1287</v>
      </c>
      <c r="H22" s="1565" t="s">
        <v>1228</v>
      </c>
      <c r="I22" s="1536" t="s">
        <v>1228</v>
      </c>
      <c r="J22" s="1535" t="s">
        <v>8</v>
      </c>
      <c r="K22" s="1062"/>
      <c r="L22" s="1062"/>
    </row>
    <row r="23" spans="4:12" ht="30.4" x14ac:dyDescent="0.3">
      <c r="D23" s="1531" t="s">
        <v>1288</v>
      </c>
      <c r="E23" s="1566">
        <v>1</v>
      </c>
      <c r="F23" s="1532" t="s">
        <v>1289</v>
      </c>
      <c r="G23" s="1532" t="s">
        <v>1289</v>
      </c>
      <c r="H23" s="1566" t="s">
        <v>1228</v>
      </c>
      <c r="I23" s="1532" t="s">
        <v>1290</v>
      </c>
      <c r="J23" s="1531" t="s">
        <v>1291</v>
      </c>
      <c r="K23" s="1062"/>
      <c r="L23" s="1062"/>
    </row>
    <row r="24" spans="4:12" ht="20.25" x14ac:dyDescent="0.3">
      <c r="D24" s="1535" t="s">
        <v>1292</v>
      </c>
      <c r="E24" s="1565">
        <v>1</v>
      </c>
      <c r="F24" s="1536" t="s">
        <v>1293</v>
      </c>
      <c r="G24" s="1536" t="s">
        <v>1293</v>
      </c>
      <c r="H24" s="1565" t="s">
        <v>1228</v>
      </c>
      <c r="I24" s="1536" t="s">
        <v>1290</v>
      </c>
      <c r="J24" s="1535" t="s">
        <v>1294</v>
      </c>
      <c r="K24" s="1062"/>
      <c r="L24" s="1062"/>
    </row>
    <row r="25" spans="4:12" ht="20.25" x14ac:dyDescent="0.3">
      <c r="D25" s="1531" t="s">
        <v>1295</v>
      </c>
      <c r="E25" s="1566">
        <v>1</v>
      </c>
      <c r="F25" s="1532" t="s">
        <v>1296</v>
      </c>
      <c r="G25" s="1532" t="s">
        <v>1296</v>
      </c>
      <c r="H25" s="1566" t="s">
        <v>1228</v>
      </c>
      <c r="I25" s="1532" t="s">
        <v>1273</v>
      </c>
      <c r="J25" s="1531" t="s">
        <v>1297</v>
      </c>
      <c r="K25" s="1062"/>
      <c r="L25" s="1062"/>
    </row>
    <row r="26" spans="4:12" ht="30.4" x14ac:dyDescent="0.3">
      <c r="D26" s="1535" t="s">
        <v>1298</v>
      </c>
      <c r="E26" s="1565">
        <v>1</v>
      </c>
      <c r="F26" s="1536" t="s">
        <v>1299</v>
      </c>
      <c r="G26" s="1536" t="s">
        <v>1299</v>
      </c>
      <c r="H26" s="1565" t="s">
        <v>1228</v>
      </c>
      <c r="I26" s="1536" t="s">
        <v>1270</v>
      </c>
      <c r="J26" s="1535" t="s">
        <v>1291</v>
      </c>
      <c r="K26" s="1062"/>
      <c r="L26" s="1062"/>
    </row>
    <row r="27" spans="4:12" ht="60.75" x14ac:dyDescent="0.3">
      <c r="D27" s="1531" t="s">
        <v>1300</v>
      </c>
      <c r="E27" s="1566">
        <v>1</v>
      </c>
      <c r="F27" s="1532" t="s">
        <v>1301</v>
      </c>
      <c r="G27" s="1532" t="s">
        <v>1296</v>
      </c>
      <c r="H27" s="1566" t="s">
        <v>1228</v>
      </c>
      <c r="I27" s="1532" t="s">
        <v>1273</v>
      </c>
      <c r="J27" s="1531" t="s">
        <v>1294</v>
      </c>
      <c r="K27" s="1062"/>
      <c r="L27" s="1062"/>
    </row>
    <row r="28" spans="4:12" ht="30.4" x14ac:dyDescent="0.3">
      <c r="D28" s="1535" t="s">
        <v>1302</v>
      </c>
      <c r="E28" s="1565">
        <v>1</v>
      </c>
      <c r="F28" s="1536" t="s">
        <v>1303</v>
      </c>
      <c r="G28" s="1536" t="s">
        <v>1303</v>
      </c>
      <c r="H28" s="1565" t="s">
        <v>1228</v>
      </c>
      <c r="I28" s="1536" t="s">
        <v>1270</v>
      </c>
      <c r="J28" s="1535" t="s">
        <v>1291</v>
      </c>
      <c r="K28" s="1062"/>
      <c r="L28" s="1062"/>
    </row>
    <row r="29" spans="4:12" ht="20.25" x14ac:dyDescent="0.3">
      <c r="D29" s="1531" t="s">
        <v>1304</v>
      </c>
      <c r="E29" s="1566">
        <v>1</v>
      </c>
      <c r="F29" s="1532" t="s">
        <v>1305</v>
      </c>
      <c r="G29" s="1532" t="s">
        <v>1305</v>
      </c>
      <c r="H29" s="1566" t="s">
        <v>1228</v>
      </c>
      <c r="I29" s="1532" t="s">
        <v>1273</v>
      </c>
      <c r="J29" s="1531" t="s">
        <v>1306</v>
      </c>
      <c r="K29" s="1062"/>
      <c r="L29" s="1062"/>
    </row>
    <row r="30" spans="4:12" ht="20.25" x14ac:dyDescent="0.3">
      <c r="D30" s="1535" t="s">
        <v>1307</v>
      </c>
      <c r="E30" s="1565">
        <v>1</v>
      </c>
      <c r="F30" s="1536" t="s">
        <v>1308</v>
      </c>
      <c r="G30" s="1536" t="s">
        <v>1308</v>
      </c>
      <c r="H30" s="1565" t="s">
        <v>1228</v>
      </c>
      <c r="I30" s="1536" t="s">
        <v>1273</v>
      </c>
      <c r="J30" s="1535" t="s">
        <v>1309</v>
      </c>
      <c r="K30" s="1062"/>
      <c r="L30" s="1062"/>
    </row>
    <row r="31" spans="4:12" ht="30.4" x14ac:dyDescent="0.3">
      <c r="D31" s="1531" t="s">
        <v>1373</v>
      </c>
      <c r="E31" s="1566">
        <v>1</v>
      </c>
      <c r="F31" s="1532" t="s">
        <v>1374</v>
      </c>
      <c r="G31" s="1532" t="s">
        <v>1374</v>
      </c>
      <c r="H31" s="1566" t="s">
        <v>1228</v>
      </c>
      <c r="I31" s="1566" t="s">
        <v>1228</v>
      </c>
      <c r="J31" s="1531" t="s">
        <v>1375</v>
      </c>
      <c r="K31" s="1062"/>
      <c r="L31" s="1062"/>
    </row>
    <row r="32" spans="4:12" ht="30.4" x14ac:dyDescent="0.3">
      <c r="D32" s="1535" t="s">
        <v>1395</v>
      </c>
      <c r="E32" s="1565">
        <v>1</v>
      </c>
      <c r="F32" s="1536" t="s">
        <v>1396</v>
      </c>
      <c r="G32" s="1536" t="s">
        <v>1396</v>
      </c>
      <c r="H32" s="1565" t="s">
        <v>1228</v>
      </c>
      <c r="I32" s="1536" t="s">
        <v>1397</v>
      </c>
      <c r="J32" s="1535" t="s">
        <v>1398</v>
      </c>
      <c r="K32" s="1062"/>
      <c r="L32" s="1062"/>
    </row>
    <row r="33" spans="4:12" ht="20.25" x14ac:dyDescent="0.3">
      <c r="D33" s="1531" t="s">
        <v>1408</v>
      </c>
      <c r="E33" s="1566">
        <v>1</v>
      </c>
      <c r="F33" s="1532" t="s">
        <v>1409</v>
      </c>
      <c r="G33" s="1532" t="s">
        <v>1409</v>
      </c>
      <c r="H33" s="1566" t="s">
        <v>1228</v>
      </c>
      <c r="I33" s="1566" t="s">
        <v>1397</v>
      </c>
      <c r="J33" s="1531" t="s">
        <v>1411</v>
      </c>
      <c r="K33" s="1062"/>
      <c r="L33" s="1062"/>
    </row>
    <row r="34" spans="4:12" ht="30.4" x14ac:dyDescent="0.3">
      <c r="D34" s="1535" t="s">
        <v>1412</v>
      </c>
      <c r="E34" s="1565">
        <v>1</v>
      </c>
      <c r="F34" s="1536" t="s">
        <v>1413</v>
      </c>
      <c r="G34" s="1536" t="s">
        <v>1413</v>
      </c>
      <c r="H34" s="1565" t="s">
        <v>1228</v>
      </c>
      <c r="I34" s="1536" t="s">
        <v>1414</v>
      </c>
      <c r="J34" s="1535" t="s">
        <v>1415</v>
      </c>
      <c r="K34" s="1062"/>
      <c r="L34" s="1062"/>
    </row>
    <row r="35" spans="4:12" ht="30.4" x14ac:dyDescent="0.3">
      <c r="D35" s="1531" t="s">
        <v>1443</v>
      </c>
      <c r="E35" s="1566">
        <v>1</v>
      </c>
      <c r="F35" s="1532" t="s">
        <v>1444</v>
      </c>
      <c r="G35" s="1532" t="s">
        <v>1444</v>
      </c>
      <c r="H35" s="1566" t="s">
        <v>1228</v>
      </c>
      <c r="I35" s="1566" t="s">
        <v>1445</v>
      </c>
      <c r="J35" s="1531" t="s">
        <v>1446</v>
      </c>
      <c r="K35" s="1062"/>
      <c r="L35" s="1062"/>
    </row>
    <row r="36" spans="4:12" ht="30.4" x14ac:dyDescent="0.3">
      <c r="D36" s="1535" t="s">
        <v>1480</v>
      </c>
      <c r="E36" s="1565">
        <v>1</v>
      </c>
      <c r="F36" s="1536" t="s">
        <v>1481</v>
      </c>
      <c r="G36" s="1536" t="s">
        <v>1481</v>
      </c>
      <c r="H36" s="1565" t="s">
        <v>1228</v>
      </c>
      <c r="I36" s="1536" t="s">
        <v>1482</v>
      </c>
      <c r="J36" s="1546" t="s">
        <v>1483</v>
      </c>
      <c r="K36" s="1062"/>
      <c r="L36" s="1062"/>
    </row>
    <row r="37" spans="4:12" ht="30.4" x14ac:dyDescent="0.3">
      <c r="D37" s="1531" t="s">
        <v>1488</v>
      </c>
      <c r="E37" s="1566">
        <v>1</v>
      </c>
      <c r="F37" s="1532" t="s">
        <v>1489</v>
      </c>
      <c r="G37" s="1532" t="s">
        <v>1489</v>
      </c>
      <c r="H37" s="1566" t="s">
        <v>1228</v>
      </c>
      <c r="I37" s="1566" t="s">
        <v>1490</v>
      </c>
      <c r="J37" s="1531" t="s">
        <v>1491</v>
      </c>
      <c r="K37" s="1062"/>
      <c r="L37" s="1062"/>
    </row>
    <row r="38" spans="4:12" ht="30.4" x14ac:dyDescent="0.3">
      <c r="D38" s="1535" t="s">
        <v>1492</v>
      </c>
      <c r="E38" s="1565">
        <v>1</v>
      </c>
      <c r="F38" s="1536" t="s">
        <v>1493</v>
      </c>
      <c r="G38" s="1536" t="s">
        <v>1493</v>
      </c>
      <c r="H38" s="1565" t="s">
        <v>1228</v>
      </c>
      <c r="I38" s="1536" t="s">
        <v>1494</v>
      </c>
      <c r="J38" s="1546" t="s">
        <v>1495</v>
      </c>
      <c r="K38" s="1062"/>
      <c r="L38" s="1062"/>
    </row>
    <row r="39" spans="4:12" ht="10.5" x14ac:dyDescent="0.3">
      <c r="D39" s="1535"/>
      <c r="E39" s="1565"/>
      <c r="F39" s="1536"/>
      <c r="G39" s="1536"/>
      <c r="H39" s="1565"/>
      <c r="I39" s="1536"/>
      <c r="J39" s="1546"/>
      <c r="K39" s="1062"/>
      <c r="L39" s="1062"/>
    </row>
    <row r="40" spans="4:12" ht="30.4" x14ac:dyDescent="0.3">
      <c r="D40" s="1531" t="s">
        <v>1504</v>
      </c>
      <c r="E40" s="1566">
        <v>1</v>
      </c>
      <c r="F40" s="1532" t="s">
        <v>1505</v>
      </c>
      <c r="G40" s="1532" t="s">
        <v>1505</v>
      </c>
      <c r="H40" s="1566" t="s">
        <v>1228</v>
      </c>
      <c r="I40" s="1566" t="s">
        <v>1506</v>
      </c>
      <c r="J40" s="1531" t="s">
        <v>1507</v>
      </c>
      <c r="K40" s="1062"/>
      <c r="L40" s="1062"/>
    </row>
    <row r="41" spans="4:12" ht="10.5" x14ac:dyDescent="0.3">
      <c r="D41" s="1531"/>
      <c r="E41" s="1532"/>
      <c r="F41" s="1532"/>
      <c r="G41" s="1532"/>
      <c r="H41" s="1532"/>
      <c r="I41" s="1532"/>
      <c r="J41" s="1531"/>
      <c r="K41" s="1062"/>
      <c r="L41" s="1062"/>
    </row>
    <row r="42" spans="4:12" ht="10.5" x14ac:dyDescent="0.3">
      <c r="D42" s="1555" t="s">
        <v>209</v>
      </c>
      <c r="E42" s="1497" t="s">
        <v>210</v>
      </c>
      <c r="F42" s="1497" t="s">
        <v>211</v>
      </c>
      <c r="G42" s="1497"/>
      <c r="H42" s="1497" t="s">
        <v>212</v>
      </c>
      <c r="I42" s="1497" t="s">
        <v>213</v>
      </c>
      <c r="J42" s="1555" t="s">
        <v>214</v>
      </c>
      <c r="K42" s="1062"/>
      <c r="L42" s="1062"/>
    </row>
    <row r="43" spans="4:12" ht="21" x14ac:dyDescent="0.3">
      <c r="D43" s="1556" t="s">
        <v>1427</v>
      </c>
      <c r="E43" s="1557" t="s">
        <v>1428</v>
      </c>
      <c r="F43" s="1532" t="s">
        <v>215</v>
      </c>
      <c r="G43" s="1532"/>
      <c r="H43" s="1532" t="s">
        <v>216</v>
      </c>
      <c r="I43" s="1532" t="s">
        <v>1429</v>
      </c>
      <c r="J43" s="1556" t="s">
        <v>1430</v>
      </c>
      <c r="K43" s="1062"/>
      <c r="L43" s="1062"/>
    </row>
    <row r="44" spans="4:12" ht="21" x14ac:dyDescent="0.25">
      <c r="D44" s="1558" t="s">
        <v>1431</v>
      </c>
      <c r="E44" s="1559" t="s">
        <v>1432</v>
      </c>
      <c r="F44" s="1536" t="s">
        <v>217</v>
      </c>
      <c r="G44" s="1536"/>
      <c r="H44" s="1536" t="s">
        <v>218</v>
      </c>
      <c r="I44" s="1536" t="s">
        <v>1429</v>
      </c>
      <c r="J44" s="1558" t="s">
        <v>1433</v>
      </c>
    </row>
    <row r="45" spans="4:12" ht="21" x14ac:dyDescent="0.25">
      <c r="D45" s="1556" t="s">
        <v>1434</v>
      </c>
      <c r="E45" s="1557" t="s">
        <v>1435</v>
      </c>
      <c r="F45" s="1532" t="s">
        <v>204</v>
      </c>
      <c r="G45" s="1532"/>
      <c r="H45" s="1532" t="s">
        <v>205</v>
      </c>
      <c r="I45" s="1532" t="s">
        <v>1436</v>
      </c>
      <c r="J45" s="1556" t="s">
        <v>1437</v>
      </c>
    </row>
    <row r="46" spans="4:12" ht="20.65" x14ac:dyDescent="0.25">
      <c r="D46" s="1558" t="s">
        <v>203</v>
      </c>
      <c r="E46" s="1565">
        <v>1</v>
      </c>
      <c r="F46" s="1536" t="s">
        <v>206</v>
      </c>
      <c r="G46" s="1536"/>
      <c r="H46" s="1536" t="s">
        <v>201</v>
      </c>
      <c r="I46" s="1536" t="s">
        <v>1436</v>
      </c>
      <c r="J46" s="1558" t="s">
        <v>1438</v>
      </c>
    </row>
    <row r="47" spans="4:12" ht="21" x14ac:dyDescent="0.25">
      <c r="D47" s="1556" t="s">
        <v>1439</v>
      </c>
      <c r="E47" s="1557" t="s">
        <v>1440</v>
      </c>
      <c r="F47" s="1532" t="s">
        <v>207</v>
      </c>
      <c r="G47" s="1532"/>
      <c r="H47" s="1532" t="s">
        <v>208</v>
      </c>
      <c r="I47" s="1532" t="s">
        <v>1441</v>
      </c>
      <c r="J47" s="1556" t="s">
        <v>1442</v>
      </c>
    </row>
    <row r="49" spans="4:7" ht="10.5" x14ac:dyDescent="0.3">
      <c r="D49" s="1064"/>
      <c r="E49" s="1142"/>
      <c r="F49" s="1142"/>
      <c r="G49" s="1142"/>
    </row>
    <row r="50" spans="4:7" ht="10.5" x14ac:dyDescent="0.3">
      <c r="D50" s="1062"/>
      <c r="E50" s="1143"/>
      <c r="F50" s="1143"/>
      <c r="G50" s="1143"/>
    </row>
    <row r="51" spans="4:7" ht="10.5" x14ac:dyDescent="0.3">
      <c r="D51" s="1062"/>
      <c r="E51" s="1143"/>
      <c r="F51" s="1143"/>
      <c r="G51" s="1143"/>
    </row>
    <row r="52" spans="4:7" ht="10.5" x14ac:dyDescent="0.3">
      <c r="D52" s="1062"/>
      <c r="E52" s="1143"/>
      <c r="F52" s="1143"/>
      <c r="G52" s="1143"/>
    </row>
    <row r="53" spans="4:7" ht="10.5" x14ac:dyDescent="0.3">
      <c r="D53" s="1062"/>
      <c r="E53" s="1143"/>
      <c r="F53" s="1143"/>
      <c r="G53" s="1143"/>
    </row>
    <row r="54" spans="4:7" ht="10.5" x14ac:dyDescent="0.3">
      <c r="D54" s="1062"/>
      <c r="E54" s="1143"/>
      <c r="F54" s="1143"/>
      <c r="G54" s="1143"/>
    </row>
    <row r="55" spans="4:7" ht="10.5" x14ac:dyDescent="0.3">
      <c r="D55" s="1064"/>
      <c r="E55" s="1142"/>
      <c r="F55" s="1142"/>
      <c r="G55" s="1142"/>
    </row>
    <row r="56" spans="4:7" ht="10.5" x14ac:dyDescent="0.3">
      <c r="D56" s="1062"/>
      <c r="E56" s="1143"/>
      <c r="F56" s="1143"/>
      <c r="G56" s="1143"/>
    </row>
    <row r="57" spans="4:7" ht="10.5" x14ac:dyDescent="0.3">
      <c r="D57" s="1062"/>
      <c r="E57" s="1143"/>
      <c r="F57" s="1143"/>
      <c r="G57" s="1143"/>
    </row>
    <row r="58" spans="4:7" x14ac:dyDescent="0.25">
      <c r="D58" s="1531"/>
      <c r="E58" s="1532"/>
      <c r="F58" s="1532"/>
      <c r="G58" s="1532"/>
    </row>
    <row r="59" spans="4:7" ht="10.5" x14ac:dyDescent="0.3">
      <c r="D59" s="1062"/>
      <c r="E59" s="1143"/>
      <c r="F59" s="1143"/>
      <c r="G59" s="1143"/>
    </row>
  </sheetData>
  <phoneticPr fontId="51" type="noConversion"/>
  <pageMargins left="0.75" right="0.75" top="1" bottom="1" header="0.5" footer="0.5"/>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C6:K22"/>
  <sheetViews>
    <sheetView showGridLines="0" topLeftCell="A10" zoomScale="115" workbookViewId="0">
      <selection activeCell="N12" sqref="N12"/>
    </sheetView>
  </sheetViews>
  <sheetFormatPr defaultColWidth="10" defaultRowHeight="15.75" outlineLevelCol="1" x14ac:dyDescent="0.4"/>
  <cols>
    <col min="3" max="3" width="15.75" customWidth="1"/>
    <col min="4" max="4" width="13.25" style="1567" hidden="1" customWidth="1" outlineLevel="1"/>
    <col min="5" max="5" width="13.5" style="1567" customWidth="1"/>
    <col min="6" max="6" width="11.5" customWidth="1"/>
    <col min="7" max="7" width="21" customWidth="1"/>
    <col min="8" max="9" width="6.8125" hidden="1" customWidth="1"/>
    <col min="10" max="10" width="8" customWidth="1"/>
    <col min="11" max="11" width="7.75" customWidth="1"/>
  </cols>
  <sheetData>
    <row r="6" spans="3:11" x14ac:dyDescent="0.3">
      <c r="C6" s="1062"/>
      <c r="D6" s="1143"/>
      <c r="E6" s="1143"/>
      <c r="F6" s="1062"/>
      <c r="G6" s="1062"/>
      <c r="H6" s="1062"/>
      <c r="I6" s="1062"/>
      <c r="J6" s="1062"/>
    </row>
    <row r="7" spans="3:11" x14ac:dyDescent="0.3">
      <c r="C7" s="1062"/>
      <c r="D7" s="1143"/>
      <c r="E7" s="1143"/>
      <c r="F7" s="1062"/>
      <c r="G7" s="1062"/>
      <c r="H7" s="1062"/>
      <c r="I7" s="1062"/>
      <c r="J7" s="1062"/>
    </row>
    <row r="8" spans="3:11" x14ac:dyDescent="0.4">
      <c r="C8" s="1772" t="s">
        <v>818</v>
      </c>
      <c r="D8" s="1772" t="s">
        <v>220</v>
      </c>
      <c r="E8" s="1772" t="s">
        <v>815</v>
      </c>
      <c r="F8" s="1772" t="s">
        <v>816</v>
      </c>
      <c r="G8" s="1772" t="s">
        <v>819</v>
      </c>
      <c r="H8" s="1568"/>
      <c r="I8" s="1517"/>
      <c r="J8" s="1774" t="s">
        <v>467</v>
      </c>
      <c r="K8" s="1774"/>
    </row>
    <row r="9" spans="3:11" x14ac:dyDescent="0.3">
      <c r="C9" s="1772"/>
      <c r="D9" s="1772"/>
      <c r="E9" s="1772"/>
      <c r="F9" s="1772"/>
      <c r="G9" s="1772"/>
      <c r="H9" s="1569" t="s">
        <v>58</v>
      </c>
      <c r="I9" s="1569" t="s">
        <v>225</v>
      </c>
      <c r="J9" s="1569" t="s">
        <v>226</v>
      </c>
      <c r="K9" s="1569" t="s">
        <v>227</v>
      </c>
    </row>
    <row r="10" spans="3:11" x14ac:dyDescent="0.4">
      <c r="C10" s="1168" t="s">
        <v>1167</v>
      </c>
      <c r="D10" s="1408" t="s">
        <v>229</v>
      </c>
      <c r="E10" s="1408" t="s">
        <v>817</v>
      </c>
      <c r="F10" s="1570">
        <v>0.55200000000000005</v>
      </c>
      <c r="G10" s="1408" t="s">
        <v>468</v>
      </c>
      <c r="H10" s="1571">
        <v>35.42</v>
      </c>
      <c r="I10" s="1571">
        <v>35.31</v>
      </c>
      <c r="J10" s="1571">
        <v>37.56</v>
      </c>
      <c r="K10" s="1571">
        <v>41.31</v>
      </c>
    </row>
    <row r="11" spans="3:11" s="1572" customFormat="1" ht="20.25" x14ac:dyDescent="0.4">
      <c r="C11" s="1535" t="s">
        <v>1168</v>
      </c>
      <c r="D11" s="1536" t="s">
        <v>233</v>
      </c>
      <c r="E11" s="1536" t="s">
        <v>817</v>
      </c>
      <c r="F11" s="1573">
        <v>0.55200000000000005</v>
      </c>
      <c r="G11" s="1536" t="s">
        <v>469</v>
      </c>
      <c r="H11" s="1574">
        <v>35.1</v>
      </c>
      <c r="I11" s="1574">
        <v>32.47</v>
      </c>
      <c r="J11" s="1574">
        <v>32</v>
      </c>
      <c r="K11" s="1574">
        <v>30</v>
      </c>
    </row>
    <row r="12" spans="3:11" ht="30.4" x14ac:dyDescent="0.4">
      <c r="C12" s="1484" t="s">
        <v>1169</v>
      </c>
      <c r="D12" s="1539" t="s">
        <v>6</v>
      </c>
      <c r="E12" s="1539" t="s">
        <v>820</v>
      </c>
      <c r="F12" s="1570">
        <v>1</v>
      </c>
      <c r="G12" s="1539" t="s">
        <v>1170</v>
      </c>
      <c r="H12" s="1575" t="s">
        <v>186</v>
      </c>
      <c r="I12" s="1575" t="s">
        <v>186</v>
      </c>
      <c r="J12" s="1575" t="s">
        <v>186</v>
      </c>
      <c r="K12" s="1575" t="s">
        <v>186</v>
      </c>
    </row>
    <row r="13" spans="3:11" ht="30.4" x14ac:dyDescent="0.4">
      <c r="C13" s="1535" t="s">
        <v>1171</v>
      </c>
      <c r="D13" s="1536" t="s">
        <v>569</v>
      </c>
      <c r="E13" s="1536" t="s">
        <v>568</v>
      </c>
      <c r="F13" s="1576">
        <v>1</v>
      </c>
      <c r="G13" s="1536" t="s">
        <v>1170</v>
      </c>
      <c r="H13" s="1577"/>
      <c r="I13" s="1577" t="s">
        <v>186</v>
      </c>
      <c r="J13" s="1577" t="s">
        <v>186</v>
      </c>
      <c r="K13" s="1577" t="s">
        <v>186</v>
      </c>
    </row>
    <row r="14" spans="3:11" ht="20.25" x14ac:dyDescent="0.4">
      <c r="C14" s="1531" t="s">
        <v>723</v>
      </c>
      <c r="D14" s="1532"/>
      <c r="E14" s="1532" t="s">
        <v>724</v>
      </c>
      <c r="F14" s="1578">
        <v>0.65</v>
      </c>
      <c r="G14" s="1532" t="s">
        <v>470</v>
      </c>
      <c r="H14" s="1579"/>
      <c r="I14" s="1579" t="s">
        <v>201</v>
      </c>
      <c r="J14" s="1571">
        <v>300</v>
      </c>
      <c r="K14" s="1571">
        <v>340</v>
      </c>
    </row>
    <row r="15" spans="3:11" x14ac:dyDescent="0.4">
      <c r="C15" s="1531"/>
      <c r="D15" s="1532"/>
      <c r="E15" s="1532"/>
      <c r="F15" s="1578"/>
      <c r="G15" s="1532"/>
      <c r="H15" s="1579"/>
      <c r="I15" s="1579"/>
      <c r="J15" s="1579"/>
      <c r="K15" s="1579"/>
    </row>
    <row r="16" spans="3:11" x14ac:dyDescent="0.3">
      <c r="C16" s="1062"/>
      <c r="D16" s="1143"/>
      <c r="E16" s="1143"/>
      <c r="F16" s="1062"/>
      <c r="G16" s="1062"/>
      <c r="H16" s="1062"/>
      <c r="I16" s="1062"/>
      <c r="J16" s="1062"/>
    </row>
    <row r="17" spans="3:11" x14ac:dyDescent="0.3">
      <c r="C17" s="1517"/>
      <c r="D17" s="1772" t="s">
        <v>220</v>
      </c>
      <c r="E17" s="1775" t="s">
        <v>221</v>
      </c>
      <c r="F17" s="1776" t="s">
        <v>222</v>
      </c>
      <c r="G17" s="1775" t="s">
        <v>223</v>
      </c>
      <c r="H17" s="1770" t="s">
        <v>1394</v>
      </c>
      <c r="I17" s="1774"/>
      <c r="J17" s="1774"/>
      <c r="K17" s="1774"/>
    </row>
    <row r="18" spans="3:11" x14ac:dyDescent="0.3">
      <c r="C18" s="1517"/>
      <c r="D18" s="1772"/>
      <c r="E18" s="1772"/>
      <c r="F18" s="1773"/>
      <c r="G18" s="1772"/>
      <c r="H18" s="1569" t="s">
        <v>224</v>
      </c>
      <c r="I18" s="1569" t="s">
        <v>225</v>
      </c>
      <c r="J18" s="1569" t="s">
        <v>226</v>
      </c>
      <c r="K18" s="1569" t="s">
        <v>227</v>
      </c>
    </row>
    <row r="19" spans="3:11" x14ac:dyDescent="0.4">
      <c r="C19" s="1580" t="s">
        <v>228</v>
      </c>
      <c r="D19" s="1121" t="s">
        <v>229</v>
      </c>
      <c r="E19" s="1581" t="s">
        <v>230</v>
      </c>
      <c r="F19" s="1578">
        <v>0.55200000000000005</v>
      </c>
      <c r="G19" s="1581" t="s">
        <v>231</v>
      </c>
      <c r="H19" s="1582">
        <v>35.42</v>
      </c>
      <c r="I19" s="1582">
        <v>35.31</v>
      </c>
      <c r="J19" s="1582">
        <v>37.56</v>
      </c>
      <c r="K19" s="1582">
        <v>41.31</v>
      </c>
    </row>
    <row r="20" spans="3:11" x14ac:dyDescent="0.4">
      <c r="C20" s="1558" t="s">
        <v>232</v>
      </c>
      <c r="D20" s="1536" t="s">
        <v>233</v>
      </c>
      <c r="E20" s="1559" t="s">
        <v>230</v>
      </c>
      <c r="F20" s="1573">
        <v>0.55200000000000005</v>
      </c>
      <c r="G20" s="1559" t="s">
        <v>234</v>
      </c>
      <c r="H20" s="1574">
        <v>35.1</v>
      </c>
      <c r="I20" s="1574">
        <v>32.47</v>
      </c>
      <c r="J20" s="1574">
        <v>32</v>
      </c>
      <c r="K20" s="1574">
        <v>30</v>
      </c>
    </row>
    <row r="21" spans="3:11" x14ac:dyDescent="0.3">
      <c r="C21" s="1069" t="s">
        <v>725</v>
      </c>
      <c r="D21" s="1143"/>
      <c r="E21" s="1583" t="s">
        <v>235</v>
      </c>
      <c r="F21" s="1578">
        <v>1</v>
      </c>
      <c r="G21" s="1583" t="s">
        <v>236</v>
      </c>
      <c r="H21" s="1062"/>
      <c r="I21" s="1151" t="s">
        <v>237</v>
      </c>
      <c r="J21" s="1151" t="s">
        <v>237</v>
      </c>
      <c r="K21" s="1151" t="s">
        <v>237</v>
      </c>
    </row>
    <row r="22" spans="3:11" x14ac:dyDescent="0.4">
      <c r="C22" s="1558" t="s">
        <v>219</v>
      </c>
      <c r="D22" s="1536"/>
      <c r="E22" s="1559" t="s">
        <v>235</v>
      </c>
      <c r="F22" s="1573">
        <v>1</v>
      </c>
      <c r="G22" s="1559" t="s">
        <v>236</v>
      </c>
      <c r="H22" s="1574"/>
      <c r="I22" s="1584" t="s">
        <v>201</v>
      </c>
      <c r="J22" s="1584" t="s">
        <v>201</v>
      </c>
      <c r="K22" s="1584" t="s">
        <v>201</v>
      </c>
    </row>
  </sheetData>
  <mergeCells count="11">
    <mergeCell ref="C8:C9"/>
    <mergeCell ref="D8:D9"/>
    <mergeCell ref="E8:E9"/>
    <mergeCell ref="F8:F9"/>
    <mergeCell ref="J8:K8"/>
    <mergeCell ref="G8:G9"/>
    <mergeCell ref="H17:K17"/>
    <mergeCell ref="D17:D18"/>
    <mergeCell ref="E17:E18"/>
    <mergeCell ref="F17:F18"/>
    <mergeCell ref="G17:G18"/>
  </mergeCells>
  <phoneticPr fontId="51" type="noConversion"/>
  <pageMargins left="0.75" right="0.75" top="1" bottom="1" header="0.5" footer="0.5"/>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B1:F25"/>
  <sheetViews>
    <sheetView showGridLines="0" workbookViewId="0">
      <selection activeCell="L29" sqref="L29"/>
    </sheetView>
  </sheetViews>
  <sheetFormatPr defaultColWidth="10" defaultRowHeight="15.75" x14ac:dyDescent="0.4"/>
  <cols>
    <col min="1" max="1" width="1" customWidth="1"/>
    <col min="2" max="2" width="56.3125" customWidth="1"/>
    <col min="3" max="3" width="1.3125" customWidth="1"/>
    <col min="4" max="4" width="4.8125" customWidth="1"/>
    <col min="5" max="6" width="14" customWidth="1"/>
  </cols>
  <sheetData>
    <row r="1" spans="2:6" x14ac:dyDescent="0.4">
      <c r="B1" s="1585" t="s">
        <v>1377</v>
      </c>
      <c r="C1" s="1585"/>
      <c r="D1" s="1586"/>
      <c r="E1" s="1586"/>
      <c r="F1" s="1586"/>
    </row>
    <row r="2" spans="2:6" x14ac:dyDescent="0.4">
      <c r="B2" s="1585" t="s">
        <v>1378</v>
      </c>
      <c r="C2" s="1585"/>
      <c r="D2" s="1586"/>
      <c r="E2" s="1586"/>
      <c r="F2" s="1586"/>
    </row>
    <row r="3" spans="2:6" x14ac:dyDescent="0.4">
      <c r="B3" s="1587"/>
      <c r="C3" s="1587"/>
      <c r="D3" s="1588"/>
      <c r="E3" s="1588"/>
      <c r="F3" s="1588"/>
    </row>
    <row r="4" spans="2:6" ht="47.25" x14ac:dyDescent="0.4">
      <c r="B4" s="1587" t="s">
        <v>1379</v>
      </c>
      <c r="C4" s="1587"/>
      <c r="D4" s="1588"/>
      <c r="E4" s="1588"/>
      <c r="F4" s="1588"/>
    </row>
    <row r="5" spans="2:6" x14ac:dyDescent="0.4">
      <c r="B5" s="1587"/>
      <c r="C5" s="1587"/>
      <c r="D5" s="1588"/>
      <c r="E5" s="1588"/>
      <c r="F5" s="1588"/>
    </row>
    <row r="6" spans="2:6" x14ac:dyDescent="0.4">
      <c r="B6" s="1585" t="s">
        <v>1380</v>
      </c>
      <c r="C6" s="1585"/>
      <c r="D6" s="1586"/>
      <c r="E6" s="1586" t="s">
        <v>1381</v>
      </c>
      <c r="F6" s="1586" t="s">
        <v>1382</v>
      </c>
    </row>
    <row r="7" spans="2:6" x14ac:dyDescent="0.4">
      <c r="B7" s="1587"/>
      <c r="C7" s="1587"/>
      <c r="D7" s="1588"/>
      <c r="E7" s="1588"/>
      <c r="F7" s="1588"/>
    </row>
    <row r="8" spans="2:6" ht="31.5" x14ac:dyDescent="0.4">
      <c r="B8" s="1589" t="s">
        <v>1383</v>
      </c>
      <c r="C8" s="1590"/>
      <c r="D8" s="1591"/>
      <c r="E8" s="1591">
        <v>16</v>
      </c>
      <c r="F8" s="1592"/>
    </row>
    <row r="9" spans="2:6" x14ac:dyDescent="0.4">
      <c r="B9" s="1593"/>
      <c r="C9" s="1587"/>
      <c r="D9" s="1588"/>
      <c r="E9" s="1594" t="s">
        <v>1384</v>
      </c>
      <c r="F9" s="1595" t="s">
        <v>1386</v>
      </c>
    </row>
    <row r="10" spans="2:6" x14ac:dyDescent="0.4">
      <c r="B10" s="1593"/>
      <c r="C10" s="1587"/>
      <c r="D10" s="1588"/>
      <c r="E10" s="1594" t="s">
        <v>1385</v>
      </c>
      <c r="F10" s="1595"/>
    </row>
    <row r="11" spans="2:6" x14ac:dyDescent="0.4">
      <c r="B11" s="1593"/>
      <c r="C11" s="1587"/>
      <c r="D11" s="1588"/>
      <c r="E11" s="1588"/>
      <c r="F11" s="1595" t="s">
        <v>1386</v>
      </c>
    </row>
    <row r="12" spans="2:6" x14ac:dyDescent="0.4">
      <c r="B12" s="1593"/>
      <c r="C12" s="1587"/>
      <c r="D12" s="1588"/>
      <c r="E12" s="1588"/>
      <c r="F12" s="1595"/>
    </row>
    <row r="13" spans="2:6" x14ac:dyDescent="0.4">
      <c r="B13" s="1593"/>
      <c r="C13" s="1587"/>
      <c r="D13" s="1588"/>
      <c r="E13" s="1588"/>
      <c r="F13" s="1595"/>
    </row>
    <row r="14" spans="2:6" x14ac:dyDescent="0.4">
      <c r="B14" s="1596"/>
      <c r="C14" s="1597"/>
      <c r="D14" s="1598"/>
      <c r="E14" s="1598"/>
      <c r="F14" s="1599"/>
    </row>
    <row r="15" spans="2:6" x14ac:dyDescent="0.4">
      <c r="B15" s="1587"/>
      <c r="C15" s="1587"/>
      <c r="D15" s="1588"/>
      <c r="E15" s="1588"/>
      <c r="F15" s="1588"/>
    </row>
    <row r="16" spans="2:6" x14ac:dyDescent="0.4">
      <c r="B16" s="1587"/>
      <c r="C16" s="1587"/>
      <c r="D16" s="1588"/>
      <c r="E16" s="1588"/>
      <c r="F16" s="1588"/>
    </row>
    <row r="17" spans="2:6" x14ac:dyDescent="0.4">
      <c r="B17" s="1585" t="s">
        <v>1387</v>
      </c>
      <c r="C17" s="1585"/>
      <c r="D17" s="1586"/>
      <c r="E17" s="1586"/>
      <c r="F17" s="1586"/>
    </row>
    <row r="18" spans="2:6" x14ac:dyDescent="0.4">
      <c r="B18" s="1587"/>
      <c r="C18" s="1587"/>
      <c r="D18" s="1588"/>
      <c r="E18" s="1588"/>
      <c r="F18" s="1588"/>
    </row>
    <row r="19" spans="2:6" ht="47.25" x14ac:dyDescent="0.4">
      <c r="B19" s="1589" t="s">
        <v>1388</v>
      </c>
      <c r="C19" s="1590"/>
      <c r="D19" s="1591"/>
      <c r="E19" s="1591">
        <v>1</v>
      </c>
      <c r="F19" s="1592"/>
    </row>
    <row r="20" spans="2:6" ht="22.5" x14ac:dyDescent="0.4">
      <c r="B20" s="1596"/>
      <c r="C20" s="1597"/>
      <c r="D20" s="1598"/>
      <c r="E20" s="1600" t="s">
        <v>1389</v>
      </c>
      <c r="F20" s="1599" t="s">
        <v>1386</v>
      </c>
    </row>
    <row r="21" spans="2:6" x14ac:dyDescent="0.4">
      <c r="B21" s="1587"/>
      <c r="C21" s="1587"/>
      <c r="D21" s="1588"/>
      <c r="E21" s="1588"/>
      <c r="F21" s="1588"/>
    </row>
    <row r="22" spans="2:6" ht="47.25" x14ac:dyDescent="0.4">
      <c r="B22" s="1601" t="s">
        <v>1388</v>
      </c>
      <c r="C22" s="1602"/>
      <c r="D22" s="1603"/>
      <c r="E22" s="1603" t="s">
        <v>1390</v>
      </c>
      <c r="F22" s="1604" t="s">
        <v>1386</v>
      </c>
    </row>
    <row r="23" spans="2:6" x14ac:dyDescent="0.4">
      <c r="B23" s="1587"/>
      <c r="C23" s="1587"/>
      <c r="D23" s="1588"/>
      <c r="E23" s="1588"/>
      <c r="F23" s="1588"/>
    </row>
    <row r="24" spans="2:6" ht="31.5" x14ac:dyDescent="0.4">
      <c r="B24" s="1601" t="s">
        <v>1391</v>
      </c>
      <c r="C24" s="1602"/>
      <c r="D24" s="1603"/>
      <c r="E24" s="1603">
        <v>12</v>
      </c>
      <c r="F24" s="1604" t="s">
        <v>1386</v>
      </c>
    </row>
    <row r="25" spans="2:6" x14ac:dyDescent="0.4">
      <c r="B25" s="1587"/>
      <c r="C25" s="1587"/>
      <c r="D25" s="1588"/>
      <c r="E25" s="1588"/>
      <c r="F25" s="1588"/>
    </row>
  </sheetData>
  <phoneticPr fontId="51" type="noConversion"/>
  <hyperlinks>
    <hyperlink ref="E9" location="'RAWS'!D4:D6" display="'RAWS'!D4:D6" xr:uid="{00000000-0004-0000-3000-000000000000}"/>
    <hyperlink ref="E10" location="'RAWS'!D7:AZ11" display="'RAWS'!D7:AZ11" xr:uid="{00000000-0004-0000-3000-000001000000}"/>
    <hyperlink ref="E20" location="'Policy housing'!G39" display="'Policy housing'!G39" xr:uid="{00000000-0004-0000-30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49</vt:i4>
      </vt:variant>
      <vt:variant>
        <vt:lpstr>命名范围</vt:lpstr>
      </vt:variant>
      <vt:variant>
        <vt:i4>41</vt:i4>
      </vt:variant>
    </vt:vector>
  </HeadingPairs>
  <TitlesOfParts>
    <vt:vector size="90" baseType="lpstr">
      <vt:lpstr>Header(C)</vt:lpstr>
      <vt:lpstr>Header(E)</vt:lpstr>
      <vt:lpstr>Header(E)-US</vt:lpstr>
      <vt:lpstr>RAWS</vt:lpstr>
      <vt:lpstr>Cover</vt:lpstr>
      <vt:lpstr>DCF</vt:lpstr>
      <vt:lpstr>QoQ</vt:lpstr>
      <vt:lpstr>HoH</vt:lpstr>
      <vt:lpstr>BS</vt:lpstr>
      <vt:lpstr>PL</vt:lpstr>
      <vt:lpstr>CF</vt:lpstr>
      <vt:lpstr>WC</vt:lpstr>
      <vt:lpstr>CAPEX</vt:lpstr>
      <vt:lpstr>Financing</vt:lpstr>
      <vt:lpstr>PL（org）</vt:lpstr>
      <vt:lpstr>BS（org）</vt:lpstr>
      <vt:lpstr>CF（org）</vt:lpstr>
      <vt:lpstr>Summary</vt:lpstr>
      <vt:lpstr>MainLand China</vt:lpstr>
      <vt:lpstr>HK</vt:lpstr>
      <vt:lpstr>Macau</vt:lpstr>
      <vt:lpstr>CSCD</vt:lpstr>
      <vt:lpstr>年报模板</vt:lpstr>
      <vt:lpstr>Overseas</vt:lpstr>
      <vt:lpstr>中报模板</vt:lpstr>
      <vt:lpstr>Adjustment</vt:lpstr>
      <vt:lpstr>Attachment</vt:lpstr>
      <vt:lpstr>PB ROE</vt:lpstr>
      <vt:lpstr>GTR</vt:lpstr>
      <vt:lpstr>已承诺未动用的信贷及其他银行授信额度</vt:lpstr>
      <vt:lpstr>融资产品</vt:lpstr>
      <vt:lpstr>SUM of Parts</vt:lpstr>
      <vt:lpstr>估值（DCF） (中文)</vt:lpstr>
      <vt:lpstr>2012Placement</vt:lpstr>
      <vt:lpstr>P&amp;L (半年)</vt:lpstr>
      <vt:lpstr>segment info</vt:lpstr>
      <vt:lpstr>地区分部(原始）</vt:lpstr>
      <vt:lpstr>业务分部（原始）</vt:lpstr>
      <vt:lpstr>D&amp;A(原始）</vt:lpstr>
      <vt:lpstr>Ratio</vt:lpstr>
      <vt:lpstr>Dadabase</vt:lpstr>
      <vt:lpstr>P&amp;L (2)</vt:lpstr>
      <vt:lpstr>BS (2)</vt:lpstr>
      <vt:lpstr>Cash F (2)</vt:lpstr>
      <vt:lpstr>收购影响</vt:lpstr>
      <vt:lpstr>Policy housing</vt:lpstr>
      <vt:lpstr>BT</vt:lpstr>
      <vt:lpstr>BOT项目</vt:lpstr>
      <vt:lpstr>兼容性报表</vt:lpstr>
      <vt:lpstr>BS!Print_Area</vt:lpstr>
      <vt:lpstr>CF!Print_Area</vt:lpstr>
      <vt:lpstr>'CF（org）'!Print_Area</vt:lpstr>
      <vt:lpstr>Cover!Print_Area</vt:lpstr>
      <vt:lpstr>DCF!Print_Area</vt:lpstr>
      <vt:lpstr>Financing!Print_Area</vt:lpstr>
      <vt:lpstr>'Header(E)-US'!Print_Area</vt:lpstr>
      <vt:lpstr>HK!Print_Area</vt:lpstr>
      <vt:lpstr>HoH!Print_Area</vt:lpstr>
      <vt:lpstr>Macau!Print_Area</vt:lpstr>
      <vt:lpstr>'MainLand China'!Print_Area</vt:lpstr>
      <vt:lpstr>Overseas!Print_Area</vt:lpstr>
      <vt:lpstr>'P&amp;L (半年)'!Print_Area</vt:lpstr>
      <vt:lpstr>PL!Print_Area</vt:lpstr>
      <vt:lpstr>Summary!Print_Area</vt:lpstr>
      <vt:lpstr>WC!Print_Area</vt:lpstr>
      <vt:lpstr>BS!Print_Titles</vt:lpstr>
      <vt:lpstr>CAPEX!Print_Titles</vt:lpstr>
      <vt:lpstr>HK!Print_Titles</vt:lpstr>
      <vt:lpstr>HoH!Print_Titles</vt:lpstr>
      <vt:lpstr>Macau!Print_Titles</vt:lpstr>
      <vt:lpstr>'MainLand China'!Print_Titles</vt:lpstr>
      <vt:lpstr>Overseas!Print_Titles</vt:lpstr>
      <vt:lpstr>'P&amp;L (半年)'!Print_Titles</vt:lpstr>
      <vt:lpstr>PL!Print_Titles</vt:lpstr>
      <vt:lpstr>HoH!TABLE</vt:lpstr>
      <vt:lpstr>'P&amp;L (2)'!TABLE</vt:lpstr>
      <vt:lpstr>'P&amp;L (半年)'!TABLE</vt:lpstr>
      <vt:lpstr>PL!TABLE</vt:lpstr>
      <vt:lpstr>HoH!TABLE_2</vt:lpstr>
      <vt:lpstr>'P&amp;L (2)'!TABLE_2</vt:lpstr>
      <vt:lpstr>'P&amp;L (半年)'!TABLE_2</vt:lpstr>
      <vt:lpstr>PL!TABLE_2</vt:lpstr>
      <vt:lpstr>HoH!TABLE_3</vt:lpstr>
      <vt:lpstr>'P&amp;L (2)'!TABLE_3</vt:lpstr>
      <vt:lpstr>'P&amp;L (半年)'!TABLE_3</vt:lpstr>
      <vt:lpstr>PL!TABLE_3</vt:lpstr>
      <vt:lpstr>HoH!TABLE_4</vt:lpstr>
      <vt:lpstr>'P&amp;L (2)'!TABLE_4</vt:lpstr>
      <vt:lpstr>'P&amp;L (半年)'!TABLE_4</vt:lpstr>
      <vt:lpstr>PL!TABLE_4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中国建筑国际估值模型</dc:title>
  <dc:creator>任嘉禹</dc:creator>
  <cp:lastModifiedBy>XIPING XIAO</cp:lastModifiedBy>
  <dcterms:created xsi:type="dcterms:W3CDTF">2000-08-07T02:01:11Z</dcterms:created>
  <dcterms:modified xsi:type="dcterms:W3CDTF">2026-04-08T04:19:00Z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{8F13D3AB-669D-4CC6-A3EE-D7710711C408}</vt:lpwstr>
  </property>
  <property fmtid="{D5CDD505-2E9C-101B-9397-08002B2CF9AE}" pid="3" name="EM_Doc_Temp_ID">
    <vt:lpwstr>0bceaeb2</vt:lpwstr>
  </property>
  <property fmtid="{D5CDD505-2E9C-101B-9397-08002B2CF9AE}" pid="4" name="BD_Doc_Temp_ID">
    <vt:lpwstr>e241afb4-2066-4836-ad42-0bd69984da33</vt:lpwstr>
  </property>
  <property fmtid="{D5CDD505-2E9C-101B-9397-08002B2CF9AE}" pid="5" name="ICV">
    <vt:lpwstr>306d3a0f6c564a48b0aa076e1ecfe65b</vt:lpwstr>
  </property>
  <property fmtid="{D5CDD505-2E9C-101B-9397-08002B2CF9AE}" pid="6" name="RMS_MODEL_ID">
    <vt:lpwstr>03311_1230463</vt:lpwstr>
  </property>
</Properties>
</file>